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ustomProperty1.bin" ContentType="application/vnd.openxmlformats-officedocument.spreadsheetml.customProperty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rtur\Documents\"/>
    </mc:Choice>
  </mc:AlternateContent>
  <xr:revisionPtr revIDLastSave="0" documentId="13_ncr:1_{1A6B58EE-06FB-4D32-8C4C-10FF8D7E891B}" xr6:coauthVersionLast="47" xr6:coauthVersionMax="47" xr10:uidLastSave="{00000000-0000-0000-0000-000000000000}"/>
  <bookViews>
    <workbookView xWindow="-108" yWindow="-108" windowWidth="26136" windowHeight="16776" xr2:uid="{00000000-000D-0000-FFFF-FFFF00000000}"/>
  </bookViews>
  <sheets>
    <sheet name="Daily" sheetId="1" r:id="rId1"/>
    <sheet name="Cash in bank report" sheetId="2" r:id="rId2"/>
    <sheet name="Table" sheetId="3" r:id="rId3"/>
    <sheet name="Daily exchange" sheetId="58" r:id="rId4"/>
    <sheet name="SUM Loan (Subsidy)" sheetId="105" r:id="rId5"/>
    <sheet name="Bank loan table" sheetId="106" r:id="rId6"/>
    <sheet name="Repayment 25" sheetId="107" r:id="rId7"/>
    <sheet name="Daily Hard currency" sheetId="59" state="hidden" r:id="rId8"/>
    <sheet name="Exchange plan" sheetId="57" r:id="rId9"/>
    <sheet name="Est payment" sheetId="54" state="hidden" r:id="rId10"/>
    <sheet name="Cash balance 2023" sheetId="60" state="hidden" r:id="rId11"/>
    <sheet name="Intercompany Loan table" sheetId="100" r:id="rId12"/>
    <sheet name="RUS CF" sheetId="89" r:id="rId13"/>
    <sheet name="CPFO CF" sheetId="90" r:id="rId14"/>
    <sheet name="RBPI CF" sheetId="91" r:id="rId15"/>
    <sheet name="APK CF" sheetId="92" r:id="rId16"/>
    <sheet name="SW CF" sheetId="93" r:id="rId17"/>
    <sheet name="S CF" sheetId="94" r:id="rId18"/>
    <sheet name="W CF" sheetId="95" r:id="rId19"/>
    <sheet name="Stesha CF" sheetId="96" r:id="rId20"/>
    <sheet name="PV" sheetId="101" state="hidden" r:id="rId21"/>
    <sheet name="Loan CPFI CF" sheetId="6" state="hidden" r:id="rId22"/>
    <sheet name="Group IC Loan" sheetId="7" state="hidden" r:id="rId23"/>
    <sheet name="Sheet1" sheetId="47" state="hidden" r:id="rId24"/>
    <sheet name="Simulation RUSSIA22 " sheetId="45" state="hidden" r:id="rId25"/>
    <sheet name="CPFO" sheetId="36" state="hidden" r:id="rId26"/>
    <sheet name="RBPI" sheetId="38" state="hidden" r:id="rId27"/>
    <sheet name="APK DON" sheetId="40" state="hidden" r:id="rId28"/>
  </sheets>
  <definedNames>
    <definedName name="\0" localSheetId="10">#REF!</definedName>
    <definedName name="\0" localSheetId="9">#REF!</definedName>
    <definedName name="\0" localSheetId="11">#REF!</definedName>
    <definedName name="\0" localSheetId="12">#REF!</definedName>
    <definedName name="\0" localSheetId="17">#REF!</definedName>
    <definedName name="\0" localSheetId="24">#REF!</definedName>
    <definedName name="\0" localSheetId="16">#REF!</definedName>
    <definedName name="\0" localSheetId="18">#REF!</definedName>
    <definedName name="\0">#REF!</definedName>
    <definedName name="\00" localSheetId="10">#REF!</definedName>
    <definedName name="\00" localSheetId="9">#REF!</definedName>
    <definedName name="\00" localSheetId="11">#REF!</definedName>
    <definedName name="\00" localSheetId="12">#REF!</definedName>
    <definedName name="\00" localSheetId="17">#REF!</definedName>
    <definedName name="\00" localSheetId="24">#REF!</definedName>
    <definedName name="\00" localSheetId="16">#REF!</definedName>
    <definedName name="\00" localSheetId="18">#REF!</definedName>
    <definedName name="\00">#REF!</definedName>
    <definedName name="\a" localSheetId="12">#REF!</definedName>
    <definedName name="\a" localSheetId="17">#REF!</definedName>
    <definedName name="\a" localSheetId="19">#REF!</definedName>
    <definedName name="\a" localSheetId="16">#REF!</definedName>
    <definedName name="\a" localSheetId="18">#REF!</definedName>
    <definedName name="\a">#N/A</definedName>
    <definedName name="\b" localSheetId="12">#REF!</definedName>
    <definedName name="\b" localSheetId="17">#REF!</definedName>
    <definedName name="\b" localSheetId="19">#REF!</definedName>
    <definedName name="\b" localSheetId="16">#REF!</definedName>
    <definedName name="\b" localSheetId="18">#REF!</definedName>
    <definedName name="\b">#N/A</definedName>
    <definedName name="\C" localSheetId="10">#REF!</definedName>
    <definedName name="\C" localSheetId="9">#REF!</definedName>
    <definedName name="\C" localSheetId="11">#REF!</definedName>
    <definedName name="\c" localSheetId="12">#REF!</definedName>
    <definedName name="\c" localSheetId="17">#REF!</definedName>
    <definedName name="\C" localSheetId="24">#REF!</definedName>
    <definedName name="\c" localSheetId="19">#REF!</definedName>
    <definedName name="\c" localSheetId="16">#REF!</definedName>
    <definedName name="\c" localSheetId="18">#REF!</definedName>
    <definedName name="\C">#REF!</definedName>
    <definedName name="\cc" localSheetId="10">#REF!</definedName>
    <definedName name="\cc" localSheetId="9">#REF!</definedName>
    <definedName name="\cc" localSheetId="11">#REF!</definedName>
    <definedName name="\cc" localSheetId="12">#REF!</definedName>
    <definedName name="\cc" localSheetId="17">#REF!</definedName>
    <definedName name="\cc" localSheetId="24">#REF!</definedName>
    <definedName name="\cc" localSheetId="19">#REF!</definedName>
    <definedName name="\cc" localSheetId="16">#REF!</definedName>
    <definedName name="\cc" localSheetId="18">#REF!</definedName>
    <definedName name="\cc">#REF!</definedName>
    <definedName name="\d" localSheetId="10">#REF!</definedName>
    <definedName name="\d" localSheetId="9">#REF!</definedName>
    <definedName name="\d" localSheetId="11">#REF!</definedName>
    <definedName name="\d" localSheetId="12">#REF!</definedName>
    <definedName name="\d" localSheetId="17">#REF!</definedName>
    <definedName name="\d" localSheetId="24">#REF!</definedName>
    <definedName name="\d" localSheetId="19">#REF!</definedName>
    <definedName name="\d" localSheetId="16">#REF!</definedName>
    <definedName name="\d" localSheetId="18">#REF!</definedName>
    <definedName name="\d">#REF!</definedName>
    <definedName name="\e" localSheetId="10">#REF!</definedName>
    <definedName name="\e" localSheetId="9">#REF!</definedName>
    <definedName name="\e" localSheetId="11">#REF!</definedName>
    <definedName name="\e" localSheetId="12">#REF!</definedName>
    <definedName name="\e" localSheetId="17">#REF!</definedName>
    <definedName name="\e" localSheetId="24">#REF!</definedName>
    <definedName name="\e" localSheetId="19">#REF!</definedName>
    <definedName name="\e" localSheetId="16">#REF!</definedName>
    <definedName name="\e" localSheetId="18">#REF!</definedName>
    <definedName name="\e">#REF!</definedName>
    <definedName name="\i" localSheetId="10">#REF!</definedName>
    <definedName name="\i" localSheetId="9">#REF!</definedName>
    <definedName name="\i" localSheetId="11">#REF!</definedName>
    <definedName name="\i" localSheetId="12">#REF!</definedName>
    <definedName name="\i" localSheetId="17">#REF!</definedName>
    <definedName name="\i" localSheetId="24">#REF!</definedName>
    <definedName name="\i" localSheetId="19">#REF!</definedName>
    <definedName name="\i" localSheetId="16">#REF!</definedName>
    <definedName name="\i" localSheetId="18">#REF!</definedName>
    <definedName name="\i">#REF!</definedName>
    <definedName name="\M" localSheetId="10">#REF!</definedName>
    <definedName name="\M" localSheetId="9">#REF!</definedName>
    <definedName name="\M" localSheetId="11">#REF!</definedName>
    <definedName name="\M" localSheetId="12">#REF!</definedName>
    <definedName name="\M" localSheetId="17">#REF!</definedName>
    <definedName name="\M" localSheetId="24">#REF!</definedName>
    <definedName name="\M" localSheetId="16">#REF!</definedName>
    <definedName name="\M">#REF!</definedName>
    <definedName name="\s" localSheetId="10">#REF!</definedName>
    <definedName name="\s" localSheetId="9">#REF!</definedName>
    <definedName name="\s" localSheetId="11">#REF!</definedName>
    <definedName name="\s" localSheetId="12">#REF!</definedName>
    <definedName name="\s" localSheetId="17">#REF!</definedName>
    <definedName name="\s" localSheetId="24">#REF!</definedName>
    <definedName name="\s" localSheetId="16">#REF!</definedName>
    <definedName name="\s" localSheetId="18">#REF!</definedName>
    <definedName name="\s">#REF!</definedName>
    <definedName name="\u" localSheetId="10">#REF!</definedName>
    <definedName name="\u" localSheetId="9">#REF!</definedName>
    <definedName name="\u" localSheetId="11">#REF!</definedName>
    <definedName name="\u" localSheetId="12">#REF!</definedName>
    <definedName name="\u" localSheetId="17">#REF!</definedName>
    <definedName name="\u" localSheetId="24">#REF!</definedName>
    <definedName name="\u" localSheetId="19">#REF!</definedName>
    <definedName name="\u" localSheetId="16">#REF!</definedName>
    <definedName name="\u" localSheetId="18">#REF!</definedName>
    <definedName name="\u">#REF!</definedName>
    <definedName name="_" localSheetId="10">#REF!</definedName>
    <definedName name="_" localSheetId="9">#REF!</definedName>
    <definedName name="_" localSheetId="11">#REF!</definedName>
    <definedName name="_" localSheetId="12">#REF!</definedName>
    <definedName name="_" localSheetId="17">#REF!</definedName>
    <definedName name="_" localSheetId="24">#REF!</definedName>
    <definedName name="_" localSheetId="16">#REF!</definedName>
    <definedName name="_">#REF!</definedName>
    <definedName name="_____________________________________________PL1" localSheetId="10">#REF!</definedName>
    <definedName name="_____________________________________________PL1" localSheetId="9">#REF!</definedName>
    <definedName name="_____________________________________________PL1" localSheetId="11">#REF!</definedName>
    <definedName name="_____________________________________________PL1" localSheetId="12">#REF!</definedName>
    <definedName name="_____________________________________________PL1" localSheetId="17">#REF!</definedName>
    <definedName name="_____________________________________________PL1" localSheetId="24">#REF!</definedName>
    <definedName name="_____________________________________________PL1" localSheetId="16">#REF!</definedName>
    <definedName name="_____________________________________________PL1" localSheetId="18">#REF!</definedName>
    <definedName name="_____________________________________________PL1">#REF!</definedName>
    <definedName name="_____________________________________________PL2" localSheetId="10">#REF!</definedName>
    <definedName name="_____________________________________________PL2" localSheetId="9">#REF!</definedName>
    <definedName name="_____________________________________________PL2" localSheetId="11">#REF!</definedName>
    <definedName name="_____________________________________________PL2" localSheetId="12">#REF!</definedName>
    <definedName name="_____________________________________________PL2" localSheetId="17">#REF!</definedName>
    <definedName name="_____________________________________________PL2" localSheetId="24">#REF!</definedName>
    <definedName name="_____________________________________________PL2" localSheetId="16">#REF!</definedName>
    <definedName name="_____________________________________________PL2" localSheetId="18">#REF!</definedName>
    <definedName name="_____________________________________________PL2">#REF!</definedName>
    <definedName name="____________________________________________PL1" localSheetId="10">#REF!</definedName>
    <definedName name="____________________________________________PL1" localSheetId="9">#REF!</definedName>
    <definedName name="____________________________________________PL1" localSheetId="11">#REF!</definedName>
    <definedName name="____________________________________________PL1" localSheetId="12">#REF!</definedName>
    <definedName name="____________________________________________PL1" localSheetId="17">#REF!</definedName>
    <definedName name="____________________________________________PL1" localSheetId="24">#REF!</definedName>
    <definedName name="____________________________________________PL1" localSheetId="16">#REF!</definedName>
    <definedName name="____________________________________________PL1" localSheetId="18">#REF!</definedName>
    <definedName name="____________________________________________PL1">#REF!</definedName>
    <definedName name="____________________________________________PL2" localSheetId="10">#REF!</definedName>
    <definedName name="____________________________________________PL2" localSheetId="9">#REF!</definedName>
    <definedName name="____________________________________________PL2" localSheetId="11">#REF!</definedName>
    <definedName name="____________________________________________PL2" localSheetId="12">#REF!</definedName>
    <definedName name="____________________________________________PL2" localSheetId="17">#REF!</definedName>
    <definedName name="____________________________________________PL2" localSheetId="24">#REF!</definedName>
    <definedName name="____________________________________________PL2" localSheetId="16">#REF!</definedName>
    <definedName name="____________________________________________PL2" localSheetId="18">#REF!</definedName>
    <definedName name="____________________________________________PL2">#REF!</definedName>
    <definedName name="__________________________NEW2" localSheetId="10">#REF!</definedName>
    <definedName name="__________________________NEW2" localSheetId="9">#REF!</definedName>
    <definedName name="__________________________NEW2" localSheetId="11">#REF!</definedName>
    <definedName name="__________________________NEW2" localSheetId="12">#REF!</definedName>
    <definedName name="__________________________NEW2" localSheetId="17">#REF!</definedName>
    <definedName name="__________________________NEW2" localSheetId="24">#REF!</definedName>
    <definedName name="__________________________NEW2" localSheetId="16">#REF!</definedName>
    <definedName name="__________________________NEW2" localSheetId="18">#REF!</definedName>
    <definedName name="__________________________NEW2">#REF!</definedName>
    <definedName name="_________________________NEW2" localSheetId="10">#REF!</definedName>
    <definedName name="_________________________NEW2" localSheetId="9">#REF!</definedName>
    <definedName name="_________________________NEW2" localSheetId="11">#REF!</definedName>
    <definedName name="_________________________NEW2" localSheetId="12">#REF!</definedName>
    <definedName name="_________________________NEW2" localSheetId="17">#REF!</definedName>
    <definedName name="_________________________NEW2" localSheetId="24">#REF!</definedName>
    <definedName name="_________________________NEW2" localSheetId="16">#REF!</definedName>
    <definedName name="_________________________NEW2" localSheetId="18">#REF!</definedName>
    <definedName name="_________________________NEW2">#REF!</definedName>
    <definedName name="____________________DAT1" localSheetId="10">#REF!</definedName>
    <definedName name="____________________DAT1" localSheetId="9">#REF!</definedName>
    <definedName name="____________________DAT1" localSheetId="11">#REF!</definedName>
    <definedName name="____________________DAT1" localSheetId="12">#REF!</definedName>
    <definedName name="____________________DAT1" localSheetId="24">#REF!</definedName>
    <definedName name="____________________DAT1">#REF!</definedName>
    <definedName name="____________________DAT10" localSheetId="10">#REF!</definedName>
    <definedName name="____________________DAT10" localSheetId="9">#REF!</definedName>
    <definedName name="____________________DAT10" localSheetId="11">#REF!</definedName>
    <definedName name="____________________DAT10" localSheetId="12">#REF!</definedName>
    <definedName name="____________________DAT10" localSheetId="24">#REF!</definedName>
    <definedName name="____________________DAT10">#REF!</definedName>
    <definedName name="____________________DAT11" localSheetId="10">#REF!</definedName>
    <definedName name="____________________DAT11" localSheetId="9">#REF!</definedName>
    <definedName name="____________________DAT11" localSheetId="11">#REF!</definedName>
    <definedName name="____________________DAT11" localSheetId="12">#REF!</definedName>
    <definedName name="____________________DAT11" localSheetId="24">#REF!</definedName>
    <definedName name="____________________DAT11">#REF!</definedName>
    <definedName name="____________________DAT2" localSheetId="10">#REF!</definedName>
    <definedName name="____________________DAT2" localSheetId="9">#REF!</definedName>
    <definedName name="____________________DAT2" localSheetId="11">#REF!</definedName>
    <definedName name="____________________DAT2" localSheetId="12">#REF!</definedName>
    <definedName name="____________________DAT2" localSheetId="24">#REF!</definedName>
    <definedName name="____________________DAT2">#REF!</definedName>
    <definedName name="____________________DAT3" localSheetId="10">#REF!</definedName>
    <definedName name="____________________DAT3" localSheetId="9">#REF!</definedName>
    <definedName name="____________________DAT3" localSheetId="11">#REF!</definedName>
    <definedName name="____________________DAT3" localSheetId="12">#REF!</definedName>
    <definedName name="____________________DAT3" localSheetId="24">#REF!</definedName>
    <definedName name="____________________DAT3">#REF!</definedName>
    <definedName name="____________________DAT4" localSheetId="10">#REF!</definedName>
    <definedName name="____________________DAT4" localSheetId="9">#REF!</definedName>
    <definedName name="____________________DAT4" localSheetId="11">#REF!</definedName>
    <definedName name="____________________DAT4" localSheetId="12">#REF!</definedName>
    <definedName name="____________________DAT4" localSheetId="24">#REF!</definedName>
    <definedName name="____________________DAT4">#REF!</definedName>
    <definedName name="____________________DAT5" localSheetId="10">#REF!</definedName>
    <definedName name="____________________DAT5" localSheetId="9">#REF!</definedName>
    <definedName name="____________________DAT5" localSheetId="11">#REF!</definedName>
    <definedName name="____________________DAT5" localSheetId="12">#REF!</definedName>
    <definedName name="____________________DAT5" localSheetId="24">#REF!</definedName>
    <definedName name="____________________DAT5">#REF!</definedName>
    <definedName name="____________________DAT6" localSheetId="10">#REF!</definedName>
    <definedName name="____________________DAT6" localSheetId="9">#REF!</definedName>
    <definedName name="____________________DAT6" localSheetId="11">#REF!</definedName>
    <definedName name="____________________DAT6" localSheetId="12">#REF!</definedName>
    <definedName name="____________________DAT6" localSheetId="24">#REF!</definedName>
    <definedName name="____________________DAT6">#REF!</definedName>
    <definedName name="____________________DAT7" localSheetId="10">#REF!</definedName>
    <definedName name="____________________DAT7" localSheetId="9">#REF!</definedName>
    <definedName name="____________________DAT7" localSheetId="11">#REF!</definedName>
    <definedName name="____________________DAT7" localSheetId="12">#REF!</definedName>
    <definedName name="____________________DAT7" localSheetId="24">#REF!</definedName>
    <definedName name="____________________DAT7">#REF!</definedName>
    <definedName name="____________________DAT8" localSheetId="10">#REF!</definedName>
    <definedName name="____________________DAT8" localSheetId="9">#REF!</definedName>
    <definedName name="____________________DAT8" localSheetId="11">#REF!</definedName>
    <definedName name="____________________DAT8" localSheetId="12">#REF!</definedName>
    <definedName name="____________________DAT8" localSheetId="24">#REF!</definedName>
    <definedName name="____________________DAT8">#REF!</definedName>
    <definedName name="____________________DAT9" localSheetId="10">#REF!</definedName>
    <definedName name="____________________DAT9" localSheetId="9">#REF!</definedName>
    <definedName name="____________________DAT9" localSheetId="11">#REF!</definedName>
    <definedName name="____________________DAT9" localSheetId="12">#REF!</definedName>
    <definedName name="____________________DAT9" localSheetId="24">#REF!</definedName>
    <definedName name="____________________DAT9">#REF!</definedName>
    <definedName name="____________________PL2" localSheetId="10">#REF!</definedName>
    <definedName name="____________________PL2" localSheetId="9">#REF!</definedName>
    <definedName name="____________________PL2" localSheetId="11">#REF!</definedName>
    <definedName name="____________________PL2" localSheetId="12">#REF!</definedName>
    <definedName name="____________________PL2" localSheetId="17">#REF!</definedName>
    <definedName name="____________________PL2" localSheetId="24">#REF!</definedName>
    <definedName name="____________________PL2" localSheetId="16">#REF!</definedName>
    <definedName name="____________________PL2" localSheetId="18">#REF!</definedName>
    <definedName name="____________________PL2">#REF!</definedName>
    <definedName name="____________________PR1">#N/A</definedName>
    <definedName name="____________________PR2">#N/A</definedName>
    <definedName name="___________________DAT1" localSheetId="10">#REF!</definedName>
    <definedName name="___________________DAT1" localSheetId="9">#REF!</definedName>
    <definedName name="___________________DAT1" localSheetId="11">#REF!</definedName>
    <definedName name="___________________DAT1" localSheetId="12">#REF!</definedName>
    <definedName name="___________________DAT1" localSheetId="24">#REF!</definedName>
    <definedName name="___________________DAT1">#REF!</definedName>
    <definedName name="___________________DAT10" localSheetId="10">#REF!</definedName>
    <definedName name="___________________DAT10" localSheetId="9">#REF!</definedName>
    <definedName name="___________________DAT10" localSheetId="11">#REF!</definedName>
    <definedName name="___________________DAT10" localSheetId="12">#REF!</definedName>
    <definedName name="___________________DAT10" localSheetId="24">#REF!</definedName>
    <definedName name="___________________DAT10">#REF!</definedName>
    <definedName name="___________________DAT11" localSheetId="10">#REF!</definedName>
    <definedName name="___________________DAT11" localSheetId="9">#REF!</definedName>
    <definedName name="___________________DAT11" localSheetId="11">#REF!</definedName>
    <definedName name="___________________DAT11" localSheetId="12">#REF!</definedName>
    <definedName name="___________________DAT11" localSheetId="24">#REF!</definedName>
    <definedName name="___________________DAT11">#REF!</definedName>
    <definedName name="___________________DAT2" localSheetId="10">#REF!</definedName>
    <definedName name="___________________DAT2" localSheetId="9">#REF!</definedName>
    <definedName name="___________________DAT2" localSheetId="11">#REF!</definedName>
    <definedName name="___________________DAT2" localSheetId="12">#REF!</definedName>
    <definedName name="___________________DAT2" localSheetId="24">#REF!</definedName>
    <definedName name="___________________DAT2">#REF!</definedName>
    <definedName name="___________________DAT3" localSheetId="10">#REF!</definedName>
    <definedName name="___________________DAT3" localSheetId="9">#REF!</definedName>
    <definedName name="___________________DAT3" localSheetId="11">#REF!</definedName>
    <definedName name="___________________DAT3" localSheetId="12">#REF!</definedName>
    <definedName name="___________________DAT3" localSheetId="24">#REF!</definedName>
    <definedName name="___________________DAT3">#REF!</definedName>
    <definedName name="___________________DAT4" localSheetId="10">#REF!</definedName>
    <definedName name="___________________DAT4" localSheetId="9">#REF!</definedName>
    <definedName name="___________________DAT4" localSheetId="11">#REF!</definedName>
    <definedName name="___________________DAT4" localSheetId="12">#REF!</definedName>
    <definedName name="___________________DAT4" localSheetId="24">#REF!</definedName>
    <definedName name="___________________DAT4">#REF!</definedName>
    <definedName name="___________________DAT5" localSheetId="10">#REF!</definedName>
    <definedName name="___________________DAT5" localSheetId="9">#REF!</definedName>
    <definedName name="___________________DAT5" localSheetId="11">#REF!</definedName>
    <definedName name="___________________DAT5" localSheetId="12">#REF!</definedName>
    <definedName name="___________________DAT5" localSheetId="24">#REF!</definedName>
    <definedName name="___________________DAT5">#REF!</definedName>
    <definedName name="___________________DAT6" localSheetId="10">#REF!</definedName>
    <definedName name="___________________DAT6" localSheetId="9">#REF!</definedName>
    <definedName name="___________________DAT6" localSheetId="11">#REF!</definedName>
    <definedName name="___________________DAT6" localSheetId="12">#REF!</definedName>
    <definedName name="___________________DAT6" localSheetId="24">#REF!</definedName>
    <definedName name="___________________DAT6">#REF!</definedName>
    <definedName name="___________________DAT7" localSheetId="10">#REF!</definedName>
    <definedName name="___________________DAT7" localSheetId="9">#REF!</definedName>
    <definedName name="___________________DAT7" localSheetId="11">#REF!</definedName>
    <definedName name="___________________DAT7" localSheetId="12">#REF!</definedName>
    <definedName name="___________________DAT7" localSheetId="24">#REF!</definedName>
    <definedName name="___________________DAT7">#REF!</definedName>
    <definedName name="___________________DAT8" localSheetId="10">#REF!</definedName>
    <definedName name="___________________DAT8" localSheetId="9">#REF!</definedName>
    <definedName name="___________________DAT8" localSheetId="11">#REF!</definedName>
    <definedName name="___________________DAT8" localSheetId="12">#REF!</definedName>
    <definedName name="___________________DAT8" localSheetId="24">#REF!</definedName>
    <definedName name="___________________DAT8">#REF!</definedName>
    <definedName name="___________________DAT9" localSheetId="10">#REF!</definedName>
    <definedName name="___________________DAT9" localSheetId="9">#REF!</definedName>
    <definedName name="___________________DAT9" localSheetId="11">#REF!</definedName>
    <definedName name="___________________DAT9" localSheetId="12">#REF!</definedName>
    <definedName name="___________________DAT9" localSheetId="24">#REF!</definedName>
    <definedName name="___________________DAT9">#REF!</definedName>
    <definedName name="___________________PR1">#N/A</definedName>
    <definedName name="___________________PR2">#N/A</definedName>
    <definedName name="__________________DAT1" localSheetId="10">#REF!</definedName>
    <definedName name="__________________DAT1" localSheetId="9">#REF!</definedName>
    <definedName name="__________________DAT1" localSheetId="11">#REF!</definedName>
    <definedName name="__________________DAT1" localSheetId="12">#REF!</definedName>
    <definedName name="__________________DAT1" localSheetId="24">#REF!</definedName>
    <definedName name="__________________DAT1">#REF!</definedName>
    <definedName name="__________________DAT10" localSheetId="10">#REF!</definedName>
    <definedName name="__________________DAT10" localSheetId="9">#REF!</definedName>
    <definedName name="__________________DAT10" localSheetId="11">#REF!</definedName>
    <definedName name="__________________DAT10" localSheetId="12">#REF!</definedName>
    <definedName name="__________________DAT10" localSheetId="24">#REF!</definedName>
    <definedName name="__________________DAT10">#REF!</definedName>
    <definedName name="__________________DAT11" localSheetId="10">#REF!</definedName>
    <definedName name="__________________DAT11" localSheetId="9">#REF!</definedName>
    <definedName name="__________________DAT11" localSheetId="11">#REF!</definedName>
    <definedName name="__________________DAT11" localSheetId="12">#REF!</definedName>
    <definedName name="__________________DAT11" localSheetId="24">#REF!</definedName>
    <definedName name="__________________DAT11">#REF!</definedName>
    <definedName name="__________________DAT2" localSheetId="10">#REF!</definedName>
    <definedName name="__________________DAT2" localSheetId="9">#REF!</definedName>
    <definedName name="__________________DAT2" localSheetId="11">#REF!</definedName>
    <definedName name="__________________DAT2" localSheetId="12">#REF!</definedName>
    <definedName name="__________________DAT2" localSheetId="24">#REF!</definedName>
    <definedName name="__________________DAT2">#REF!</definedName>
    <definedName name="__________________DAT3" localSheetId="10">#REF!</definedName>
    <definedName name="__________________DAT3" localSheetId="9">#REF!</definedName>
    <definedName name="__________________DAT3" localSheetId="11">#REF!</definedName>
    <definedName name="__________________DAT3" localSheetId="12">#REF!</definedName>
    <definedName name="__________________DAT3" localSheetId="24">#REF!</definedName>
    <definedName name="__________________DAT3">#REF!</definedName>
    <definedName name="__________________DAT4" localSheetId="10">#REF!</definedName>
    <definedName name="__________________DAT4" localSheetId="9">#REF!</definedName>
    <definedName name="__________________DAT4" localSheetId="11">#REF!</definedName>
    <definedName name="__________________DAT4" localSheetId="12">#REF!</definedName>
    <definedName name="__________________DAT4" localSheetId="24">#REF!</definedName>
    <definedName name="__________________DAT4">#REF!</definedName>
    <definedName name="__________________DAT5" localSheetId="10">#REF!</definedName>
    <definedName name="__________________DAT5" localSheetId="9">#REF!</definedName>
    <definedName name="__________________DAT5" localSheetId="11">#REF!</definedName>
    <definedName name="__________________DAT5" localSheetId="12">#REF!</definedName>
    <definedName name="__________________DAT5" localSheetId="24">#REF!</definedName>
    <definedName name="__________________DAT5">#REF!</definedName>
    <definedName name="__________________DAT6" localSheetId="10">#REF!</definedName>
    <definedName name="__________________DAT6" localSheetId="9">#REF!</definedName>
    <definedName name="__________________DAT6" localSheetId="11">#REF!</definedName>
    <definedName name="__________________DAT6" localSheetId="12">#REF!</definedName>
    <definedName name="__________________DAT6" localSheetId="24">#REF!</definedName>
    <definedName name="__________________DAT6">#REF!</definedName>
    <definedName name="__________________DAT7" localSheetId="10">#REF!</definedName>
    <definedName name="__________________DAT7" localSheetId="9">#REF!</definedName>
    <definedName name="__________________DAT7" localSheetId="11">#REF!</definedName>
    <definedName name="__________________DAT7" localSheetId="12">#REF!</definedName>
    <definedName name="__________________DAT7" localSheetId="24">#REF!</definedName>
    <definedName name="__________________DAT7">#REF!</definedName>
    <definedName name="__________________DAT8" localSheetId="10">#REF!</definedName>
    <definedName name="__________________DAT8" localSheetId="9">#REF!</definedName>
    <definedName name="__________________DAT8" localSheetId="11">#REF!</definedName>
    <definedName name="__________________DAT8" localSheetId="12">#REF!</definedName>
    <definedName name="__________________DAT8" localSheetId="24">#REF!</definedName>
    <definedName name="__________________DAT8">#REF!</definedName>
    <definedName name="__________________DAT9" localSheetId="10">#REF!</definedName>
    <definedName name="__________________DAT9" localSheetId="9">#REF!</definedName>
    <definedName name="__________________DAT9" localSheetId="11">#REF!</definedName>
    <definedName name="__________________DAT9" localSheetId="12">#REF!</definedName>
    <definedName name="__________________DAT9" localSheetId="24">#REF!</definedName>
    <definedName name="__________________DAT9">#REF!</definedName>
    <definedName name="__________________PR1">#N/A</definedName>
    <definedName name="__________________PR2">#N/A</definedName>
    <definedName name="_________________DAT1" localSheetId="10">#REF!</definedName>
    <definedName name="_________________DAT1" localSheetId="9">#REF!</definedName>
    <definedName name="_________________DAT1" localSheetId="11">#REF!</definedName>
    <definedName name="_________________DAT1" localSheetId="12">#REF!</definedName>
    <definedName name="_________________DAT1" localSheetId="24">#REF!</definedName>
    <definedName name="_________________DAT1">#REF!</definedName>
    <definedName name="_________________DAT10" localSheetId="10">#REF!</definedName>
    <definedName name="_________________DAT10" localSheetId="9">#REF!</definedName>
    <definedName name="_________________DAT10" localSheetId="11">#REF!</definedName>
    <definedName name="_________________DAT10" localSheetId="12">#REF!</definedName>
    <definedName name="_________________DAT10" localSheetId="24">#REF!</definedName>
    <definedName name="_________________DAT10">#REF!</definedName>
    <definedName name="_________________DAT11" localSheetId="10">#REF!</definedName>
    <definedName name="_________________DAT11" localSheetId="9">#REF!</definedName>
    <definedName name="_________________DAT11" localSheetId="11">#REF!</definedName>
    <definedName name="_________________DAT11" localSheetId="12">#REF!</definedName>
    <definedName name="_________________DAT11" localSheetId="24">#REF!</definedName>
    <definedName name="_________________DAT11">#REF!</definedName>
    <definedName name="_________________DAT2" localSheetId="10">#REF!</definedName>
    <definedName name="_________________DAT2" localSheetId="9">#REF!</definedName>
    <definedName name="_________________DAT2" localSheetId="11">#REF!</definedName>
    <definedName name="_________________DAT2" localSheetId="12">#REF!</definedName>
    <definedName name="_________________DAT2" localSheetId="24">#REF!</definedName>
    <definedName name="_________________DAT2">#REF!</definedName>
    <definedName name="_________________DAT3" localSheetId="10">#REF!</definedName>
    <definedName name="_________________DAT3" localSheetId="9">#REF!</definedName>
    <definedName name="_________________DAT3" localSheetId="11">#REF!</definedName>
    <definedName name="_________________DAT3" localSheetId="12">#REF!</definedName>
    <definedName name="_________________DAT3" localSheetId="24">#REF!</definedName>
    <definedName name="_________________DAT3">#REF!</definedName>
    <definedName name="_________________DAT4" localSheetId="10">#REF!</definedName>
    <definedName name="_________________DAT4" localSheetId="9">#REF!</definedName>
    <definedName name="_________________DAT4" localSheetId="11">#REF!</definedName>
    <definedName name="_________________DAT4" localSheetId="12">#REF!</definedName>
    <definedName name="_________________DAT4" localSheetId="24">#REF!</definedName>
    <definedName name="_________________DAT4">#REF!</definedName>
    <definedName name="_________________DAT5" localSheetId="10">#REF!</definedName>
    <definedName name="_________________DAT5" localSheetId="9">#REF!</definedName>
    <definedName name="_________________DAT5" localSheetId="11">#REF!</definedName>
    <definedName name="_________________DAT5" localSheetId="12">#REF!</definedName>
    <definedName name="_________________DAT5" localSheetId="24">#REF!</definedName>
    <definedName name="_________________DAT5">#REF!</definedName>
    <definedName name="_________________DAT6" localSheetId="10">#REF!</definedName>
    <definedName name="_________________DAT6" localSheetId="9">#REF!</definedName>
    <definedName name="_________________DAT6" localSheetId="11">#REF!</definedName>
    <definedName name="_________________DAT6" localSheetId="12">#REF!</definedName>
    <definedName name="_________________DAT6" localSheetId="24">#REF!</definedName>
    <definedName name="_________________DAT6">#REF!</definedName>
    <definedName name="_________________DAT7" localSheetId="10">#REF!</definedName>
    <definedName name="_________________DAT7" localSheetId="9">#REF!</definedName>
    <definedName name="_________________DAT7" localSheetId="11">#REF!</definedName>
    <definedName name="_________________DAT7" localSheetId="12">#REF!</definedName>
    <definedName name="_________________DAT7" localSheetId="24">#REF!</definedName>
    <definedName name="_________________DAT7">#REF!</definedName>
    <definedName name="_________________DAT8" localSheetId="10">#REF!</definedName>
    <definedName name="_________________DAT8" localSheetId="9">#REF!</definedName>
    <definedName name="_________________DAT8" localSheetId="11">#REF!</definedName>
    <definedName name="_________________DAT8" localSheetId="12">#REF!</definedName>
    <definedName name="_________________DAT8" localSheetId="24">#REF!</definedName>
    <definedName name="_________________DAT8">#REF!</definedName>
    <definedName name="_________________DAT9" localSheetId="10">#REF!</definedName>
    <definedName name="_________________DAT9" localSheetId="9">#REF!</definedName>
    <definedName name="_________________DAT9" localSheetId="11">#REF!</definedName>
    <definedName name="_________________DAT9" localSheetId="12">#REF!</definedName>
    <definedName name="_________________DAT9" localSheetId="24">#REF!</definedName>
    <definedName name="_________________DAT9">#REF!</definedName>
    <definedName name="_________________PR1">#N/A</definedName>
    <definedName name="_________________PR2">#N/A</definedName>
    <definedName name="________________DAT1" localSheetId="10">#REF!</definedName>
    <definedName name="________________DAT1" localSheetId="9">#REF!</definedName>
    <definedName name="________________DAT1" localSheetId="11">#REF!</definedName>
    <definedName name="________________DAT1" localSheetId="12">#REF!</definedName>
    <definedName name="________________DAT1" localSheetId="24">#REF!</definedName>
    <definedName name="________________DAT1">#REF!</definedName>
    <definedName name="________________DAT10" localSheetId="10">#REF!</definedName>
    <definedName name="________________DAT10" localSheetId="9">#REF!</definedName>
    <definedName name="________________DAT10" localSheetId="11">#REF!</definedName>
    <definedName name="________________DAT10" localSheetId="12">#REF!</definedName>
    <definedName name="________________DAT10" localSheetId="24">#REF!</definedName>
    <definedName name="________________DAT10">#REF!</definedName>
    <definedName name="________________DAT11" localSheetId="10">#REF!</definedName>
    <definedName name="________________DAT11" localSheetId="9">#REF!</definedName>
    <definedName name="________________DAT11" localSheetId="11">#REF!</definedName>
    <definedName name="________________DAT11" localSheetId="12">#REF!</definedName>
    <definedName name="________________DAT11" localSheetId="24">#REF!</definedName>
    <definedName name="________________DAT11">#REF!</definedName>
    <definedName name="________________DAT2" localSheetId="10">#REF!</definedName>
    <definedName name="________________DAT2" localSheetId="9">#REF!</definedName>
    <definedName name="________________DAT2" localSheetId="11">#REF!</definedName>
    <definedName name="________________DAT2" localSheetId="12">#REF!</definedName>
    <definedName name="________________DAT2" localSheetId="24">#REF!</definedName>
    <definedName name="________________DAT2">#REF!</definedName>
    <definedName name="________________DAT3" localSheetId="10">#REF!</definedName>
    <definedName name="________________DAT3" localSheetId="9">#REF!</definedName>
    <definedName name="________________DAT3" localSheetId="11">#REF!</definedName>
    <definedName name="________________DAT3" localSheetId="12">#REF!</definedName>
    <definedName name="________________DAT3" localSheetId="24">#REF!</definedName>
    <definedName name="________________DAT3">#REF!</definedName>
    <definedName name="________________DAT4" localSheetId="10">#REF!</definedName>
    <definedName name="________________DAT4" localSheetId="9">#REF!</definedName>
    <definedName name="________________DAT4" localSheetId="11">#REF!</definedName>
    <definedName name="________________DAT4" localSheetId="12">#REF!</definedName>
    <definedName name="________________DAT4" localSheetId="24">#REF!</definedName>
    <definedName name="________________DAT4">#REF!</definedName>
    <definedName name="________________DAT5" localSheetId="10">#REF!</definedName>
    <definedName name="________________DAT5" localSheetId="9">#REF!</definedName>
    <definedName name="________________DAT5" localSheetId="11">#REF!</definedName>
    <definedName name="________________DAT5" localSheetId="12">#REF!</definedName>
    <definedName name="________________DAT5" localSheetId="24">#REF!</definedName>
    <definedName name="________________DAT5">#REF!</definedName>
    <definedName name="________________DAT6" localSheetId="10">#REF!</definedName>
    <definedName name="________________DAT6" localSheetId="9">#REF!</definedName>
    <definedName name="________________DAT6" localSheetId="11">#REF!</definedName>
    <definedName name="________________DAT6" localSheetId="12">#REF!</definedName>
    <definedName name="________________DAT6" localSheetId="24">#REF!</definedName>
    <definedName name="________________DAT6">#REF!</definedName>
    <definedName name="________________DAT7" localSheetId="10">#REF!</definedName>
    <definedName name="________________DAT7" localSheetId="9">#REF!</definedName>
    <definedName name="________________DAT7" localSheetId="11">#REF!</definedName>
    <definedName name="________________DAT7" localSheetId="12">#REF!</definedName>
    <definedName name="________________DAT7" localSheetId="24">#REF!</definedName>
    <definedName name="________________DAT7">#REF!</definedName>
    <definedName name="________________DAT8" localSheetId="10">#REF!</definedName>
    <definedName name="________________DAT8" localSheetId="9">#REF!</definedName>
    <definedName name="________________DAT8" localSheetId="11">#REF!</definedName>
    <definedName name="________________DAT8" localSheetId="12">#REF!</definedName>
    <definedName name="________________DAT8" localSheetId="24">#REF!</definedName>
    <definedName name="________________DAT8">#REF!</definedName>
    <definedName name="________________DAT9" localSheetId="10">#REF!</definedName>
    <definedName name="________________DAT9" localSheetId="9">#REF!</definedName>
    <definedName name="________________DAT9" localSheetId="11">#REF!</definedName>
    <definedName name="________________DAT9" localSheetId="12">#REF!</definedName>
    <definedName name="________________DAT9" localSheetId="24">#REF!</definedName>
    <definedName name="________________DAT9">#REF!</definedName>
    <definedName name="________________PR1">#N/A</definedName>
    <definedName name="________________PR2">#N/A</definedName>
    <definedName name="_______________DAT1" localSheetId="10">#REF!</definedName>
    <definedName name="_______________DAT1" localSheetId="9">#REF!</definedName>
    <definedName name="_______________DAT1" localSheetId="11">#REF!</definedName>
    <definedName name="_______________DAT1" localSheetId="12">#REF!</definedName>
    <definedName name="_______________DAT1" localSheetId="24">#REF!</definedName>
    <definedName name="_______________DAT1">#REF!</definedName>
    <definedName name="_______________DAT10" localSheetId="10">#REF!</definedName>
    <definedName name="_______________DAT10" localSheetId="9">#REF!</definedName>
    <definedName name="_______________DAT10" localSheetId="11">#REF!</definedName>
    <definedName name="_______________DAT10" localSheetId="12">#REF!</definedName>
    <definedName name="_______________DAT10" localSheetId="24">#REF!</definedName>
    <definedName name="_______________DAT10">#REF!</definedName>
    <definedName name="_______________DAT11" localSheetId="10">#REF!</definedName>
    <definedName name="_______________DAT11" localSheetId="9">#REF!</definedName>
    <definedName name="_______________DAT11" localSheetId="11">#REF!</definedName>
    <definedName name="_______________DAT11" localSheetId="12">#REF!</definedName>
    <definedName name="_______________DAT11" localSheetId="24">#REF!</definedName>
    <definedName name="_______________DAT11">#REF!</definedName>
    <definedName name="_______________DAT2" localSheetId="10">#REF!</definedName>
    <definedName name="_______________DAT2" localSheetId="9">#REF!</definedName>
    <definedName name="_______________DAT2" localSheetId="11">#REF!</definedName>
    <definedName name="_______________DAT2" localSheetId="12">#REF!</definedName>
    <definedName name="_______________DAT2" localSheetId="24">#REF!</definedName>
    <definedName name="_______________DAT2">#REF!</definedName>
    <definedName name="_______________DAT3" localSheetId="10">#REF!</definedName>
    <definedName name="_______________DAT3" localSheetId="9">#REF!</definedName>
    <definedName name="_______________DAT3" localSheetId="11">#REF!</definedName>
    <definedName name="_______________DAT3" localSheetId="12">#REF!</definedName>
    <definedName name="_______________DAT3" localSheetId="24">#REF!</definedName>
    <definedName name="_______________DAT3">#REF!</definedName>
    <definedName name="_______________DAT4" localSheetId="10">#REF!</definedName>
    <definedName name="_______________DAT4" localSheetId="9">#REF!</definedName>
    <definedName name="_______________DAT4" localSheetId="11">#REF!</definedName>
    <definedName name="_______________DAT4" localSheetId="12">#REF!</definedName>
    <definedName name="_______________DAT4" localSheetId="24">#REF!</definedName>
    <definedName name="_______________DAT4">#REF!</definedName>
    <definedName name="_______________DAT5" localSheetId="10">#REF!</definedName>
    <definedName name="_______________DAT5" localSheetId="9">#REF!</definedName>
    <definedName name="_______________DAT5" localSheetId="11">#REF!</definedName>
    <definedName name="_______________DAT5" localSheetId="12">#REF!</definedName>
    <definedName name="_______________DAT5" localSheetId="24">#REF!</definedName>
    <definedName name="_______________DAT5">#REF!</definedName>
    <definedName name="_______________DAT6" localSheetId="10">#REF!</definedName>
    <definedName name="_______________DAT6" localSheetId="9">#REF!</definedName>
    <definedName name="_______________DAT6" localSheetId="11">#REF!</definedName>
    <definedName name="_______________DAT6" localSheetId="12">#REF!</definedName>
    <definedName name="_______________DAT6" localSheetId="24">#REF!</definedName>
    <definedName name="_______________DAT6">#REF!</definedName>
    <definedName name="_______________DAT7" localSheetId="10">#REF!</definedName>
    <definedName name="_______________DAT7" localSheetId="9">#REF!</definedName>
    <definedName name="_______________DAT7" localSheetId="11">#REF!</definedName>
    <definedName name="_______________DAT7" localSheetId="12">#REF!</definedName>
    <definedName name="_______________DAT7" localSheetId="24">#REF!</definedName>
    <definedName name="_______________DAT7">#REF!</definedName>
    <definedName name="_______________DAT8" localSheetId="10">#REF!</definedName>
    <definedName name="_______________DAT8" localSheetId="9">#REF!</definedName>
    <definedName name="_______________DAT8" localSheetId="11">#REF!</definedName>
    <definedName name="_______________DAT8" localSheetId="12">#REF!</definedName>
    <definedName name="_______________DAT8" localSheetId="24">#REF!</definedName>
    <definedName name="_______________DAT8">#REF!</definedName>
    <definedName name="_______________DAT9" localSheetId="10">#REF!</definedName>
    <definedName name="_______________DAT9" localSheetId="9">#REF!</definedName>
    <definedName name="_______________DAT9" localSheetId="11">#REF!</definedName>
    <definedName name="_______________DAT9" localSheetId="12">#REF!</definedName>
    <definedName name="_______________DAT9" localSheetId="24">#REF!</definedName>
    <definedName name="_______________DAT9">#REF!</definedName>
    <definedName name="_______________PR1">#N/A</definedName>
    <definedName name="_______________PR2">#N/A</definedName>
    <definedName name="______________DAT1" localSheetId="10">#REF!</definedName>
    <definedName name="______________DAT1" localSheetId="9">#REF!</definedName>
    <definedName name="______________DAT1" localSheetId="11">#REF!</definedName>
    <definedName name="______________DAT1" localSheetId="12">#REF!</definedName>
    <definedName name="______________DAT1" localSheetId="24">#REF!</definedName>
    <definedName name="______________DAT1">#REF!</definedName>
    <definedName name="______________DAT10" localSheetId="10">#REF!</definedName>
    <definedName name="______________DAT10" localSheetId="9">#REF!</definedName>
    <definedName name="______________DAT10" localSheetId="11">#REF!</definedName>
    <definedName name="______________DAT10" localSheetId="12">#REF!</definedName>
    <definedName name="______________DAT10" localSheetId="24">#REF!</definedName>
    <definedName name="______________DAT10">#REF!</definedName>
    <definedName name="______________DAT11" localSheetId="10">#REF!</definedName>
    <definedName name="______________DAT11" localSheetId="9">#REF!</definedName>
    <definedName name="______________DAT11" localSheetId="11">#REF!</definedName>
    <definedName name="______________DAT11" localSheetId="12">#REF!</definedName>
    <definedName name="______________DAT11" localSheetId="24">#REF!</definedName>
    <definedName name="______________DAT11">#REF!</definedName>
    <definedName name="______________DAT2" localSheetId="10">#REF!</definedName>
    <definedName name="______________DAT2" localSheetId="9">#REF!</definedName>
    <definedName name="______________DAT2" localSheetId="11">#REF!</definedName>
    <definedName name="______________DAT2" localSheetId="12">#REF!</definedName>
    <definedName name="______________DAT2" localSheetId="24">#REF!</definedName>
    <definedName name="______________DAT2">#REF!</definedName>
    <definedName name="______________DAT3" localSheetId="10">#REF!</definedName>
    <definedName name="______________DAT3" localSheetId="9">#REF!</definedName>
    <definedName name="______________DAT3" localSheetId="11">#REF!</definedName>
    <definedName name="______________DAT3" localSheetId="12">#REF!</definedName>
    <definedName name="______________DAT3" localSheetId="24">#REF!</definedName>
    <definedName name="______________DAT3">#REF!</definedName>
    <definedName name="______________DAT4" localSheetId="10">#REF!</definedName>
    <definedName name="______________DAT4" localSheetId="9">#REF!</definedName>
    <definedName name="______________DAT4" localSheetId="11">#REF!</definedName>
    <definedName name="______________DAT4" localSheetId="12">#REF!</definedName>
    <definedName name="______________DAT4" localSheetId="24">#REF!</definedName>
    <definedName name="______________DAT4">#REF!</definedName>
    <definedName name="______________DAT5" localSheetId="10">#REF!</definedName>
    <definedName name="______________DAT5" localSheetId="9">#REF!</definedName>
    <definedName name="______________DAT5" localSheetId="11">#REF!</definedName>
    <definedName name="______________DAT5" localSheetId="12">#REF!</definedName>
    <definedName name="______________DAT5" localSheetId="24">#REF!</definedName>
    <definedName name="______________DAT5">#REF!</definedName>
    <definedName name="______________DAT6" localSheetId="10">#REF!</definedName>
    <definedName name="______________DAT6" localSheetId="9">#REF!</definedName>
    <definedName name="______________DAT6" localSheetId="11">#REF!</definedName>
    <definedName name="______________DAT6" localSheetId="12">#REF!</definedName>
    <definedName name="______________DAT6" localSheetId="24">#REF!</definedName>
    <definedName name="______________DAT6">#REF!</definedName>
    <definedName name="______________DAT7" localSheetId="10">#REF!</definedName>
    <definedName name="______________DAT7" localSheetId="9">#REF!</definedName>
    <definedName name="______________DAT7" localSheetId="11">#REF!</definedName>
    <definedName name="______________DAT7" localSheetId="12">#REF!</definedName>
    <definedName name="______________DAT7" localSheetId="24">#REF!</definedName>
    <definedName name="______________DAT7">#REF!</definedName>
    <definedName name="______________DAT8" localSheetId="10">#REF!</definedName>
    <definedName name="______________DAT8" localSheetId="9">#REF!</definedName>
    <definedName name="______________DAT8" localSheetId="11">#REF!</definedName>
    <definedName name="______________DAT8" localSheetId="12">#REF!</definedName>
    <definedName name="______________DAT8" localSheetId="24">#REF!</definedName>
    <definedName name="______________DAT8">#REF!</definedName>
    <definedName name="______________DAT9" localSheetId="10">#REF!</definedName>
    <definedName name="______________DAT9" localSheetId="9">#REF!</definedName>
    <definedName name="______________DAT9" localSheetId="11">#REF!</definedName>
    <definedName name="______________DAT9" localSheetId="12">#REF!</definedName>
    <definedName name="______________DAT9" localSheetId="24">#REF!</definedName>
    <definedName name="______________DAT9">#REF!</definedName>
    <definedName name="______________PR1">#N/A</definedName>
    <definedName name="______________PR2">#N/A</definedName>
    <definedName name="_____________DAT1" localSheetId="10">#REF!</definedName>
    <definedName name="_____________DAT1" localSheetId="9">#REF!</definedName>
    <definedName name="_____________DAT1" localSheetId="11">#REF!</definedName>
    <definedName name="_____________DAT1" localSheetId="12">#REF!</definedName>
    <definedName name="_____________DAT1" localSheetId="24">#REF!</definedName>
    <definedName name="_____________DAT1">#REF!</definedName>
    <definedName name="_____________DAT10" localSheetId="10">#REF!</definedName>
    <definedName name="_____________DAT10" localSheetId="9">#REF!</definedName>
    <definedName name="_____________DAT10" localSheetId="11">#REF!</definedName>
    <definedName name="_____________DAT10" localSheetId="12">#REF!</definedName>
    <definedName name="_____________DAT10" localSheetId="24">#REF!</definedName>
    <definedName name="_____________DAT10">#REF!</definedName>
    <definedName name="_____________DAT11" localSheetId="10">#REF!</definedName>
    <definedName name="_____________DAT11" localSheetId="9">#REF!</definedName>
    <definedName name="_____________DAT11" localSheetId="11">#REF!</definedName>
    <definedName name="_____________DAT11" localSheetId="12">#REF!</definedName>
    <definedName name="_____________DAT11" localSheetId="24">#REF!</definedName>
    <definedName name="_____________DAT11">#REF!</definedName>
    <definedName name="_____________DAT2" localSheetId="10">#REF!</definedName>
    <definedName name="_____________DAT2" localSheetId="9">#REF!</definedName>
    <definedName name="_____________DAT2" localSheetId="11">#REF!</definedName>
    <definedName name="_____________DAT2" localSheetId="12">#REF!</definedName>
    <definedName name="_____________DAT2" localSheetId="24">#REF!</definedName>
    <definedName name="_____________DAT2">#REF!</definedName>
    <definedName name="_____________DAT3" localSheetId="10">#REF!</definedName>
    <definedName name="_____________DAT3" localSheetId="9">#REF!</definedName>
    <definedName name="_____________DAT3" localSheetId="11">#REF!</definedName>
    <definedName name="_____________DAT3" localSheetId="12">#REF!</definedName>
    <definedName name="_____________DAT3" localSheetId="24">#REF!</definedName>
    <definedName name="_____________DAT3">#REF!</definedName>
    <definedName name="_____________DAT4" localSheetId="10">#REF!</definedName>
    <definedName name="_____________DAT4" localSheetId="9">#REF!</definedName>
    <definedName name="_____________DAT4" localSheetId="11">#REF!</definedName>
    <definedName name="_____________DAT4" localSheetId="12">#REF!</definedName>
    <definedName name="_____________DAT4" localSheetId="24">#REF!</definedName>
    <definedName name="_____________DAT4">#REF!</definedName>
    <definedName name="_____________DAT5" localSheetId="10">#REF!</definedName>
    <definedName name="_____________DAT5" localSheetId="9">#REF!</definedName>
    <definedName name="_____________DAT5" localSheetId="11">#REF!</definedName>
    <definedName name="_____________DAT5" localSheetId="12">#REF!</definedName>
    <definedName name="_____________DAT5" localSheetId="24">#REF!</definedName>
    <definedName name="_____________DAT5">#REF!</definedName>
    <definedName name="_____________DAT6" localSheetId="10">#REF!</definedName>
    <definedName name="_____________DAT6" localSheetId="9">#REF!</definedName>
    <definedName name="_____________DAT6" localSheetId="11">#REF!</definedName>
    <definedName name="_____________DAT6" localSheetId="12">#REF!</definedName>
    <definedName name="_____________DAT6" localSheetId="24">#REF!</definedName>
    <definedName name="_____________DAT6">#REF!</definedName>
    <definedName name="_____________DAT7" localSheetId="10">#REF!</definedName>
    <definedName name="_____________DAT7" localSheetId="9">#REF!</definedName>
    <definedName name="_____________DAT7" localSheetId="11">#REF!</definedName>
    <definedName name="_____________DAT7" localSheetId="12">#REF!</definedName>
    <definedName name="_____________DAT7" localSheetId="24">#REF!</definedName>
    <definedName name="_____________DAT7">#REF!</definedName>
    <definedName name="_____________DAT8" localSheetId="10">#REF!</definedName>
    <definedName name="_____________DAT8" localSheetId="9">#REF!</definedName>
    <definedName name="_____________DAT8" localSheetId="11">#REF!</definedName>
    <definedName name="_____________DAT8" localSheetId="12">#REF!</definedName>
    <definedName name="_____________DAT8" localSheetId="24">#REF!</definedName>
    <definedName name="_____________DAT8">#REF!</definedName>
    <definedName name="_____________DAT9" localSheetId="10">#REF!</definedName>
    <definedName name="_____________DAT9" localSheetId="9">#REF!</definedName>
    <definedName name="_____________DAT9" localSheetId="11">#REF!</definedName>
    <definedName name="_____________DAT9" localSheetId="12">#REF!</definedName>
    <definedName name="_____________DAT9" localSheetId="24">#REF!</definedName>
    <definedName name="_____________DAT9">#REF!</definedName>
    <definedName name="_____________PR1">#N/A</definedName>
    <definedName name="_____________PR2">#N/A</definedName>
    <definedName name="____________DAT1" localSheetId="10">#REF!</definedName>
    <definedName name="____________DAT1" localSheetId="9">#REF!</definedName>
    <definedName name="____________DAT1" localSheetId="11">#REF!</definedName>
    <definedName name="____________DAT1" localSheetId="12">#REF!</definedName>
    <definedName name="____________DAT1" localSheetId="24">#REF!</definedName>
    <definedName name="____________DAT1">#REF!</definedName>
    <definedName name="____________DAT10" localSheetId="10">#REF!</definedName>
    <definedName name="____________DAT10" localSheetId="9">#REF!</definedName>
    <definedName name="____________DAT10" localSheetId="11">#REF!</definedName>
    <definedName name="____________DAT10" localSheetId="12">#REF!</definedName>
    <definedName name="____________DAT10" localSheetId="24">#REF!</definedName>
    <definedName name="____________DAT10">#REF!</definedName>
    <definedName name="____________DAT11" localSheetId="10">#REF!</definedName>
    <definedName name="____________DAT11" localSheetId="9">#REF!</definedName>
    <definedName name="____________DAT11" localSheetId="11">#REF!</definedName>
    <definedName name="____________DAT11" localSheetId="12">#REF!</definedName>
    <definedName name="____________DAT11" localSheetId="24">#REF!</definedName>
    <definedName name="____________DAT11">#REF!</definedName>
    <definedName name="____________DAT2" localSheetId="10">#REF!</definedName>
    <definedName name="____________DAT2" localSheetId="9">#REF!</definedName>
    <definedName name="____________DAT2" localSheetId="11">#REF!</definedName>
    <definedName name="____________DAT2" localSheetId="12">#REF!</definedName>
    <definedName name="____________DAT2" localSheetId="24">#REF!</definedName>
    <definedName name="____________DAT2">#REF!</definedName>
    <definedName name="____________DAT3" localSheetId="10">#REF!</definedName>
    <definedName name="____________DAT3" localSheetId="9">#REF!</definedName>
    <definedName name="____________DAT3" localSheetId="11">#REF!</definedName>
    <definedName name="____________DAT3" localSheetId="12">#REF!</definedName>
    <definedName name="____________DAT3" localSheetId="24">#REF!</definedName>
    <definedName name="____________DAT3">#REF!</definedName>
    <definedName name="____________DAT4" localSheetId="10">#REF!</definedName>
    <definedName name="____________DAT4" localSheetId="9">#REF!</definedName>
    <definedName name="____________DAT4" localSheetId="11">#REF!</definedName>
    <definedName name="____________DAT4" localSheetId="12">#REF!</definedName>
    <definedName name="____________DAT4" localSheetId="24">#REF!</definedName>
    <definedName name="____________DAT4">#REF!</definedName>
    <definedName name="____________DAT5" localSheetId="10">#REF!</definedName>
    <definedName name="____________DAT5" localSheetId="9">#REF!</definedName>
    <definedName name="____________DAT5" localSheetId="11">#REF!</definedName>
    <definedName name="____________DAT5" localSheetId="12">#REF!</definedName>
    <definedName name="____________DAT5" localSheetId="24">#REF!</definedName>
    <definedName name="____________DAT5">#REF!</definedName>
    <definedName name="____________DAT6" localSheetId="10">#REF!</definedName>
    <definedName name="____________DAT6" localSheetId="9">#REF!</definedName>
    <definedName name="____________DAT6" localSheetId="11">#REF!</definedName>
    <definedName name="____________DAT6" localSheetId="12">#REF!</definedName>
    <definedName name="____________DAT6" localSheetId="24">#REF!</definedName>
    <definedName name="____________DAT6">#REF!</definedName>
    <definedName name="____________DAT7" localSheetId="10">#REF!</definedName>
    <definedName name="____________DAT7" localSheetId="9">#REF!</definedName>
    <definedName name="____________DAT7" localSheetId="11">#REF!</definedName>
    <definedName name="____________DAT7" localSheetId="12">#REF!</definedName>
    <definedName name="____________DAT7" localSheetId="24">#REF!</definedName>
    <definedName name="____________DAT7">#REF!</definedName>
    <definedName name="____________DAT8" localSheetId="10">#REF!</definedName>
    <definedName name="____________DAT8" localSheetId="9">#REF!</definedName>
    <definedName name="____________DAT8" localSheetId="11">#REF!</definedName>
    <definedName name="____________DAT8" localSheetId="12">#REF!</definedName>
    <definedName name="____________DAT8" localSheetId="24">#REF!</definedName>
    <definedName name="____________DAT8">#REF!</definedName>
    <definedName name="____________DAT9" localSheetId="10">#REF!</definedName>
    <definedName name="____________DAT9" localSheetId="9">#REF!</definedName>
    <definedName name="____________DAT9" localSheetId="11">#REF!</definedName>
    <definedName name="____________DAT9" localSheetId="12">#REF!</definedName>
    <definedName name="____________DAT9" localSheetId="24">#REF!</definedName>
    <definedName name="____________DAT9">#REF!</definedName>
    <definedName name="____________PR1">#N/A</definedName>
    <definedName name="____________PR2">#N/A</definedName>
    <definedName name="___________DAT1" localSheetId="10">#REF!</definedName>
    <definedName name="___________DAT1" localSheetId="9">#REF!</definedName>
    <definedName name="___________DAT1" localSheetId="11">#REF!</definedName>
    <definedName name="___________DAT1" localSheetId="12">#REF!</definedName>
    <definedName name="___________DAT1" localSheetId="24">#REF!</definedName>
    <definedName name="___________DAT1">#REF!</definedName>
    <definedName name="___________DAT10" localSheetId="10">#REF!</definedName>
    <definedName name="___________DAT10" localSheetId="9">#REF!</definedName>
    <definedName name="___________DAT10" localSheetId="11">#REF!</definedName>
    <definedName name="___________DAT10" localSheetId="12">#REF!</definedName>
    <definedName name="___________DAT10" localSheetId="24">#REF!</definedName>
    <definedName name="___________DAT10">#REF!</definedName>
    <definedName name="___________DAT11" localSheetId="10">#REF!</definedName>
    <definedName name="___________DAT11" localSheetId="9">#REF!</definedName>
    <definedName name="___________DAT11" localSheetId="11">#REF!</definedName>
    <definedName name="___________DAT11" localSheetId="12">#REF!</definedName>
    <definedName name="___________DAT11" localSheetId="24">#REF!</definedName>
    <definedName name="___________DAT11">#REF!</definedName>
    <definedName name="___________DAT2" localSheetId="10">#REF!</definedName>
    <definedName name="___________DAT2" localSheetId="9">#REF!</definedName>
    <definedName name="___________DAT2" localSheetId="11">#REF!</definedName>
    <definedName name="___________DAT2" localSheetId="12">#REF!</definedName>
    <definedName name="___________DAT2" localSheetId="24">#REF!</definedName>
    <definedName name="___________DAT2">#REF!</definedName>
    <definedName name="___________DAT3" localSheetId="10">#REF!</definedName>
    <definedName name="___________DAT3" localSheetId="9">#REF!</definedName>
    <definedName name="___________DAT3" localSheetId="11">#REF!</definedName>
    <definedName name="___________DAT3" localSheetId="12">#REF!</definedName>
    <definedName name="___________DAT3" localSheetId="24">#REF!</definedName>
    <definedName name="___________DAT3">#REF!</definedName>
    <definedName name="___________DAT4" localSheetId="10">#REF!</definedName>
    <definedName name="___________DAT4" localSheetId="9">#REF!</definedName>
    <definedName name="___________DAT4" localSheetId="11">#REF!</definedName>
    <definedName name="___________DAT4" localSheetId="12">#REF!</definedName>
    <definedName name="___________DAT4" localSheetId="24">#REF!</definedName>
    <definedName name="___________DAT4">#REF!</definedName>
    <definedName name="___________DAT5" localSheetId="10">#REF!</definedName>
    <definedName name="___________DAT5" localSheetId="9">#REF!</definedName>
    <definedName name="___________DAT5" localSheetId="11">#REF!</definedName>
    <definedName name="___________DAT5" localSheetId="12">#REF!</definedName>
    <definedName name="___________DAT5" localSheetId="24">#REF!</definedName>
    <definedName name="___________DAT5">#REF!</definedName>
    <definedName name="___________DAT6" localSheetId="10">#REF!</definedName>
    <definedName name="___________DAT6" localSheetId="9">#REF!</definedName>
    <definedName name="___________DAT6" localSheetId="11">#REF!</definedName>
    <definedName name="___________DAT6" localSheetId="12">#REF!</definedName>
    <definedName name="___________DAT6" localSheetId="24">#REF!</definedName>
    <definedName name="___________DAT6">#REF!</definedName>
    <definedName name="___________DAT7" localSheetId="10">#REF!</definedName>
    <definedName name="___________DAT7" localSheetId="9">#REF!</definedName>
    <definedName name="___________DAT7" localSheetId="11">#REF!</definedName>
    <definedName name="___________DAT7" localSheetId="12">#REF!</definedName>
    <definedName name="___________DAT7" localSheetId="24">#REF!</definedName>
    <definedName name="___________DAT7">#REF!</definedName>
    <definedName name="___________DAT8" localSheetId="10">#REF!</definedName>
    <definedName name="___________DAT8" localSheetId="9">#REF!</definedName>
    <definedName name="___________DAT8" localSheetId="11">#REF!</definedName>
    <definedName name="___________DAT8" localSheetId="12">#REF!</definedName>
    <definedName name="___________DAT8" localSheetId="24">#REF!</definedName>
    <definedName name="___________DAT8">#REF!</definedName>
    <definedName name="___________DAT9" localSheetId="10">#REF!</definedName>
    <definedName name="___________DAT9" localSheetId="9">#REF!</definedName>
    <definedName name="___________DAT9" localSheetId="11">#REF!</definedName>
    <definedName name="___________DAT9" localSheetId="12">#REF!</definedName>
    <definedName name="___________DAT9" localSheetId="24">#REF!</definedName>
    <definedName name="___________DAT9">#REF!</definedName>
    <definedName name="___________PR1">#N/A</definedName>
    <definedName name="___________PR2">#N/A</definedName>
    <definedName name="__________DAT1" localSheetId="10">#REF!</definedName>
    <definedName name="__________DAT1" localSheetId="9">#REF!</definedName>
    <definedName name="__________DAT1" localSheetId="11">#REF!</definedName>
    <definedName name="__________DAT1" localSheetId="12">#REF!</definedName>
    <definedName name="__________DAT1" localSheetId="24">#REF!</definedName>
    <definedName name="__________DAT1">#REF!</definedName>
    <definedName name="__________DAT10" localSheetId="10">#REF!</definedName>
    <definedName name="__________DAT10" localSheetId="9">#REF!</definedName>
    <definedName name="__________DAT10" localSheetId="11">#REF!</definedName>
    <definedName name="__________DAT10" localSheetId="12">#REF!</definedName>
    <definedName name="__________DAT10" localSheetId="24">#REF!</definedName>
    <definedName name="__________DAT10">#REF!</definedName>
    <definedName name="__________DAT11" localSheetId="10">#REF!</definedName>
    <definedName name="__________DAT11" localSheetId="9">#REF!</definedName>
    <definedName name="__________DAT11" localSheetId="11">#REF!</definedName>
    <definedName name="__________DAT11" localSheetId="12">#REF!</definedName>
    <definedName name="__________DAT11" localSheetId="24">#REF!</definedName>
    <definedName name="__________DAT11">#REF!</definedName>
    <definedName name="__________DAT2" localSheetId="10">#REF!</definedName>
    <definedName name="__________DAT2" localSheetId="9">#REF!</definedName>
    <definedName name="__________DAT2" localSheetId="11">#REF!</definedName>
    <definedName name="__________DAT2" localSheetId="12">#REF!</definedName>
    <definedName name="__________DAT2" localSheetId="24">#REF!</definedName>
    <definedName name="__________DAT2">#REF!</definedName>
    <definedName name="__________DAT3" localSheetId="10">#REF!</definedName>
    <definedName name="__________DAT3" localSheetId="9">#REF!</definedName>
    <definedName name="__________DAT3" localSheetId="11">#REF!</definedName>
    <definedName name="__________DAT3" localSheetId="12">#REF!</definedName>
    <definedName name="__________DAT3" localSheetId="24">#REF!</definedName>
    <definedName name="__________DAT3">#REF!</definedName>
    <definedName name="__________DAT4" localSheetId="10">#REF!</definedName>
    <definedName name="__________DAT4" localSheetId="9">#REF!</definedName>
    <definedName name="__________DAT4" localSheetId="11">#REF!</definedName>
    <definedName name="__________DAT4" localSheetId="12">#REF!</definedName>
    <definedName name="__________DAT4" localSheetId="24">#REF!</definedName>
    <definedName name="__________DAT4">#REF!</definedName>
    <definedName name="__________DAT5" localSheetId="10">#REF!</definedName>
    <definedName name="__________DAT5" localSheetId="9">#REF!</definedName>
    <definedName name="__________DAT5" localSheetId="11">#REF!</definedName>
    <definedName name="__________DAT5" localSheetId="12">#REF!</definedName>
    <definedName name="__________DAT5" localSheetId="24">#REF!</definedName>
    <definedName name="__________DAT5">#REF!</definedName>
    <definedName name="__________DAT6" localSheetId="10">#REF!</definedName>
    <definedName name="__________DAT6" localSheetId="9">#REF!</definedName>
    <definedName name="__________DAT6" localSheetId="11">#REF!</definedName>
    <definedName name="__________DAT6" localSheetId="12">#REF!</definedName>
    <definedName name="__________DAT6" localSheetId="24">#REF!</definedName>
    <definedName name="__________DAT6">#REF!</definedName>
    <definedName name="__________DAT7" localSheetId="10">#REF!</definedName>
    <definedName name="__________DAT7" localSheetId="9">#REF!</definedName>
    <definedName name="__________DAT7" localSheetId="11">#REF!</definedName>
    <definedName name="__________DAT7" localSheetId="12">#REF!</definedName>
    <definedName name="__________DAT7" localSheetId="24">#REF!</definedName>
    <definedName name="__________DAT7">#REF!</definedName>
    <definedName name="__________DAT8" localSheetId="10">#REF!</definedName>
    <definedName name="__________DAT8" localSheetId="9">#REF!</definedName>
    <definedName name="__________DAT8" localSheetId="11">#REF!</definedName>
    <definedName name="__________DAT8" localSheetId="12">#REF!</definedName>
    <definedName name="__________DAT8" localSheetId="24">#REF!</definedName>
    <definedName name="__________DAT8">#REF!</definedName>
    <definedName name="__________DAT9" localSheetId="10">#REF!</definedName>
    <definedName name="__________DAT9" localSheetId="9">#REF!</definedName>
    <definedName name="__________DAT9" localSheetId="11">#REF!</definedName>
    <definedName name="__________DAT9" localSheetId="12">#REF!</definedName>
    <definedName name="__________DAT9" localSheetId="24">#REF!</definedName>
    <definedName name="__________DAT9">#REF!</definedName>
    <definedName name="__________PR1">#N/A</definedName>
    <definedName name="__________PR2">#N/A</definedName>
    <definedName name="_________DAT1" localSheetId="10">#REF!</definedName>
    <definedName name="_________DAT1" localSheetId="9">#REF!</definedName>
    <definedName name="_________DAT1" localSheetId="11">#REF!</definedName>
    <definedName name="_________DAT1" localSheetId="12">#REF!</definedName>
    <definedName name="_________DAT1" localSheetId="24">#REF!</definedName>
    <definedName name="_________DAT1">#REF!</definedName>
    <definedName name="_________DAT10" localSheetId="10">#REF!</definedName>
    <definedName name="_________DAT10" localSheetId="9">#REF!</definedName>
    <definedName name="_________DAT10" localSheetId="11">#REF!</definedName>
    <definedName name="_________DAT10" localSheetId="12">#REF!</definedName>
    <definedName name="_________DAT10" localSheetId="24">#REF!</definedName>
    <definedName name="_________DAT10">#REF!</definedName>
    <definedName name="_________DAT11" localSheetId="10">#REF!</definedName>
    <definedName name="_________DAT11" localSheetId="9">#REF!</definedName>
    <definedName name="_________DAT11" localSheetId="11">#REF!</definedName>
    <definedName name="_________DAT11" localSheetId="12">#REF!</definedName>
    <definedName name="_________DAT11" localSheetId="24">#REF!</definedName>
    <definedName name="_________DAT11">#REF!</definedName>
    <definedName name="_________DAT2" localSheetId="10">#REF!</definedName>
    <definedName name="_________DAT2" localSheetId="9">#REF!</definedName>
    <definedName name="_________DAT2" localSheetId="11">#REF!</definedName>
    <definedName name="_________DAT2" localSheetId="12">#REF!</definedName>
    <definedName name="_________DAT2" localSheetId="24">#REF!</definedName>
    <definedName name="_________DAT2">#REF!</definedName>
    <definedName name="_________DAT3" localSheetId="10">#REF!</definedName>
    <definedName name="_________DAT3" localSheetId="9">#REF!</definedName>
    <definedName name="_________DAT3" localSheetId="11">#REF!</definedName>
    <definedName name="_________DAT3" localSheetId="12">#REF!</definedName>
    <definedName name="_________DAT3" localSheetId="24">#REF!</definedName>
    <definedName name="_________DAT3">#REF!</definedName>
    <definedName name="_________DAT4" localSheetId="10">#REF!</definedName>
    <definedName name="_________DAT4" localSheetId="9">#REF!</definedName>
    <definedName name="_________DAT4" localSheetId="11">#REF!</definedName>
    <definedName name="_________DAT4" localSheetId="12">#REF!</definedName>
    <definedName name="_________DAT4" localSheetId="24">#REF!</definedName>
    <definedName name="_________DAT4">#REF!</definedName>
    <definedName name="_________DAT5" localSheetId="10">#REF!</definedName>
    <definedName name="_________DAT5" localSheetId="9">#REF!</definedName>
    <definedName name="_________DAT5" localSheetId="11">#REF!</definedName>
    <definedName name="_________DAT5" localSheetId="12">#REF!</definedName>
    <definedName name="_________DAT5" localSheetId="24">#REF!</definedName>
    <definedName name="_________DAT5">#REF!</definedName>
    <definedName name="_________DAT6" localSheetId="10">#REF!</definedName>
    <definedName name="_________DAT6" localSheetId="9">#REF!</definedName>
    <definedName name="_________DAT6" localSheetId="11">#REF!</definedName>
    <definedName name="_________DAT6" localSheetId="12">#REF!</definedName>
    <definedName name="_________DAT6" localSheetId="24">#REF!</definedName>
    <definedName name="_________DAT6">#REF!</definedName>
    <definedName name="_________DAT7" localSheetId="10">#REF!</definedName>
    <definedName name="_________DAT7" localSheetId="9">#REF!</definedName>
    <definedName name="_________DAT7" localSheetId="11">#REF!</definedName>
    <definedName name="_________DAT7" localSheetId="12">#REF!</definedName>
    <definedName name="_________DAT7" localSheetId="24">#REF!</definedName>
    <definedName name="_________DAT7">#REF!</definedName>
    <definedName name="_________DAT8" localSheetId="10">#REF!</definedName>
    <definedName name="_________DAT8" localSheetId="9">#REF!</definedName>
    <definedName name="_________DAT8" localSheetId="11">#REF!</definedName>
    <definedName name="_________DAT8" localSheetId="12">#REF!</definedName>
    <definedName name="_________DAT8" localSheetId="24">#REF!</definedName>
    <definedName name="_________DAT8">#REF!</definedName>
    <definedName name="_________DAT9" localSheetId="10">#REF!</definedName>
    <definedName name="_________DAT9" localSheetId="9">#REF!</definedName>
    <definedName name="_________DAT9" localSheetId="11">#REF!</definedName>
    <definedName name="_________DAT9" localSheetId="12">#REF!</definedName>
    <definedName name="_________DAT9" localSheetId="24">#REF!</definedName>
    <definedName name="_________DAT9">#REF!</definedName>
    <definedName name="_________PR1">#N/A</definedName>
    <definedName name="_________PR2">#N/A</definedName>
    <definedName name="________DAT1" localSheetId="10">#REF!</definedName>
    <definedName name="________DAT1" localSheetId="9">#REF!</definedName>
    <definedName name="________DAT1" localSheetId="11">#REF!</definedName>
    <definedName name="________DAT1" localSheetId="12">#REF!</definedName>
    <definedName name="________DAT1" localSheetId="24">#REF!</definedName>
    <definedName name="________DAT1">#REF!</definedName>
    <definedName name="________DAT10" localSheetId="10">#REF!</definedName>
    <definedName name="________DAT10" localSheetId="9">#REF!</definedName>
    <definedName name="________DAT10" localSheetId="11">#REF!</definedName>
    <definedName name="________DAT10" localSheetId="12">#REF!</definedName>
    <definedName name="________DAT10" localSheetId="24">#REF!</definedName>
    <definedName name="________DAT10">#REF!</definedName>
    <definedName name="________DAT11" localSheetId="10">#REF!</definedName>
    <definedName name="________DAT11" localSheetId="9">#REF!</definedName>
    <definedName name="________DAT11" localSheetId="11">#REF!</definedName>
    <definedName name="________DAT11" localSheetId="12">#REF!</definedName>
    <definedName name="________DAT11" localSheetId="24">#REF!</definedName>
    <definedName name="________DAT11">#REF!</definedName>
    <definedName name="________DAT2" localSheetId="10">#REF!</definedName>
    <definedName name="________DAT2" localSheetId="9">#REF!</definedName>
    <definedName name="________DAT2" localSheetId="11">#REF!</definedName>
    <definedName name="________DAT2" localSheetId="12">#REF!</definedName>
    <definedName name="________DAT2" localSheetId="24">#REF!</definedName>
    <definedName name="________DAT2">#REF!</definedName>
    <definedName name="________DAT3" localSheetId="10">#REF!</definedName>
    <definedName name="________DAT3" localSheetId="9">#REF!</definedName>
    <definedName name="________DAT3" localSheetId="11">#REF!</definedName>
    <definedName name="________DAT3" localSheetId="12">#REF!</definedName>
    <definedName name="________DAT3" localSheetId="24">#REF!</definedName>
    <definedName name="________DAT3">#REF!</definedName>
    <definedName name="________DAT4" localSheetId="10">#REF!</definedName>
    <definedName name="________DAT4" localSheetId="9">#REF!</definedName>
    <definedName name="________DAT4" localSheetId="11">#REF!</definedName>
    <definedName name="________DAT4" localSheetId="12">#REF!</definedName>
    <definedName name="________DAT4" localSheetId="24">#REF!</definedName>
    <definedName name="________DAT4">#REF!</definedName>
    <definedName name="________DAT5" localSheetId="10">#REF!</definedName>
    <definedName name="________DAT5" localSheetId="9">#REF!</definedName>
    <definedName name="________DAT5" localSheetId="11">#REF!</definedName>
    <definedName name="________DAT5" localSheetId="12">#REF!</definedName>
    <definedName name="________DAT5" localSheetId="24">#REF!</definedName>
    <definedName name="________DAT5">#REF!</definedName>
    <definedName name="________DAT6" localSheetId="10">#REF!</definedName>
    <definedName name="________DAT6" localSheetId="9">#REF!</definedName>
    <definedName name="________DAT6" localSheetId="11">#REF!</definedName>
    <definedName name="________DAT6" localSheetId="12">#REF!</definedName>
    <definedName name="________DAT6" localSheetId="24">#REF!</definedName>
    <definedName name="________DAT6">#REF!</definedName>
    <definedName name="________DAT7" localSheetId="10">#REF!</definedName>
    <definedName name="________DAT7" localSheetId="9">#REF!</definedName>
    <definedName name="________DAT7" localSheetId="11">#REF!</definedName>
    <definedName name="________DAT7" localSheetId="12">#REF!</definedName>
    <definedName name="________DAT7" localSheetId="24">#REF!</definedName>
    <definedName name="________DAT7">#REF!</definedName>
    <definedName name="________DAT8" localSheetId="10">#REF!</definedName>
    <definedName name="________DAT8" localSheetId="9">#REF!</definedName>
    <definedName name="________DAT8" localSheetId="11">#REF!</definedName>
    <definedName name="________DAT8" localSheetId="12">#REF!</definedName>
    <definedName name="________DAT8" localSheetId="24">#REF!</definedName>
    <definedName name="________DAT8">#REF!</definedName>
    <definedName name="________DAT9" localSheetId="10">#REF!</definedName>
    <definedName name="________DAT9" localSheetId="9">#REF!</definedName>
    <definedName name="________DAT9" localSheetId="11">#REF!</definedName>
    <definedName name="________DAT9" localSheetId="12">#REF!</definedName>
    <definedName name="________DAT9" localSheetId="24">#REF!</definedName>
    <definedName name="________DAT9">#REF!</definedName>
    <definedName name="________PR1">#N/A</definedName>
    <definedName name="________PR2">#N/A</definedName>
    <definedName name="_______DAT1" localSheetId="10">#REF!</definedName>
    <definedName name="_______DAT1" localSheetId="9">#REF!</definedName>
    <definedName name="_______DAT1" localSheetId="11">#REF!</definedName>
    <definedName name="_______DAT1" localSheetId="12">#REF!</definedName>
    <definedName name="_______DAT1" localSheetId="24">#REF!</definedName>
    <definedName name="_______DAT1">#REF!</definedName>
    <definedName name="_______DAT10" localSheetId="10">#REF!</definedName>
    <definedName name="_______DAT10" localSheetId="9">#REF!</definedName>
    <definedName name="_______DAT10" localSheetId="11">#REF!</definedName>
    <definedName name="_______DAT10" localSheetId="12">#REF!</definedName>
    <definedName name="_______DAT10" localSheetId="24">#REF!</definedName>
    <definedName name="_______DAT10">#REF!</definedName>
    <definedName name="_______DAT11" localSheetId="10">#REF!</definedName>
    <definedName name="_______DAT11" localSheetId="9">#REF!</definedName>
    <definedName name="_______DAT11" localSheetId="11">#REF!</definedName>
    <definedName name="_______DAT11" localSheetId="12">#REF!</definedName>
    <definedName name="_______DAT11" localSheetId="24">#REF!</definedName>
    <definedName name="_______DAT11">#REF!</definedName>
    <definedName name="_______DAT2" localSheetId="10">#REF!</definedName>
    <definedName name="_______DAT2" localSheetId="9">#REF!</definedName>
    <definedName name="_______DAT2" localSheetId="11">#REF!</definedName>
    <definedName name="_______DAT2" localSheetId="12">#REF!</definedName>
    <definedName name="_______DAT2" localSheetId="24">#REF!</definedName>
    <definedName name="_______DAT2">#REF!</definedName>
    <definedName name="_______DAT3" localSheetId="10">#REF!</definedName>
    <definedName name="_______DAT3" localSheetId="9">#REF!</definedName>
    <definedName name="_______DAT3" localSheetId="11">#REF!</definedName>
    <definedName name="_______DAT3" localSheetId="12">#REF!</definedName>
    <definedName name="_______DAT3" localSheetId="24">#REF!</definedName>
    <definedName name="_______DAT3">#REF!</definedName>
    <definedName name="_______DAT4" localSheetId="10">#REF!</definedName>
    <definedName name="_______DAT4" localSheetId="9">#REF!</definedName>
    <definedName name="_______DAT4" localSheetId="11">#REF!</definedName>
    <definedName name="_______DAT4" localSheetId="12">#REF!</definedName>
    <definedName name="_______DAT4" localSheetId="24">#REF!</definedName>
    <definedName name="_______DAT4">#REF!</definedName>
    <definedName name="_______DAT5" localSheetId="10">#REF!</definedName>
    <definedName name="_______DAT5" localSheetId="9">#REF!</definedName>
    <definedName name="_______DAT5" localSheetId="11">#REF!</definedName>
    <definedName name="_______DAT5" localSheetId="12">#REF!</definedName>
    <definedName name="_______DAT5" localSheetId="24">#REF!</definedName>
    <definedName name="_______DAT5">#REF!</definedName>
    <definedName name="_______DAT6" localSheetId="10">#REF!</definedName>
    <definedName name="_______DAT6" localSheetId="9">#REF!</definedName>
    <definedName name="_______DAT6" localSheetId="11">#REF!</definedName>
    <definedName name="_______DAT6" localSheetId="12">#REF!</definedName>
    <definedName name="_______DAT6" localSheetId="24">#REF!</definedName>
    <definedName name="_______DAT6">#REF!</definedName>
    <definedName name="_______DAT7" localSheetId="10">#REF!</definedName>
    <definedName name="_______DAT7" localSheetId="9">#REF!</definedName>
    <definedName name="_______DAT7" localSheetId="11">#REF!</definedName>
    <definedName name="_______DAT7" localSheetId="12">#REF!</definedName>
    <definedName name="_______DAT7" localSheetId="24">#REF!</definedName>
    <definedName name="_______DAT7">#REF!</definedName>
    <definedName name="_______DAT8" localSheetId="10">#REF!</definedName>
    <definedName name="_______DAT8" localSheetId="9">#REF!</definedName>
    <definedName name="_______DAT8" localSheetId="11">#REF!</definedName>
    <definedName name="_______DAT8" localSheetId="12">#REF!</definedName>
    <definedName name="_______DAT8" localSheetId="24">#REF!</definedName>
    <definedName name="_______DAT8">#REF!</definedName>
    <definedName name="_______DAT9" localSheetId="10">#REF!</definedName>
    <definedName name="_______DAT9" localSheetId="9">#REF!</definedName>
    <definedName name="_______DAT9" localSheetId="11">#REF!</definedName>
    <definedName name="_______DAT9" localSheetId="12">#REF!</definedName>
    <definedName name="_______DAT9" localSheetId="24">#REF!</definedName>
    <definedName name="_______DAT9">#REF!</definedName>
    <definedName name="_______PR1">#N/A</definedName>
    <definedName name="_______PR2">#N/A</definedName>
    <definedName name="______DAT1" localSheetId="10">#REF!</definedName>
    <definedName name="______DAT1" localSheetId="9">#REF!</definedName>
    <definedName name="______DAT1" localSheetId="11">#REF!</definedName>
    <definedName name="______DAT1" localSheetId="12">#REF!</definedName>
    <definedName name="______DAT1" localSheetId="24">#REF!</definedName>
    <definedName name="______DAT1">#REF!</definedName>
    <definedName name="______DAT10" localSheetId="10">#REF!</definedName>
    <definedName name="______DAT10" localSheetId="9">#REF!</definedName>
    <definedName name="______DAT10" localSheetId="11">#REF!</definedName>
    <definedName name="______DAT10" localSheetId="12">#REF!</definedName>
    <definedName name="______DAT10" localSheetId="24">#REF!</definedName>
    <definedName name="______DAT10">#REF!</definedName>
    <definedName name="______DAT11" localSheetId="10">#REF!</definedName>
    <definedName name="______DAT11" localSheetId="9">#REF!</definedName>
    <definedName name="______DAT11" localSheetId="11">#REF!</definedName>
    <definedName name="______DAT11" localSheetId="12">#REF!</definedName>
    <definedName name="______DAT11" localSheetId="24">#REF!</definedName>
    <definedName name="______DAT11">#REF!</definedName>
    <definedName name="______DAT2" localSheetId="10">#REF!</definedName>
    <definedName name="______DAT2" localSheetId="9">#REF!</definedName>
    <definedName name="______DAT2" localSheetId="11">#REF!</definedName>
    <definedName name="______DAT2" localSheetId="12">#REF!</definedName>
    <definedName name="______DAT2" localSheetId="24">#REF!</definedName>
    <definedName name="______DAT2">#REF!</definedName>
    <definedName name="______DAT3" localSheetId="10">#REF!</definedName>
    <definedName name="______DAT3" localSheetId="9">#REF!</definedName>
    <definedName name="______DAT3" localSheetId="11">#REF!</definedName>
    <definedName name="______DAT3" localSheetId="12">#REF!</definedName>
    <definedName name="______DAT3" localSheetId="24">#REF!</definedName>
    <definedName name="______DAT3">#REF!</definedName>
    <definedName name="______DAT4" localSheetId="10">#REF!</definedName>
    <definedName name="______DAT4" localSheetId="9">#REF!</definedName>
    <definedName name="______DAT4" localSheetId="11">#REF!</definedName>
    <definedName name="______DAT4" localSheetId="12">#REF!</definedName>
    <definedName name="______DAT4" localSheetId="24">#REF!</definedName>
    <definedName name="______DAT4">#REF!</definedName>
    <definedName name="______DAT5" localSheetId="10">#REF!</definedName>
    <definedName name="______DAT5" localSheetId="9">#REF!</definedName>
    <definedName name="______DAT5" localSheetId="11">#REF!</definedName>
    <definedName name="______DAT5" localSheetId="12">#REF!</definedName>
    <definedName name="______DAT5" localSheetId="24">#REF!</definedName>
    <definedName name="______DAT5">#REF!</definedName>
    <definedName name="______DAT6" localSheetId="10">#REF!</definedName>
    <definedName name="______DAT6" localSheetId="9">#REF!</definedName>
    <definedName name="______DAT6" localSheetId="11">#REF!</definedName>
    <definedName name="______DAT6" localSheetId="12">#REF!</definedName>
    <definedName name="______DAT6" localSheetId="24">#REF!</definedName>
    <definedName name="______DAT6">#REF!</definedName>
    <definedName name="______DAT7" localSheetId="10">#REF!</definedName>
    <definedName name="______DAT7" localSheetId="9">#REF!</definedName>
    <definedName name="______DAT7" localSheetId="11">#REF!</definedName>
    <definedName name="______DAT7" localSheetId="12">#REF!</definedName>
    <definedName name="______DAT7" localSheetId="24">#REF!</definedName>
    <definedName name="______DAT7">#REF!</definedName>
    <definedName name="______DAT8" localSheetId="10">#REF!</definedName>
    <definedName name="______DAT8" localSheetId="9">#REF!</definedName>
    <definedName name="______DAT8" localSheetId="11">#REF!</definedName>
    <definedName name="______DAT8" localSheetId="12">#REF!</definedName>
    <definedName name="______DAT8" localSheetId="24">#REF!</definedName>
    <definedName name="______DAT8">#REF!</definedName>
    <definedName name="______DAT9" localSheetId="10">#REF!</definedName>
    <definedName name="______DAT9" localSheetId="9">#REF!</definedName>
    <definedName name="______DAT9" localSheetId="11">#REF!</definedName>
    <definedName name="______DAT9" localSheetId="12">#REF!</definedName>
    <definedName name="______DAT9" localSheetId="24">#REF!</definedName>
    <definedName name="______DAT9">#REF!</definedName>
    <definedName name="______PR1">#N/A</definedName>
    <definedName name="______PR2">#N/A</definedName>
    <definedName name="_____DAT1" localSheetId="10">#REF!</definedName>
    <definedName name="_____DAT1" localSheetId="9">#REF!</definedName>
    <definedName name="_____DAT1" localSheetId="11">#REF!</definedName>
    <definedName name="_____DAT1" localSheetId="12">#REF!</definedName>
    <definedName name="_____DAT1" localSheetId="24">#REF!</definedName>
    <definedName name="_____DAT1">#REF!</definedName>
    <definedName name="_____DAT10" localSheetId="10">#REF!</definedName>
    <definedName name="_____DAT10" localSheetId="9">#REF!</definedName>
    <definedName name="_____DAT10" localSheetId="11">#REF!</definedName>
    <definedName name="_____DAT10" localSheetId="12">#REF!</definedName>
    <definedName name="_____DAT10" localSheetId="24">#REF!</definedName>
    <definedName name="_____DAT10">#REF!</definedName>
    <definedName name="_____DAT11" localSheetId="10">#REF!</definedName>
    <definedName name="_____DAT11" localSheetId="9">#REF!</definedName>
    <definedName name="_____DAT11" localSheetId="11">#REF!</definedName>
    <definedName name="_____DAT11" localSheetId="12">#REF!</definedName>
    <definedName name="_____DAT11" localSheetId="24">#REF!</definedName>
    <definedName name="_____DAT11">#REF!</definedName>
    <definedName name="_____DAT2" localSheetId="10">#REF!</definedName>
    <definedName name="_____DAT2" localSheetId="9">#REF!</definedName>
    <definedName name="_____DAT2" localSheetId="11">#REF!</definedName>
    <definedName name="_____DAT2" localSheetId="12">#REF!</definedName>
    <definedName name="_____DAT2" localSheetId="24">#REF!</definedName>
    <definedName name="_____DAT2">#REF!</definedName>
    <definedName name="_____DAT3" localSheetId="10">#REF!</definedName>
    <definedName name="_____DAT3" localSheetId="9">#REF!</definedName>
    <definedName name="_____DAT3" localSheetId="11">#REF!</definedName>
    <definedName name="_____DAT3" localSheetId="12">#REF!</definedName>
    <definedName name="_____DAT3" localSheetId="24">#REF!</definedName>
    <definedName name="_____DAT3">#REF!</definedName>
    <definedName name="_____DAT4" localSheetId="10">#REF!</definedName>
    <definedName name="_____DAT4" localSheetId="9">#REF!</definedName>
    <definedName name="_____DAT4" localSheetId="11">#REF!</definedName>
    <definedName name="_____DAT4" localSheetId="12">#REF!</definedName>
    <definedName name="_____DAT4" localSheetId="24">#REF!</definedName>
    <definedName name="_____DAT4">#REF!</definedName>
    <definedName name="_____DAT5" localSheetId="10">#REF!</definedName>
    <definedName name="_____DAT5" localSheetId="9">#REF!</definedName>
    <definedName name="_____DAT5" localSheetId="11">#REF!</definedName>
    <definedName name="_____DAT5" localSheetId="12">#REF!</definedName>
    <definedName name="_____DAT5" localSheetId="24">#REF!</definedName>
    <definedName name="_____DAT5">#REF!</definedName>
    <definedName name="_____DAT6" localSheetId="10">#REF!</definedName>
    <definedName name="_____DAT6" localSheetId="9">#REF!</definedName>
    <definedName name="_____DAT6" localSheetId="11">#REF!</definedName>
    <definedName name="_____DAT6" localSheetId="12">#REF!</definedName>
    <definedName name="_____DAT6" localSheetId="24">#REF!</definedName>
    <definedName name="_____DAT6">#REF!</definedName>
    <definedName name="_____DAT7" localSheetId="10">#REF!</definedName>
    <definedName name="_____DAT7" localSheetId="9">#REF!</definedName>
    <definedName name="_____DAT7" localSheetId="11">#REF!</definedName>
    <definedName name="_____DAT7" localSheetId="12">#REF!</definedName>
    <definedName name="_____DAT7" localSheetId="24">#REF!</definedName>
    <definedName name="_____DAT7">#REF!</definedName>
    <definedName name="_____DAT8" localSheetId="10">#REF!</definedName>
    <definedName name="_____DAT8" localSheetId="9">#REF!</definedName>
    <definedName name="_____DAT8" localSheetId="11">#REF!</definedName>
    <definedName name="_____DAT8" localSheetId="12">#REF!</definedName>
    <definedName name="_____DAT8" localSheetId="24">#REF!</definedName>
    <definedName name="_____DAT8">#REF!</definedName>
    <definedName name="_____DAT9" localSheetId="10">#REF!</definedName>
    <definedName name="_____DAT9" localSheetId="9">#REF!</definedName>
    <definedName name="_____DAT9" localSheetId="11">#REF!</definedName>
    <definedName name="_____DAT9" localSheetId="12">#REF!</definedName>
    <definedName name="_____DAT9" localSheetId="24">#REF!</definedName>
    <definedName name="_____DAT9">#REF!</definedName>
    <definedName name="_____NEW1" localSheetId="10">#REF!</definedName>
    <definedName name="_____NEW1" localSheetId="9">#REF!</definedName>
    <definedName name="_____NEW1" localSheetId="11">#REF!</definedName>
    <definedName name="_____NEW1" localSheetId="12">#REF!</definedName>
    <definedName name="_____NEW1" localSheetId="17">#REF!</definedName>
    <definedName name="_____NEW1" localSheetId="24">#REF!</definedName>
    <definedName name="_____NEW1" localSheetId="16">#REF!</definedName>
    <definedName name="_____NEW1" localSheetId="18">#REF!</definedName>
    <definedName name="_____NEW1">#REF!</definedName>
    <definedName name="_____NEW2" localSheetId="10">#REF!</definedName>
    <definedName name="_____NEW2" localSheetId="9">#REF!</definedName>
    <definedName name="_____NEW2" localSheetId="11">#REF!</definedName>
    <definedName name="_____NEW2" localSheetId="12">#REF!</definedName>
    <definedName name="_____NEW2" localSheetId="17">#REF!</definedName>
    <definedName name="_____NEW2" localSheetId="24">#REF!</definedName>
    <definedName name="_____NEW2" localSheetId="16">#REF!</definedName>
    <definedName name="_____NEW2" localSheetId="18">#REF!</definedName>
    <definedName name="_____NEW2">#REF!</definedName>
    <definedName name="_____PL1" localSheetId="10">#REF!</definedName>
    <definedName name="_____PL1" localSheetId="9">#REF!</definedName>
    <definedName name="_____PL1" localSheetId="11">#REF!</definedName>
    <definedName name="_____PL1" localSheetId="12">#REF!</definedName>
    <definedName name="_____PL1" localSheetId="17">#REF!</definedName>
    <definedName name="_____PL1" localSheetId="24">#REF!</definedName>
    <definedName name="_____PL1" localSheetId="16">#REF!</definedName>
    <definedName name="_____PL1" localSheetId="18">#REF!</definedName>
    <definedName name="_____PL1">#REF!</definedName>
    <definedName name="_____PL2" localSheetId="10">#REF!</definedName>
    <definedName name="_____PL2" localSheetId="9">#REF!</definedName>
    <definedName name="_____PL2" localSheetId="11">#REF!</definedName>
    <definedName name="_____PL2" localSheetId="12">#REF!</definedName>
    <definedName name="_____PL2" localSheetId="17">#REF!</definedName>
    <definedName name="_____PL2" localSheetId="24">#REF!</definedName>
    <definedName name="_____PL2" localSheetId="16">#REF!</definedName>
    <definedName name="_____PL2" localSheetId="18">#REF!</definedName>
    <definedName name="_____PL2">#REF!</definedName>
    <definedName name="_____PR1">#N/A</definedName>
    <definedName name="_____PR2">#N/A</definedName>
    <definedName name="____DAT1" localSheetId="10">#REF!</definedName>
    <definedName name="____DAT1" localSheetId="9">#REF!</definedName>
    <definedName name="____DAT1" localSheetId="11">#REF!</definedName>
    <definedName name="____DAT1" localSheetId="12">#REF!</definedName>
    <definedName name="____DAT1" localSheetId="17">#REF!</definedName>
    <definedName name="____DAT1" localSheetId="24">#REF!</definedName>
    <definedName name="____DAT1" localSheetId="16">#REF!</definedName>
    <definedName name="____DAT1">#REF!</definedName>
    <definedName name="____DAT10" localSheetId="10">#REF!</definedName>
    <definedName name="____DAT10" localSheetId="9">#REF!</definedName>
    <definedName name="____DAT10" localSheetId="11">#REF!</definedName>
    <definedName name="____DAT10" localSheetId="12">#REF!</definedName>
    <definedName name="____DAT10" localSheetId="17">#REF!</definedName>
    <definedName name="____DAT10" localSheetId="24">#REF!</definedName>
    <definedName name="____DAT10" localSheetId="16">#REF!</definedName>
    <definedName name="____DAT10">#REF!</definedName>
    <definedName name="____DAT11" localSheetId="10">#REF!</definedName>
    <definedName name="____DAT11" localSheetId="9">#REF!</definedName>
    <definedName name="____DAT11" localSheetId="11">#REF!</definedName>
    <definedName name="____DAT11" localSheetId="12">#REF!</definedName>
    <definedName name="____DAT11" localSheetId="17">#REF!</definedName>
    <definedName name="____DAT11" localSheetId="24">#REF!</definedName>
    <definedName name="____DAT11" localSheetId="16">#REF!</definedName>
    <definedName name="____DAT11">#REF!</definedName>
    <definedName name="____DAT2" localSheetId="10">#REF!</definedName>
    <definedName name="____DAT2" localSheetId="9">#REF!</definedName>
    <definedName name="____DAT2" localSheetId="11">#REF!</definedName>
    <definedName name="____DAT2" localSheetId="12">#REF!</definedName>
    <definedName name="____DAT2" localSheetId="17">#REF!</definedName>
    <definedName name="____DAT2" localSheetId="24">#REF!</definedName>
    <definedName name="____DAT2" localSheetId="16">#REF!</definedName>
    <definedName name="____DAT2">#REF!</definedName>
    <definedName name="____DAT3" localSheetId="10">#REF!</definedName>
    <definedName name="____DAT3" localSheetId="9">#REF!</definedName>
    <definedName name="____DAT3" localSheetId="11">#REF!</definedName>
    <definedName name="____DAT3" localSheetId="12">#REF!</definedName>
    <definedName name="____DAT3" localSheetId="17">#REF!</definedName>
    <definedName name="____DAT3" localSheetId="24">#REF!</definedName>
    <definedName name="____DAT3" localSheetId="16">#REF!</definedName>
    <definedName name="____DAT3">#REF!</definedName>
    <definedName name="____DAT4" localSheetId="10">#REF!</definedName>
    <definedName name="____DAT4" localSheetId="9">#REF!</definedName>
    <definedName name="____DAT4" localSheetId="11">#REF!</definedName>
    <definedName name="____DAT4" localSheetId="12">#REF!</definedName>
    <definedName name="____DAT4" localSheetId="17">#REF!</definedName>
    <definedName name="____DAT4" localSheetId="24">#REF!</definedName>
    <definedName name="____DAT4" localSheetId="16">#REF!</definedName>
    <definedName name="____DAT4">#REF!</definedName>
    <definedName name="____DAT5" localSheetId="10">#REF!</definedName>
    <definedName name="____DAT5" localSheetId="9">#REF!</definedName>
    <definedName name="____DAT5" localSheetId="11">#REF!</definedName>
    <definedName name="____DAT5" localSheetId="12">#REF!</definedName>
    <definedName name="____DAT5" localSheetId="17">#REF!</definedName>
    <definedName name="____DAT5" localSheetId="24">#REF!</definedName>
    <definedName name="____DAT5" localSheetId="16">#REF!</definedName>
    <definedName name="____DAT5">#REF!</definedName>
    <definedName name="____DAT6" localSheetId="10">#REF!</definedName>
    <definedName name="____DAT6" localSheetId="9">#REF!</definedName>
    <definedName name="____DAT6" localSheetId="11">#REF!</definedName>
    <definedName name="____DAT6" localSheetId="12">#REF!</definedName>
    <definedName name="____DAT6" localSheetId="17">#REF!</definedName>
    <definedName name="____DAT6" localSheetId="24">#REF!</definedName>
    <definedName name="____DAT6" localSheetId="16">#REF!</definedName>
    <definedName name="____DAT6">#REF!</definedName>
    <definedName name="____DAT7" localSheetId="10">#REF!</definedName>
    <definedName name="____DAT7" localSheetId="9">#REF!</definedName>
    <definedName name="____DAT7" localSheetId="11">#REF!</definedName>
    <definedName name="____DAT7" localSheetId="12">#REF!</definedName>
    <definedName name="____DAT7" localSheetId="17">#REF!</definedName>
    <definedName name="____DAT7" localSheetId="24">#REF!</definedName>
    <definedName name="____DAT7" localSheetId="16">#REF!</definedName>
    <definedName name="____DAT7">#REF!</definedName>
    <definedName name="____DAT8" localSheetId="10">#REF!</definedName>
    <definedName name="____DAT8" localSheetId="9">#REF!</definedName>
    <definedName name="____DAT8" localSheetId="11">#REF!</definedName>
    <definedName name="____DAT8" localSheetId="12">#REF!</definedName>
    <definedName name="____DAT8" localSheetId="17">#REF!</definedName>
    <definedName name="____DAT8" localSheetId="24">#REF!</definedName>
    <definedName name="____DAT8" localSheetId="16">#REF!</definedName>
    <definedName name="____DAT8">#REF!</definedName>
    <definedName name="____DAT9" localSheetId="10">#REF!</definedName>
    <definedName name="____DAT9" localSheetId="9">#REF!</definedName>
    <definedName name="____DAT9" localSheetId="11">#REF!</definedName>
    <definedName name="____DAT9" localSheetId="12">#REF!</definedName>
    <definedName name="____DAT9" localSheetId="17">#REF!</definedName>
    <definedName name="____DAT9" localSheetId="24">#REF!</definedName>
    <definedName name="____DAT9" localSheetId="16">#REF!</definedName>
    <definedName name="____DAT9">#REF!</definedName>
    <definedName name="____PR1">#N/A</definedName>
    <definedName name="____PR2">#N/A</definedName>
    <definedName name="___DAT1" localSheetId="10">#REF!</definedName>
    <definedName name="___DAT1" localSheetId="9">#REF!</definedName>
    <definedName name="___DAT1" localSheetId="11">#REF!</definedName>
    <definedName name="___DAT1" localSheetId="12">#REF!</definedName>
    <definedName name="___DAT1" localSheetId="17">#REF!</definedName>
    <definedName name="___DAT1" localSheetId="24">#REF!</definedName>
    <definedName name="___DAT1" localSheetId="16">#REF!</definedName>
    <definedName name="___DAT1">#REF!</definedName>
    <definedName name="___DAT10" localSheetId="10">#REF!</definedName>
    <definedName name="___DAT10" localSheetId="9">#REF!</definedName>
    <definedName name="___DAT10" localSheetId="11">#REF!</definedName>
    <definedName name="___DAT10" localSheetId="12">#REF!</definedName>
    <definedName name="___DAT10" localSheetId="17">#REF!</definedName>
    <definedName name="___DAT10" localSheetId="24">#REF!</definedName>
    <definedName name="___DAT10" localSheetId="16">#REF!</definedName>
    <definedName name="___DAT10">#REF!</definedName>
    <definedName name="___DAT11" localSheetId="10">#REF!</definedName>
    <definedName name="___DAT11" localSheetId="9">#REF!</definedName>
    <definedName name="___DAT11" localSheetId="11">#REF!</definedName>
    <definedName name="___DAT11" localSheetId="12">#REF!</definedName>
    <definedName name="___DAT11" localSheetId="17">#REF!</definedName>
    <definedName name="___DAT11" localSheetId="24">#REF!</definedName>
    <definedName name="___DAT11" localSheetId="16">#REF!</definedName>
    <definedName name="___DAT11">#REF!</definedName>
    <definedName name="___DAT2" localSheetId="10">#REF!</definedName>
    <definedName name="___DAT2" localSheetId="9">#REF!</definedName>
    <definedName name="___DAT2" localSheetId="11">#REF!</definedName>
    <definedName name="___DAT2" localSheetId="12">#REF!</definedName>
    <definedName name="___DAT2" localSheetId="17">#REF!</definedName>
    <definedName name="___DAT2" localSheetId="24">#REF!</definedName>
    <definedName name="___DAT2" localSheetId="16">#REF!</definedName>
    <definedName name="___DAT2">#REF!</definedName>
    <definedName name="___DAT3" localSheetId="10">#REF!</definedName>
    <definedName name="___DAT3" localSheetId="9">#REF!</definedName>
    <definedName name="___DAT3" localSheetId="11">#REF!</definedName>
    <definedName name="___DAT3" localSheetId="12">#REF!</definedName>
    <definedName name="___DAT3" localSheetId="17">#REF!</definedName>
    <definedName name="___DAT3" localSheetId="24">#REF!</definedName>
    <definedName name="___DAT3" localSheetId="16">#REF!</definedName>
    <definedName name="___DAT3">#REF!</definedName>
    <definedName name="___DAT4" localSheetId="10">#REF!</definedName>
    <definedName name="___DAT4" localSheetId="9">#REF!</definedName>
    <definedName name="___DAT4" localSheetId="11">#REF!</definedName>
    <definedName name="___DAT4" localSheetId="12">#REF!</definedName>
    <definedName name="___DAT4" localSheetId="17">#REF!</definedName>
    <definedName name="___DAT4" localSheetId="24">#REF!</definedName>
    <definedName name="___DAT4" localSheetId="16">#REF!</definedName>
    <definedName name="___DAT4">#REF!</definedName>
    <definedName name="___DAT5" localSheetId="10">#REF!</definedName>
    <definedName name="___DAT5" localSheetId="9">#REF!</definedName>
    <definedName name="___DAT5" localSheetId="11">#REF!</definedName>
    <definedName name="___DAT5" localSheetId="12">#REF!</definedName>
    <definedName name="___DAT5" localSheetId="17">#REF!</definedName>
    <definedName name="___DAT5" localSheetId="24">#REF!</definedName>
    <definedName name="___DAT5" localSheetId="16">#REF!</definedName>
    <definedName name="___DAT5">#REF!</definedName>
    <definedName name="___DAT6" localSheetId="10">#REF!</definedName>
    <definedName name="___DAT6" localSheetId="9">#REF!</definedName>
    <definedName name="___DAT6" localSheetId="11">#REF!</definedName>
    <definedName name="___DAT6" localSheetId="12">#REF!</definedName>
    <definedName name="___DAT6" localSheetId="17">#REF!</definedName>
    <definedName name="___DAT6" localSheetId="24">#REF!</definedName>
    <definedName name="___DAT6" localSheetId="16">#REF!</definedName>
    <definedName name="___DAT6">#REF!</definedName>
    <definedName name="___DAT7" localSheetId="10">#REF!</definedName>
    <definedName name="___DAT7" localSheetId="9">#REF!</definedName>
    <definedName name="___DAT7" localSheetId="11">#REF!</definedName>
    <definedName name="___DAT7" localSheetId="12">#REF!</definedName>
    <definedName name="___DAT7" localSheetId="17">#REF!</definedName>
    <definedName name="___DAT7" localSheetId="24">#REF!</definedName>
    <definedName name="___DAT7" localSheetId="16">#REF!</definedName>
    <definedName name="___DAT7">#REF!</definedName>
    <definedName name="___DAT8" localSheetId="10">#REF!</definedName>
    <definedName name="___DAT8" localSheetId="9">#REF!</definedName>
    <definedName name="___DAT8" localSheetId="11">#REF!</definedName>
    <definedName name="___DAT8" localSheetId="12">#REF!</definedName>
    <definedName name="___DAT8" localSheetId="17">#REF!</definedName>
    <definedName name="___DAT8" localSheetId="24">#REF!</definedName>
    <definedName name="___DAT8" localSheetId="16">#REF!</definedName>
    <definedName name="___DAT8">#REF!</definedName>
    <definedName name="___DAT9" localSheetId="10">#REF!</definedName>
    <definedName name="___DAT9" localSheetId="9">#REF!</definedName>
    <definedName name="___DAT9" localSheetId="11">#REF!</definedName>
    <definedName name="___DAT9" localSheetId="12">#REF!</definedName>
    <definedName name="___DAT9" localSheetId="17">#REF!</definedName>
    <definedName name="___DAT9" localSheetId="24">#REF!</definedName>
    <definedName name="___DAT9" localSheetId="16">#REF!</definedName>
    <definedName name="___DAT9">#REF!</definedName>
    <definedName name="___IV70000" localSheetId="10">#REF!</definedName>
    <definedName name="___IV70000" localSheetId="9">#REF!</definedName>
    <definedName name="___IV70000" localSheetId="11">#REF!</definedName>
    <definedName name="___IV70000" localSheetId="12">#REF!</definedName>
    <definedName name="___IV70000" localSheetId="24">#REF!</definedName>
    <definedName name="___IV70000" localSheetId="16">#REF!</definedName>
    <definedName name="___IV70000">#REF!</definedName>
    <definedName name="___IV77777" localSheetId="10">#REF!</definedName>
    <definedName name="___IV77777" localSheetId="9">#REF!</definedName>
    <definedName name="___IV77777" localSheetId="11">#REF!</definedName>
    <definedName name="___IV77777" localSheetId="12">#REF!</definedName>
    <definedName name="___IV77777" localSheetId="24">#REF!</definedName>
    <definedName name="___IV77777" localSheetId="16">#REF!</definedName>
    <definedName name="___IV77777">#REF!</definedName>
    <definedName name="___PR1">#N/A</definedName>
    <definedName name="___PR2">#N/A</definedName>
    <definedName name="___PS1" localSheetId="10">#REF!</definedName>
    <definedName name="___PS1" localSheetId="9">#REF!</definedName>
    <definedName name="___PS1" localSheetId="11">#REF!</definedName>
    <definedName name="___PS1" localSheetId="12">#REF!</definedName>
    <definedName name="___PS1" localSheetId="24">#REF!</definedName>
    <definedName name="___PS1" localSheetId="16">#REF!</definedName>
    <definedName name="___PS1">#REF!</definedName>
    <definedName name="___PS2" localSheetId="10">#REF!</definedName>
    <definedName name="___PS2" localSheetId="9">#REF!</definedName>
    <definedName name="___PS2" localSheetId="11">#REF!</definedName>
    <definedName name="___PS2" localSheetId="12">#REF!</definedName>
    <definedName name="___PS2" localSheetId="24">#REF!</definedName>
    <definedName name="___PS2" localSheetId="16">#REF!</definedName>
    <definedName name="___PS2">#REF!</definedName>
    <definedName name="__DAT1" localSheetId="10">#REF!</definedName>
    <definedName name="__DAT1" localSheetId="9">#REF!</definedName>
    <definedName name="__DAT1" localSheetId="11">#REF!</definedName>
    <definedName name="__DAT1" localSheetId="12">#REF!</definedName>
    <definedName name="__DAT1" localSheetId="17">#REF!</definedName>
    <definedName name="__DAT1" localSheetId="24">#REF!</definedName>
    <definedName name="__DAT1" localSheetId="16">#REF!</definedName>
    <definedName name="__DAT1">#REF!</definedName>
    <definedName name="__DAT10" localSheetId="10">#REF!</definedName>
    <definedName name="__DAT10" localSheetId="9">#REF!</definedName>
    <definedName name="__DAT10" localSheetId="11">#REF!</definedName>
    <definedName name="__DAT10" localSheetId="12">#REF!</definedName>
    <definedName name="__DAT10" localSheetId="17">#REF!</definedName>
    <definedName name="__DAT10" localSheetId="24">#REF!</definedName>
    <definedName name="__DAT10" localSheetId="16">#REF!</definedName>
    <definedName name="__DAT10">#REF!</definedName>
    <definedName name="__DAT11" localSheetId="10">#REF!</definedName>
    <definedName name="__DAT11" localSheetId="9">#REF!</definedName>
    <definedName name="__DAT11" localSheetId="11">#REF!</definedName>
    <definedName name="__DAT11" localSheetId="12">#REF!</definedName>
    <definedName name="__DAT11" localSheetId="17">#REF!</definedName>
    <definedName name="__DAT11" localSheetId="24">#REF!</definedName>
    <definedName name="__DAT11" localSheetId="16">#REF!</definedName>
    <definedName name="__DAT11">#REF!</definedName>
    <definedName name="__DAT2" localSheetId="10">#REF!</definedName>
    <definedName name="__DAT2" localSheetId="9">#REF!</definedName>
    <definedName name="__DAT2" localSheetId="11">#REF!</definedName>
    <definedName name="__DAT2" localSheetId="12">#REF!</definedName>
    <definedName name="__DAT2" localSheetId="17">#REF!</definedName>
    <definedName name="__DAT2" localSheetId="24">#REF!</definedName>
    <definedName name="__DAT2" localSheetId="16">#REF!</definedName>
    <definedName name="__DAT2">#REF!</definedName>
    <definedName name="__DAT3" localSheetId="10">#REF!</definedName>
    <definedName name="__DAT3" localSheetId="9">#REF!</definedName>
    <definedName name="__DAT3" localSheetId="11">#REF!</definedName>
    <definedName name="__DAT3" localSheetId="12">#REF!</definedName>
    <definedName name="__DAT3" localSheetId="17">#REF!</definedName>
    <definedName name="__DAT3" localSheetId="24">#REF!</definedName>
    <definedName name="__DAT3" localSheetId="16">#REF!</definedName>
    <definedName name="__DAT3">#REF!</definedName>
    <definedName name="__DAT4" localSheetId="10">#REF!</definedName>
    <definedName name="__DAT4" localSheetId="9">#REF!</definedName>
    <definedName name="__DAT4" localSheetId="11">#REF!</definedName>
    <definedName name="__DAT4" localSheetId="12">#REF!</definedName>
    <definedName name="__DAT4" localSheetId="17">#REF!</definedName>
    <definedName name="__DAT4" localSheetId="24">#REF!</definedName>
    <definedName name="__DAT4" localSheetId="16">#REF!</definedName>
    <definedName name="__DAT4">#REF!</definedName>
    <definedName name="__DAT5" localSheetId="10">#REF!</definedName>
    <definedName name="__DAT5" localSheetId="9">#REF!</definedName>
    <definedName name="__DAT5" localSheetId="11">#REF!</definedName>
    <definedName name="__DAT5" localSheetId="12">#REF!</definedName>
    <definedName name="__DAT5" localSheetId="17">#REF!</definedName>
    <definedName name="__DAT5" localSheetId="24">#REF!</definedName>
    <definedName name="__DAT5" localSheetId="16">#REF!</definedName>
    <definedName name="__DAT5">#REF!</definedName>
    <definedName name="__DAT6" localSheetId="10">#REF!</definedName>
    <definedName name="__DAT6" localSheetId="9">#REF!</definedName>
    <definedName name="__DAT6" localSheetId="11">#REF!</definedName>
    <definedName name="__DAT6" localSheetId="12">#REF!</definedName>
    <definedName name="__DAT6" localSheetId="17">#REF!</definedName>
    <definedName name="__DAT6" localSheetId="24">#REF!</definedName>
    <definedName name="__DAT6" localSheetId="16">#REF!</definedName>
    <definedName name="__DAT6">#REF!</definedName>
    <definedName name="__DAT7" localSheetId="10">#REF!</definedName>
    <definedName name="__DAT7" localSheetId="9">#REF!</definedName>
    <definedName name="__DAT7" localSheetId="11">#REF!</definedName>
    <definedName name="__DAT7" localSheetId="12">#REF!</definedName>
    <definedName name="__DAT7" localSheetId="17">#REF!</definedName>
    <definedName name="__DAT7" localSheetId="24">#REF!</definedName>
    <definedName name="__DAT7" localSheetId="16">#REF!</definedName>
    <definedName name="__DAT7">#REF!</definedName>
    <definedName name="__DAT8" localSheetId="10">#REF!</definedName>
    <definedName name="__DAT8" localSheetId="9">#REF!</definedName>
    <definedName name="__DAT8" localSheetId="11">#REF!</definedName>
    <definedName name="__DAT8" localSheetId="12">#REF!</definedName>
    <definedName name="__DAT8" localSheetId="17">#REF!</definedName>
    <definedName name="__DAT8" localSheetId="24">#REF!</definedName>
    <definedName name="__DAT8" localSheetId="16">#REF!</definedName>
    <definedName name="__DAT8">#REF!</definedName>
    <definedName name="__DAT9" localSheetId="10">#REF!</definedName>
    <definedName name="__DAT9" localSheetId="9">#REF!</definedName>
    <definedName name="__DAT9" localSheetId="11">#REF!</definedName>
    <definedName name="__DAT9" localSheetId="12">#REF!</definedName>
    <definedName name="__DAT9" localSheetId="17">#REF!</definedName>
    <definedName name="__DAT9" localSheetId="24">#REF!</definedName>
    <definedName name="__DAT9" localSheetId="16">#REF!</definedName>
    <definedName name="__DAT9">#REF!</definedName>
    <definedName name="__ESTATE">#REF!</definedName>
    <definedName name="__FPMExcelClient_CellBasedFunctionStatus" localSheetId="13" hidden="1">"2_2_2_2_2"</definedName>
    <definedName name="__FPMExcelClient_CellBasedFunctionStatus" localSheetId="18" hidden="1">"2_2_2_2_2"</definedName>
    <definedName name="__IV70000" localSheetId="10">#REF!</definedName>
    <definedName name="__IV70000" localSheetId="9">#REF!</definedName>
    <definedName name="__IV70000" localSheetId="11">#REF!</definedName>
    <definedName name="__IV70000" localSheetId="12">#REF!</definedName>
    <definedName name="__IV70000" localSheetId="24">#REF!</definedName>
    <definedName name="__IV70000" localSheetId="16">#REF!</definedName>
    <definedName name="__IV70000">#REF!</definedName>
    <definedName name="__IV77777" localSheetId="10">#REF!</definedName>
    <definedName name="__IV77777" localSheetId="9">#REF!</definedName>
    <definedName name="__IV77777" localSheetId="11">#REF!</definedName>
    <definedName name="__IV77777" localSheetId="12">#REF!</definedName>
    <definedName name="__IV77777" localSheetId="24">#REF!</definedName>
    <definedName name="__IV77777" localSheetId="16">#REF!</definedName>
    <definedName name="__IV77777">#REF!</definedName>
    <definedName name="__PR1">#N/A</definedName>
    <definedName name="__PR2">#N/A</definedName>
    <definedName name="__PS1" localSheetId="10">#REF!</definedName>
    <definedName name="__PS1" localSheetId="9">#REF!</definedName>
    <definedName name="__PS1" localSheetId="11">#REF!</definedName>
    <definedName name="__PS1" localSheetId="12">#REF!</definedName>
    <definedName name="__PS1" localSheetId="24">#REF!</definedName>
    <definedName name="__PS1" localSheetId="16">#REF!</definedName>
    <definedName name="__PS1">#REF!</definedName>
    <definedName name="__PS2" localSheetId="10">#REF!</definedName>
    <definedName name="__PS2" localSheetId="9">#REF!</definedName>
    <definedName name="__PS2" localSheetId="11">#REF!</definedName>
    <definedName name="__PS2" localSheetId="12">#REF!</definedName>
    <definedName name="__PS2" localSheetId="24">#REF!</definedName>
    <definedName name="__PS2" localSheetId="16">#REF!</definedName>
    <definedName name="__PS2">#REF!</definedName>
    <definedName name="_1" localSheetId="12">#REF!</definedName>
    <definedName name="_1" localSheetId="17">#REF!</definedName>
    <definedName name="_1" localSheetId="19">#REF!</definedName>
    <definedName name="_1" localSheetId="16">#REF!</definedName>
    <definedName name="_1" localSheetId="18">#REF!</definedName>
    <definedName name="_1">#N/A</definedName>
    <definedName name="_1_____Module1_.Macro1" localSheetId="11">#REF!</definedName>
    <definedName name="_1_____Module1_.Macro1" localSheetId="12">#REF!</definedName>
    <definedName name="_1_____Module1_.Macro1" localSheetId="24">#REF!</definedName>
    <definedName name="_1_____Module1_.Macro1">#REF!</definedName>
    <definedName name="_10">#N/A</definedName>
    <definedName name="_10_____Module1_.Macro1" localSheetId="11">#REF!</definedName>
    <definedName name="_10_____Module1_.Macro1" localSheetId="12">#REF!</definedName>
    <definedName name="_10_____Module1_.Macro1" localSheetId="24">#REF!</definedName>
    <definedName name="_10_____Module1_.Macro1" localSheetId="16">#REF!</definedName>
    <definedName name="_10_____Module1_.Macro1">#REF!</definedName>
    <definedName name="_100___Module1_.Macro1" localSheetId="11">#REF!</definedName>
    <definedName name="_100___Module1_.Macro1" localSheetId="12">#REF!</definedName>
    <definedName name="_100___Module1_.Macro1" localSheetId="24">#REF!</definedName>
    <definedName name="_100___Module1_.Macro1" localSheetId="16">#REF!</definedName>
    <definedName name="_100___Module1_.Macro1">#REF!</definedName>
    <definedName name="_11" localSheetId="12">#REF!</definedName>
    <definedName name="_11" localSheetId="17">#REF!</definedName>
    <definedName name="_11" localSheetId="19">#REF!</definedName>
    <definedName name="_11" localSheetId="16">#REF!</definedName>
    <definedName name="_11" localSheetId="18">#REF!</definedName>
    <definedName name="_11">#N/A</definedName>
    <definedName name="_11_____Module1_.Macro1" localSheetId="11">#REF!</definedName>
    <definedName name="_11_____Module1_.Macro1" localSheetId="12">#REF!</definedName>
    <definedName name="_11_____Module1_.Macro1" localSheetId="24">#REF!</definedName>
    <definedName name="_11_____Module1_.Macro1">#REF!</definedName>
    <definedName name="_117____Module1_.Macro1" localSheetId="11">#REF!</definedName>
    <definedName name="_117____Module1_.Macro1" localSheetId="12">#REF!</definedName>
    <definedName name="_117____Module1_.Macro1" localSheetId="24">#REF!</definedName>
    <definedName name="_117____Module1_.Macro1">#REF!</definedName>
    <definedName name="_12______Module1_.Macro1" localSheetId="11">#REF!</definedName>
    <definedName name="_12______Module1_.Macro1" localSheetId="12">#REF!</definedName>
    <definedName name="_12______Module1_.Macro1" localSheetId="24">#REF!</definedName>
    <definedName name="_12______Module1_.Macro1" localSheetId="16">#REF!</definedName>
    <definedName name="_12______Module1_.Macro1">#REF!</definedName>
    <definedName name="_13______Module1_.Macro1" localSheetId="11">#REF!</definedName>
    <definedName name="_13______Module1_.Macro1" localSheetId="12">#REF!</definedName>
    <definedName name="_13______Module1_.Macro1" localSheetId="24">#REF!</definedName>
    <definedName name="_13______Module1_.Macro1">#REF!</definedName>
    <definedName name="_139____Module1_.Macro1" localSheetId="11">#REF!</definedName>
    <definedName name="_139____Module1_.Macro1" localSheetId="12">#REF!</definedName>
    <definedName name="_139____Module1_.Macro1" localSheetId="24">#REF!</definedName>
    <definedName name="_139____Module1_.Macro1" localSheetId="16">#REF!</definedName>
    <definedName name="_139____Module1_.Macro1">#REF!</definedName>
    <definedName name="_14_______Module1_.Macro1" localSheetId="11">#REF!</definedName>
    <definedName name="_14_______Module1_.Macro1" localSheetId="12">#REF!</definedName>
    <definedName name="_14_______Module1_.Macro1" localSheetId="24">#REF!</definedName>
    <definedName name="_14_______Module1_.Macro1" localSheetId="16">#REF!</definedName>
    <definedName name="_14_______Module1_.Macro1">#REF!</definedName>
    <definedName name="_15_______Module1_.Macro1" localSheetId="11">#REF!</definedName>
    <definedName name="_15_______Module1_.Macro1" localSheetId="12">#REF!</definedName>
    <definedName name="_15_______Module1_.Macro1" localSheetId="24">#REF!</definedName>
    <definedName name="_15_______Module1_.Macro1">#REF!</definedName>
    <definedName name="_152_____Module1_.Macro1" localSheetId="11">#REF!</definedName>
    <definedName name="_152_____Module1_.Macro1" localSheetId="12">#REF!</definedName>
    <definedName name="_152_____Module1_.Macro1" localSheetId="24">#REF!</definedName>
    <definedName name="_152_____Module1_.Macro1" localSheetId="16">#REF!</definedName>
    <definedName name="_152_____Module1_.Macro1">#REF!</definedName>
    <definedName name="_16________Module1_.Macro1" localSheetId="11">#REF!</definedName>
    <definedName name="_16________Module1_.Macro1" localSheetId="12">#REF!</definedName>
    <definedName name="_16________Module1_.Macro1" localSheetId="24">#REF!</definedName>
    <definedName name="_16________Module1_.Macro1" localSheetId="16">#REF!</definedName>
    <definedName name="_16________Module1_.Macro1">#REF!</definedName>
    <definedName name="_165______Module1_.Macro1" localSheetId="11">#REF!</definedName>
    <definedName name="_165______Module1_.Macro1" localSheetId="12">#REF!</definedName>
    <definedName name="_165______Module1_.Macro1" localSheetId="24">#REF!</definedName>
    <definedName name="_165______Module1_.Macro1" localSheetId="16">#REF!</definedName>
    <definedName name="_165______Module1_.Macro1">#REF!</definedName>
    <definedName name="_17________Module1_.Macro1" localSheetId="11">#REF!</definedName>
    <definedName name="_17________Module1_.Macro1" localSheetId="12">#REF!</definedName>
    <definedName name="_17________Module1_.Macro1" localSheetId="24">#REF!</definedName>
    <definedName name="_17________Module1_.Macro1">#REF!</definedName>
    <definedName name="_178_______Module1_.Macro1" localSheetId="11">#REF!</definedName>
    <definedName name="_178_______Module1_.Macro1" localSheetId="12">#REF!</definedName>
    <definedName name="_178_______Module1_.Macro1" localSheetId="24">#REF!</definedName>
    <definedName name="_178_______Module1_.Macro1" localSheetId="16">#REF!</definedName>
    <definedName name="_178_______Module1_.Macro1">#REF!</definedName>
    <definedName name="_18_________Module1_.Macro1" localSheetId="11">#REF!</definedName>
    <definedName name="_18_________Module1_.Macro1" localSheetId="12">#REF!</definedName>
    <definedName name="_18_________Module1_.Macro1" localSheetId="24">#REF!</definedName>
    <definedName name="_18_________Module1_.Macro1" localSheetId="16">#REF!</definedName>
    <definedName name="_18_________Module1_.Macro1">#REF!</definedName>
    <definedName name="_18______Module1_.Macro1" localSheetId="11">#REF!</definedName>
    <definedName name="_18______Module1_.Macro1" localSheetId="12">#REF!</definedName>
    <definedName name="_18______Module1_.Macro1" localSheetId="24">#REF!</definedName>
    <definedName name="_18______Module1_.Macro1">#REF!</definedName>
    <definedName name="_19_________Module1_.Macro1" localSheetId="11">#REF!</definedName>
    <definedName name="_19_________Module1_.Macro1" localSheetId="12">#REF!</definedName>
    <definedName name="_19_________Module1_.Macro1" localSheetId="24">#REF!</definedName>
    <definedName name="_19_________Module1_.Macro1">#REF!</definedName>
    <definedName name="_191________Module1_.Macro1" localSheetId="11">#REF!</definedName>
    <definedName name="_191________Module1_.Macro1" localSheetId="12">#REF!</definedName>
    <definedName name="_191________Module1_.Macro1" localSheetId="24">#REF!</definedName>
    <definedName name="_191________Module1_.Macro1" localSheetId="16">#REF!</definedName>
    <definedName name="_191________Module1_.Macro1">#REF!</definedName>
    <definedName name="_1Module1_.Macro1" localSheetId="11">#REF!</definedName>
    <definedName name="_1Module1_.Macro1" localSheetId="12">#REF!</definedName>
    <definedName name="_1Module1_.Macro1" localSheetId="24">#REF!</definedName>
    <definedName name="_1Module1_.Macro1" localSheetId="16">#REF!</definedName>
    <definedName name="_1Module1_.Macro1">#REF!</definedName>
    <definedName name="_2" localSheetId="12">#REF!</definedName>
    <definedName name="_2" localSheetId="17">#REF!</definedName>
    <definedName name="_2" localSheetId="19">#REF!</definedName>
    <definedName name="_2" localSheetId="16">#REF!</definedName>
    <definedName name="_2" localSheetId="18">#REF!</definedName>
    <definedName name="_2">#N/A</definedName>
    <definedName name="_2______Module1_.Macro1" localSheetId="11">#REF!</definedName>
    <definedName name="_2______Module1_.Macro1" localSheetId="12">#REF!</definedName>
    <definedName name="_2______Module1_.Macro1" localSheetId="24">#REF!</definedName>
    <definedName name="_2______Module1_.Macro1">#REF!</definedName>
    <definedName name="_20__________Module1_.Macro1" localSheetId="11">#REF!</definedName>
    <definedName name="_20__________Module1_.Macro1" localSheetId="12">#REF!</definedName>
    <definedName name="_20__________Module1_.Macro1" localSheetId="24">#REF!</definedName>
    <definedName name="_20__________Module1_.Macro1" localSheetId="16">#REF!</definedName>
    <definedName name="_20__________Module1_.Macro1">#REF!</definedName>
    <definedName name="_204_________Module1_.Macro1" localSheetId="11">#REF!</definedName>
    <definedName name="_204_________Module1_.Macro1" localSheetId="12">#REF!</definedName>
    <definedName name="_204_________Module1_.Macro1" localSheetId="24">#REF!</definedName>
    <definedName name="_204_________Module1_.Macro1" localSheetId="16">#REF!</definedName>
    <definedName name="_204_________Module1_.Macro1">#REF!</definedName>
    <definedName name="_21__________Module1_.Macro1" localSheetId="11">#REF!</definedName>
    <definedName name="_21__________Module1_.Macro1" localSheetId="12">#REF!</definedName>
    <definedName name="_21__________Module1_.Macro1" localSheetId="24">#REF!</definedName>
    <definedName name="_21__________Module1_.Macro1">#REF!</definedName>
    <definedName name="_217__________Module1_.Macro1" localSheetId="11">#REF!</definedName>
    <definedName name="_217__________Module1_.Macro1" localSheetId="12">#REF!</definedName>
    <definedName name="_217__________Module1_.Macro1" localSheetId="24">#REF!</definedName>
    <definedName name="_217__________Module1_.Macro1" localSheetId="16">#REF!</definedName>
    <definedName name="_217__________Module1_.Macro1">#REF!</definedName>
    <definedName name="_22____________Module1_.Macro1" localSheetId="11">#REF!</definedName>
    <definedName name="_22____________Module1_.Macro1" localSheetId="12">#REF!</definedName>
    <definedName name="_22____________Module1_.Macro1" localSheetId="24">#REF!</definedName>
    <definedName name="_22____________Module1_.Macro1" localSheetId="16">#REF!</definedName>
    <definedName name="_22____________Module1_.Macro1">#REF!</definedName>
    <definedName name="_22Module1_.Macro1" localSheetId="11">#REF!</definedName>
    <definedName name="_22Module1_.Macro1" localSheetId="12">#REF!</definedName>
    <definedName name="_22Module1_.Macro1" localSheetId="24">#REF!</definedName>
    <definedName name="_22Module1_.Macro1" localSheetId="16">#REF!</definedName>
    <definedName name="_22Module1_.Macro1">#REF!</definedName>
    <definedName name="_23____________Module1_.Macro1" localSheetId="11">#REF!</definedName>
    <definedName name="_23____________Module1_.Macro1" localSheetId="12">#REF!</definedName>
    <definedName name="_23____________Module1_.Macro1" localSheetId="24">#REF!</definedName>
    <definedName name="_23____________Module1_.Macro1">#REF!</definedName>
    <definedName name="_230____________Module1_.Macro1" localSheetId="11">#REF!</definedName>
    <definedName name="_230____________Module1_.Macro1" localSheetId="12">#REF!</definedName>
    <definedName name="_230____________Module1_.Macro1" localSheetId="24">#REF!</definedName>
    <definedName name="_230____________Module1_.Macro1" localSheetId="16">#REF!</definedName>
    <definedName name="_230____________Module1_.Macro1">#REF!</definedName>
    <definedName name="_24______________Module1_.Macro1" localSheetId="11">#REF!</definedName>
    <definedName name="_24______________Module1_.Macro1" localSheetId="12">#REF!</definedName>
    <definedName name="_24______________Module1_.Macro1" localSheetId="24">#REF!</definedName>
    <definedName name="_24______________Module1_.Macro1" localSheetId="16">#REF!</definedName>
    <definedName name="_24______________Module1_.Macro1">#REF!</definedName>
    <definedName name="_243______________Module1_.Macro1" localSheetId="11">#REF!</definedName>
    <definedName name="_243______________Module1_.Macro1" localSheetId="12">#REF!</definedName>
    <definedName name="_243______________Module1_.Macro1" localSheetId="24">#REF!</definedName>
    <definedName name="_243______________Module1_.Macro1" localSheetId="16">#REF!</definedName>
    <definedName name="_243______________Module1_.Macro1">#REF!</definedName>
    <definedName name="_25______________Module1_.Macro1" localSheetId="11">#REF!</definedName>
    <definedName name="_25______________Module1_.Macro1" localSheetId="12">#REF!</definedName>
    <definedName name="_25______________Module1_.Macro1" localSheetId="24">#REF!</definedName>
    <definedName name="_25______________Module1_.Macro1">#REF!</definedName>
    <definedName name="_256________________Module1_.Macro1" localSheetId="11">#REF!</definedName>
    <definedName name="_256________________Module1_.Macro1" localSheetId="12">#REF!</definedName>
    <definedName name="_256________________Module1_.Macro1" localSheetId="24">#REF!</definedName>
    <definedName name="_256________________Module1_.Macro1" localSheetId="16">#REF!</definedName>
    <definedName name="_256________________Module1_.Macro1">#REF!</definedName>
    <definedName name="_26________________Module1_.Macro1" localSheetId="11">#REF!</definedName>
    <definedName name="_26________________Module1_.Macro1" localSheetId="12">#REF!</definedName>
    <definedName name="_26________________Module1_.Macro1" localSheetId="24">#REF!</definedName>
    <definedName name="_26________________Module1_.Macro1" localSheetId="16">#REF!</definedName>
    <definedName name="_26________________Module1_.Macro1">#REF!</definedName>
    <definedName name="_27________________Module1_.Macro1" localSheetId="11">#REF!</definedName>
    <definedName name="_27________________Module1_.Macro1" localSheetId="12">#REF!</definedName>
    <definedName name="_27________________Module1_.Macro1" localSheetId="24">#REF!</definedName>
    <definedName name="_27________________Module1_.Macro1">#REF!</definedName>
    <definedName name="_27_______Module1_.Macro1" localSheetId="11">#REF!</definedName>
    <definedName name="_27_______Module1_.Macro1" localSheetId="12">#REF!</definedName>
    <definedName name="_27_______Module1_.Macro1" localSheetId="24">#REF!</definedName>
    <definedName name="_27_______Module1_.Macro1">#REF!</definedName>
    <definedName name="_27Module1_.Macro1" localSheetId="11">#REF!</definedName>
    <definedName name="_27Module1_.Macro1" localSheetId="12">#REF!</definedName>
    <definedName name="_27Module1_.Macro1" localSheetId="24">#REF!</definedName>
    <definedName name="_27Module1_.Macro1">#REF!</definedName>
    <definedName name="_2Module1_.Macro1" localSheetId="11">#REF!</definedName>
    <definedName name="_2Module1_.Macro1" localSheetId="12">#REF!</definedName>
    <definedName name="_2Module1_.Macro1" localSheetId="24">#REF!</definedName>
    <definedName name="_2Module1_.Macro1" localSheetId="16">#REF!</definedName>
    <definedName name="_2Module1_.Macro1">#REF!</definedName>
    <definedName name="_3" localSheetId="12">#REF!</definedName>
    <definedName name="_3" localSheetId="17">#REF!</definedName>
    <definedName name="_3" localSheetId="19">#REF!</definedName>
    <definedName name="_3" localSheetId="16">#REF!</definedName>
    <definedName name="_3" localSheetId="18">#REF!</definedName>
    <definedName name="_3">#N/A</definedName>
    <definedName name="_3_______Module1_.Macro1" localSheetId="11">#REF!</definedName>
    <definedName name="_3_______Module1_.Macro1" localSheetId="12">#REF!</definedName>
    <definedName name="_3_______Module1_.Macro1" localSheetId="24">#REF!</definedName>
    <definedName name="_3_______Module1_.Macro1">#REF!</definedName>
    <definedName name="_3__Module1_.Macro1" localSheetId="11">#REF!</definedName>
    <definedName name="_3__Module1_.Macro1" localSheetId="12">#REF!</definedName>
    <definedName name="_3__Module1_.Macro1" localSheetId="24">#REF!</definedName>
    <definedName name="_3__Module1_.Macro1">#REF!</definedName>
    <definedName name="_36________Module1_.Macro1" localSheetId="11">#REF!</definedName>
    <definedName name="_36________Module1_.Macro1" localSheetId="12">#REF!</definedName>
    <definedName name="_36________Module1_.Macro1" localSheetId="24">#REF!</definedName>
    <definedName name="_36________Module1_.Macro1">#REF!</definedName>
    <definedName name="_3Module1_.Macro1" localSheetId="11">#REF!</definedName>
    <definedName name="_3Module1_.Macro1" localSheetId="12">#REF!</definedName>
    <definedName name="_3Module1_.Macro1" localSheetId="24">#REF!</definedName>
    <definedName name="_3Module1_.Macro1">#REF!</definedName>
    <definedName name="_4" localSheetId="12">#REF!</definedName>
    <definedName name="_4" localSheetId="17">#REF!</definedName>
    <definedName name="_4" localSheetId="19">#REF!</definedName>
    <definedName name="_4" localSheetId="16">#REF!</definedName>
    <definedName name="_4" localSheetId="18">#REF!</definedName>
    <definedName name="_4">#N/A</definedName>
    <definedName name="_4________Module1_.Macro1" localSheetId="11">#REF!</definedName>
    <definedName name="_4________Module1_.Macro1" localSheetId="12">#REF!</definedName>
    <definedName name="_4________Module1_.Macro1" localSheetId="24">#REF!</definedName>
    <definedName name="_4________Module1_.Macro1">#REF!</definedName>
    <definedName name="_4__Module1_.Macro1" localSheetId="11">#REF!</definedName>
    <definedName name="_4__Module1_.Macro1" localSheetId="12">#REF!</definedName>
    <definedName name="_4__Module1_.Macro1" localSheetId="24">#REF!</definedName>
    <definedName name="_4__Module1_.Macro1" localSheetId="16">#REF!</definedName>
    <definedName name="_4__Module1_.Macro1">#REF!</definedName>
    <definedName name="_45_________Module1_.Macro1" localSheetId="11">#REF!</definedName>
    <definedName name="_45_________Module1_.Macro1" localSheetId="12">#REF!</definedName>
    <definedName name="_45_________Module1_.Macro1" localSheetId="24">#REF!</definedName>
    <definedName name="_45_________Module1_.Macro1">#REF!</definedName>
    <definedName name="_5" localSheetId="12">#REF!</definedName>
    <definedName name="_5" localSheetId="17">#REF!</definedName>
    <definedName name="_5" localSheetId="19">#REF!</definedName>
    <definedName name="_5" localSheetId="16">#REF!</definedName>
    <definedName name="_5" localSheetId="18">#REF!</definedName>
    <definedName name="_5">#N/A</definedName>
    <definedName name="_5_________Module1_.Macro1" localSheetId="11">#REF!</definedName>
    <definedName name="_5_________Module1_.Macro1" localSheetId="12">#REF!</definedName>
    <definedName name="_5_________Module1_.Macro1" localSheetId="24">#REF!</definedName>
    <definedName name="_5_________Module1_.Macro1">#REF!</definedName>
    <definedName name="_5__Module1_.Macro1" localSheetId="11">#REF!</definedName>
    <definedName name="_5__Module1_.Macro1" localSheetId="12">#REF!</definedName>
    <definedName name="_5__Module1_.Macro1" localSheetId="24">#REF!</definedName>
    <definedName name="_5__Module1_.Macro1">#REF!</definedName>
    <definedName name="_54__________Module1_.Macro1" localSheetId="11">#REF!</definedName>
    <definedName name="_54__________Module1_.Macro1" localSheetId="12">#REF!</definedName>
    <definedName name="_54__________Module1_.Macro1" localSheetId="24">#REF!</definedName>
    <definedName name="_54__________Module1_.Macro1">#REF!</definedName>
    <definedName name="_551">#REF!</definedName>
    <definedName name="_552">#REF!</definedName>
    <definedName name="_553">#REF!</definedName>
    <definedName name="_57__Module1_.Macro1" localSheetId="11">#REF!</definedName>
    <definedName name="_57__Module1_.Macro1" localSheetId="12">#REF!</definedName>
    <definedName name="_57__Module1_.Macro1" localSheetId="24">#REF!</definedName>
    <definedName name="_57__Module1_.Macro1">#REF!</definedName>
    <definedName name="_6" localSheetId="12">#REF!</definedName>
    <definedName name="_6" localSheetId="17">#REF!</definedName>
    <definedName name="_6" localSheetId="19">#REF!</definedName>
    <definedName name="_6" localSheetId="16">#REF!</definedName>
    <definedName name="_6" localSheetId="18">#REF!</definedName>
    <definedName name="_6">#N/A</definedName>
    <definedName name="_6__________Module1_.Macro1" localSheetId="11">#REF!</definedName>
    <definedName name="_6__________Module1_.Macro1" localSheetId="12">#REF!</definedName>
    <definedName name="_6__________Module1_.Macro1" localSheetId="24">#REF!</definedName>
    <definedName name="_6__________Module1_.Macro1">#REF!</definedName>
    <definedName name="_6___Module1_.Macro1" localSheetId="11">#REF!</definedName>
    <definedName name="_6___Module1_.Macro1" localSheetId="12">#REF!</definedName>
    <definedName name="_6___Module1_.Macro1" localSheetId="24">#REF!</definedName>
    <definedName name="_6___Module1_.Macro1" localSheetId="16">#REF!</definedName>
    <definedName name="_6___Module1_.Macro1">#REF!</definedName>
    <definedName name="_61__Module1_.Macro1" localSheetId="11">#REF!</definedName>
    <definedName name="_61__Module1_.Macro1" localSheetId="12">#REF!</definedName>
    <definedName name="_61__Module1_.Macro1" localSheetId="24">#REF!</definedName>
    <definedName name="_61__Module1_.Macro1" localSheetId="16">#REF!</definedName>
    <definedName name="_61__Module1_.Macro1">#REF!</definedName>
    <definedName name="_63____________Module1_.Macro1" localSheetId="11">#REF!</definedName>
    <definedName name="_63____________Module1_.Macro1" localSheetId="12">#REF!</definedName>
    <definedName name="_63____________Module1_.Macro1" localSheetId="24">#REF!</definedName>
    <definedName name="_63____________Module1_.Macro1">#REF!</definedName>
    <definedName name="_7" localSheetId="12">#REF!</definedName>
    <definedName name="_7" localSheetId="17">#REF!</definedName>
    <definedName name="_7" localSheetId="19">#REF!</definedName>
    <definedName name="_7" localSheetId="16">#REF!</definedName>
    <definedName name="_7" localSheetId="18">#REF!</definedName>
    <definedName name="_7">#N/A</definedName>
    <definedName name="_7____________Module1_.Macro1" localSheetId="11">#REF!</definedName>
    <definedName name="_7____________Module1_.Macro1" localSheetId="12">#REF!</definedName>
    <definedName name="_7____________Module1_.Macro1" localSheetId="24">#REF!</definedName>
    <definedName name="_7____________Module1_.Macro1">#REF!</definedName>
    <definedName name="_7___Module1_.Macro1" localSheetId="11">#REF!</definedName>
    <definedName name="_7___Module1_.Macro1" localSheetId="12">#REF!</definedName>
    <definedName name="_7___Module1_.Macro1" localSheetId="24">#REF!</definedName>
    <definedName name="_7___Module1_.Macro1">#REF!</definedName>
    <definedName name="_72______________Module1_.Macro1" localSheetId="11">#REF!</definedName>
    <definedName name="_72______________Module1_.Macro1" localSheetId="12">#REF!</definedName>
    <definedName name="_72______________Module1_.Macro1" localSheetId="24">#REF!</definedName>
    <definedName name="_72______________Module1_.Macro1">#REF!</definedName>
    <definedName name="_7Module1_.Macro1" localSheetId="11">#REF!</definedName>
    <definedName name="_7Module1_.Macro1" localSheetId="12">#REF!</definedName>
    <definedName name="_7Module1_.Macro1" localSheetId="24">#REF!</definedName>
    <definedName name="_7Module1_.Macro1" localSheetId="16">#REF!</definedName>
    <definedName name="_7Module1_.Macro1">#REF!</definedName>
    <definedName name="_8">#N/A</definedName>
    <definedName name="_8______________Module1_.Macro1" localSheetId="11">#REF!</definedName>
    <definedName name="_8______________Module1_.Macro1" localSheetId="12">#REF!</definedName>
    <definedName name="_8______________Module1_.Macro1" localSheetId="24">#REF!</definedName>
    <definedName name="_8______________Module1_.Macro1">#REF!</definedName>
    <definedName name="_8____Module1_.Macro1" localSheetId="11">#REF!</definedName>
    <definedName name="_8____Module1_.Macro1" localSheetId="12">#REF!</definedName>
    <definedName name="_8____Module1_.Macro1" localSheetId="24">#REF!</definedName>
    <definedName name="_8____Module1_.Macro1" localSheetId="16">#REF!</definedName>
    <definedName name="_8____Module1_.Macro1">#REF!</definedName>
    <definedName name="_81________________Module1_.Macro1" localSheetId="11">#REF!</definedName>
    <definedName name="_81________________Module1_.Macro1" localSheetId="12">#REF!</definedName>
    <definedName name="_81________________Module1_.Macro1" localSheetId="24">#REF!</definedName>
    <definedName name="_81________________Module1_.Macro1">#REF!</definedName>
    <definedName name="_87___Module1_.Macro1" localSheetId="11">#REF!</definedName>
    <definedName name="_87___Module1_.Macro1" localSheetId="12">#REF!</definedName>
    <definedName name="_87___Module1_.Macro1" localSheetId="24">#REF!</definedName>
    <definedName name="_87___Module1_.Macro1">#REF!</definedName>
    <definedName name="_9">#N/A</definedName>
    <definedName name="_9________________Module1_.Macro1" localSheetId="11">#REF!</definedName>
    <definedName name="_9________________Module1_.Macro1" localSheetId="12">#REF!</definedName>
    <definedName name="_9________________Module1_.Macro1" localSheetId="24">#REF!</definedName>
    <definedName name="_9________________Module1_.Macro1">#REF!</definedName>
    <definedName name="_9_____Module1_.Macro1" localSheetId="11">#REF!</definedName>
    <definedName name="_9_____Module1_.Macro1" localSheetId="12">#REF!</definedName>
    <definedName name="_9_____Module1_.Macro1" localSheetId="24">#REF!</definedName>
    <definedName name="_9_____Module1_.Macro1">#REF!</definedName>
    <definedName name="_9____Module1_.Macro1" localSheetId="11">#REF!</definedName>
    <definedName name="_9____Module1_.Macro1" localSheetId="12">#REF!</definedName>
    <definedName name="_9____Module1_.Macro1" localSheetId="24">#REF!</definedName>
    <definedName name="_9____Module1_.Macro1">#REF!</definedName>
    <definedName name="_Bal2" localSheetId="10">#REF!</definedName>
    <definedName name="_Bal2" localSheetId="9">#REF!</definedName>
    <definedName name="_Bal2" localSheetId="11">#REF!</definedName>
    <definedName name="_Bal2" localSheetId="12">#REF!</definedName>
    <definedName name="_Bal2" localSheetId="24">#REF!</definedName>
    <definedName name="_Bal2" localSheetId="16">#REF!</definedName>
    <definedName name="_Bal2">#REF!</definedName>
    <definedName name="_DAT1" localSheetId="10">#REF!</definedName>
    <definedName name="_DAT1" localSheetId="9">#REF!</definedName>
    <definedName name="_DAT1" localSheetId="11">#REF!</definedName>
    <definedName name="_DAT1" localSheetId="12">#REF!</definedName>
    <definedName name="_DAT1" localSheetId="17">#REF!</definedName>
    <definedName name="_DAT1" localSheetId="24">#REF!</definedName>
    <definedName name="_DAT1" localSheetId="16">#REF!</definedName>
    <definedName name="_DAT1">#REF!</definedName>
    <definedName name="_DAT10" localSheetId="10">#REF!</definedName>
    <definedName name="_DAT10" localSheetId="9">#REF!</definedName>
    <definedName name="_DAT10" localSheetId="11">#REF!</definedName>
    <definedName name="_DAT10" localSheetId="12">#REF!</definedName>
    <definedName name="_DAT10" localSheetId="17">#REF!</definedName>
    <definedName name="_DAT10" localSheetId="24">#REF!</definedName>
    <definedName name="_DAT10" localSheetId="16">#REF!</definedName>
    <definedName name="_DAT10" localSheetId="18">#REF!</definedName>
    <definedName name="_DAT10">#REF!</definedName>
    <definedName name="_DAT11" localSheetId="10">#REF!</definedName>
    <definedName name="_DAT11" localSheetId="9">#REF!</definedName>
    <definedName name="_DAT11" localSheetId="11">#REF!</definedName>
    <definedName name="_DAT11" localSheetId="12">#REF!</definedName>
    <definedName name="_DAT11" localSheetId="17">#REF!</definedName>
    <definedName name="_DAT11" localSheetId="24">#REF!</definedName>
    <definedName name="_DAT11" localSheetId="16">#REF!</definedName>
    <definedName name="_DAT11" localSheetId="18">#REF!</definedName>
    <definedName name="_DAT11">#REF!</definedName>
    <definedName name="_DAT2" localSheetId="10">#REF!</definedName>
    <definedName name="_DAT2" localSheetId="9">#REF!</definedName>
    <definedName name="_DAT2" localSheetId="11">#REF!</definedName>
    <definedName name="_DAT2" localSheetId="12">#REF!</definedName>
    <definedName name="_DAT2" localSheetId="17">#REF!</definedName>
    <definedName name="_DAT2" localSheetId="24">#REF!</definedName>
    <definedName name="_DAT2" localSheetId="16">#REF!</definedName>
    <definedName name="_DAT2">#REF!</definedName>
    <definedName name="_DAT3" localSheetId="10">#REF!</definedName>
    <definedName name="_DAT3" localSheetId="9">#REF!</definedName>
    <definedName name="_DAT3" localSheetId="11">#REF!</definedName>
    <definedName name="_DAT3" localSheetId="12">#REF!</definedName>
    <definedName name="_DAT3" localSheetId="17">#REF!</definedName>
    <definedName name="_DAT3" localSheetId="24">#REF!</definedName>
    <definedName name="_DAT3" localSheetId="16">#REF!</definedName>
    <definedName name="_DAT3">#REF!</definedName>
    <definedName name="_DAT4" localSheetId="10">#REF!</definedName>
    <definedName name="_DAT4" localSheetId="9">#REF!</definedName>
    <definedName name="_DAT4" localSheetId="11">#REF!</definedName>
    <definedName name="_DAT4" localSheetId="12">#REF!</definedName>
    <definedName name="_DAT4" localSheetId="17">#REF!</definedName>
    <definedName name="_DAT4" localSheetId="24">#REF!</definedName>
    <definedName name="_DAT4" localSheetId="16">#REF!</definedName>
    <definedName name="_DAT4">#REF!</definedName>
    <definedName name="_DAT5" localSheetId="10">#REF!</definedName>
    <definedName name="_DAT5" localSheetId="9">#REF!</definedName>
    <definedName name="_DAT5" localSheetId="11">#REF!</definedName>
    <definedName name="_DAT5" localSheetId="12">#REF!</definedName>
    <definedName name="_DAT5" localSheetId="17">#REF!</definedName>
    <definedName name="_DAT5" localSheetId="24">#REF!</definedName>
    <definedName name="_DAT5" localSheetId="16">#REF!</definedName>
    <definedName name="_DAT5">#REF!</definedName>
    <definedName name="_DAT6" localSheetId="10">#REF!</definedName>
    <definedName name="_DAT6" localSheetId="9">#REF!</definedName>
    <definedName name="_DAT6" localSheetId="11">#REF!</definedName>
    <definedName name="_DAT6" localSheetId="12">#REF!</definedName>
    <definedName name="_DAT6" localSheetId="17">#REF!</definedName>
    <definedName name="_DAT6" localSheetId="24">#REF!</definedName>
    <definedName name="_DAT6" localSheetId="16">#REF!</definedName>
    <definedName name="_DAT6">#REF!</definedName>
    <definedName name="_DAT7" localSheetId="10">#REF!</definedName>
    <definedName name="_DAT7" localSheetId="9">#REF!</definedName>
    <definedName name="_DAT7" localSheetId="11">#REF!</definedName>
    <definedName name="_DAT7" localSheetId="12">#REF!</definedName>
    <definedName name="_DAT7" localSheetId="17">#REF!</definedName>
    <definedName name="_DAT7" localSheetId="24">#REF!</definedName>
    <definedName name="_DAT7" localSheetId="16">#REF!</definedName>
    <definedName name="_DAT7">#REF!</definedName>
    <definedName name="_DAT8" localSheetId="10">#REF!</definedName>
    <definedName name="_DAT8" localSheetId="9">#REF!</definedName>
    <definedName name="_DAT8" localSheetId="11">#REF!</definedName>
    <definedName name="_DAT8" localSheetId="12">#REF!</definedName>
    <definedName name="_DAT8" localSheetId="17">#REF!</definedName>
    <definedName name="_DAT8" localSheetId="24">#REF!</definedName>
    <definedName name="_DAT8" localSheetId="16">#REF!</definedName>
    <definedName name="_DAT8" localSheetId="18">#REF!</definedName>
    <definedName name="_DAT8">#REF!</definedName>
    <definedName name="_DAT9" localSheetId="10">#REF!</definedName>
    <definedName name="_DAT9" localSheetId="9">#REF!</definedName>
    <definedName name="_DAT9" localSheetId="11">#REF!</definedName>
    <definedName name="_DAT9" localSheetId="12">#REF!</definedName>
    <definedName name="_DAT9" localSheetId="17">#REF!</definedName>
    <definedName name="_DAT9" localSheetId="24">#REF!</definedName>
    <definedName name="_DAT9" localSheetId="16">#REF!</definedName>
    <definedName name="_DAT9" localSheetId="18">#REF!</definedName>
    <definedName name="_DAT9">#REF!</definedName>
    <definedName name="_Dist_Values" localSheetId="10" hidden="1">#REF!</definedName>
    <definedName name="_Dist_Values" localSheetId="9" hidden="1">#REF!</definedName>
    <definedName name="_Dist_Values" localSheetId="22" hidden="1">#REF!</definedName>
    <definedName name="_Dist_Values" localSheetId="11" hidden="1">#REF!</definedName>
    <definedName name="_Dist_Values" localSheetId="6" hidden="1">#REF!</definedName>
    <definedName name="_Dist_Values" localSheetId="12" hidden="1">#REF!</definedName>
    <definedName name="_Dist_Values" hidden="1">#REF!</definedName>
    <definedName name="_Fill" localSheetId="27" hidden="1">#REF!</definedName>
    <definedName name="_Fill" localSheetId="10" hidden="1">#REF!</definedName>
    <definedName name="_Fill" localSheetId="9" hidden="1">#REF!</definedName>
    <definedName name="_Fill" localSheetId="22" hidden="1">#REF!</definedName>
    <definedName name="_Fill" localSheetId="11" hidden="1">#REF!</definedName>
    <definedName name="_Fill" localSheetId="26" hidden="1">#REF!</definedName>
    <definedName name="_Fill" localSheetId="6" hidden="1">#REF!</definedName>
    <definedName name="_Fill" localSheetId="12" hidden="1">#REF!</definedName>
    <definedName name="_Fill" localSheetId="17" hidden="1">#REF!</definedName>
    <definedName name="_Fill" localSheetId="24" hidden="1">#REF!</definedName>
    <definedName name="_Fill" localSheetId="16" hidden="1">#REF!</definedName>
    <definedName name="_Fill" hidden="1">#REF!</definedName>
    <definedName name="_xlnm._FilterDatabase" localSheetId="5" hidden="1">'Bank loan table'!$A$2:$N$41</definedName>
    <definedName name="_xlnm._FilterDatabase" localSheetId="22" hidden="1">'Group IC Loan'!$B$3:$H$61</definedName>
    <definedName name="_xlnm._FilterDatabase" localSheetId="11" hidden="1">'Intercompany Loan table'!$A$3:$L$64</definedName>
    <definedName name="_ilg1" localSheetId="10">#REF!</definedName>
    <definedName name="_ilg1" localSheetId="9">#REF!</definedName>
    <definedName name="_ilg1" localSheetId="11">#REF!</definedName>
    <definedName name="_ilg1" localSheetId="12">#REF!</definedName>
    <definedName name="_ilg1" localSheetId="24">#REF!</definedName>
    <definedName name="_ilg1" localSheetId="16">#REF!</definedName>
    <definedName name="_ilg1">#REF!</definedName>
    <definedName name="_imt2" localSheetId="10">#REF!</definedName>
    <definedName name="_imt2" localSheetId="9">#REF!</definedName>
    <definedName name="_imt2" localSheetId="11">#REF!</definedName>
    <definedName name="_imt2" localSheetId="12">#REF!</definedName>
    <definedName name="_imt2" localSheetId="24">#REF!</definedName>
    <definedName name="_imt2" localSheetId="16">#REF!</definedName>
    <definedName name="_imt2">#REF!</definedName>
    <definedName name="_int2" localSheetId="10">#REF!</definedName>
    <definedName name="_int2" localSheetId="9">#REF!</definedName>
    <definedName name="_int2" localSheetId="11">#REF!</definedName>
    <definedName name="_int2" localSheetId="12">#REF!</definedName>
    <definedName name="_int2" localSheetId="24">#REF!</definedName>
    <definedName name="_int2" localSheetId="16">#REF!</definedName>
    <definedName name="_int2">#REF!</definedName>
    <definedName name="_IV70000" localSheetId="10">#REF!</definedName>
    <definedName name="_IV70000" localSheetId="9">#REF!</definedName>
    <definedName name="_IV70000" localSheetId="11">#REF!</definedName>
    <definedName name="_IV70000" localSheetId="12">#REF!</definedName>
    <definedName name="_IV70000" localSheetId="24">#REF!</definedName>
    <definedName name="_IV70000" localSheetId="16">#REF!</definedName>
    <definedName name="_IV70000">#REF!</definedName>
    <definedName name="_IV77777" localSheetId="10">#REF!</definedName>
    <definedName name="_IV77777" localSheetId="9">#REF!</definedName>
    <definedName name="_IV77777" localSheetId="11">#REF!</definedName>
    <definedName name="_IV77777" localSheetId="12">#REF!</definedName>
    <definedName name="_IV77777" localSheetId="24">#REF!</definedName>
    <definedName name="_IV77777" localSheetId="16">#REF!</definedName>
    <definedName name="_IV77777">#REF!</definedName>
    <definedName name="_Key1" localSheetId="27" hidden="1">#REF!</definedName>
    <definedName name="_Key1" localSheetId="10" hidden="1">#REF!</definedName>
    <definedName name="_Key1" localSheetId="9" hidden="1">#REF!</definedName>
    <definedName name="_Key1" localSheetId="22" hidden="1">#REF!</definedName>
    <definedName name="_Key1" localSheetId="11" hidden="1">#REF!</definedName>
    <definedName name="_Key1" localSheetId="26" hidden="1">#REF!</definedName>
    <definedName name="_Key1" localSheetId="6" hidden="1">#REF!</definedName>
    <definedName name="_Key1" localSheetId="12" hidden="1">#REF!</definedName>
    <definedName name="_Key1" localSheetId="17" hidden="1">#REF!</definedName>
    <definedName name="_Key1" localSheetId="24" hidden="1">#REF!</definedName>
    <definedName name="_Key1" localSheetId="19" hidden="1">#REF!</definedName>
    <definedName name="_Key1" localSheetId="16" hidden="1">#REF!</definedName>
    <definedName name="_Key1" localSheetId="18" hidden="1">#REF!</definedName>
    <definedName name="_Key1" hidden="1">#REF!</definedName>
    <definedName name="_LB1">#REF!</definedName>
    <definedName name="_NEW1" localSheetId="10">#REF!</definedName>
    <definedName name="_NEW1" localSheetId="9">#REF!</definedName>
    <definedName name="_NEW1" localSheetId="11">#REF!</definedName>
    <definedName name="_NEW1" localSheetId="12">#REF!</definedName>
    <definedName name="_NEW1" localSheetId="17">#REF!</definedName>
    <definedName name="_NEW1" localSheetId="24">#REF!</definedName>
    <definedName name="_NEW1" localSheetId="16">#REF!</definedName>
    <definedName name="_NEW1" localSheetId="18">#REF!</definedName>
    <definedName name="_NEW1">#REF!</definedName>
    <definedName name="_NEW2" localSheetId="10">#REF!</definedName>
    <definedName name="_NEW2" localSheetId="9">#REF!</definedName>
    <definedName name="_NEW2" localSheetId="11">#REF!</definedName>
    <definedName name="_NEW2" localSheetId="12">#REF!</definedName>
    <definedName name="_NEW2" localSheetId="17">#REF!</definedName>
    <definedName name="_NEW2" localSheetId="24">#REF!</definedName>
    <definedName name="_NEW2" localSheetId="16">#REF!</definedName>
    <definedName name="_NEW2" localSheetId="18">#REF!</definedName>
    <definedName name="_NEW2">#REF!</definedName>
    <definedName name="_no1">#REF!</definedName>
    <definedName name="_no2">#REF!</definedName>
    <definedName name="_Order1" hidden="1">255</definedName>
    <definedName name="_Order2" hidden="1">255</definedName>
    <definedName name="_Parse_In" localSheetId="27" hidden="1">#REF!</definedName>
    <definedName name="_Parse_In" localSheetId="10" hidden="1">#REF!</definedName>
    <definedName name="_Parse_In" localSheetId="9" hidden="1">#REF!</definedName>
    <definedName name="_Parse_In" localSheetId="11" hidden="1">#REF!</definedName>
    <definedName name="_Parse_In" localSheetId="26" hidden="1">#REF!</definedName>
    <definedName name="_Parse_In" localSheetId="6" hidden="1">#REF!</definedName>
    <definedName name="_Parse_In" localSheetId="12" hidden="1">#REF!</definedName>
    <definedName name="_Parse_In" localSheetId="17" hidden="1">#REF!</definedName>
    <definedName name="_Parse_In" localSheetId="24" hidden="1">#REF!</definedName>
    <definedName name="_Parse_In" localSheetId="16" hidden="1">#REF!</definedName>
    <definedName name="_Parse_In" hidden="1">#REF!</definedName>
    <definedName name="_Parse_Out" localSheetId="27" hidden="1">#REF!</definedName>
    <definedName name="_Parse_Out" localSheetId="10" hidden="1">#REF!</definedName>
    <definedName name="_Parse_Out" localSheetId="9" hidden="1">#REF!</definedName>
    <definedName name="_Parse_Out" localSheetId="22" hidden="1">#REF!</definedName>
    <definedName name="_Parse_Out" localSheetId="11" hidden="1">#REF!</definedName>
    <definedName name="_Parse_Out" localSheetId="26" hidden="1">#REF!</definedName>
    <definedName name="_Parse_Out" localSheetId="6" hidden="1">#REF!</definedName>
    <definedName name="_Parse_Out" localSheetId="12" hidden="1">#REF!</definedName>
    <definedName name="_Parse_Out" localSheetId="17" hidden="1">#REF!</definedName>
    <definedName name="_Parse_Out" localSheetId="24" hidden="1">#REF!</definedName>
    <definedName name="_Parse_Out" localSheetId="16" hidden="1">#REF!</definedName>
    <definedName name="_Parse_Out" hidden="1">#REF!</definedName>
    <definedName name="_PL1" localSheetId="10">#REF!</definedName>
    <definedName name="_PL1" localSheetId="9">#REF!</definedName>
    <definedName name="_PL1" localSheetId="11">#REF!</definedName>
    <definedName name="_PL1" localSheetId="12">#REF!</definedName>
    <definedName name="_PL1" localSheetId="17">#REF!</definedName>
    <definedName name="_PL1" localSheetId="24">#REF!</definedName>
    <definedName name="_PL1" localSheetId="16">#REF!</definedName>
    <definedName name="_PL1" localSheetId="18">#REF!</definedName>
    <definedName name="_PL1">#REF!</definedName>
    <definedName name="_PL2" localSheetId="10">#REF!</definedName>
    <definedName name="_PL2" localSheetId="9">#REF!</definedName>
    <definedName name="_PL2" localSheetId="11">#REF!</definedName>
    <definedName name="_PL2" localSheetId="12">#REF!</definedName>
    <definedName name="_PL2" localSheetId="17">#REF!</definedName>
    <definedName name="_PL2" localSheetId="24">#REF!</definedName>
    <definedName name="_PL2" localSheetId="16">#REF!</definedName>
    <definedName name="_PL2" localSheetId="18">#REF!</definedName>
    <definedName name="_PL2">#REF!</definedName>
    <definedName name="_PR1">#N/A</definedName>
    <definedName name="_PR2">#N/A</definedName>
    <definedName name="_PRJ_SHEET_">#REF!</definedName>
    <definedName name="_ps3" localSheetId="10">#REF!</definedName>
    <definedName name="_ps3" localSheetId="9">#REF!</definedName>
    <definedName name="_ps3" localSheetId="11">#REF!</definedName>
    <definedName name="_ps3" localSheetId="12">#REF!</definedName>
    <definedName name="_ps3" localSheetId="24">#REF!</definedName>
    <definedName name="_ps3" localSheetId="16">#REF!</definedName>
    <definedName name="_ps3">#REF!</definedName>
    <definedName name="_Regression_Int" hidden="1">1</definedName>
    <definedName name="_Sort" localSheetId="27" hidden="1">#REF!</definedName>
    <definedName name="_Sort" localSheetId="10" hidden="1">#REF!</definedName>
    <definedName name="_Sort" localSheetId="9" hidden="1">#REF!</definedName>
    <definedName name="_Sort" localSheetId="22" hidden="1">#REF!</definedName>
    <definedName name="_Sort" localSheetId="11" hidden="1">#REF!</definedName>
    <definedName name="_Sort" localSheetId="26" hidden="1">#REF!</definedName>
    <definedName name="_Sort" localSheetId="6" hidden="1">#REF!</definedName>
    <definedName name="_Sort" localSheetId="12" hidden="1">#REF!</definedName>
    <definedName name="_Sort" localSheetId="17" hidden="1">#REF!</definedName>
    <definedName name="_Sort" localSheetId="24" hidden="1">#REF!</definedName>
    <definedName name="_Sort" localSheetId="16" hidden="1">#REF!</definedName>
    <definedName name="_Sort" hidden="1">#REF!</definedName>
    <definedName name="a" localSheetId="17">#REF!</definedName>
    <definedName name="a" localSheetId="19">#REF!</definedName>
    <definedName name="a" localSheetId="18">#REF!</definedName>
    <definedName name="A">#N/A</definedName>
    <definedName name="aa" localSheetId="27" hidden="1">#REF!</definedName>
    <definedName name="aa" localSheetId="10" hidden="1">#REF!</definedName>
    <definedName name="aa" localSheetId="9" hidden="1">#REF!</definedName>
    <definedName name="aa" localSheetId="11" hidden="1">#REF!</definedName>
    <definedName name="aa" localSheetId="26" hidden="1">#REF!</definedName>
    <definedName name="aa" localSheetId="6" hidden="1">#REF!</definedName>
    <definedName name="aa" localSheetId="12" hidden="1">#REF!</definedName>
    <definedName name="aa" localSheetId="17" hidden="1">#REF!</definedName>
    <definedName name="aa" localSheetId="24" hidden="1">#REF!</definedName>
    <definedName name="aa" localSheetId="19" hidden="1">#REF!</definedName>
    <definedName name="aa" localSheetId="16" hidden="1">#REF!</definedName>
    <definedName name="aa" localSheetId="18" hidden="1">#REF!</definedName>
    <definedName name="aa" hidden="1">#REF!</definedName>
    <definedName name="aaa" localSheetId="11">#REF!</definedName>
    <definedName name="aaa" localSheetId="12">#REF!</definedName>
    <definedName name="aaa" localSheetId="24">#REF!</definedName>
    <definedName name="aaa" localSheetId="16">#REF!</definedName>
    <definedName name="aaa">#REF!</definedName>
    <definedName name="aaaa" localSheetId="10">#REF!</definedName>
    <definedName name="aaaa" localSheetId="9">#REF!</definedName>
    <definedName name="aaaa" localSheetId="11">#REF!</definedName>
    <definedName name="aaaa" localSheetId="12">#REF!</definedName>
    <definedName name="aaaa" localSheetId="17">#REF!</definedName>
    <definedName name="aaaa" localSheetId="24">#REF!</definedName>
    <definedName name="aaaa" localSheetId="16">#REF!</definedName>
    <definedName name="aaaa">#REF!</definedName>
    <definedName name="AAAAA" localSheetId="10">#REF!</definedName>
    <definedName name="AAAAA" localSheetId="9">#REF!</definedName>
    <definedName name="AAAAA" localSheetId="11">#REF!</definedName>
    <definedName name="AAAAA" localSheetId="12">#REF!</definedName>
    <definedName name="AAAAA" localSheetId="24">#REF!</definedName>
    <definedName name="AAAAA">#REF!</definedName>
    <definedName name="Aasta" localSheetId="10">#REF!</definedName>
    <definedName name="Aasta" localSheetId="9">#REF!</definedName>
    <definedName name="Aasta" localSheetId="11">#REF!</definedName>
    <definedName name="Aasta" localSheetId="12">#REF!</definedName>
    <definedName name="Aasta" localSheetId="24">#REF!</definedName>
    <definedName name="Aasta" localSheetId="16">#REF!</definedName>
    <definedName name="Aasta">#REF!</definedName>
    <definedName name="ab" localSheetId="10">#REF!</definedName>
    <definedName name="ab" localSheetId="9">#REF!</definedName>
    <definedName name="ab" localSheetId="11">#REF!</definedName>
    <definedName name="ab" localSheetId="12">#REF!</definedName>
    <definedName name="ab" localSheetId="17">#REF!</definedName>
    <definedName name="ab" localSheetId="24">#REF!</definedName>
    <definedName name="ab" localSheetId="16">#REF!</definedName>
    <definedName name="ab">#REF!</definedName>
    <definedName name="About_AI" localSheetId="10">#REF!</definedName>
    <definedName name="About_AI" localSheetId="9">#REF!</definedName>
    <definedName name="About_AI" localSheetId="11">#REF!</definedName>
    <definedName name="About_AI" localSheetId="12">#REF!</definedName>
    <definedName name="About_AI" localSheetId="24">#REF!</definedName>
    <definedName name="About_AI" localSheetId="16">#REF!</definedName>
    <definedName name="About_AI">#REF!</definedName>
    <definedName name="About_AI_Summ" localSheetId="10">#REF!</definedName>
    <definedName name="About_AI_Summ" localSheetId="9">#REF!</definedName>
    <definedName name="About_AI_Summ" localSheetId="11">#REF!</definedName>
    <definedName name="About_AI_Summ" localSheetId="12">#REF!</definedName>
    <definedName name="About_AI_Summ" localSheetId="24">#REF!</definedName>
    <definedName name="About_AI_Summ" localSheetId="16">#REF!</definedName>
    <definedName name="About_AI_Summ">#REF!</definedName>
    <definedName name="ADD" localSheetId="10">#REF!</definedName>
    <definedName name="ADD" localSheetId="9">#REF!</definedName>
    <definedName name="ADD" localSheetId="11">#REF!</definedName>
    <definedName name="ADD" localSheetId="12">#REF!</definedName>
    <definedName name="ADD" localSheetId="17">#REF!</definedName>
    <definedName name="ADD" localSheetId="24">#REF!</definedName>
    <definedName name="ADD" localSheetId="16">#REF!</definedName>
    <definedName name="ADD" localSheetId="18">#REF!</definedName>
    <definedName name="ADD">#REF!</definedName>
    <definedName name="adj" localSheetId="10">#REF!</definedName>
    <definedName name="adj" localSheetId="9">#REF!</definedName>
    <definedName name="adj" localSheetId="11">#REF!</definedName>
    <definedName name="adj" localSheetId="12">#REF!</definedName>
    <definedName name="adj" localSheetId="17">#REF!</definedName>
    <definedName name="adj" localSheetId="24">#REF!</definedName>
    <definedName name="adj" localSheetId="16">#REF!</definedName>
    <definedName name="adj" localSheetId="18">#REF!</definedName>
    <definedName name="adj">#REF!</definedName>
    <definedName name="adj_eqty" localSheetId="10">#REF!</definedName>
    <definedName name="adj_eqty" localSheetId="9">#REF!</definedName>
    <definedName name="adj_eqty" localSheetId="11">#REF!</definedName>
    <definedName name="adj_eqty" localSheetId="12">#REF!</definedName>
    <definedName name="adj_eqty" localSheetId="17">#REF!</definedName>
    <definedName name="adj_eqty" localSheetId="24">#REF!</definedName>
    <definedName name="adj_eqty" localSheetId="16">#REF!</definedName>
    <definedName name="adj_eqty" localSheetId="18">#REF!</definedName>
    <definedName name="adj_eqty">#REF!</definedName>
    <definedName name="adsf" localSheetId="10">#REF!</definedName>
    <definedName name="adsf" localSheetId="9">#REF!</definedName>
    <definedName name="adsf" localSheetId="11">#REF!</definedName>
    <definedName name="adsf" localSheetId="12">#REF!</definedName>
    <definedName name="adsf" localSheetId="17">#REF!</definedName>
    <definedName name="adsf" localSheetId="24">#REF!</definedName>
    <definedName name="adsf" localSheetId="16">#REF!</definedName>
    <definedName name="adsf">#REF!</definedName>
    <definedName name="ADV" localSheetId="10">#REF!</definedName>
    <definedName name="ADV" localSheetId="9">#REF!</definedName>
    <definedName name="ADV" localSheetId="11">#REF!</definedName>
    <definedName name="ADV" localSheetId="12">#REF!</definedName>
    <definedName name="ADV" localSheetId="17">#REF!</definedName>
    <definedName name="ADV" localSheetId="24">#REF!</definedName>
    <definedName name="ADV" localSheetId="16">#REF!</definedName>
    <definedName name="ADV">#REF!</definedName>
    <definedName name="aewf" localSheetId="10">#REF!</definedName>
    <definedName name="aewf" localSheetId="9">#REF!</definedName>
    <definedName name="aewf" localSheetId="11">#REF!</definedName>
    <definedName name="aewf" localSheetId="12">#REF!</definedName>
    <definedName name="aewf" localSheetId="17">#REF!</definedName>
    <definedName name="aewf" localSheetId="24">#REF!</definedName>
    <definedName name="aewf" localSheetId="16">#REF!</definedName>
    <definedName name="aewf">#REF!</definedName>
    <definedName name="AI" localSheetId="10">#REF!</definedName>
    <definedName name="AI" localSheetId="9">#REF!</definedName>
    <definedName name="AI" localSheetId="11">#REF!</definedName>
    <definedName name="AI" localSheetId="12">#REF!</definedName>
    <definedName name="AI" localSheetId="17">#REF!</definedName>
    <definedName name="AI" localSheetId="24">#REF!</definedName>
    <definedName name="AI" localSheetId="16">#REF!</definedName>
    <definedName name="AI" localSheetId="18">#REF!</definedName>
    <definedName name="AI">#REF!</definedName>
    <definedName name="AI_Version">#REF!</definedName>
    <definedName name="akc" localSheetId="10">#REF!</definedName>
    <definedName name="akc" localSheetId="9">#REF!</definedName>
    <definedName name="akc" localSheetId="11">#REF!</definedName>
    <definedName name="akc" localSheetId="12">#REF!</definedName>
    <definedName name="akc" localSheetId="24">#REF!</definedName>
    <definedName name="akc" localSheetId="16">#REF!</definedName>
    <definedName name="akc">#REF!</definedName>
    <definedName name="AkcijuPok" localSheetId="10">#REF!</definedName>
    <definedName name="AkcijuPok" localSheetId="9">#REF!</definedName>
    <definedName name="AkcijuPok" localSheetId="11">#REF!</definedName>
    <definedName name="AkcijuPok" localSheetId="12">#REF!</definedName>
    <definedName name="AkcijuPok" localSheetId="24">#REF!</definedName>
    <definedName name="AkcijuPok" localSheetId="16">#REF!</definedName>
    <definedName name="AkcijuPok">#REF!</definedName>
    <definedName name="akcininku" localSheetId="10">#REF!</definedName>
    <definedName name="akcininku" localSheetId="9">#REF!</definedName>
    <definedName name="akcininku" localSheetId="11">#REF!</definedName>
    <definedName name="akcininku" localSheetId="12">#REF!</definedName>
    <definedName name="akcininku" localSheetId="24">#REF!</definedName>
    <definedName name="akcininku" localSheetId="16">#REF!</definedName>
    <definedName name="akcininku">#REF!</definedName>
    <definedName name="AM" localSheetId="10">#REF!</definedName>
    <definedName name="AM" localSheetId="9">#REF!</definedName>
    <definedName name="AM" localSheetId="11">#REF!</definedName>
    <definedName name="AM" localSheetId="12">#REF!</definedName>
    <definedName name="AM" localSheetId="17">#REF!</definedName>
    <definedName name="AM" localSheetId="24">#REF!</definedName>
    <definedName name="AM" localSheetId="16">#REF!</definedName>
    <definedName name="AM">#REF!</definedName>
    <definedName name="APMI" localSheetId="10">#REF!</definedName>
    <definedName name="APMI" localSheetId="9">#REF!</definedName>
    <definedName name="APMI" localSheetId="11">#REF!</definedName>
    <definedName name="APMI" localSheetId="12">#REF!</definedName>
    <definedName name="APMI" localSheetId="24">#REF!</definedName>
    <definedName name="APMI" localSheetId="16">#REF!</definedName>
    <definedName name="APMI">#REF!</definedName>
    <definedName name="APMlik" localSheetId="10">#REF!</definedName>
    <definedName name="APMlik" localSheetId="9">#REF!</definedName>
    <definedName name="APMlik" localSheetId="11">#REF!</definedName>
    <definedName name="APMlik" localSheetId="12">#REF!</definedName>
    <definedName name="APMlik" localSheetId="24">#REF!</definedName>
    <definedName name="APMlik" localSheetId="16">#REF!</definedName>
    <definedName name="APMlik">#REF!</definedName>
    <definedName name="APMS" localSheetId="10">#REF!</definedName>
    <definedName name="APMS" localSheetId="9">#REF!</definedName>
    <definedName name="APMS" localSheetId="11">#REF!</definedName>
    <definedName name="APMS" localSheetId="12">#REF!</definedName>
    <definedName name="APMS" localSheetId="24">#REF!</definedName>
    <definedName name="APMS" localSheetId="16">#REF!</definedName>
    <definedName name="APMS">#REF!</definedName>
    <definedName name="APMT" localSheetId="10">#REF!</definedName>
    <definedName name="APMT" localSheetId="9">#REF!</definedName>
    <definedName name="APMT" localSheetId="11">#REF!</definedName>
    <definedName name="APMT" localSheetId="12">#REF!</definedName>
    <definedName name="APMT" localSheetId="24">#REF!</definedName>
    <definedName name="APMT" localSheetId="16">#REF!</definedName>
    <definedName name="APMT">#REF!</definedName>
    <definedName name="APMTBendr" localSheetId="10">#REF!</definedName>
    <definedName name="APMTBendr" localSheetId="9">#REF!</definedName>
    <definedName name="APMTBendr" localSheetId="11">#REF!</definedName>
    <definedName name="APMTBendr" localSheetId="12">#REF!</definedName>
    <definedName name="APMTBendr" localSheetId="24">#REF!</definedName>
    <definedName name="APMTBendr" localSheetId="16">#REF!</definedName>
    <definedName name="APMTBendr">#REF!</definedName>
    <definedName name="APMTI" localSheetId="10">#REF!</definedName>
    <definedName name="APMTI" localSheetId="9">#REF!</definedName>
    <definedName name="APMTI" localSheetId="11">#REF!</definedName>
    <definedName name="APMTI" localSheetId="12">#REF!</definedName>
    <definedName name="APMTI" localSheetId="24">#REF!</definedName>
    <definedName name="APMTI" localSheetId="16">#REF!</definedName>
    <definedName name="APMTI">#REF!</definedName>
    <definedName name="AR_allowance_2008" localSheetId="10">#REF!</definedName>
    <definedName name="AR_allowance_2008" localSheetId="9">#REF!</definedName>
    <definedName name="AR_allowance_2008" localSheetId="11">#REF!</definedName>
    <definedName name="AR_allowance_2008" localSheetId="12">#REF!</definedName>
    <definedName name="AR_allowance_2008" localSheetId="24">#REF!</definedName>
    <definedName name="AR_allowance_2008" localSheetId="16">#REF!</definedName>
    <definedName name="AR_allowance_2008">#REF!</definedName>
    <definedName name="AREA" localSheetId="10">#REF!</definedName>
    <definedName name="AREA" localSheetId="9">#REF!</definedName>
    <definedName name="AREA" localSheetId="11">#REF!</definedName>
    <definedName name="AREA" localSheetId="12">#REF!</definedName>
    <definedName name="AREA" localSheetId="17">#REF!</definedName>
    <definedName name="AREA" localSheetId="24">#REF!</definedName>
    <definedName name="AREA" localSheetId="16">#REF!</definedName>
    <definedName name="AREA">#REF!</definedName>
    <definedName name="as" localSheetId="10">#REF!</definedName>
    <definedName name="as" localSheetId="9">#REF!</definedName>
    <definedName name="as" localSheetId="11">#REF!</definedName>
    <definedName name="as" localSheetId="12">#REF!</definedName>
    <definedName name="as" localSheetId="24">#REF!</definedName>
    <definedName name="as" localSheetId="16">#REF!</definedName>
    <definedName name="as">#REF!</definedName>
    <definedName name="AS2DocOpenMode" hidden="1">"AS2DocumentBrowse"</definedName>
    <definedName name="AS2ReportLS" hidden="1">1</definedName>
    <definedName name="AS2SyncStepLS" hidden="1">0</definedName>
    <definedName name="AS2TickmarkLS" localSheetId="27" hidden="1">#REF!</definedName>
    <definedName name="AS2TickmarkLS" localSheetId="10" hidden="1">#REF!</definedName>
    <definedName name="AS2TickmarkLS" localSheetId="25" hidden="1">#REF!</definedName>
    <definedName name="AS2TickmarkLS" localSheetId="9" hidden="1">#REF!</definedName>
    <definedName name="AS2TickmarkLS" localSheetId="22" hidden="1">#REF!</definedName>
    <definedName name="AS2TickmarkLS" localSheetId="11" hidden="1">#REF!</definedName>
    <definedName name="AS2TickmarkLS" localSheetId="26" hidden="1">#REF!</definedName>
    <definedName name="AS2TickmarkLS" localSheetId="6" hidden="1">#REF!</definedName>
    <definedName name="AS2TickmarkLS" localSheetId="12" hidden="1">#REF!</definedName>
    <definedName name="AS2TickmarkLS" localSheetId="24" hidden="1">#REF!</definedName>
    <definedName name="AS2TickmarkLS" localSheetId="16" hidden="1">#REF!</definedName>
    <definedName name="AS2TickmarkLS" hidden="1">#REF!</definedName>
    <definedName name="AS2VersionLS" hidden="1">300</definedName>
    <definedName name="ASCOCP" localSheetId="10">#REF!</definedName>
    <definedName name="ASCOCP" localSheetId="9">#REF!</definedName>
    <definedName name="ASCOCP" localSheetId="11">#REF!</definedName>
    <definedName name="ASCOCP" localSheetId="12">#REF!</definedName>
    <definedName name="ASCOCP" localSheetId="24">#REF!</definedName>
    <definedName name="ASCOCP" localSheetId="16">#REF!</definedName>
    <definedName name="ASCOCP">#REF!</definedName>
    <definedName name="asd" localSheetId="10">#REF!</definedName>
    <definedName name="asd" localSheetId="9">#REF!</definedName>
    <definedName name="asd" localSheetId="11">#REF!</definedName>
    <definedName name="asd" localSheetId="12">#REF!</definedName>
    <definedName name="asd" localSheetId="17">#REF!</definedName>
    <definedName name="asd" localSheetId="24">#REF!</definedName>
    <definedName name="asd" localSheetId="16">#REF!</definedName>
    <definedName name="asd">#REF!</definedName>
    <definedName name="asdddvas" localSheetId="11">#REF!</definedName>
    <definedName name="asdddvas" localSheetId="12">#REF!</definedName>
    <definedName name="asdddvas" localSheetId="17">#REF!</definedName>
    <definedName name="asdddvas" localSheetId="24">#REF!</definedName>
    <definedName name="asdddvas" localSheetId="16">#REF!</definedName>
    <definedName name="asdddvas">#REF!</definedName>
    <definedName name="asdf" localSheetId="10">#REF!</definedName>
    <definedName name="asdf" localSheetId="9">#REF!</definedName>
    <definedName name="asdf" localSheetId="11">#REF!</definedName>
    <definedName name="asdf" localSheetId="12">#REF!</definedName>
    <definedName name="asdf" localSheetId="17">#REF!</definedName>
    <definedName name="asdf" localSheetId="24">#REF!</definedName>
    <definedName name="asdf" localSheetId="16">#REF!</definedName>
    <definedName name="asdf">#REF!</definedName>
    <definedName name="asdzze4" localSheetId="11">#REF!</definedName>
    <definedName name="asdzze4" localSheetId="12">#REF!</definedName>
    <definedName name="asdzze4" localSheetId="17">#REF!</definedName>
    <definedName name="asdzze4" localSheetId="24">#REF!</definedName>
    <definedName name="asdzze4" localSheetId="16">#REF!</definedName>
    <definedName name="asdzze4">#REF!</definedName>
    <definedName name="asob" localSheetId="10">#REF!</definedName>
    <definedName name="asob" localSheetId="9">#REF!</definedName>
    <definedName name="asob" localSheetId="11">#REF!</definedName>
    <definedName name="asob" localSheetId="12">#REF!</definedName>
    <definedName name="asob" localSheetId="24">#REF!</definedName>
    <definedName name="asob" localSheetId="16">#REF!</definedName>
    <definedName name="asob">#REF!</definedName>
    <definedName name="asoc" localSheetId="10">#REF!</definedName>
    <definedName name="asoc" localSheetId="9">#REF!</definedName>
    <definedName name="asoc" localSheetId="11">#REF!</definedName>
    <definedName name="asoc" localSheetId="12">#REF!</definedName>
    <definedName name="asoc" localSheetId="24">#REF!</definedName>
    <definedName name="asoc" localSheetId="16">#REF!</definedName>
    <definedName name="asoc">#REF!</definedName>
    <definedName name="asoc2" localSheetId="10">#REF!</definedName>
    <definedName name="asoc2" localSheetId="9">#REF!</definedName>
    <definedName name="asoc2" localSheetId="11">#REF!</definedName>
    <definedName name="asoc2" localSheetId="12">#REF!</definedName>
    <definedName name="asoc2" localSheetId="24">#REF!</definedName>
    <definedName name="asoc2" localSheetId="16">#REF!</definedName>
    <definedName name="asoc2">#REF!</definedName>
    <definedName name="asoc3" localSheetId="10">#REF!</definedName>
    <definedName name="asoc3" localSheetId="9">#REF!</definedName>
    <definedName name="asoc3" localSheetId="11">#REF!</definedName>
    <definedName name="asoc3" localSheetId="12">#REF!</definedName>
    <definedName name="asoc3" localSheetId="24">#REF!</definedName>
    <definedName name="asoc3" localSheetId="16">#REF!</definedName>
    <definedName name="asoc3">#REF!</definedName>
    <definedName name="asoc4" localSheetId="10">#REF!</definedName>
    <definedName name="asoc4" localSheetId="9">#REF!</definedName>
    <definedName name="asoc4" localSheetId="11">#REF!</definedName>
    <definedName name="asoc4" localSheetId="12">#REF!</definedName>
    <definedName name="asoc4" localSheetId="24">#REF!</definedName>
    <definedName name="asoc4" localSheetId="16">#REF!</definedName>
    <definedName name="asoc4">#REF!</definedName>
    <definedName name="AsocB" localSheetId="10">#REF!</definedName>
    <definedName name="AsocB" localSheetId="9">#REF!</definedName>
    <definedName name="AsocB" localSheetId="11">#REF!</definedName>
    <definedName name="AsocB" localSheetId="12">#REF!</definedName>
    <definedName name="AsocB" localSheetId="24">#REF!</definedName>
    <definedName name="AsocB" localSheetId="16">#REF!</definedName>
    <definedName name="AsocB">#REF!</definedName>
    <definedName name="AsocBe" localSheetId="10">#REF!</definedName>
    <definedName name="AsocBe" localSheetId="9">#REF!</definedName>
    <definedName name="AsocBe" localSheetId="11">#REF!</definedName>
    <definedName name="AsocBe" localSheetId="12">#REF!</definedName>
    <definedName name="AsocBe" localSheetId="24">#REF!</definedName>
    <definedName name="AsocBe" localSheetId="16">#REF!</definedName>
    <definedName name="AsocBe">#REF!</definedName>
    <definedName name="AsocGr" localSheetId="10">#REF!</definedName>
    <definedName name="AsocGr" localSheetId="9">#REF!</definedName>
    <definedName name="AsocGr" localSheetId="11">#REF!</definedName>
    <definedName name="AsocGr" localSheetId="12">#REF!</definedName>
    <definedName name="AsocGr" localSheetId="24">#REF!</definedName>
    <definedName name="AsocGr" localSheetId="16">#REF!</definedName>
    <definedName name="AsocGr">#REF!</definedName>
    <definedName name="Asocijuota_įmonė" localSheetId="10">#REF!</definedName>
    <definedName name="Asocijuota_įmonė" localSheetId="9">#REF!</definedName>
    <definedName name="Asocijuota_įmonė" localSheetId="11">#REF!</definedName>
    <definedName name="Asocijuota_įmonė" localSheetId="12">#REF!</definedName>
    <definedName name="Asocijuota_įmonė" localSheetId="24">#REF!</definedName>
    <definedName name="Asocijuota_įmonė" localSheetId="16">#REF!</definedName>
    <definedName name="Asocijuota_įmonė">#REF!</definedName>
    <definedName name="AsocLikBendr" localSheetId="10">#REF!</definedName>
    <definedName name="AsocLikBendr" localSheetId="9">#REF!</definedName>
    <definedName name="AsocLikBendr" localSheetId="11">#REF!</definedName>
    <definedName name="AsocLikBendr" localSheetId="12">#REF!</definedName>
    <definedName name="AsocLikBendr" localSheetId="24">#REF!</definedName>
    <definedName name="AsocLikBendr" localSheetId="16">#REF!</definedName>
    <definedName name="AsocLikBendr">#REF!</definedName>
    <definedName name="AsocLikGr" localSheetId="10">#REF!</definedName>
    <definedName name="AsocLikGr" localSheetId="9">#REF!</definedName>
    <definedName name="AsocLikGr" localSheetId="11">#REF!</definedName>
    <definedName name="AsocLikGr" localSheetId="12">#REF!</definedName>
    <definedName name="AsocLikGr" localSheetId="24">#REF!</definedName>
    <definedName name="AsocLikGr" localSheetId="16">#REF!</definedName>
    <definedName name="AsocLikGr">#REF!</definedName>
    <definedName name="AsocPok" localSheetId="10">#REF!</definedName>
    <definedName name="AsocPok" localSheetId="9">#REF!</definedName>
    <definedName name="AsocPok" localSheetId="11">#REF!</definedName>
    <definedName name="AsocPok" localSheetId="12">#REF!</definedName>
    <definedName name="AsocPok" localSheetId="24">#REF!</definedName>
    <definedName name="AsocPok" localSheetId="16">#REF!</definedName>
    <definedName name="AsocPok">#REF!</definedName>
    <definedName name="AsocPokS" localSheetId="10">#REF!</definedName>
    <definedName name="AsocPokS" localSheetId="9">#REF!</definedName>
    <definedName name="AsocPokS" localSheetId="11">#REF!</definedName>
    <definedName name="AsocPokS" localSheetId="12">#REF!</definedName>
    <definedName name="AsocPokS" localSheetId="24">#REF!</definedName>
    <definedName name="AsocPokS" localSheetId="16">#REF!</definedName>
    <definedName name="AsocPokS">#REF!</definedName>
    <definedName name="ass" localSheetId="10">#REF!</definedName>
    <definedName name="ass" localSheetId="9">#REF!</definedName>
    <definedName name="ass" localSheetId="11">#REF!</definedName>
    <definedName name="ass" localSheetId="12">#REF!</definedName>
    <definedName name="ass" localSheetId="17">#REF!</definedName>
    <definedName name="ass" localSheetId="24">#REF!</definedName>
    <definedName name="ass" localSheetId="16">#REF!</definedName>
    <definedName name="ass">#REF!</definedName>
    <definedName name="asset_count_1">#REF!</definedName>
    <definedName name="asset_count_2">#REF!</definedName>
    <definedName name="asset_count_3">#REF!</definedName>
    <definedName name="asso_1" localSheetId="19">#REF!</definedName>
    <definedName name="asso_1">#REF!</definedName>
    <definedName name="asso_2" localSheetId="19">#REF!</definedName>
    <definedName name="asso_2">#REF!</definedName>
    <definedName name="Atsargos_tr" localSheetId="10">#REF!</definedName>
    <definedName name="Atsargos_tr" localSheetId="9">#REF!</definedName>
    <definedName name="Atsargos_tr" localSheetId="11">#REF!</definedName>
    <definedName name="Atsargos_tr" localSheetId="12">#REF!</definedName>
    <definedName name="Atsargos_tr" localSheetId="24">#REF!</definedName>
    <definedName name="Atsargos_tr" localSheetId="16">#REF!</definedName>
    <definedName name="Atsargos_tr">#REF!</definedName>
    <definedName name="atsargos08" localSheetId="10">#REF!</definedName>
    <definedName name="atsargos08" localSheetId="9">#REF!</definedName>
    <definedName name="atsargos08" localSheetId="11">#REF!</definedName>
    <definedName name="atsargos08" localSheetId="12">#REF!</definedName>
    <definedName name="atsargos08" localSheetId="24">#REF!</definedName>
    <definedName name="atsargos08" localSheetId="16">#REF!</definedName>
    <definedName name="atsargos08">#REF!</definedName>
    <definedName name="AtTIGTV" localSheetId="10">#REF!</definedName>
    <definedName name="AtTIGTV" localSheetId="9">#REF!</definedName>
    <definedName name="AtTIGTV" localSheetId="11">#REF!</definedName>
    <definedName name="AtTIGTV" localSheetId="12">#REF!</definedName>
    <definedName name="AtTIGTV" localSheetId="24">#REF!</definedName>
    <definedName name="AtTIGTV" localSheetId="16">#REF!</definedName>
    <definedName name="AtTIGTV">#REF!</definedName>
    <definedName name="awe" localSheetId="10">#REF!</definedName>
    <definedName name="awe" localSheetId="9">#REF!</definedName>
    <definedName name="awe" localSheetId="11">#REF!</definedName>
    <definedName name="awe" localSheetId="12">#REF!</definedName>
    <definedName name="awe" localSheetId="17">#REF!</definedName>
    <definedName name="awe" localSheetId="24">#REF!</definedName>
    <definedName name="awe" localSheetId="16">#REF!</definedName>
    <definedName name="awe">#REF!</definedName>
    <definedName name="B" localSheetId="12">#REF!</definedName>
    <definedName name="B" localSheetId="17">#REF!</definedName>
    <definedName name="B" localSheetId="19">#REF!</definedName>
    <definedName name="B" localSheetId="16">#REF!</definedName>
    <definedName name="B" localSheetId="18">#REF!</definedName>
    <definedName name="B">#N/A</definedName>
    <definedName name="balansas1" localSheetId="10">#REF!</definedName>
    <definedName name="balansas1" localSheetId="9">#REF!</definedName>
    <definedName name="balansas1" localSheetId="11">#REF!</definedName>
    <definedName name="balansas1" localSheetId="12">#REF!</definedName>
    <definedName name="balansas1" localSheetId="24">#REF!</definedName>
    <definedName name="balansas1" localSheetId="16">#REF!</definedName>
    <definedName name="balansas1">#REF!</definedName>
    <definedName name="balansas1d" localSheetId="10">#REF!</definedName>
    <definedName name="balansas1d" localSheetId="9">#REF!</definedName>
    <definedName name="balansas1d" localSheetId="11">#REF!</definedName>
    <definedName name="balansas1d" localSheetId="12">#REF!</definedName>
    <definedName name="balansas1d" localSheetId="24">#REF!</definedName>
    <definedName name="balansas1d" localSheetId="16">#REF!</definedName>
    <definedName name="balansas1d">#REF!</definedName>
    <definedName name="balansas2" localSheetId="10">#REF!</definedName>
    <definedName name="balansas2" localSheetId="9">#REF!</definedName>
    <definedName name="balansas2" localSheetId="11">#REF!</definedName>
    <definedName name="balansas2" localSheetId="12">#REF!</definedName>
    <definedName name="balansas2" localSheetId="24">#REF!</definedName>
    <definedName name="balansas2" localSheetId="16">#REF!</definedName>
    <definedName name="balansas2">#REF!</definedName>
    <definedName name="balansus" localSheetId="10">#REF!</definedName>
    <definedName name="balansus" localSheetId="9">#REF!</definedName>
    <definedName name="balansus" localSheetId="11">#REF!</definedName>
    <definedName name="balansus" localSheetId="12">#REF!</definedName>
    <definedName name="balansus" localSheetId="24">#REF!</definedName>
    <definedName name="balansus" localSheetId="16">#REF!</definedName>
    <definedName name="balansus">#REF!</definedName>
    <definedName name="BalSus" localSheetId="10">#REF!</definedName>
    <definedName name="BalSus" localSheetId="9">#REF!</definedName>
    <definedName name="BalSus" localSheetId="11">#REF!</definedName>
    <definedName name="BalSus" localSheetId="12">#REF!</definedName>
    <definedName name="BalSus" localSheetId="24">#REF!</definedName>
    <definedName name="BalSus" localSheetId="16">#REF!</definedName>
    <definedName name="BalSus">#REF!</definedName>
    <definedName name="Bank_Pask_Term" localSheetId="10">#REF!</definedName>
    <definedName name="Bank_Pask_Term" localSheetId="9">#REF!</definedName>
    <definedName name="Bank_Pask_Term" localSheetId="11">#REF!</definedName>
    <definedName name="Bank_Pask_Term" localSheetId="12">#REF!</definedName>
    <definedName name="Bank_Pask_Term" localSheetId="24">#REF!</definedName>
    <definedName name="Bank_Pask_Term" localSheetId="16">#REF!</definedName>
    <definedName name="Bank_Pask_Term">#REF!</definedName>
    <definedName name="bankai" localSheetId="10">#REF!</definedName>
    <definedName name="bankai" localSheetId="9">#REF!</definedName>
    <definedName name="bankai" localSheetId="11">#REF!</definedName>
    <definedName name="bankai" localSheetId="12">#REF!</definedName>
    <definedName name="bankai" localSheetId="24">#REF!</definedName>
    <definedName name="bankai" localSheetId="16">#REF!</definedName>
    <definedName name="bankai">#REF!</definedName>
    <definedName name="BBBBB" localSheetId="10">#REF!</definedName>
    <definedName name="BBBBB" localSheetId="9">#REF!</definedName>
    <definedName name="BBBBB" localSheetId="11">#REF!</definedName>
    <definedName name="BBBBB" localSheetId="12">#REF!</definedName>
    <definedName name="BBBBB" localSheetId="17">#REF!</definedName>
    <definedName name="BBBBB" localSheetId="24">#REF!</definedName>
    <definedName name="BBBBB" localSheetId="16">#REF!</definedName>
    <definedName name="BBBBB">#REF!</definedName>
    <definedName name="benilg" localSheetId="10">#REF!</definedName>
    <definedName name="benilg" localSheetId="9">#REF!</definedName>
    <definedName name="benilg" localSheetId="11">#REF!</definedName>
    <definedName name="benilg" localSheetId="12">#REF!</definedName>
    <definedName name="benilg" localSheetId="24">#REF!</definedName>
    <definedName name="benilg" localSheetId="16">#REF!</definedName>
    <definedName name="benilg">#REF!</definedName>
    <definedName name="BG" localSheetId="27" hidden="1">#REF!</definedName>
    <definedName name="BG" localSheetId="10" hidden="1">#REF!</definedName>
    <definedName name="BG" localSheetId="9" hidden="1">#REF!</definedName>
    <definedName name="BG" localSheetId="11" hidden="1">#REF!</definedName>
    <definedName name="BG" localSheetId="26" hidden="1">#REF!</definedName>
    <definedName name="BG" localSheetId="6" hidden="1">#REF!</definedName>
    <definedName name="BG" localSheetId="12" hidden="1">#REF!</definedName>
    <definedName name="BG" localSheetId="17" hidden="1">#REF!</definedName>
    <definedName name="BG" localSheetId="24" hidden="1">#REF!</definedName>
    <definedName name="BG" localSheetId="16" hidden="1">#REF!</definedName>
    <definedName name="BG" hidden="1">#REF!</definedName>
    <definedName name="BG_Del" hidden="1">15</definedName>
    <definedName name="BG_Ins" hidden="1">4</definedName>
    <definedName name="BG_Mod" hidden="1">6</definedName>
    <definedName name="BLB" localSheetId="10">#REF!</definedName>
    <definedName name="BLB" localSheetId="9">#REF!</definedName>
    <definedName name="BLB" localSheetId="11">#REF!</definedName>
    <definedName name="BLB" localSheetId="12">#REF!</definedName>
    <definedName name="BLB" localSheetId="17">#REF!</definedName>
    <definedName name="BLB" localSheetId="24">#REF!</definedName>
    <definedName name="BLB" localSheetId="16">#REF!</definedName>
    <definedName name="BLB">#REF!</definedName>
    <definedName name="bm" localSheetId="10">#REF!</definedName>
    <definedName name="bm" localSheetId="9">#REF!</definedName>
    <definedName name="bm" localSheetId="11">#REF!</definedName>
    <definedName name="bm" localSheetId="12">#REF!</definedName>
    <definedName name="bm" localSheetId="17">#REF!</definedName>
    <definedName name="bm" localSheetId="24">#REF!</definedName>
    <definedName name="bm" localSheetId="16">#REF!</definedName>
    <definedName name="bm">#REF!</definedName>
    <definedName name="Bodyweight" localSheetId="10">#REF!</definedName>
    <definedName name="Bodyweight" localSheetId="9">#REF!</definedName>
    <definedName name="Bodyweight" localSheetId="11">#REF!</definedName>
    <definedName name="Bodyweight" localSheetId="12">#REF!</definedName>
    <definedName name="Bodyweight" localSheetId="17">#REF!</definedName>
    <definedName name="Bodyweight" localSheetId="24">#REF!</definedName>
    <definedName name="Bodyweight" localSheetId="16">#REF!</definedName>
    <definedName name="Bodyweight">#REF!</definedName>
    <definedName name="BS" localSheetId="10">#REF!</definedName>
    <definedName name="BS" localSheetId="9">#REF!</definedName>
    <definedName name="BS" localSheetId="11">#REF!</definedName>
    <definedName name="BS" localSheetId="12">#REF!</definedName>
    <definedName name="BS" localSheetId="17">#REF!</definedName>
    <definedName name="BS" localSheetId="24">#REF!</definedName>
    <definedName name="BS" localSheetId="19">#REF!</definedName>
    <definedName name="BS" localSheetId="16">#REF!</definedName>
    <definedName name="BS" localSheetId="18">#REF!</definedName>
    <definedName name="BS">#REF!</definedName>
    <definedName name="bs_1" localSheetId="10">#REF!</definedName>
    <definedName name="bs_1" localSheetId="9">#REF!</definedName>
    <definedName name="bs_1" localSheetId="11">#REF!</definedName>
    <definedName name="bs_1" localSheetId="12">#REF!</definedName>
    <definedName name="bs_1" localSheetId="17">#REF!</definedName>
    <definedName name="bs_1" localSheetId="24">#REF!</definedName>
    <definedName name="bs_1" localSheetId="16">#REF!</definedName>
    <definedName name="bs_1" localSheetId="18">#REF!</definedName>
    <definedName name="bs_1">#REF!</definedName>
    <definedName name="bs_1eq" localSheetId="10">#REF!</definedName>
    <definedName name="bs_1eq" localSheetId="9">#REF!</definedName>
    <definedName name="bs_1eq" localSheetId="11">#REF!</definedName>
    <definedName name="bs_1eq" localSheetId="12">#REF!</definedName>
    <definedName name="bs_1eq" localSheetId="17">#REF!</definedName>
    <definedName name="bs_1eq" localSheetId="24">#REF!</definedName>
    <definedName name="bs_1eq" localSheetId="16">#REF!</definedName>
    <definedName name="bs_1eq" localSheetId="18">#REF!</definedName>
    <definedName name="bs_1eq">#REF!</definedName>
    <definedName name="bs_2" localSheetId="10">#REF!</definedName>
    <definedName name="bs_2" localSheetId="9">#REF!</definedName>
    <definedName name="bs_2" localSheetId="11">#REF!</definedName>
    <definedName name="bs_2" localSheetId="12">#REF!</definedName>
    <definedName name="bs_2" localSheetId="17">#REF!</definedName>
    <definedName name="bs_2" localSheetId="24">#REF!</definedName>
    <definedName name="bs_2" localSheetId="16">#REF!</definedName>
    <definedName name="bs_2" localSheetId="18">#REF!</definedName>
    <definedName name="bs_2">#REF!</definedName>
    <definedName name="bs_2eq" localSheetId="10">#REF!</definedName>
    <definedName name="bs_2eq" localSheetId="9">#REF!</definedName>
    <definedName name="bs_2eq" localSheetId="11">#REF!</definedName>
    <definedName name="bs_2eq" localSheetId="12">#REF!</definedName>
    <definedName name="bs_2eq" localSheetId="17">#REF!</definedName>
    <definedName name="bs_2eq" localSheetId="24">#REF!</definedName>
    <definedName name="bs_2eq" localSheetId="16">#REF!</definedName>
    <definedName name="bs_2eq" localSheetId="18">#REF!</definedName>
    <definedName name="bs_2eq">#REF!</definedName>
    <definedName name="bs_3" localSheetId="10">#REF!</definedName>
    <definedName name="bs_3" localSheetId="9">#REF!</definedName>
    <definedName name="bs_3" localSheetId="11">#REF!</definedName>
    <definedName name="bs_3" localSheetId="12">#REF!</definedName>
    <definedName name="bs_3" localSheetId="17">#REF!</definedName>
    <definedName name="bs_3" localSheetId="24">#REF!</definedName>
    <definedName name="bs_3" localSheetId="16">#REF!</definedName>
    <definedName name="bs_3" localSheetId="18">#REF!</definedName>
    <definedName name="bs_3">#REF!</definedName>
    <definedName name="bs_4" localSheetId="10">#REF!</definedName>
    <definedName name="bs_4" localSheetId="9">#REF!</definedName>
    <definedName name="bs_4" localSheetId="11">#REF!</definedName>
    <definedName name="bs_4" localSheetId="12">#REF!</definedName>
    <definedName name="bs_4" localSheetId="17">#REF!</definedName>
    <definedName name="bs_4" localSheetId="24">#REF!</definedName>
    <definedName name="bs_4" localSheetId="16">#REF!</definedName>
    <definedName name="bs_4" localSheetId="18">#REF!</definedName>
    <definedName name="bs_4">#REF!</definedName>
    <definedName name="BS_PL" localSheetId="10">#REF!</definedName>
    <definedName name="BS_PL" localSheetId="9">#REF!</definedName>
    <definedName name="BS_PL" localSheetId="11">#REF!</definedName>
    <definedName name="BS_PL" localSheetId="12">#REF!</definedName>
    <definedName name="BS_PL" localSheetId="17">#REF!</definedName>
    <definedName name="BS_PL" localSheetId="24">#REF!</definedName>
    <definedName name="BS_PL" localSheetId="16">#REF!</definedName>
    <definedName name="BS_PL" localSheetId="18">#REF!</definedName>
    <definedName name="BS_PL">#REF!</definedName>
    <definedName name="BTI" localSheetId="24">#REF!</definedName>
    <definedName name="BTI">#REF!</definedName>
    <definedName name="BUSINESS" localSheetId="10">#REF!</definedName>
    <definedName name="BUSINESS" localSheetId="9">#REF!</definedName>
    <definedName name="BUSINESS" localSheetId="11">#REF!</definedName>
    <definedName name="BUSINESS" localSheetId="12">#REF!</definedName>
    <definedName name="BUSINESS" localSheetId="17">#REF!</definedName>
    <definedName name="BUSINESS" localSheetId="24">#REF!</definedName>
    <definedName name="BUSINESS" localSheetId="16">#REF!</definedName>
    <definedName name="BUSINESS">#REF!</definedName>
    <definedName name="C_">#N/A</definedName>
    <definedName name="CalcMethod">#REF!</definedName>
    <definedName name="Cash_At_End">#REF!</definedName>
    <definedName name="Ccy" localSheetId="10">#REF!</definedName>
    <definedName name="Ccy" localSheetId="9">#REF!</definedName>
    <definedName name="Ccy" localSheetId="11">#REF!</definedName>
    <definedName name="Ccy" localSheetId="12">#REF!</definedName>
    <definedName name="Ccy" localSheetId="17">#REF!</definedName>
    <definedName name="Ccy" localSheetId="24">#REF!</definedName>
    <definedName name="Ccy" localSheetId="16">#REF!</definedName>
    <definedName name="Ccy">#REF!</definedName>
    <definedName name="cdsInput_YYMM" hidden="1">#N/A</definedName>
    <definedName name="cdsTitle_COMPNA" hidden="1">#N/A</definedName>
    <definedName name="cdsTitle_COND" hidden="1">#N/A</definedName>
    <definedName name="cdsTitle_REPID" hidden="1">#N/A</definedName>
    <definedName name="cdsTitle_REPTIME" hidden="1">#N/A</definedName>
    <definedName name="cdsTitle_REPTITLE" hidden="1">#N/A</definedName>
    <definedName name="cf" localSheetId="10">#REF!</definedName>
    <definedName name="cf" localSheetId="9">#REF!</definedName>
    <definedName name="cf" localSheetId="11">#REF!</definedName>
    <definedName name="cf" localSheetId="12">#REF!</definedName>
    <definedName name="cf" localSheetId="17">#REF!</definedName>
    <definedName name="cf" localSheetId="24">#REF!</definedName>
    <definedName name="cf" localSheetId="16">#REF!</definedName>
    <definedName name="cf">#REF!</definedName>
    <definedName name="cfgjcfjcfj" localSheetId="11">#REF!</definedName>
    <definedName name="cfgjcfjcfj" localSheetId="12">#REF!</definedName>
    <definedName name="cfgjcfjcfj" localSheetId="17">#REF!</definedName>
    <definedName name="cfgjcfjcfj" localSheetId="24">#REF!</definedName>
    <definedName name="cfgjcfjcfj" localSheetId="16">#REF!</definedName>
    <definedName name="cfgjcfjcfj">#REF!</definedName>
    <definedName name="cfyhv" localSheetId="11">#REF!</definedName>
    <definedName name="cfyhv" localSheetId="12">#REF!</definedName>
    <definedName name="cfyhv" localSheetId="17">#REF!</definedName>
    <definedName name="cfyhv" localSheetId="24">#REF!</definedName>
    <definedName name="cfyhv" localSheetId="16">#REF!</definedName>
    <definedName name="cfyhv">#REF!</definedName>
    <definedName name="Check">#REF!</definedName>
    <definedName name="CIQWBGuid" hidden="1">"01a9e372-0e97-465a-bcc0-a6998dad97d4"</definedName>
    <definedName name="cjdtxdtfhxzg" localSheetId="11">#REF!</definedName>
    <definedName name="cjdtxdtfhxzg" localSheetId="12">#REF!</definedName>
    <definedName name="cjdtxdtfhxzg" localSheetId="17">#REF!</definedName>
    <definedName name="cjdtxdtfhxzg" localSheetId="24">#REF!</definedName>
    <definedName name="cjdtxdtfhxzg" localSheetId="16">#REF!</definedName>
    <definedName name="cjdtxdtfhxzg">#REF!</definedName>
    <definedName name="class" localSheetId="10">#REF!</definedName>
    <definedName name="class" localSheetId="9">#REF!</definedName>
    <definedName name="class" localSheetId="11">#REF!</definedName>
    <definedName name="class" localSheetId="12">#REF!</definedName>
    <definedName name="class" localSheetId="24">#REF!</definedName>
    <definedName name="class" localSheetId="16">#REF!</definedName>
    <definedName name="class">#REF!</definedName>
    <definedName name="code">#REF!</definedName>
    <definedName name="COMP_LAST_COLUMN">#REF!</definedName>
    <definedName name="COMPANY" localSheetId="10">#REF!</definedName>
    <definedName name="COMPANY" localSheetId="9">#REF!</definedName>
    <definedName name="COMPANY" localSheetId="11">#REF!</definedName>
    <definedName name="COMPANY" localSheetId="12">#REF!</definedName>
    <definedName name="COMPANY" localSheetId="17">#REF!</definedName>
    <definedName name="COMPANY" localSheetId="24">#REF!</definedName>
    <definedName name="COMPANY" localSheetId="16">#REF!</definedName>
    <definedName name="COMPANY">#REF!</definedName>
    <definedName name="Conv" localSheetId="10">#REF!</definedName>
    <definedName name="Conv" localSheetId="9">#REF!</definedName>
    <definedName name="Conv" localSheetId="11">#REF!</definedName>
    <definedName name="Conv" localSheetId="12">#REF!</definedName>
    <definedName name="Conv" localSheetId="17">#REF!</definedName>
    <definedName name="Conv" localSheetId="24">#REF!</definedName>
    <definedName name="Conv" localSheetId="16">#REF!</definedName>
    <definedName name="Conv">#REF!</definedName>
    <definedName name="cost" localSheetId="10">#REF!</definedName>
    <definedName name="cost" localSheetId="9">#REF!</definedName>
    <definedName name="cost" localSheetId="11">#REF!</definedName>
    <definedName name="cost" localSheetId="12">#REF!</definedName>
    <definedName name="cost" localSheetId="17">#REF!</definedName>
    <definedName name="cost" localSheetId="24">#REF!</definedName>
    <definedName name="cost" localSheetId="16">#REF!</definedName>
    <definedName name="cost">#REF!</definedName>
    <definedName name="Count_Personnel_4" localSheetId="10">#REF!</definedName>
    <definedName name="Count_Personnel_4" localSheetId="9">#REF!</definedName>
    <definedName name="Count_Personnel_4" localSheetId="11">#REF!</definedName>
    <definedName name="Count_Personnel_4" localSheetId="12">#REF!</definedName>
    <definedName name="Count_Personnel_4" localSheetId="24">#REF!</definedName>
    <definedName name="Count_Personnel_4" localSheetId="16">#REF!</definedName>
    <definedName name="Count_Personnel_4">#REF!</definedName>
    <definedName name="CRA" localSheetId="10">#REF!</definedName>
    <definedName name="CRA" localSheetId="9">#REF!</definedName>
    <definedName name="CRA" localSheetId="11">#REF!</definedName>
    <definedName name="CRA" localSheetId="12">#REF!</definedName>
    <definedName name="CRA" localSheetId="24">#REF!</definedName>
    <definedName name="CRA" localSheetId="16">#REF!</definedName>
    <definedName name="CRA">#REF!</definedName>
    <definedName name="CUR_Foreign">#REF!</definedName>
    <definedName name="CUR_I_Foreign">#REF!</definedName>
    <definedName name="CUR_I_Main">#REF!</definedName>
    <definedName name="CUR_I_Report">#REF!</definedName>
    <definedName name="CUR_Main">#REF!</definedName>
    <definedName name="CUR_Report">#REF!</definedName>
    <definedName name="CurrencyRate">#REF!</definedName>
    <definedName name="Custom" localSheetId="24">#REF!</definedName>
    <definedName name="Custom">#REF!</definedName>
    <definedName name="cv" localSheetId="11">#REF!</definedName>
    <definedName name="cv" localSheetId="12">#REF!</definedName>
    <definedName name="cv" localSheetId="17">#REF!</definedName>
    <definedName name="cv" localSheetId="24">#REF!</definedName>
    <definedName name="cv" localSheetId="16">#REF!</definedName>
    <definedName name="cv">#REF!</definedName>
    <definedName name="cvh" localSheetId="10">#REF!</definedName>
    <definedName name="cvh" localSheetId="9">#REF!</definedName>
    <definedName name="cvh" localSheetId="11">#REF!</definedName>
    <definedName name="cvh" localSheetId="12">#REF!</definedName>
    <definedName name="cvh" localSheetId="17">#REF!</definedName>
    <definedName name="cvh" localSheetId="24">#REF!</definedName>
    <definedName name="cvh" localSheetId="16">#REF!</definedName>
    <definedName name="cvh">#REF!</definedName>
    <definedName name="cx" localSheetId="10">#REF!</definedName>
    <definedName name="cx" localSheetId="9">#REF!</definedName>
    <definedName name="cx" localSheetId="11">#REF!</definedName>
    <definedName name="cx" localSheetId="12">#REF!</definedName>
    <definedName name="cx" localSheetId="17">#REF!</definedName>
    <definedName name="cx" localSheetId="24">#REF!</definedName>
    <definedName name="cx" localSheetId="16">#REF!</definedName>
    <definedName name="cx">#REF!</definedName>
    <definedName name="cxgh" localSheetId="11">#REF!</definedName>
    <definedName name="cxgh" localSheetId="12">#REF!</definedName>
    <definedName name="cxgh" localSheetId="17">#REF!</definedName>
    <definedName name="cxgh" localSheetId="24">#REF!</definedName>
    <definedName name="cxgh" localSheetId="16">#REF!</definedName>
    <definedName name="cxgh">#REF!</definedName>
    <definedName name="d" localSheetId="10">#REF!</definedName>
    <definedName name="d" localSheetId="9">#REF!</definedName>
    <definedName name="d" localSheetId="11">#REF!</definedName>
    <definedName name="d" localSheetId="12">#REF!</definedName>
    <definedName name="d" localSheetId="17">#REF!</definedName>
    <definedName name="d" localSheetId="24">#REF!</definedName>
    <definedName name="d" localSheetId="16">#REF!</definedName>
    <definedName name="d">#REF!</definedName>
    <definedName name="dads" localSheetId="10">#REF!</definedName>
    <definedName name="dads" localSheetId="9">#REF!</definedName>
    <definedName name="dads" localSheetId="11">#REF!</definedName>
    <definedName name="dads" localSheetId="12">#REF!</definedName>
    <definedName name="dads" localSheetId="24">#REF!</definedName>
    <definedName name="dads" localSheetId="16">#REF!</definedName>
    <definedName name="dads">#REF!</definedName>
    <definedName name="dang" localSheetId="10">#REF!</definedName>
    <definedName name="dang" localSheetId="9">#REF!</definedName>
    <definedName name="dang" localSheetId="11">#REF!</definedName>
    <definedName name="dang" localSheetId="12">#REF!</definedName>
    <definedName name="dang" localSheetId="17">#REF!</definedName>
    <definedName name="dang" localSheetId="24">#REF!</definedName>
    <definedName name="dang" localSheetId="16">#REF!</definedName>
    <definedName name="dang">#REF!</definedName>
    <definedName name="data" localSheetId="10">#REF!</definedName>
    <definedName name="data" localSheetId="9">#REF!</definedName>
    <definedName name="data" localSheetId="11">#REF!</definedName>
    <definedName name="DATA" localSheetId="12">#REF!</definedName>
    <definedName name="DATA" localSheetId="17">#REF!</definedName>
    <definedName name="data" localSheetId="24">#REF!</definedName>
    <definedName name="DATA" localSheetId="16">#REF!</definedName>
    <definedName name="DATA" localSheetId="18">#REF!</definedName>
    <definedName name="data">#REF!</definedName>
    <definedName name="DATA1">#REF!</definedName>
    <definedName name="DataSet_BalticICP">#REF!</definedName>
    <definedName name="DataSet_CloseExDiff">#REF!</definedName>
    <definedName name="DataSet_IC_PL" localSheetId="10">#REF!</definedName>
    <definedName name="DataSet_IC_PL" localSheetId="9">#REF!</definedName>
    <definedName name="DataSet_IC_PL" localSheetId="11">#REF!</definedName>
    <definedName name="DataSet_IC_PL" localSheetId="12">#REF!</definedName>
    <definedName name="DataSet_IC_PL" localSheetId="24">#REF!</definedName>
    <definedName name="DataSet_IC_PL" localSheetId="16">#REF!</definedName>
    <definedName name="DataSet_IC_PL">#REF!</definedName>
    <definedName name="DataSet_ICP">#REF!</definedName>
    <definedName name="date" localSheetId="17">#REF!</definedName>
    <definedName name="date" localSheetId="24">#REF!</definedName>
    <definedName name="date">#REF!</definedName>
    <definedName name="DD" localSheetId="27" hidden="1">{"'Test'!$B$2:$H$6","'Test'!$B$2:$H$23"}</definedName>
    <definedName name="DD" localSheetId="10" hidden="1">{"'Test'!$B$2:$H$6","'Test'!$B$2:$H$23"}</definedName>
    <definedName name="DD" localSheetId="9" hidden="1">{"'Test'!$B$2:$H$6","'Test'!$B$2:$H$23"}</definedName>
    <definedName name="DD" localSheetId="26" hidden="1">{"'Test'!$B$2:$H$6","'Test'!$B$2:$H$23"}</definedName>
    <definedName name="DD" localSheetId="6" hidden="1">{"'Test'!$B$2:$H$6","'Test'!$B$2:$H$23"}</definedName>
    <definedName name="DD" localSheetId="12" hidden="1">{"'Test'!$B$2:$H$6","'Test'!$B$2:$H$23"}</definedName>
    <definedName name="DD" localSheetId="17" hidden="1">{"'Test'!$B$2:$H$6","'Test'!$B$2:$H$23"}</definedName>
    <definedName name="DD" localSheetId="24" hidden="1">{"'Test'!$B$2:$H$6","'Test'!$B$2:$H$23"}</definedName>
    <definedName name="DD" localSheetId="19" hidden="1">{"'Test'!$B$2:$H$6","'Test'!$B$2:$H$23"}</definedName>
    <definedName name="DD" localSheetId="16" hidden="1">{"'Test'!$B$2:$H$6","'Test'!$B$2:$H$23"}</definedName>
    <definedName name="DD" hidden="1">{"'Test'!$B$2:$H$6","'Test'!$B$2:$H$23"}</definedName>
    <definedName name="ddas" localSheetId="11">#REF!</definedName>
    <definedName name="ddas" localSheetId="12">#REF!</definedName>
    <definedName name="ddas" localSheetId="17">#REF!</definedName>
    <definedName name="ddas" localSheetId="24">#REF!</definedName>
    <definedName name="ddas" localSheetId="16">#REF!</definedName>
    <definedName name="ddas">#REF!</definedName>
    <definedName name="dddd" localSheetId="10">#REF!</definedName>
    <definedName name="dddd" localSheetId="9">#REF!</definedName>
    <definedName name="dddd" localSheetId="11">#REF!</definedName>
    <definedName name="dddd" localSheetId="12">#REF!</definedName>
    <definedName name="dddd" localSheetId="17">#REF!</definedName>
    <definedName name="dddd" localSheetId="24">#REF!</definedName>
    <definedName name="dddd" localSheetId="16">#REF!</definedName>
    <definedName name="dddd">#REF!</definedName>
    <definedName name="dddddd" localSheetId="10">#REF!</definedName>
    <definedName name="dddddd" localSheetId="9">#REF!</definedName>
    <definedName name="dddddd" localSheetId="11">#REF!</definedName>
    <definedName name="dddddd" localSheetId="12">#REF!</definedName>
    <definedName name="dddddd" localSheetId="17">#REF!</definedName>
    <definedName name="dddddd" localSheetId="24">#REF!</definedName>
    <definedName name="dddddd" localSheetId="16">#REF!</definedName>
    <definedName name="dddddd">#REF!</definedName>
    <definedName name="ddddddd" localSheetId="11">#REF!</definedName>
    <definedName name="ddddddd" localSheetId="12">#REF!</definedName>
    <definedName name="ddddddd" localSheetId="17">#REF!</definedName>
    <definedName name="ddddddd" localSheetId="24">#REF!</definedName>
    <definedName name="ddddddd" localSheetId="16">#REF!</definedName>
    <definedName name="ddddddd">#REF!</definedName>
    <definedName name="dekt" localSheetId="10">#REF!</definedName>
    <definedName name="dekt" localSheetId="9">#REF!</definedName>
    <definedName name="dekt" localSheetId="11">#REF!</definedName>
    <definedName name="dekt" localSheetId="12">#REF!</definedName>
    <definedName name="dekt" localSheetId="24">#REF!</definedName>
    <definedName name="dekt" localSheetId="16">#REF!</definedName>
    <definedName name="dekt">#REF!</definedName>
    <definedName name="Delivery" localSheetId="24">#REF!</definedName>
    <definedName name="Delivery">#REF!</definedName>
    <definedName name="Design" localSheetId="24">#REF!</definedName>
    <definedName name="Design">#REF!</definedName>
    <definedName name="dfg" localSheetId="11">#REF!</definedName>
    <definedName name="dfg" localSheetId="12">#REF!</definedName>
    <definedName name="dfg" localSheetId="17">#REF!</definedName>
    <definedName name="dfg" localSheetId="24">#REF!</definedName>
    <definedName name="dfg" localSheetId="16">#REF!</definedName>
    <definedName name="dfg">#REF!</definedName>
    <definedName name="dfjg" localSheetId="10">#REF!</definedName>
    <definedName name="dfjg" localSheetId="9">#REF!</definedName>
    <definedName name="dfjg" localSheetId="11">#REF!</definedName>
    <definedName name="dfjg" localSheetId="12">#REF!</definedName>
    <definedName name="dfjg" localSheetId="24">#REF!</definedName>
    <definedName name="dfjg" localSheetId="16">#REF!</definedName>
    <definedName name="dfjg">#REF!</definedName>
    <definedName name="dg" localSheetId="10">#REF!</definedName>
    <definedName name="dg" localSheetId="9">#REF!</definedName>
    <definedName name="dg" localSheetId="11">#REF!</definedName>
    <definedName name="dg" localSheetId="12">#REF!</definedName>
    <definedName name="dg" localSheetId="24">#REF!</definedName>
    <definedName name="dg" localSheetId="16">#REF!</definedName>
    <definedName name="dg">#REF!</definedName>
    <definedName name="dircost" localSheetId="10">#REF!</definedName>
    <definedName name="dircost" localSheetId="9">#REF!</definedName>
    <definedName name="dircost" localSheetId="11">#REF!</definedName>
    <definedName name="dircost" localSheetId="12">#REF!</definedName>
    <definedName name="dircost" localSheetId="24">#REF!</definedName>
    <definedName name="dircost" localSheetId="16">#REF!</definedName>
    <definedName name="dircost">#REF!</definedName>
    <definedName name="DKK_AVE" localSheetId="10">#REF!</definedName>
    <definedName name="DKK_AVE" localSheetId="9">#REF!</definedName>
    <definedName name="DKK_AVE" localSheetId="11">#REF!</definedName>
    <definedName name="DKK_AVE" localSheetId="12">#REF!</definedName>
    <definedName name="DKK_AVE" localSheetId="24">#REF!</definedName>
    <definedName name="DKK_AVE" localSheetId="16">#REF!</definedName>
    <definedName name="DKK_AVE">#REF!</definedName>
    <definedName name="DKK_END" localSheetId="10">#REF!</definedName>
    <definedName name="DKK_END" localSheetId="9">#REF!</definedName>
    <definedName name="DKK_END" localSheetId="11">#REF!</definedName>
    <definedName name="DKK_END" localSheetId="12">#REF!</definedName>
    <definedName name="DKK_END" localSheetId="24">#REF!</definedName>
    <definedName name="DKK_END" localSheetId="16">#REF!</definedName>
    <definedName name="DKK_END">#REF!</definedName>
    <definedName name="DKK_OB" localSheetId="10">#REF!</definedName>
    <definedName name="DKK_OB" localSheetId="9">#REF!</definedName>
    <definedName name="DKK_OB" localSheetId="11">#REF!</definedName>
    <definedName name="DKK_OB" localSheetId="12">#REF!</definedName>
    <definedName name="DKK_OB" localSheetId="24">#REF!</definedName>
    <definedName name="DKK_OB" localSheetId="16">#REF!</definedName>
    <definedName name="DKK_OB">#REF!</definedName>
    <definedName name="dngfb" localSheetId="11">#REF!</definedName>
    <definedName name="dngfb" localSheetId="12">#REF!</definedName>
    <definedName name="dngfb" localSheetId="17">#REF!</definedName>
    <definedName name="dngfb" localSheetId="24">#REF!</definedName>
    <definedName name="dngfb" localSheetId="16">#REF!</definedName>
    <definedName name="dngfb">#REF!</definedName>
    <definedName name="DownP20" localSheetId="24">#REF!</definedName>
    <definedName name="DownP20">#REF!</definedName>
    <definedName name="draud2" localSheetId="10">#REF!</definedName>
    <definedName name="draud2" localSheetId="9">#REF!</definedName>
    <definedName name="draud2" localSheetId="11">#REF!</definedName>
    <definedName name="draud2" localSheetId="12">#REF!</definedName>
    <definedName name="draud2" localSheetId="24">#REF!</definedName>
    <definedName name="draud2" localSheetId="16">#REF!</definedName>
    <definedName name="draud2">#REF!</definedName>
    <definedName name="drt" localSheetId="11">#REF!</definedName>
    <definedName name="drt" localSheetId="12">#REF!</definedName>
    <definedName name="drt" localSheetId="17">#REF!</definedName>
    <definedName name="drt" localSheetId="24">#REF!</definedName>
    <definedName name="drt" localSheetId="16">#REF!</definedName>
    <definedName name="drt">#REF!</definedName>
    <definedName name="dryt" localSheetId="11">#REF!</definedName>
    <definedName name="dryt" localSheetId="12">#REF!</definedName>
    <definedName name="dryt" localSheetId="17">#REF!</definedName>
    <definedName name="dryt" localSheetId="24">#REF!</definedName>
    <definedName name="dryt" localSheetId="16">#REF!</definedName>
    <definedName name="dryt">#REF!</definedName>
    <definedName name="ds" localSheetId="10">#REF!</definedName>
    <definedName name="ds" localSheetId="9">#REF!</definedName>
    <definedName name="ds" localSheetId="11">#REF!</definedName>
    <definedName name="ds" localSheetId="12">#REF!</definedName>
    <definedName name="ds" localSheetId="17">#REF!</definedName>
    <definedName name="ds" localSheetId="24">#REF!</definedName>
    <definedName name="ds" localSheetId="16">#REF!</definedName>
    <definedName name="ds">#REF!</definedName>
    <definedName name="dssssssss" localSheetId="10">#REF!</definedName>
    <definedName name="dssssssss" localSheetId="9">#REF!</definedName>
    <definedName name="dssssssss" localSheetId="11">#REF!</definedName>
    <definedName name="dssssssss" localSheetId="12">#REF!</definedName>
    <definedName name="dssssssss" localSheetId="17">#REF!</definedName>
    <definedName name="dssssssss" localSheetId="24">#REF!</definedName>
    <definedName name="dssssssss" localSheetId="16">#REF!</definedName>
    <definedName name="dssssssss">#REF!</definedName>
    <definedName name="dukt1" localSheetId="10">#REF!</definedName>
    <definedName name="dukt1" localSheetId="9">#REF!</definedName>
    <definedName name="dukt1" localSheetId="11">#REF!</definedName>
    <definedName name="dukt1" localSheetId="12">#REF!</definedName>
    <definedName name="dukt1" localSheetId="24">#REF!</definedName>
    <definedName name="dukt1" localSheetId="16">#REF!</definedName>
    <definedName name="dukt1">#REF!</definedName>
    <definedName name="dxrgh" localSheetId="11">#REF!</definedName>
    <definedName name="dxrgh" localSheetId="12">#REF!</definedName>
    <definedName name="dxrgh" localSheetId="17">#REF!</definedName>
    <definedName name="dxrgh" localSheetId="24">#REF!</definedName>
    <definedName name="dxrgh" localSheetId="16">#REF!</definedName>
    <definedName name="dxrgh">#REF!</definedName>
    <definedName name="dxtfh" localSheetId="10">#REF!</definedName>
    <definedName name="dxtfh" localSheetId="9">#REF!</definedName>
    <definedName name="dxtfh" localSheetId="11">#REF!</definedName>
    <definedName name="dxtfh" localSheetId="12">#REF!</definedName>
    <definedName name="dxtfh" localSheetId="17">#REF!</definedName>
    <definedName name="dxtfh" localSheetId="24">#REF!</definedName>
    <definedName name="dxtfh" localSheetId="16">#REF!</definedName>
    <definedName name="dxtfh">#REF!</definedName>
    <definedName name="dzhfc" localSheetId="11">#REF!</definedName>
    <definedName name="dzhfc" localSheetId="12">#REF!</definedName>
    <definedName name="dzhfc" localSheetId="17">#REF!</definedName>
    <definedName name="dzhfc" localSheetId="24">#REF!</definedName>
    <definedName name="dzhfc" localSheetId="16">#REF!</definedName>
    <definedName name="dzhfc">#REF!</definedName>
    <definedName name="E">#N/A</definedName>
    <definedName name="EndDate" localSheetId="27" hidden="1">#REF!</definedName>
    <definedName name="EndDate" localSheetId="10" hidden="1">#REF!</definedName>
    <definedName name="EndDate" localSheetId="9" hidden="1">#REF!</definedName>
    <definedName name="EndDate" localSheetId="11" hidden="1">#REF!</definedName>
    <definedName name="EndDate" localSheetId="26" hidden="1">#REF!</definedName>
    <definedName name="EndDate" localSheetId="6" hidden="1">#REF!</definedName>
    <definedName name="EndDate" localSheetId="12" hidden="1">#REF!</definedName>
    <definedName name="EndDate" localSheetId="17" hidden="1">#REF!</definedName>
    <definedName name="EndDate" localSheetId="24" hidden="1">#REF!</definedName>
    <definedName name="EndDate" localSheetId="16" hidden="1">#REF!</definedName>
    <definedName name="EndDate" hidden="1">#REF!</definedName>
    <definedName name="Eng_Survey" localSheetId="24">#REF!</definedName>
    <definedName name="Eng_Survey">#REF!</definedName>
    <definedName name="EPMWorkbookOptions_1" hidden="1">"H1QAAB|LCAAAAAAABADtnG1vokoUgL9vsv/B|F2ZAQVtqBtEbblRMILb2zQNQRm3ZBW8QGv77||Irwh2tZdrHCDZbOycM4fDw5lzZngZ/sf7bFp4Q65nOfZtEZZBsYDssWNa9q/b4qs/KUG2|KPx/Rv/4Li/R47zW5n7WNUr4H62d/PuWbfFF9|f31DUYrEoL5iy4/6iaAAg9Xevq45f0MwoWbbnG/YYFbe9zD/3KuKjFgq86Ng2Gi|PqTniq|s"</definedName>
    <definedName name="EPMWorkbookOptions_2" hidden="1">"i2/9poUUgDIlbhm|sW3G7bMzQ6mjbI/loNn91reBQQw|5fRdNELY3RmXsULGhd/o9vdkX5QcI9Kd1J1iny5CtlSFXL8MquKkBSFOeMadG8zH1rD|J/c7yf0zEmVqmsXQE/z0xph565qmlFzufhPl8ao2NPX4n|7axEbay17w|5UbIkwMHVsB2DAvUUdG9ZZrIblkzZHuBu8dVd656IR2spb44i60N0Zk6bsN3XxFPxQg|6xqcRUzPyNmtO2IIPn"</definedName>
    <definedName name="EPMWorkbookOptions_3" hidden="1">"r3O8ab41o|9iu4HqvOEdkJ/TuW6/l7DsTLDwxtvTwO6FStfb2hbf3zioIzF0RRGcoaT8UJP7OxIo6HdhVApgb3DMRdi6Cv4prIbQCeWv2Ite7Np8ZH33XmyPU/GrDKVidoNClVWbNSqtCTeqlWRagEDERXzBFX4UbM8sjhXjGGu4bnq2iKRzkye2g2wskqRi0clLEKWGXVfw/T0xric/mpLwzasnYP8c|7Qb|p4vEbUT9i9t5CruGOXz52qgWcG"</definedName>
    <definedName name="EPMWorkbookOptions_4" hidden="1">"m9sa3pbXMZN8WAAfX5lT|vLU3864WSJyFJOJEwEAghBDiUMhQF0DuUQiiaQToSnTsnDe6Xk/yt7rZbeamuC1IVfL30AVGoAnF75YAor345jOF6FblfHwkCU3Sp4lE5LlxW5TTqXKxrPstB91CTxy4OZYarVSqVy|mCmUziY1xDDsSoqsqpvRYRHbLJoZCUHEwtGFbod4mcrySLpDwfkI7mihD9sSZrU|nK|ZzkIajXu9HzPnJHvK1ydoScVtjTi"</definedName>
    <definedName name="EPMWorkbookOptions_5" hidden="1">"RhDne8CVRmydKZn1CWfAmmEYyLyGfL9iGJm4Be2kh2qiUFShD0B2F6RxSCRRARleo8cikXGUwBxJaIakpmDgXE/Zaw7xXHzQFv7LTQuWZZgz7lpU0rfQ2VCM3rLAEtKDNVkoTUGnq9lNasehsIDOoUShsDmUKBTih8/1FEBR0Np3yuDxgg|sq|krgBuKBwVQ1IZCN4/VWDe/EquKqinNv9riJV|vYFMYrVuO0QnbWkZ60CaNRmurmb2Dc4yJiBv"</definedName>
    <definedName name="EPMWorkbookOptions_6" hidden="1">"zx26JZjiMVtIuWYu59GW3FcNwqHIM8VPGRHHQOY79R0n68o3hHMguPiCX49jhYOs10nFcT4nrdJWHCxa4WvoK3JJgOEA79Xqd9AhNkEYKnpAkSEOFxMfG9WSvu4Ey7KsXzF/19OWvFcOD17FFDf9sD0iP1ESZpGFtnWyQZHeafoQH8fFxPaldWuYfUblgbofnfLpHyDtwa4rRG8sbAeHxmigXnM9yLjFcJB2SP2lNmEiWJwNHkLAc8eu86yl/g7"</definedName>
    <definedName name="EPMWorkbookOptions_7" hidden="1">"4mDgeYrnjJ5w8whd/w7ZHEYYr/DdUW6XGaGItuZr/siaDQ7ps5izWLzkNLVGTScVxPNtekXvuSafycrzcJWcksEYZnHDSAbDm7b2QeA5LZmfoxIEwOJAREUzTyX4NMlAlThsS/7X49xa7XFtThoH3JxzLwnM9XCVm3bDCuZmSPWmYXLREQuirdyS0h3zDoPKWQN/FKPBW3dWKodaOOrUX3ldxvjO5FyQ/QxEXei2Irc2RvdhwMNwZ64hQZ7tKoY"</definedName>
    <definedName name="EPMWorkbookOptions_8" hidden="1">"qvGG9poHjYHuptNN/FA9QOMG|2oIKy/MNdXjZe8n4ZrGaMp6iH3185CpP37t53Z9SafjX8Bp3ziTR9UAAA="</definedName>
    <definedName name="eqty_total" localSheetId="10">#REF!</definedName>
    <definedName name="eqty_total" localSheetId="9">#REF!</definedName>
    <definedName name="eqty_total" localSheetId="11">#REF!</definedName>
    <definedName name="eqty_total" localSheetId="12">#REF!</definedName>
    <definedName name="eqty_total" localSheetId="17">#REF!</definedName>
    <definedName name="eqty_total" localSheetId="24">#REF!</definedName>
    <definedName name="eqty_total" localSheetId="16">#REF!</definedName>
    <definedName name="eqty_total" localSheetId="18">#REF!</definedName>
    <definedName name="eqty_total">#REF!</definedName>
    <definedName name="EST_BALANCE" localSheetId="10">#REF!</definedName>
    <definedName name="EST_BALANCE" localSheetId="9">#REF!</definedName>
    <definedName name="EST_BALANCE" localSheetId="11">#REF!</definedName>
    <definedName name="EST_BALANCE" localSheetId="12">#REF!</definedName>
    <definedName name="EST_BALANCE" localSheetId="24">#REF!</definedName>
    <definedName name="EST_BALANCE" localSheetId="16">#REF!</definedName>
    <definedName name="EST_BALANCE">#REF!</definedName>
    <definedName name="EST_DATA" localSheetId="10">#REF!</definedName>
    <definedName name="EST_DATA" localSheetId="9">#REF!</definedName>
    <definedName name="EST_DATA" localSheetId="11">#REF!</definedName>
    <definedName name="EST_DATA" localSheetId="12">#REF!</definedName>
    <definedName name="EST_DATA" localSheetId="24">#REF!</definedName>
    <definedName name="EST_DATA" localSheetId="16">#REF!</definedName>
    <definedName name="EST_DATA">#REF!</definedName>
    <definedName name="EST_FROM" localSheetId="10">#REF!</definedName>
    <definedName name="EST_FROM" localSheetId="9">#REF!</definedName>
    <definedName name="EST_FROM" localSheetId="11">#REF!</definedName>
    <definedName name="EST_FROM" localSheetId="12">#REF!</definedName>
    <definedName name="EST_FROM" localSheetId="24">#REF!</definedName>
    <definedName name="EST_FROM" localSheetId="16">#REF!</definedName>
    <definedName name="EST_FROM">#REF!</definedName>
    <definedName name="EST_NumStages" localSheetId="10">#REF!</definedName>
    <definedName name="EST_NumStages" localSheetId="9">#REF!</definedName>
    <definedName name="EST_NumStages" localSheetId="11">#REF!</definedName>
    <definedName name="EST_NumStages" localSheetId="12">#REF!</definedName>
    <definedName name="EST_NumStages" localSheetId="24">#REF!</definedName>
    <definedName name="EST_NumStages" localSheetId="16">#REF!</definedName>
    <definedName name="EST_NumStages">#REF!</definedName>
    <definedName name="EST_Obj_1" localSheetId="10">#REF!</definedName>
    <definedName name="EST_Obj_1" localSheetId="9">#REF!</definedName>
    <definedName name="EST_Obj_1" localSheetId="11">#REF!</definedName>
    <definedName name="EST_Obj_1" localSheetId="12">#REF!</definedName>
    <definedName name="EST_Obj_1" localSheetId="24">#REF!</definedName>
    <definedName name="EST_Obj_1" localSheetId="16">#REF!</definedName>
    <definedName name="EST_Obj_1">#REF!</definedName>
    <definedName name="EST_Obj_10" localSheetId="10">#REF!</definedName>
    <definedName name="EST_Obj_10" localSheetId="9">#REF!</definedName>
    <definedName name="EST_Obj_10" localSheetId="11">#REF!</definedName>
    <definedName name="EST_Obj_10" localSheetId="12">#REF!</definedName>
    <definedName name="EST_Obj_10" localSheetId="24">#REF!</definedName>
    <definedName name="EST_Obj_10" localSheetId="16">#REF!</definedName>
    <definedName name="EST_Obj_10">#REF!</definedName>
    <definedName name="EST_Obj_2" localSheetId="10">#REF!</definedName>
    <definedName name="EST_Obj_2" localSheetId="9">#REF!</definedName>
    <definedName name="EST_Obj_2" localSheetId="11">#REF!</definedName>
    <definedName name="EST_Obj_2" localSheetId="12">#REF!</definedName>
    <definedName name="EST_Obj_2" localSheetId="24">#REF!</definedName>
    <definedName name="EST_Obj_2" localSheetId="16">#REF!</definedName>
    <definedName name="EST_Obj_2">#REF!</definedName>
    <definedName name="EST_Obj_3" localSheetId="10">#REF!</definedName>
    <definedName name="EST_Obj_3" localSheetId="9">#REF!</definedName>
    <definedName name="EST_Obj_3" localSheetId="11">#REF!</definedName>
    <definedName name="EST_Obj_3" localSheetId="12">#REF!</definedName>
    <definedName name="EST_Obj_3" localSheetId="24">#REF!</definedName>
    <definedName name="EST_Obj_3" localSheetId="16">#REF!</definedName>
    <definedName name="EST_Obj_3">#REF!</definedName>
    <definedName name="EST_Obj_4" localSheetId="10">#REF!</definedName>
    <definedName name="EST_Obj_4" localSheetId="9">#REF!</definedName>
    <definedName name="EST_Obj_4" localSheetId="11">#REF!</definedName>
    <definedName name="EST_Obj_4" localSheetId="12">#REF!</definedName>
    <definedName name="EST_Obj_4" localSheetId="24">#REF!</definedName>
    <definedName name="EST_Obj_4" localSheetId="16">#REF!</definedName>
    <definedName name="EST_Obj_4">#REF!</definedName>
    <definedName name="EST_Obj_5" localSheetId="10">#REF!</definedName>
    <definedName name="EST_Obj_5" localSheetId="9">#REF!</definedName>
    <definedName name="EST_Obj_5" localSheetId="11">#REF!</definedName>
    <definedName name="EST_Obj_5" localSheetId="12">#REF!</definedName>
    <definedName name="EST_Obj_5" localSheetId="24">#REF!</definedName>
    <definedName name="EST_Obj_5" localSheetId="16">#REF!</definedName>
    <definedName name="EST_Obj_5">#REF!</definedName>
    <definedName name="EST_Obj_6" localSheetId="10">#REF!</definedName>
    <definedName name="EST_Obj_6" localSheetId="9">#REF!</definedName>
    <definedName name="EST_Obj_6" localSheetId="11">#REF!</definedName>
    <definedName name="EST_Obj_6" localSheetId="12">#REF!</definedName>
    <definedName name="EST_Obj_6" localSheetId="24">#REF!</definedName>
    <definedName name="EST_Obj_6" localSheetId="16">#REF!</definedName>
    <definedName name="EST_Obj_6">#REF!</definedName>
    <definedName name="EST_Obj_7" localSheetId="10">#REF!</definedName>
    <definedName name="EST_Obj_7" localSheetId="9">#REF!</definedName>
    <definedName name="EST_Obj_7" localSheetId="11">#REF!</definedName>
    <definedName name="EST_Obj_7" localSheetId="12">#REF!</definedName>
    <definedName name="EST_Obj_7" localSheetId="24">#REF!</definedName>
    <definedName name="EST_Obj_7" localSheetId="16">#REF!</definedName>
    <definedName name="EST_Obj_7">#REF!</definedName>
    <definedName name="EST_Obj_8" localSheetId="10">#REF!</definedName>
    <definedName name="EST_Obj_8" localSheetId="9">#REF!</definedName>
    <definedName name="EST_Obj_8" localSheetId="11">#REF!</definedName>
    <definedName name="EST_Obj_8" localSheetId="12">#REF!</definedName>
    <definedName name="EST_Obj_8" localSheetId="24">#REF!</definedName>
    <definedName name="EST_Obj_8" localSheetId="16">#REF!</definedName>
    <definedName name="EST_Obj_8">#REF!</definedName>
    <definedName name="EST_Obj_9" localSheetId="10">#REF!</definedName>
    <definedName name="EST_Obj_9" localSheetId="9">#REF!</definedName>
    <definedName name="EST_Obj_9" localSheetId="11">#REF!</definedName>
    <definedName name="EST_Obj_9" localSheetId="12">#REF!</definedName>
    <definedName name="EST_Obj_9" localSheetId="24">#REF!</definedName>
    <definedName name="EST_Obj_9" localSheetId="16">#REF!</definedName>
    <definedName name="EST_Obj_9">#REF!</definedName>
    <definedName name="EST_ProdNum" localSheetId="10">#REF!</definedName>
    <definedName name="EST_ProdNum" localSheetId="9">#REF!</definedName>
    <definedName name="EST_ProdNum" localSheetId="11">#REF!</definedName>
    <definedName name="EST_ProdNum" localSheetId="12">#REF!</definedName>
    <definedName name="EST_ProdNum" localSheetId="24">#REF!</definedName>
    <definedName name="EST_ProdNum" localSheetId="16">#REF!</definedName>
    <definedName name="EST_ProdNum">#REF!</definedName>
    <definedName name="EST_SQUARE" localSheetId="10">#REF!</definedName>
    <definedName name="EST_SQUARE" localSheetId="9">#REF!</definedName>
    <definedName name="EST_SQUARE" localSheetId="11">#REF!</definedName>
    <definedName name="EST_SQUARE" localSheetId="12">#REF!</definedName>
    <definedName name="EST_SQUARE" localSheetId="24">#REF!</definedName>
    <definedName name="EST_SQUARE" localSheetId="16">#REF!</definedName>
    <definedName name="EST_SQUARE">#REF!</definedName>
    <definedName name="EUR_AVE" localSheetId="10">#REF!</definedName>
    <definedName name="EUR_AVE" localSheetId="9">#REF!</definedName>
    <definedName name="EUR_AVE" localSheetId="11">#REF!</definedName>
    <definedName name="EUR_AVE" localSheetId="12">#REF!</definedName>
    <definedName name="EUR_AVE" localSheetId="24">#REF!</definedName>
    <definedName name="EUR_AVE" localSheetId="16">#REF!</definedName>
    <definedName name="EUR_AVE">#REF!</definedName>
    <definedName name="EUR_END" localSheetId="10">#REF!</definedName>
    <definedName name="EUR_END" localSheetId="9">#REF!</definedName>
    <definedName name="EUR_END" localSheetId="11">#REF!</definedName>
    <definedName name="EUR_END" localSheetId="12">#REF!</definedName>
    <definedName name="EUR_END" localSheetId="24">#REF!</definedName>
    <definedName name="EUR_END" localSheetId="16">#REF!</definedName>
    <definedName name="EUR_END">#REF!</definedName>
    <definedName name="EUR_OB" localSheetId="10">#REF!</definedName>
    <definedName name="EUR_OB" localSheetId="9">#REF!</definedName>
    <definedName name="EUR_OB" localSheetId="11">#REF!</definedName>
    <definedName name="EUR_OB" localSheetId="12">#REF!</definedName>
    <definedName name="EUR_OB" localSheetId="24">#REF!</definedName>
    <definedName name="EUR_OB" localSheetId="16">#REF!</definedName>
    <definedName name="EUR_OB">#REF!</definedName>
    <definedName name="Euro" localSheetId="24">#REF!</definedName>
    <definedName name="Euro">#REF!</definedName>
    <definedName name="Euro_EX_rate" localSheetId="24">#REF!</definedName>
    <definedName name="Euro_EX_rate">#REF!</definedName>
    <definedName name="Excel_BuiltIn_Print_Titles_2">#REF!</definedName>
    <definedName name="expectus" localSheetId="10">#REF!</definedName>
    <definedName name="expectus" localSheetId="9">#REF!</definedName>
    <definedName name="expectus" localSheetId="11">#REF!</definedName>
    <definedName name="expectus" localSheetId="12">#REF!</definedName>
    <definedName name="expectus" localSheetId="24">#REF!</definedName>
    <definedName name="expectus" localSheetId="16">#REF!</definedName>
    <definedName name="expectus">#REF!</definedName>
    <definedName name="Expertize" localSheetId="24">#REF!</definedName>
    <definedName name="Expertize">#REF!</definedName>
    <definedName name="Export" localSheetId="10">#REF!</definedName>
    <definedName name="Export" localSheetId="9">#REF!</definedName>
    <definedName name="Export" localSheetId="11">#REF!</definedName>
    <definedName name="Export" localSheetId="12">#REF!</definedName>
    <definedName name="Export" localSheetId="17">#REF!</definedName>
    <definedName name="Export" localSheetId="24">#REF!</definedName>
    <definedName name="Export" localSheetId="16">#REF!</definedName>
    <definedName name="Export">#REF!</definedName>
    <definedName name="F">#N/A</definedName>
    <definedName name="F.D." localSheetId="10">#REF!</definedName>
    <definedName name="F.D." localSheetId="9">#REF!</definedName>
    <definedName name="F.D." localSheetId="11">#REF!</definedName>
    <definedName name="F.D." localSheetId="12">#REF!</definedName>
    <definedName name="F.D." localSheetId="17">#REF!</definedName>
    <definedName name="F.D." localSheetId="24">#REF!</definedName>
    <definedName name="F.D." localSheetId="16">#REF!</definedName>
    <definedName name="F.D.">#REF!</definedName>
    <definedName name="FeedList" localSheetId="12">#REF!</definedName>
    <definedName name="FeedList" localSheetId="17">#REF!</definedName>
    <definedName name="FeedList" localSheetId="19">#REF!</definedName>
    <definedName name="FeedList" localSheetId="16">#REF!</definedName>
    <definedName name="FeedList" localSheetId="18">#REF!</definedName>
    <definedName name="FeedList">#REF!</definedName>
    <definedName name="Fence" localSheetId="24">#REF!</definedName>
    <definedName name="Fence">#REF!</definedName>
    <definedName name="ff" localSheetId="10">#REF!</definedName>
    <definedName name="ff" localSheetId="9">#REF!</definedName>
    <definedName name="ff" localSheetId="11">#REF!</definedName>
    <definedName name="ff" localSheetId="12">#REF!</definedName>
    <definedName name="ff" localSheetId="24">#REF!</definedName>
    <definedName name="ff" localSheetId="16">#REF!</definedName>
    <definedName name="ff">#REF!</definedName>
    <definedName name="ffffff" localSheetId="11">#REF!</definedName>
    <definedName name="ffffff" localSheetId="12">#REF!</definedName>
    <definedName name="ffffff" localSheetId="17">#REF!</definedName>
    <definedName name="ffffff" localSheetId="24">#REF!</definedName>
    <definedName name="ffffff" localSheetId="16">#REF!</definedName>
    <definedName name="ffffff">#REF!</definedName>
    <definedName name="ffghg" localSheetId="11">#REF!</definedName>
    <definedName name="ffghg" localSheetId="12">#REF!</definedName>
    <definedName name="ffghg" localSheetId="24">#REF!</definedName>
    <definedName name="ffghg" localSheetId="16">#REF!</definedName>
    <definedName name="ffghg">#REF!</definedName>
    <definedName name="fg" localSheetId="11">#REF!</definedName>
    <definedName name="fg" localSheetId="12">#REF!</definedName>
    <definedName name="fg" localSheetId="24">#REF!</definedName>
    <definedName name="fg" localSheetId="16">#REF!</definedName>
    <definedName name="fg">#REF!</definedName>
    <definedName name="fgnjh" localSheetId="10">#REF!</definedName>
    <definedName name="fgnjh" localSheetId="9">#REF!</definedName>
    <definedName name="fgnjh" localSheetId="11">#REF!</definedName>
    <definedName name="fgnjh" localSheetId="12">#REF!</definedName>
    <definedName name="fgnjh" localSheetId="17">#REF!</definedName>
    <definedName name="fgnjh" localSheetId="24">#REF!</definedName>
    <definedName name="fgnjh" localSheetId="16">#REF!</definedName>
    <definedName name="fgnjh">#REF!</definedName>
    <definedName name="fgy" localSheetId="10">#REF!</definedName>
    <definedName name="fgy" localSheetId="9">#REF!</definedName>
    <definedName name="fgy" localSheetId="11">#REF!</definedName>
    <definedName name="fgy" localSheetId="12">#REF!</definedName>
    <definedName name="fgy" localSheetId="17">#REF!</definedName>
    <definedName name="fgy" localSheetId="24">#REF!</definedName>
    <definedName name="fgy" localSheetId="16">#REF!</definedName>
    <definedName name="fgy">#REF!</definedName>
    <definedName name="Fil" localSheetId="10">#REF!</definedName>
    <definedName name="Fil" localSheetId="9">#REF!</definedName>
    <definedName name="Fil" localSheetId="11">#REF!</definedName>
    <definedName name="Fil" localSheetId="12">#REF!</definedName>
    <definedName name="Fil" localSheetId="17">#REF!</definedName>
    <definedName name="Fil" localSheetId="24">#REF!</definedName>
    <definedName name="Fil" localSheetId="16">#REF!</definedName>
    <definedName name="Fil">#REF!</definedName>
    <definedName name="finansine" localSheetId="10">#REF!</definedName>
    <definedName name="finansine" localSheetId="9">#REF!</definedName>
    <definedName name="finansine" localSheetId="11">#REF!</definedName>
    <definedName name="finansine" localSheetId="12">#REF!</definedName>
    <definedName name="finansine" localSheetId="24">#REF!</definedName>
    <definedName name="finansine" localSheetId="16">#REF!</definedName>
    <definedName name="finansine">#REF!</definedName>
    <definedName name="FinVeiklSan" localSheetId="10">#REF!</definedName>
    <definedName name="FinVeiklSan" localSheetId="9">#REF!</definedName>
    <definedName name="FinVeiklSan" localSheetId="11">#REF!</definedName>
    <definedName name="FinVeiklSan" localSheetId="12">#REF!</definedName>
    <definedName name="FinVeiklSan" localSheetId="24">#REF!</definedName>
    <definedName name="FinVeiklSan" localSheetId="16">#REF!</definedName>
    <definedName name="FinVeiklSan">#REF!</definedName>
    <definedName name="Fire_tank_100" localSheetId="24">#REF!</definedName>
    <definedName name="Fire_tank_100">#REF!</definedName>
    <definedName name="FL" localSheetId="10">#REF!</definedName>
    <definedName name="FL" localSheetId="9">#REF!</definedName>
    <definedName name="FL" localSheetId="11">#REF!</definedName>
    <definedName name="FL" localSheetId="12">#REF!</definedName>
    <definedName name="FL" localSheetId="24">#REF!</definedName>
    <definedName name="FL" localSheetId="16">#REF!</definedName>
    <definedName name="FL">#REF!</definedName>
    <definedName name="fskol" localSheetId="10">#REF!</definedName>
    <definedName name="fskol" localSheetId="9">#REF!</definedName>
    <definedName name="fskol" localSheetId="11">#REF!</definedName>
    <definedName name="fskol" localSheetId="12">#REF!</definedName>
    <definedName name="fskol" localSheetId="24">#REF!</definedName>
    <definedName name="fskol" localSheetId="16">#REF!</definedName>
    <definedName name="fskol">#REF!</definedName>
    <definedName name="ftyk" localSheetId="10">#REF!</definedName>
    <definedName name="ftyk" localSheetId="9">#REF!</definedName>
    <definedName name="ftyk" localSheetId="11">#REF!</definedName>
    <definedName name="ftyk" localSheetId="12">#REF!</definedName>
    <definedName name="ftyk" localSheetId="17">#REF!</definedName>
    <definedName name="ftyk" localSheetId="24">#REF!</definedName>
    <definedName name="ftyk" localSheetId="16">#REF!</definedName>
    <definedName name="ftyk">#REF!</definedName>
    <definedName name="fyh" localSheetId="10">#REF!</definedName>
    <definedName name="fyh" localSheetId="9">#REF!</definedName>
    <definedName name="fyh" localSheetId="11">#REF!</definedName>
    <definedName name="fyh" localSheetId="12">#REF!</definedName>
    <definedName name="fyh" localSheetId="17">#REF!</definedName>
    <definedName name="fyh" localSheetId="24">#REF!</definedName>
    <definedName name="fyh" localSheetId="16">#REF!</definedName>
    <definedName name="fyh">#REF!</definedName>
    <definedName name="fyku" localSheetId="10">#REF!</definedName>
    <definedName name="fyku" localSheetId="9">#REF!</definedName>
    <definedName name="fyku" localSheetId="11">#REF!</definedName>
    <definedName name="fyku" localSheetId="12">#REF!</definedName>
    <definedName name="fyku" localSheetId="17">#REF!</definedName>
    <definedName name="fyku" localSheetId="24">#REF!</definedName>
    <definedName name="fyku" localSheetId="16">#REF!</definedName>
    <definedName name="fyku">#REF!</definedName>
    <definedName name="fytj" localSheetId="11">#REF!</definedName>
    <definedName name="fytj" localSheetId="12">#REF!</definedName>
    <definedName name="fytj" localSheetId="17">#REF!</definedName>
    <definedName name="fytj" localSheetId="24">#REF!</definedName>
    <definedName name="fytj" localSheetId="16">#REF!</definedName>
    <definedName name="fytj">#REF!</definedName>
    <definedName name="G">#N/A</definedName>
    <definedName name="gadi">#REF!</definedName>
    <definedName name="Gautos_Paskolos" localSheetId="10">#REF!</definedName>
    <definedName name="Gautos_Paskolos" localSheetId="9">#REF!</definedName>
    <definedName name="Gautos_Paskolos" localSheetId="11">#REF!</definedName>
    <definedName name="Gautos_Paskolos" localSheetId="12">#REF!</definedName>
    <definedName name="Gautos_Paskolos" localSheetId="24">#REF!</definedName>
    <definedName name="Gautos_Paskolos" localSheetId="16">#REF!</definedName>
    <definedName name="Gautos_Paskolos">#REF!</definedName>
    <definedName name="gexp_count_1">#REF!</definedName>
    <definedName name="gexp_count_2">#REF!</definedName>
    <definedName name="gexp_count_3">#REF!</definedName>
    <definedName name="gexp_count_4">#REF!</definedName>
    <definedName name="gg">#REF!</definedName>
    <definedName name="gggggg" localSheetId="10">#REF!</definedName>
    <definedName name="gggggg" localSheetId="9">#REF!</definedName>
    <definedName name="gggggg" localSheetId="11">#REF!</definedName>
    <definedName name="gggggg" localSheetId="12">#REF!</definedName>
    <definedName name="gggggg" localSheetId="17">#REF!</definedName>
    <definedName name="gggggg" localSheetId="24">#REF!</definedName>
    <definedName name="gggggg" localSheetId="16">#REF!</definedName>
    <definedName name="gggggg">#REF!</definedName>
    <definedName name="ght" localSheetId="11">#REF!</definedName>
    <definedName name="ght" localSheetId="12">#REF!</definedName>
    <definedName name="ght" localSheetId="17">#REF!</definedName>
    <definedName name="ght" localSheetId="24">#REF!</definedName>
    <definedName name="ght" localSheetId="16">#REF!</definedName>
    <definedName name="ght">#REF!</definedName>
    <definedName name="gig">#REF!</definedName>
    <definedName name="grisip" localSheetId="10">#REF!</definedName>
    <definedName name="grisip" localSheetId="9">#REF!</definedName>
    <definedName name="grisip" localSheetId="11">#REF!</definedName>
    <definedName name="grisip" localSheetId="12">#REF!</definedName>
    <definedName name="grisip" localSheetId="24">#REF!</definedName>
    <definedName name="grisip" localSheetId="16">#REF!</definedName>
    <definedName name="grisip">#REF!</definedName>
    <definedName name="grup" localSheetId="10">#REF!</definedName>
    <definedName name="grup" localSheetId="9">#REF!</definedName>
    <definedName name="grup" localSheetId="11">#REF!</definedName>
    <definedName name="grup" localSheetId="12">#REF!</definedName>
    <definedName name="grup" localSheetId="24">#REF!</definedName>
    <definedName name="grup" localSheetId="16">#REF!</definedName>
    <definedName name="grup">#REF!</definedName>
    <definedName name="grupe" localSheetId="10">#REF!</definedName>
    <definedName name="grupe" localSheetId="9">#REF!</definedName>
    <definedName name="grupe" localSheetId="11">#REF!</definedName>
    <definedName name="grupe" localSheetId="12">#REF!</definedName>
    <definedName name="grupe" localSheetId="24">#REF!</definedName>
    <definedName name="grupe" localSheetId="16">#REF!</definedName>
    <definedName name="grupe">#REF!</definedName>
    <definedName name="grverte" localSheetId="10">#REF!</definedName>
    <definedName name="grverte" localSheetId="9">#REF!</definedName>
    <definedName name="grverte" localSheetId="11">#REF!</definedName>
    <definedName name="grverte" localSheetId="12">#REF!</definedName>
    <definedName name="grverte" localSheetId="24">#REF!</definedName>
    <definedName name="grverte" localSheetId="16">#REF!</definedName>
    <definedName name="grverte">#REF!</definedName>
    <definedName name="GS_ConPrice_t" localSheetId="24">#REF!</definedName>
    <definedName name="GS_ConPrice_t">#REF!</definedName>
    <definedName name="GS_EqPrice_fixed" localSheetId="24">#REF!</definedName>
    <definedName name="GS_EqPrice_fixed">#REF!</definedName>
    <definedName name="GS_EqPrice_t" localSheetId="24">#REF!</definedName>
    <definedName name="GS_EqPrice_t">#REF!</definedName>
    <definedName name="gvggggg" localSheetId="10">#REF!</definedName>
    <definedName name="gvggggg" localSheetId="9">#REF!</definedName>
    <definedName name="gvggggg" localSheetId="11">#REF!</definedName>
    <definedName name="gvggggg" localSheetId="12">#REF!</definedName>
    <definedName name="gvggggg" localSheetId="17">#REF!</definedName>
    <definedName name="gvggggg" localSheetId="24">#REF!</definedName>
    <definedName name="gvggggg" localSheetId="16">#REF!</definedName>
    <definedName name="gvggggg">#REF!</definedName>
    <definedName name="h" localSheetId="27" hidden="1">#REF!</definedName>
    <definedName name="h" localSheetId="10" hidden="1">#REF!</definedName>
    <definedName name="h" localSheetId="9" hidden="1">#REF!</definedName>
    <definedName name="h" localSheetId="11" hidden="1">#REF!</definedName>
    <definedName name="h" localSheetId="26" hidden="1">#REF!</definedName>
    <definedName name="h" localSheetId="6" hidden="1">#REF!</definedName>
    <definedName name="h" localSheetId="12" hidden="1">#REF!</definedName>
    <definedName name="h" localSheetId="17" hidden="1">#REF!</definedName>
    <definedName name="h" localSheetId="24" hidden="1">#REF!</definedName>
    <definedName name="h" localSheetId="16" hidden="1">#REF!</definedName>
    <definedName name="h" hidden="1">#REF!</definedName>
    <definedName name="Height_Loans" localSheetId="10">#REF!</definedName>
    <definedName name="Height_Loans" localSheetId="9">#REF!</definedName>
    <definedName name="Height_Loans" localSheetId="11">#REF!</definedName>
    <definedName name="Height_Loans" localSheetId="12">#REF!</definedName>
    <definedName name="Height_Loans" localSheetId="24">#REF!</definedName>
    <definedName name="Height_Loans" localSheetId="16">#REF!</definedName>
    <definedName name="Height_Loans">#REF!</definedName>
    <definedName name="hh">#REF!</definedName>
    <definedName name="hhh" localSheetId="10">#REF!</definedName>
    <definedName name="hhh" localSheetId="9">#REF!</definedName>
    <definedName name="hhh" localSheetId="11">#REF!</definedName>
    <definedName name="hhh" localSheetId="12">#REF!</definedName>
    <definedName name="hhh" localSheetId="24">#REF!</definedName>
    <definedName name="hhh" localSheetId="16">#REF!</definedName>
    <definedName name="hhh">#REF!</definedName>
    <definedName name="hkj" localSheetId="27" hidden="1">#REF!</definedName>
    <definedName name="hkj" localSheetId="10" hidden="1">#REF!</definedName>
    <definedName name="hkj" localSheetId="9" hidden="1">#REF!</definedName>
    <definedName name="hkj" localSheetId="11" hidden="1">#REF!</definedName>
    <definedName name="hkj" localSheetId="26" hidden="1">#REF!</definedName>
    <definedName name="hkj" localSheetId="6" hidden="1">#REF!</definedName>
    <definedName name="hkj" localSheetId="12" hidden="1">#REF!</definedName>
    <definedName name="hkj" localSheetId="17" hidden="1">#REF!</definedName>
    <definedName name="hkj" localSheetId="24" hidden="1">#REF!</definedName>
    <definedName name="hkj" localSheetId="16" hidden="1">#REF!</definedName>
    <definedName name="hkj" hidden="1">#REF!</definedName>
    <definedName name="HTML_CodePage" hidden="1">874</definedName>
    <definedName name="HTML_Control" localSheetId="27" hidden="1">{"'Test'!$B$2:$H$6","'Test'!$B$2:$H$23"}</definedName>
    <definedName name="HTML_Control" localSheetId="10" hidden="1">{"'Test'!$B$2:$H$6","'Test'!$B$2:$H$23"}</definedName>
    <definedName name="HTML_Control" localSheetId="9" hidden="1">{"'Test'!$B$2:$H$6","'Test'!$B$2:$H$23"}</definedName>
    <definedName name="HTML_Control" localSheetId="26" hidden="1">{"'Test'!$B$2:$H$6","'Test'!$B$2:$H$23"}</definedName>
    <definedName name="HTML_Control" localSheetId="6" hidden="1">{"'Test'!$B$2:$H$6","'Test'!$B$2:$H$23"}</definedName>
    <definedName name="HTML_Control" localSheetId="12" hidden="1">{"'Test'!$B$2:$H$6","'Test'!$B$2:$H$23"}</definedName>
    <definedName name="HTML_Control" localSheetId="17" hidden="1">{"'Test'!$B$2:$H$6","'Test'!$B$2:$H$23"}</definedName>
    <definedName name="HTML_Control" localSheetId="24" hidden="1">{"'Test'!$B$2:$H$6","'Test'!$B$2:$H$23"}</definedName>
    <definedName name="HTML_Control" localSheetId="19" hidden="1">{"'Test'!$B$2:$H$6","'Test'!$B$2:$H$23"}</definedName>
    <definedName name="HTML_Control" localSheetId="16" hidden="1">{"'Test'!$B$2:$H$6","'Test'!$B$2:$H$23"}</definedName>
    <definedName name="HTML_Control" hidden="1">{"'Test'!$B$2:$H$6","'Test'!$B$2:$H$23"}</definedName>
    <definedName name="HTML_Description" hidden="1">""</definedName>
    <definedName name="HTML_Email" hidden="1">""</definedName>
    <definedName name="HTML_Header" localSheetId="27" hidden="1">"Test"</definedName>
    <definedName name="HTML_Header" localSheetId="26" hidden="1">"Test"</definedName>
    <definedName name="HTML_Header" localSheetId="17" hidden="1">""</definedName>
    <definedName name="HTML_Header" localSheetId="19" hidden="1">""</definedName>
    <definedName name="HTML_Header" localSheetId="18" hidden="1">""</definedName>
    <definedName name="HTML_Header" hidden="1">"Test"</definedName>
    <definedName name="HTML_LastUpdate" localSheetId="27" hidden="1">"6/7/00"</definedName>
    <definedName name="HTML_LastUpdate" localSheetId="26" hidden="1">"6/7/00"</definedName>
    <definedName name="HTML_LastUpdate" localSheetId="17" hidden="1">"12/9/02"</definedName>
    <definedName name="HTML_LastUpdate" localSheetId="19" hidden="1">"12/9/02"</definedName>
    <definedName name="HTML_LastUpdate" localSheetId="18" hidden="1">"12/9/02"</definedName>
    <definedName name="HTML_LastUpdate" hidden="1">"6/7/00"</definedName>
    <definedName name="HTML_LineAfter" hidden="1">FALSE</definedName>
    <definedName name="HTML_LineBefore" hidden="1">FALSE</definedName>
    <definedName name="HTML_Name" localSheetId="27" hidden="1">"CP-GROUP"</definedName>
    <definedName name="HTML_Name" localSheetId="26" hidden="1">"CP-GROUP"</definedName>
    <definedName name="HTML_Name" localSheetId="17" hidden="1">"cpne"</definedName>
    <definedName name="HTML_Name" localSheetId="19" hidden="1">"cpne"</definedName>
    <definedName name="HTML_Name" localSheetId="18" hidden="1">"cpne"</definedName>
    <definedName name="HTML_Name" hidden="1">"CP-GROUP"</definedName>
    <definedName name="HTML_OBDlg2" hidden="1">TRUE</definedName>
    <definedName name="HTML_OBDlg4" hidden="1">TRUE</definedName>
    <definedName name="HTML_OS" hidden="1">0</definedName>
    <definedName name="HTML_PathFile" localSheetId="27" hidden="1">"C:\SummO\MyHTML.htm"</definedName>
    <definedName name="HTML_PathFile" localSheetId="26" hidden="1">"C:\SummO\MyHTML.htm"</definedName>
    <definedName name="HTML_PathFile" localSheetId="17" hidden="1">"C:\Program\HTML\MIS\Data\3001c45.html"</definedName>
    <definedName name="HTML_PathFile" localSheetId="19" hidden="1">"C:\Program\HTML\MIS\Data\3001c45.html"</definedName>
    <definedName name="HTML_PathFile" localSheetId="18" hidden="1">"C:\Program\HTML\MIS\Data\3001c45.html"</definedName>
    <definedName name="HTML_PathFile" hidden="1">"C:\SummO\MyHTML.htm"</definedName>
    <definedName name="HTML_PathFileMac" hidden="1">"Macintosh HD:HomePageStuff:New_Home_Page:datafile:ctryprem.html"</definedName>
    <definedName name="HTML_Title" localSheetId="27" hidden="1">"Agrot"</definedName>
    <definedName name="HTML_Title" localSheetId="26" hidden="1">"Agrot"</definedName>
    <definedName name="HTML_Title" localSheetId="17" hidden="1">""</definedName>
    <definedName name="HTML_Title" localSheetId="19" hidden="1">""</definedName>
    <definedName name="HTML_Title" localSheetId="18" hidden="1">""</definedName>
    <definedName name="HTML_Title" hidden="1">"Agrot"</definedName>
    <definedName name="hxf" localSheetId="11">#REF!</definedName>
    <definedName name="hxf" localSheetId="12">#REF!</definedName>
    <definedName name="hxf" localSheetId="17">#REF!</definedName>
    <definedName name="hxf" localSheetId="24">#REF!</definedName>
    <definedName name="hxf" localSheetId="16">#REF!</definedName>
    <definedName name="hxf">#REF!</definedName>
    <definedName name="ifrs71" localSheetId="10">#REF!</definedName>
    <definedName name="ifrs71" localSheetId="9">#REF!</definedName>
    <definedName name="ifrs71" localSheetId="11">#REF!</definedName>
    <definedName name="ifrs71" localSheetId="12">#REF!</definedName>
    <definedName name="ifrs71" localSheetId="24">#REF!</definedName>
    <definedName name="ifrs71" localSheetId="16">#REF!</definedName>
    <definedName name="ifrs71">#REF!</definedName>
    <definedName name="iiii" localSheetId="10">#REF!</definedName>
    <definedName name="iiii" localSheetId="9">#REF!</definedName>
    <definedName name="iiii" localSheetId="11">#REF!</definedName>
    <definedName name="iiii" localSheetId="12">#REF!</definedName>
    <definedName name="iiii" localSheetId="24">#REF!</definedName>
    <definedName name="iiii" localSheetId="16">#REF!</definedName>
    <definedName name="iiii">#REF!</definedName>
    <definedName name="ilgalaik" localSheetId="10">#REF!</definedName>
    <definedName name="ilgalaik" localSheetId="9">#REF!</definedName>
    <definedName name="ilgalaik" localSheetId="11">#REF!</definedName>
    <definedName name="ilgalaik" localSheetId="12">#REF!</definedName>
    <definedName name="ilgalaik" localSheetId="24">#REF!</definedName>
    <definedName name="ilgalaik" localSheetId="16">#REF!</definedName>
    <definedName name="ilgalaik">#REF!</definedName>
    <definedName name="ilgas1" localSheetId="10">#REF!</definedName>
    <definedName name="ilgas1" localSheetId="9">#REF!</definedName>
    <definedName name="ilgas1" localSheetId="11">#REF!</definedName>
    <definedName name="ilgas1" localSheetId="12">#REF!</definedName>
    <definedName name="ilgas1" localSheetId="24">#REF!</definedName>
    <definedName name="ilgas1" localSheetId="16">#REF!</definedName>
    <definedName name="ilgas1">#REF!</definedName>
    <definedName name="ilgp" localSheetId="10">#REF!</definedName>
    <definedName name="ilgp" localSheetId="9">#REF!</definedName>
    <definedName name="ilgp" localSheetId="11">#REF!</definedName>
    <definedName name="ilgp" localSheetId="12">#REF!</definedName>
    <definedName name="ilgp" localSheetId="24">#REF!</definedName>
    <definedName name="ilgp" localSheetId="16">#REF!</definedName>
    <definedName name="ilgp">#REF!</definedName>
    <definedName name="IlgPVal" localSheetId="10">#REF!</definedName>
    <definedName name="IlgPVal" localSheetId="9">#REF!</definedName>
    <definedName name="IlgPVal" localSheetId="11">#REF!</definedName>
    <definedName name="IlgPVal" localSheetId="12">#REF!</definedName>
    <definedName name="IlgPVal" localSheetId="24">#REF!</definedName>
    <definedName name="IlgPVal" localSheetId="16">#REF!</definedName>
    <definedName name="IlgPVal">#REF!</definedName>
    <definedName name="imt" localSheetId="10">#REF!</definedName>
    <definedName name="imt" localSheetId="9">#REF!</definedName>
    <definedName name="imt" localSheetId="11">#REF!</definedName>
    <definedName name="imt" localSheetId="12">#REF!</definedName>
    <definedName name="imt" localSheetId="24">#REF!</definedName>
    <definedName name="imt" localSheetId="16">#REF!</definedName>
    <definedName name="imt">#REF!</definedName>
    <definedName name="IMTats" localSheetId="10">#REF!</definedName>
    <definedName name="IMTats" localSheetId="9">#REF!</definedName>
    <definedName name="IMTats" localSheetId="11">#REF!</definedName>
    <definedName name="IMTats" localSheetId="12">#REF!</definedName>
    <definedName name="IMTats" localSheetId="24">#REF!</definedName>
    <definedName name="IMTats" localSheetId="16">#REF!</definedName>
    <definedName name="IMTats">#REF!</definedName>
    <definedName name="IMTBe" localSheetId="10">#REF!</definedName>
    <definedName name="IMTBe" localSheetId="9">#REF!</definedName>
    <definedName name="IMTBe" localSheetId="11">#REF!</definedName>
    <definedName name="IMTBe" localSheetId="12">#REF!</definedName>
    <definedName name="IMTBe" localSheetId="24">#REF!</definedName>
    <definedName name="IMTBe" localSheetId="16">#REF!</definedName>
    <definedName name="IMTBe">#REF!</definedName>
    <definedName name="IMTGr" localSheetId="10">#REF!</definedName>
    <definedName name="IMTGr" localSheetId="9">#REF!</definedName>
    <definedName name="IMTGr" localSheetId="11">#REF!</definedName>
    <definedName name="IMTGr" localSheetId="12">#REF!</definedName>
    <definedName name="IMTGr" localSheetId="24">#REF!</definedName>
    <definedName name="IMTGr" localSheetId="16">#REF!</definedName>
    <definedName name="IMTGr">#REF!</definedName>
    <definedName name="in" localSheetId="17">#REF!</definedName>
    <definedName name="in" localSheetId="24">#REF!</definedName>
    <definedName name="in">#REF!</definedName>
    <definedName name="int" localSheetId="10">#REF!</definedName>
    <definedName name="int" localSheetId="9">#REF!</definedName>
    <definedName name="int" localSheetId="11">#REF!</definedName>
    <definedName name="int" localSheetId="12">#REF!</definedName>
    <definedName name="int" localSheetId="24">#REF!</definedName>
    <definedName name="int" localSheetId="16">#REF!</definedName>
    <definedName name="int">#REF!</definedName>
    <definedName name="INTats" localSheetId="10">#REF!</definedName>
    <definedName name="INTats" localSheetId="9">#REF!</definedName>
    <definedName name="INTats" localSheetId="11">#REF!</definedName>
    <definedName name="INTats" localSheetId="12">#REF!</definedName>
    <definedName name="INTats" localSheetId="24">#REF!</definedName>
    <definedName name="INTats" localSheetId="16">#REF!</definedName>
    <definedName name="INTats">#REF!</definedName>
    <definedName name="INTatsk" localSheetId="10">#REF!</definedName>
    <definedName name="INTatsk" localSheetId="9">#REF!</definedName>
    <definedName name="INTatsk" localSheetId="11">#REF!</definedName>
    <definedName name="INTatsk" localSheetId="12">#REF!</definedName>
    <definedName name="INTatsk" localSheetId="24">#REF!</definedName>
    <definedName name="INTatsk" localSheetId="16">#REF!</definedName>
    <definedName name="INTatsk">#REF!</definedName>
    <definedName name="INTGr" localSheetId="10">#REF!</definedName>
    <definedName name="INTGr" localSheetId="9">#REF!</definedName>
    <definedName name="INTGr" localSheetId="11">#REF!</definedName>
    <definedName name="INTGr" localSheetId="12">#REF!</definedName>
    <definedName name="INTGr" localSheetId="24">#REF!</definedName>
    <definedName name="INTGr" localSheetId="16">#REF!</definedName>
    <definedName name="INTGr">#REF!</definedName>
    <definedName name="inv" localSheetId="10">#REF!</definedName>
    <definedName name="inv" localSheetId="9">#REF!</definedName>
    <definedName name="inv" localSheetId="11">#REF!</definedName>
    <definedName name="inv" localSheetId="12">#REF!</definedName>
    <definedName name="inv" localSheetId="24">#REF!</definedName>
    <definedName name="inv" localSheetId="16">#REF!</definedName>
    <definedName name="inv">#REF!</definedName>
    <definedName name="invcost" localSheetId="10">#REF!</definedName>
    <definedName name="invcost" localSheetId="9">#REF!</definedName>
    <definedName name="invcost" localSheetId="11">#REF!</definedName>
    <definedName name="invcost" localSheetId="12">#REF!</definedName>
    <definedName name="invcost" localSheetId="24">#REF!</definedName>
    <definedName name="invcost" localSheetId="16">#REF!</definedName>
    <definedName name="invcost">#REF!</definedName>
    <definedName name="InvD" localSheetId="10">#REF!</definedName>
    <definedName name="InvD" localSheetId="9">#REF!</definedName>
    <definedName name="InvD" localSheetId="11">#REF!</definedName>
    <definedName name="InvD" localSheetId="12">#REF!</definedName>
    <definedName name="InvD" localSheetId="24">#REF!</definedName>
    <definedName name="InvD" localSheetId="16">#REF!</definedName>
    <definedName name="InvD">#REF!</definedName>
    <definedName name="invdout" localSheetId="10">#REF!</definedName>
    <definedName name="invdout" localSheetId="9">#REF!</definedName>
    <definedName name="invdout" localSheetId="11">#REF!</definedName>
    <definedName name="invdout" localSheetId="12">#REF!</definedName>
    <definedName name="invdout" localSheetId="24">#REF!</definedName>
    <definedName name="invdout" localSheetId="16">#REF!</definedName>
    <definedName name="invdout">#REF!</definedName>
    <definedName name="invest" localSheetId="10">#REF!</definedName>
    <definedName name="invest" localSheetId="9">#REF!</definedName>
    <definedName name="invest" localSheetId="11">#REF!</definedName>
    <definedName name="invest" localSheetId="12">#REF!</definedName>
    <definedName name="invest" localSheetId="24">#REF!</definedName>
    <definedName name="invest" localSheetId="16">#REF!</definedName>
    <definedName name="invest">#REF!</definedName>
    <definedName name="InvestBe" localSheetId="10">#REF!</definedName>
    <definedName name="InvestBe" localSheetId="9">#REF!</definedName>
    <definedName name="InvestBe" localSheetId="11">#REF!</definedName>
    <definedName name="InvestBe" localSheetId="12">#REF!</definedName>
    <definedName name="InvestBe" localSheetId="24">#REF!</definedName>
    <definedName name="InvestBe" localSheetId="16">#REF!</definedName>
    <definedName name="InvestBe">#REF!</definedName>
    <definedName name="InvestPok" localSheetId="10">#REF!</definedName>
    <definedName name="InvestPok" localSheetId="9">#REF!</definedName>
    <definedName name="InvestPok" localSheetId="11">#REF!</definedName>
    <definedName name="InvestPok" localSheetId="12">#REF!</definedName>
    <definedName name="InvestPok" localSheetId="24">#REF!</definedName>
    <definedName name="InvestPok" localSheetId="16">#REF!</definedName>
    <definedName name="InvestPok">#REF!</definedName>
    <definedName name="InvIsig" localSheetId="10">#REF!</definedName>
    <definedName name="InvIsig" localSheetId="9">#REF!</definedName>
    <definedName name="InvIsig" localSheetId="11">#REF!</definedName>
    <definedName name="InvIsig" localSheetId="12">#REF!</definedName>
    <definedName name="InvIsig" localSheetId="24">#REF!</definedName>
    <definedName name="InvIsig" localSheetId="16">#REF!</definedName>
    <definedName name="InvIsig">#REF!</definedName>
    <definedName name="InvKitosGr" localSheetId="10">#REF!</definedName>
    <definedName name="InvKitosGr" localSheetId="9">#REF!</definedName>
    <definedName name="InvKitosGr" localSheetId="11">#REF!</definedName>
    <definedName name="InvKitosGr" localSheetId="12">#REF!</definedName>
    <definedName name="InvKitosGr" localSheetId="24">#REF!</definedName>
    <definedName name="InvKitosGr" localSheetId="16">#REF!</definedName>
    <definedName name="InvKitosGr">#REF!</definedName>
    <definedName name="InvNeties" localSheetId="10">#REF!</definedName>
    <definedName name="InvNeties" localSheetId="9">#REF!</definedName>
    <definedName name="InvNeties" localSheetId="11">#REF!</definedName>
    <definedName name="InvNeties" localSheetId="12">#REF!</definedName>
    <definedName name="InvNeties" localSheetId="24">#REF!</definedName>
    <definedName name="InvNeties" localSheetId="16">#REF!</definedName>
    <definedName name="InvNeties">#REF!</definedName>
    <definedName name="InvPokPal" localSheetId="10">#REF!</definedName>
    <definedName name="InvPokPal" localSheetId="9">#REF!</definedName>
    <definedName name="InvPokPal" localSheetId="11">#REF!</definedName>
    <definedName name="InvPokPal" localSheetId="12">#REF!</definedName>
    <definedName name="InvPokPal" localSheetId="24">#REF!</definedName>
    <definedName name="InvPokPal" localSheetId="16">#REF!</definedName>
    <definedName name="InvPokPal">#REF!</definedName>
    <definedName name="INX" localSheetId="10">#REF!</definedName>
    <definedName name="INX" localSheetId="9">#REF!</definedName>
    <definedName name="INX" localSheetId="11">#REF!</definedName>
    <definedName name="INX" localSheetId="12">#REF!</definedName>
    <definedName name="INX" localSheetId="17">#REF!</definedName>
    <definedName name="INX" localSheetId="24">#REF!</definedName>
    <definedName name="INX" localSheetId="16">#REF!</definedName>
    <definedName name="INX">#REF!</definedName>
    <definedName name="ioo" localSheetId="10">#REF!</definedName>
    <definedName name="ioo" localSheetId="9">#REF!</definedName>
    <definedName name="ioo" localSheetId="11">#REF!</definedName>
    <definedName name="ioo" localSheetId="12">#REF!</definedName>
    <definedName name="ioo" localSheetId="17">#REF!</definedName>
    <definedName name="ioo" localSheetId="24">#REF!</definedName>
    <definedName name="ioo" localSheetId="19">#REF!</definedName>
    <definedName name="ioo" localSheetId="16">#REF!</definedName>
    <definedName name="ioo" localSheetId="18">#REF!</definedName>
    <definedName name="ioo">#REF!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localSheetId="27" hidden="1">42208.4884143519</definedName>
    <definedName name="IQ_NAMES_REVISION_DATE_" localSheetId="26" hidden="1">42208.4884143519</definedName>
    <definedName name="IQ_NAMES_REVISION_DATE_" localSheetId="17" hidden="1">238757.703425926</definedName>
    <definedName name="IQ_NAMES_REVISION_DATE_" localSheetId="19" hidden="1">238757.703425926</definedName>
    <definedName name="IQ_NAMES_REVISION_DATE_" localSheetId="18" hidden="1">238757.703425926</definedName>
    <definedName name="IQ_NAMES_REVISION_DATE_" hidden="1">42208.4884143519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rr" localSheetId="10">#REF!</definedName>
    <definedName name="irr" localSheetId="9">#REF!</definedName>
    <definedName name="irr" localSheetId="11">#REF!</definedName>
    <definedName name="irr" localSheetId="12">#REF!</definedName>
    <definedName name="irr" localSheetId="24">#REF!</definedName>
    <definedName name="irr" localSheetId="16">#REF!</definedName>
    <definedName name="irr">#REF!</definedName>
    <definedName name="irrout" localSheetId="10">#REF!</definedName>
    <definedName name="irrout" localSheetId="9">#REF!</definedName>
    <definedName name="irrout" localSheetId="11">#REF!</definedName>
    <definedName name="irrout" localSheetId="12">#REF!</definedName>
    <definedName name="irrout" localSheetId="24">#REF!</definedName>
    <definedName name="irrout" localSheetId="16">#REF!</definedName>
    <definedName name="irrout">#REF!</definedName>
    <definedName name="irrout2" localSheetId="10">#REF!</definedName>
    <definedName name="irrout2" localSheetId="9">#REF!</definedName>
    <definedName name="irrout2" localSheetId="11">#REF!</definedName>
    <definedName name="irrout2" localSheetId="12">#REF!</definedName>
    <definedName name="irrout2" localSheetId="24">#REF!</definedName>
    <definedName name="irrout2" localSheetId="16">#REF!</definedName>
    <definedName name="irrout2">#REF!</definedName>
    <definedName name="IS_DEMO">#REF!</definedName>
    <definedName name="IS_ESTATE">#REF!</definedName>
    <definedName name="IS_NULL">#REF!</definedName>
    <definedName name="IS_PRIM">#REF!</definedName>
    <definedName name="IS_SUMM">#REF!</definedName>
    <definedName name="IS_TRIAL">#REF!</definedName>
    <definedName name="ISAND" localSheetId="10">#REF!</definedName>
    <definedName name="ISAND" localSheetId="9">#REF!</definedName>
    <definedName name="ISAND" localSheetId="11">#REF!</definedName>
    <definedName name="ISAND" localSheetId="12">#REF!</definedName>
    <definedName name="ISAND" localSheetId="24">#REF!</definedName>
    <definedName name="ISAND" localSheetId="16">#REF!</definedName>
    <definedName name="ISAND">#REF!</definedName>
    <definedName name="IsTPGTV" localSheetId="10">#REF!</definedName>
    <definedName name="IsTPGTV" localSheetId="9">#REF!</definedName>
    <definedName name="IsTPGTV" localSheetId="11">#REF!</definedName>
    <definedName name="IsTPGTV" localSheetId="12">#REF!</definedName>
    <definedName name="IsTPGTV" localSheetId="24">#REF!</definedName>
    <definedName name="IsTPGTV" localSheetId="16">#REF!</definedName>
    <definedName name="IsTPGTV">#REF!</definedName>
    <definedName name="j" localSheetId="10">#REF!</definedName>
    <definedName name="j" localSheetId="9">#REF!</definedName>
    <definedName name="j" localSheetId="11">#REF!</definedName>
    <definedName name="j" localSheetId="12">#REF!</definedName>
    <definedName name="j" localSheetId="17">#REF!</definedName>
    <definedName name="j" localSheetId="24">#REF!</definedName>
    <definedName name="j" localSheetId="16">#REF!</definedName>
    <definedName name="j" localSheetId="18">#REF!</definedName>
    <definedName name="j">#REF!</definedName>
    <definedName name="JanToJun">#REF!,#REF!</definedName>
    <definedName name="jdjdjd" localSheetId="10">#REF!</definedName>
    <definedName name="jdjdjd" localSheetId="9">#REF!</definedName>
    <definedName name="jdjdjd" localSheetId="11">#REF!</definedName>
    <definedName name="jdjdjd" localSheetId="12">#REF!</definedName>
    <definedName name="jdjdjd" localSheetId="24">#REF!</definedName>
    <definedName name="jdjdjd">#REF!</definedName>
    <definedName name="jhwfjff" localSheetId="11">#REF!</definedName>
    <definedName name="jhwfjff" localSheetId="12">#REF!</definedName>
    <definedName name="jhwfjff" localSheetId="24">#REF!</definedName>
    <definedName name="jhwfjff" localSheetId="16">#REF!</definedName>
    <definedName name="jhwfjff">#REF!</definedName>
    <definedName name="jjjjjj" localSheetId="10">#REF!</definedName>
    <definedName name="jjjjjj" localSheetId="9">#REF!</definedName>
    <definedName name="jjjjjj" localSheetId="11">#REF!</definedName>
    <definedName name="jjjjjj" localSheetId="12">#REF!</definedName>
    <definedName name="jjjjjj" localSheetId="17">#REF!</definedName>
    <definedName name="jjjjjj" localSheetId="24">#REF!</definedName>
    <definedName name="jjjjjj" localSheetId="16">#REF!</definedName>
    <definedName name="jjjjjj">#REF!</definedName>
    <definedName name="jkh" localSheetId="10">#REF!</definedName>
    <definedName name="jkh" localSheetId="9">#REF!</definedName>
    <definedName name="jkh" localSheetId="11">#REF!</definedName>
    <definedName name="jkh" localSheetId="12">#REF!</definedName>
    <definedName name="jkh" localSheetId="17">#REF!</definedName>
    <definedName name="jkh" localSheetId="24">#REF!</definedName>
    <definedName name="jkh" localSheetId="16">#REF!</definedName>
    <definedName name="jkh">#REF!</definedName>
    <definedName name="jukmg" localSheetId="11">#REF!</definedName>
    <definedName name="jukmg" localSheetId="12">#REF!</definedName>
    <definedName name="jukmg" localSheetId="17">#REF!</definedName>
    <definedName name="jukmg" localSheetId="24">#REF!</definedName>
    <definedName name="jukmg" localSheetId="16">#REF!</definedName>
    <definedName name="jukmg">#REF!</definedName>
    <definedName name="JulToDec">#REF!,#REF!</definedName>
    <definedName name="jxfyuh" localSheetId="11">#REF!</definedName>
    <definedName name="jxfyuh" localSheetId="12">#REF!</definedName>
    <definedName name="jxfyuh" localSheetId="17">#REF!</definedName>
    <definedName name="jxfyuh" localSheetId="24">#REF!</definedName>
    <definedName name="jxfyuh" localSheetId="16">#REF!</definedName>
    <definedName name="jxfyuh">#REF!</definedName>
    <definedName name="k" localSheetId="10">#REF!</definedName>
    <definedName name="k" localSheetId="9">#REF!</definedName>
    <definedName name="k" localSheetId="11">#REF!</definedName>
    <definedName name="k" localSheetId="12">#REF!</definedName>
    <definedName name="k" localSheetId="17">#REF!</definedName>
    <definedName name="k" localSheetId="24">#REF!</definedName>
    <definedName name="k" localSheetId="16">#REF!</definedName>
    <definedName name="k">#REF!</definedName>
    <definedName name="KEY">#REF!</definedName>
    <definedName name="KFT" localSheetId="10">#REF!</definedName>
    <definedName name="KFT" localSheetId="9">#REF!</definedName>
    <definedName name="KFT" localSheetId="11">#REF!</definedName>
    <definedName name="KFT" localSheetId="12">#REF!</definedName>
    <definedName name="KFT" localSheetId="24">#REF!</definedName>
    <definedName name="KFT" localSheetId="16">#REF!</definedName>
    <definedName name="KFT">#REF!</definedName>
    <definedName name="KGS" localSheetId="10">#REF!</definedName>
    <definedName name="KGS" localSheetId="9">#REF!</definedName>
    <definedName name="KGS" localSheetId="11">#REF!</definedName>
    <definedName name="KGS" localSheetId="12">#REF!</definedName>
    <definedName name="KGS" localSheetId="24">#REF!</definedName>
    <definedName name="KGS" localSheetId="16">#REF!</definedName>
    <definedName name="KGS">#REF!</definedName>
    <definedName name="Kids">#REF!</definedName>
    <definedName name="kkkkk">#REF!</definedName>
    <definedName name="kR" localSheetId="24">#REF!</definedName>
    <definedName name="kR">#REF!</definedName>
    <definedName name="kRub" localSheetId="24">#REF!</definedName>
    <definedName name="kRub">#REF!</definedName>
    <definedName name="Kuu" localSheetId="10">#REF!</definedName>
    <definedName name="Kuu" localSheetId="9">#REF!</definedName>
    <definedName name="Kuu" localSheetId="11">#REF!</definedName>
    <definedName name="Kuu" localSheetId="12">#REF!</definedName>
    <definedName name="Kuu" localSheetId="24">#REF!</definedName>
    <definedName name="Kuu" localSheetId="16">#REF!</definedName>
    <definedName name="Kuu">#REF!</definedName>
    <definedName name="L" localSheetId="10">#REF!</definedName>
    <definedName name="L" localSheetId="9">#REF!</definedName>
    <definedName name="L" localSheetId="11">#REF!</definedName>
    <definedName name="L" localSheetId="12">#REF!</definedName>
    <definedName name="L" localSheetId="17">#REF!</definedName>
    <definedName name="L" localSheetId="24">#REF!</definedName>
    <definedName name="L" localSheetId="16">#REF!</definedName>
    <definedName name="L" localSheetId="18">#REF!</definedName>
    <definedName name="L">#REF!</definedName>
    <definedName name="lack" localSheetId="10">#REF!</definedName>
    <definedName name="lack" localSheetId="9">#REF!</definedName>
    <definedName name="lack" localSheetId="11">#REF!</definedName>
    <definedName name="lack" localSheetId="12">#REF!</definedName>
    <definedName name="lack" localSheetId="24">#REF!</definedName>
    <definedName name="lack" localSheetId="16">#REF!</definedName>
    <definedName name="lack">#REF!</definedName>
    <definedName name="lackin" localSheetId="10">#REF!</definedName>
    <definedName name="lackin" localSheetId="9">#REF!</definedName>
    <definedName name="lackin" localSheetId="11">#REF!</definedName>
    <definedName name="lackin" localSheetId="12">#REF!</definedName>
    <definedName name="lackin" localSheetId="24">#REF!</definedName>
    <definedName name="lackin" localSheetId="16">#REF!</definedName>
    <definedName name="lackin">#REF!</definedName>
    <definedName name="LANGUAGE">#REF!</definedName>
    <definedName name="LanguageID">#REF!</definedName>
    <definedName name="LAST_COLUMN">#REF!</definedName>
    <definedName name="lb" localSheetId="10">#REF!</definedName>
    <definedName name="lb" localSheetId="9">#REF!</definedName>
    <definedName name="lb" localSheetId="11">#REF!</definedName>
    <definedName name="lb" localSheetId="12">#REF!</definedName>
    <definedName name="lb" localSheetId="17">#REF!</definedName>
    <definedName name="lb" localSheetId="24">#REF!</definedName>
    <definedName name="lb" localSheetId="16">#REF!</definedName>
    <definedName name="lb">#REF!</definedName>
    <definedName name="LD">#REF!</definedName>
    <definedName name="LE">#REF!</definedName>
    <definedName name="lease_count">#REF!</definedName>
    <definedName name="likv" localSheetId="10">#REF!</definedName>
    <definedName name="likv" localSheetId="9">#REF!</definedName>
    <definedName name="likv" localSheetId="11">#REF!</definedName>
    <definedName name="likv" localSheetId="12">#REF!</definedName>
    <definedName name="likv" localSheetId="24">#REF!</definedName>
    <definedName name="likv" localSheetId="16">#REF!</definedName>
    <definedName name="likv">#REF!</definedName>
    <definedName name="ListForSensAnal">#REF!</definedName>
    <definedName name="lizingai" localSheetId="10">#REF!</definedName>
    <definedName name="lizingai" localSheetId="9">#REF!</definedName>
    <definedName name="lizingai" localSheetId="11">#REF!</definedName>
    <definedName name="lizingai" localSheetId="12">#REF!</definedName>
    <definedName name="lizingai" localSheetId="24">#REF!</definedName>
    <definedName name="lizingai" localSheetId="16">#REF!</definedName>
    <definedName name="lizingai">#REF!</definedName>
    <definedName name="Lizingas" localSheetId="10">#REF!</definedName>
    <definedName name="Lizingas" localSheetId="9">#REF!</definedName>
    <definedName name="Lizingas" localSheetId="11">#REF!</definedName>
    <definedName name="Lizingas" localSheetId="12">#REF!</definedName>
    <definedName name="Lizingas" localSheetId="24">#REF!</definedName>
    <definedName name="Lizingas" localSheetId="16">#REF!</definedName>
    <definedName name="Lizingas">#REF!</definedName>
    <definedName name="loan_count">#REF!</definedName>
    <definedName name="Local" localSheetId="10">#REF!</definedName>
    <definedName name="Local" localSheetId="9">#REF!</definedName>
    <definedName name="Local" localSheetId="11">#REF!</definedName>
    <definedName name="Local" localSheetId="12">#REF!</definedName>
    <definedName name="Local" localSheetId="17">#REF!</definedName>
    <definedName name="Local" localSheetId="24">#REF!</definedName>
    <definedName name="Local" localSheetId="16">#REF!</definedName>
    <definedName name="Local">#REF!</definedName>
    <definedName name="lugis" localSheetId="10">#REF!</definedName>
    <definedName name="lugis" localSheetId="9">#REF!</definedName>
    <definedName name="lugis" localSheetId="11">#REF!</definedName>
    <definedName name="lugis" localSheetId="12">#REF!</definedName>
    <definedName name="lugis" localSheetId="24">#REF!</definedName>
    <definedName name="lugis" localSheetId="16">#REF!</definedName>
    <definedName name="lugis">#REF!</definedName>
    <definedName name="m" localSheetId="10">#REF!</definedName>
    <definedName name="m" localSheetId="9">#REF!</definedName>
    <definedName name="m" localSheetId="11">#REF!</definedName>
    <definedName name="m" localSheetId="12">#REF!</definedName>
    <definedName name="m" localSheetId="17">#REF!</definedName>
    <definedName name="m" localSheetId="24">#REF!</definedName>
    <definedName name="m" localSheetId="16">#REF!</definedName>
    <definedName name="m">#REF!</definedName>
    <definedName name="m_2" localSheetId="24">#REF!</definedName>
    <definedName name="m_2">#REF!</definedName>
    <definedName name="M_CC" localSheetId="10">#REF!</definedName>
    <definedName name="M_CC" localSheetId="9">#REF!</definedName>
    <definedName name="M_CC" localSheetId="11">#REF!</definedName>
    <definedName name="M_CC" localSheetId="12">#REF!</definedName>
    <definedName name="M_CC" localSheetId="17">#REF!</definedName>
    <definedName name="M_CC" localSheetId="24">#REF!</definedName>
    <definedName name="M_CC" localSheetId="16">#REF!</definedName>
    <definedName name="M_CC">#REF!</definedName>
    <definedName name="Macro001" localSheetId="11">#REF!</definedName>
    <definedName name="Macro001" localSheetId="12">#REF!</definedName>
    <definedName name="Macro001" localSheetId="17">#REF!</definedName>
    <definedName name="Macro001" localSheetId="24">#REF!</definedName>
    <definedName name="Macro001" localSheetId="16">#REF!</definedName>
    <definedName name="Macro001">#REF!</definedName>
    <definedName name="Macro002" localSheetId="11">#REF!</definedName>
    <definedName name="Macro002" localSheetId="12">#REF!</definedName>
    <definedName name="Macro002" localSheetId="17">#REF!</definedName>
    <definedName name="Macro002" localSheetId="24">#REF!</definedName>
    <definedName name="Macro002" localSheetId="16">#REF!</definedName>
    <definedName name="Macro002">#REF!</definedName>
    <definedName name="Macro003" localSheetId="11">#REF!</definedName>
    <definedName name="Macro003" localSheetId="12">#REF!</definedName>
    <definedName name="Macro003" localSheetId="17">#REF!</definedName>
    <definedName name="Macro003" localSheetId="24">#REF!</definedName>
    <definedName name="Macro003" localSheetId="16">#REF!</definedName>
    <definedName name="Macro003">#REF!</definedName>
    <definedName name="Macro004" localSheetId="11">#REF!</definedName>
    <definedName name="Macro004" localSheetId="12">#REF!</definedName>
    <definedName name="Macro004" localSheetId="17">#REF!</definedName>
    <definedName name="Macro004" localSheetId="24">#REF!</definedName>
    <definedName name="Macro004" localSheetId="16">#REF!</definedName>
    <definedName name="Macro004">#REF!</definedName>
    <definedName name="Macro005" localSheetId="11">#REF!</definedName>
    <definedName name="Macro005" localSheetId="12">#REF!</definedName>
    <definedName name="Macro005" localSheetId="17">#REF!</definedName>
    <definedName name="Macro005" localSheetId="24">#REF!</definedName>
    <definedName name="Macro005" localSheetId="16">#REF!</definedName>
    <definedName name="Macro005">#REF!</definedName>
    <definedName name="Macro1" localSheetId="11">#REF!</definedName>
    <definedName name="Macro1" localSheetId="12">#REF!</definedName>
    <definedName name="Macro1" localSheetId="24">#REF!</definedName>
    <definedName name="Macro1" localSheetId="16">#REF!</definedName>
    <definedName name="Macro1">#REF!</definedName>
    <definedName name="Macro10" localSheetId="11">#REF!</definedName>
    <definedName name="Macro10" localSheetId="17">#N/A</definedName>
    <definedName name="Macro10" localSheetId="24">#REF!</definedName>
    <definedName name="Macro10" localSheetId="19">#N/A</definedName>
    <definedName name="Macro10" localSheetId="18">#N/A</definedName>
    <definedName name="Macro10">#REF!</definedName>
    <definedName name="Macro11" localSheetId="11">#REF!</definedName>
    <definedName name="Macro11" localSheetId="17">#N/A</definedName>
    <definedName name="Macro11" localSheetId="24">#REF!</definedName>
    <definedName name="Macro11" localSheetId="19">#N/A</definedName>
    <definedName name="Macro11" localSheetId="18">#N/A</definedName>
    <definedName name="Macro11">#REF!</definedName>
    <definedName name="Macro111" localSheetId="11">#REF!</definedName>
    <definedName name="Macro111" localSheetId="17">#N/A</definedName>
    <definedName name="Macro111" localSheetId="24">#REF!</definedName>
    <definedName name="Macro111" localSheetId="19">#N/A</definedName>
    <definedName name="Macro111" localSheetId="18">#N/A</definedName>
    <definedName name="Macro111">#REF!</definedName>
    <definedName name="Macro12" localSheetId="11">#REF!</definedName>
    <definedName name="Macro12" localSheetId="17">#N/A</definedName>
    <definedName name="Macro12" localSheetId="24">#REF!</definedName>
    <definedName name="Macro12" localSheetId="19">#N/A</definedName>
    <definedName name="Macro12" localSheetId="18">#N/A</definedName>
    <definedName name="Macro12">#REF!</definedName>
    <definedName name="Macro15" localSheetId="11">#REF!</definedName>
    <definedName name="Macro15" localSheetId="17">#N/A</definedName>
    <definedName name="Macro15" localSheetId="24">#REF!</definedName>
    <definedName name="Macro15" localSheetId="19">#N/A</definedName>
    <definedName name="Macro15" localSheetId="18">#N/A</definedName>
    <definedName name="Macro15">#REF!</definedName>
    <definedName name="Macro2" localSheetId="11">#REF!</definedName>
    <definedName name="Macro2" localSheetId="12">#REF!</definedName>
    <definedName name="Macro2" localSheetId="24">#REF!</definedName>
    <definedName name="Macro2" localSheetId="16">#REF!</definedName>
    <definedName name="Macro2">#REF!</definedName>
    <definedName name="Macro4" localSheetId="11">#REF!</definedName>
    <definedName name="Macro4" localSheetId="12">#REF!</definedName>
    <definedName name="Macro4" localSheetId="24">#REF!</definedName>
    <definedName name="Macro4" localSheetId="16">#REF!</definedName>
    <definedName name="Macro4">#REF!</definedName>
    <definedName name="Macro6" localSheetId="11">#REF!</definedName>
    <definedName name="Macro6" localSheetId="12">#REF!</definedName>
    <definedName name="Macro6" localSheetId="24">#REF!</definedName>
    <definedName name="Macro6" localSheetId="16">#REF!</definedName>
    <definedName name="Macro6">#REF!</definedName>
    <definedName name="MacroS01" localSheetId="11">#REF!</definedName>
    <definedName name="MacroS01" localSheetId="12">#REF!</definedName>
    <definedName name="MacroS01" localSheetId="17">#REF!</definedName>
    <definedName name="MacroS01" localSheetId="24">#REF!</definedName>
    <definedName name="MacroS01" localSheetId="16">#REF!</definedName>
    <definedName name="MacroS01">#REF!</definedName>
    <definedName name="MacroUP" localSheetId="11">#REF!</definedName>
    <definedName name="MacroUP" localSheetId="12">#REF!</definedName>
    <definedName name="MacroUP" localSheetId="17">#REF!</definedName>
    <definedName name="MacroUP" localSheetId="24">#REF!</definedName>
    <definedName name="MacroUP" localSheetId="16">#REF!</definedName>
    <definedName name="MacroUP">#REF!</definedName>
    <definedName name="MacroUP01" localSheetId="11">#REF!</definedName>
    <definedName name="MacroUP01" localSheetId="12">#REF!</definedName>
    <definedName name="MacroUP01" localSheetId="17">#REF!</definedName>
    <definedName name="MacroUP01" localSheetId="24">#REF!</definedName>
    <definedName name="MacroUP01" localSheetId="16">#REF!</definedName>
    <definedName name="MacroUP01">#REF!</definedName>
    <definedName name="man" localSheetId="10">#REF!</definedName>
    <definedName name="man" localSheetId="9">#REF!</definedName>
    <definedName name="man" localSheetId="11">#REF!</definedName>
    <definedName name="man" localSheetId="12">#REF!</definedName>
    <definedName name="man" localSheetId="17">#REF!</definedName>
    <definedName name="man" localSheetId="24">#REF!</definedName>
    <definedName name="man" localSheetId="16">#REF!</definedName>
    <definedName name="man">#REF!</definedName>
    <definedName name="mann" localSheetId="10">#REF!</definedName>
    <definedName name="mann" localSheetId="9">#REF!</definedName>
    <definedName name="mann" localSheetId="11">#REF!</definedName>
    <definedName name="mann" localSheetId="12">#REF!</definedName>
    <definedName name="mann" localSheetId="17">#REF!</definedName>
    <definedName name="mann" localSheetId="24">#REF!</definedName>
    <definedName name="mann" localSheetId="16">#REF!</definedName>
    <definedName name="mann">#REF!</definedName>
    <definedName name="mar" localSheetId="10">#REF!</definedName>
    <definedName name="mar" localSheetId="9">#REF!</definedName>
    <definedName name="mar" localSheetId="11">#REF!</definedName>
    <definedName name="mar" localSheetId="12">#REF!</definedName>
    <definedName name="mar" localSheetId="17">#REF!</definedName>
    <definedName name="mar" localSheetId="24">#REF!</definedName>
    <definedName name="mar" localSheetId="16">#REF!</definedName>
    <definedName name="mar">#REF!</definedName>
    <definedName name="market" localSheetId="10">#REF!</definedName>
    <definedName name="market" localSheetId="9">#REF!</definedName>
    <definedName name="market" localSheetId="11">#REF!</definedName>
    <definedName name="market" localSheetId="12">#REF!</definedName>
    <definedName name="market" localSheetId="17">#REF!</definedName>
    <definedName name="market" localSheetId="24">#REF!</definedName>
    <definedName name="market" localSheetId="16">#REF!</definedName>
    <definedName name="market">#REF!</definedName>
    <definedName name="marketshare" localSheetId="10">#REF!</definedName>
    <definedName name="marketshare" localSheetId="9">#REF!</definedName>
    <definedName name="marketshare" localSheetId="11">#REF!</definedName>
    <definedName name="marketshare" localSheetId="12">#REF!</definedName>
    <definedName name="marketshare" localSheetId="17">#REF!</definedName>
    <definedName name="marketshare" localSheetId="24">#REF!</definedName>
    <definedName name="marketshare" localSheetId="16">#REF!</definedName>
    <definedName name="marketshare">#REF!</definedName>
    <definedName name="mat">#REF!</definedName>
    <definedName name="mEnist" localSheetId="10">#REF!</definedName>
    <definedName name="mEnist" localSheetId="9">#REF!</definedName>
    <definedName name="mEnist" localSheetId="11">#REF!</definedName>
    <definedName name="mEnist" localSheetId="12">#REF!</definedName>
    <definedName name="mEnist" localSheetId="24">#REF!</definedName>
    <definedName name="mEnist" localSheetId="16">#REF!</definedName>
    <definedName name="mEnist">#REF!</definedName>
    <definedName name="MENU" localSheetId="10">#REF!</definedName>
    <definedName name="MENU" localSheetId="9">#REF!</definedName>
    <definedName name="MENU" localSheetId="11">#REF!</definedName>
    <definedName name="MENU" localSheetId="12">#REF!</definedName>
    <definedName name="MENU" localSheetId="17">#REF!</definedName>
    <definedName name="MENU" localSheetId="24">#REF!</definedName>
    <definedName name="MENU" localSheetId="16">#REF!</definedName>
    <definedName name="MENU">#REF!</definedName>
    <definedName name="minliz" localSheetId="10">#REF!</definedName>
    <definedName name="minliz" localSheetId="9">#REF!</definedName>
    <definedName name="minliz" localSheetId="11">#REF!</definedName>
    <definedName name="minliz" localSheetId="12">#REF!</definedName>
    <definedName name="minliz" localSheetId="24">#REF!</definedName>
    <definedName name="minliz" localSheetId="16">#REF!</definedName>
    <definedName name="minliz">#REF!</definedName>
    <definedName name="MM">#REF!</definedName>
    <definedName name="Module1.Macro1" localSheetId="11">#REF!</definedName>
    <definedName name="Module1.Macro1" localSheetId="17">#N/A</definedName>
    <definedName name="Module1.Macro1" localSheetId="24">#REF!</definedName>
    <definedName name="Module1.Macro1" localSheetId="19">#N/A</definedName>
    <definedName name="Module1.Macro1" localSheetId="18">#N/A</definedName>
    <definedName name="Module1.Macro1">#REF!</definedName>
    <definedName name="Module1.Macro111" localSheetId="11">#REF!</definedName>
    <definedName name="Module1.Macro111" localSheetId="17">#N/A</definedName>
    <definedName name="Module1.Macro111" localSheetId="24">#REF!</definedName>
    <definedName name="Module1.Macro111" localSheetId="19">#N/A</definedName>
    <definedName name="Module1.Macro111" localSheetId="18">#N/A</definedName>
    <definedName name="Module1.Macro111">#REF!</definedName>
    <definedName name="moketinos" localSheetId="10">#REF!</definedName>
    <definedName name="moketinos" localSheetId="9">#REF!</definedName>
    <definedName name="moketinos" localSheetId="11">#REF!</definedName>
    <definedName name="moketinos" localSheetId="12">#REF!</definedName>
    <definedName name="moketinos" localSheetId="24">#REF!</definedName>
    <definedName name="moketinos" localSheetId="16">#REF!</definedName>
    <definedName name="moketinos">#REF!</definedName>
    <definedName name="mon" localSheetId="10">#REF!</definedName>
    <definedName name="mon" localSheetId="9">#REF!</definedName>
    <definedName name="mon" localSheetId="11">#REF!</definedName>
    <definedName name="mon" localSheetId="12">#REF!</definedName>
    <definedName name="mon" localSheetId="17">#REF!</definedName>
    <definedName name="mon" localSheetId="24">#REF!</definedName>
    <definedName name="mon" localSheetId="16">#REF!</definedName>
    <definedName name="mon">#REF!</definedName>
    <definedName name="MONTH" localSheetId="10">#REF!</definedName>
    <definedName name="MONTH" localSheetId="9">#REF!</definedName>
    <definedName name="MONTH" localSheetId="11">#REF!</definedName>
    <definedName name="MONTH" localSheetId="12">#REF!</definedName>
    <definedName name="MONTH" localSheetId="17">#REF!</definedName>
    <definedName name="MONTH" localSheetId="24">#REF!</definedName>
    <definedName name="MONTH" localSheetId="16">#REF!</definedName>
    <definedName name="MONTH">#REF!</definedName>
    <definedName name="Month_name" localSheetId="10">#REF!</definedName>
    <definedName name="Month_name" localSheetId="9">#REF!</definedName>
    <definedName name="Month_name" localSheetId="11">#REF!</definedName>
    <definedName name="Month_name" localSheetId="12">#REF!</definedName>
    <definedName name="Month_name" localSheetId="24">#REF!</definedName>
    <definedName name="Month_name" localSheetId="16">#REF!</definedName>
    <definedName name="Month_name">#REF!</definedName>
    <definedName name="Msort.Msort" localSheetId="11">#REF!</definedName>
    <definedName name="Msort.Msort" localSheetId="12">#REF!</definedName>
    <definedName name="Msort.Msort" localSheetId="24">#REF!</definedName>
    <definedName name="Msort.Msort" localSheetId="16">#REF!</definedName>
    <definedName name="Msort.Msort">#REF!</definedName>
    <definedName name="muk" localSheetId="11">#REF!</definedName>
    <definedName name="muk" localSheetId="12">#REF!</definedName>
    <definedName name="muk" localSheetId="24">#REF!</definedName>
    <definedName name="muk" localSheetId="16">#REF!</definedName>
    <definedName name="muk">#REF!</definedName>
    <definedName name="mungkorn" localSheetId="10">#REF!</definedName>
    <definedName name="mungkorn" localSheetId="9">#REF!</definedName>
    <definedName name="mungkorn" localSheetId="11">#REF!</definedName>
    <definedName name="mungkorn" localSheetId="12">#REF!</definedName>
    <definedName name="mungkorn" localSheetId="17">#REF!</definedName>
    <definedName name="mungkorn" localSheetId="24">#REF!</definedName>
    <definedName name="mungkorn" localSheetId="16">#REF!</definedName>
    <definedName name="mungkorn">#REF!</definedName>
    <definedName name="n" localSheetId="10">#REF!</definedName>
    <definedName name="n" localSheetId="9">#REF!</definedName>
    <definedName name="n" localSheetId="11">#REF!</definedName>
    <definedName name="n" localSheetId="12">#REF!</definedName>
    <definedName name="n" localSheetId="17">#REF!</definedName>
    <definedName name="n" localSheetId="24">#REF!</definedName>
    <definedName name="n" localSheetId="16">#REF!</definedName>
    <definedName name="n" localSheetId="18">#REF!</definedName>
    <definedName name="n">#REF!</definedName>
    <definedName name="ncffx" localSheetId="10">#REF!</definedName>
    <definedName name="ncffx" localSheetId="9">#REF!</definedName>
    <definedName name="ncffx" localSheetId="11">#REF!</definedName>
    <definedName name="ncffx" localSheetId="12">#REF!</definedName>
    <definedName name="ncffx" localSheetId="17">#REF!</definedName>
    <definedName name="ncffx" localSheetId="24">#REF!</definedName>
    <definedName name="ncffx" localSheetId="16">#REF!</definedName>
    <definedName name="ncffx">#REF!</definedName>
    <definedName name="nematb" localSheetId="10">#REF!</definedName>
    <definedName name="nematb" localSheetId="9">#REF!</definedName>
    <definedName name="nematb" localSheetId="11">#REF!</definedName>
    <definedName name="nematb" localSheetId="12">#REF!</definedName>
    <definedName name="nematb" localSheetId="24">#REF!</definedName>
    <definedName name="nematb" localSheetId="16">#REF!</definedName>
    <definedName name="nematb">#REF!</definedName>
    <definedName name="nematg" localSheetId="10">#REF!</definedName>
    <definedName name="nematg" localSheetId="9">#REF!</definedName>
    <definedName name="nematg" localSheetId="11">#REF!</definedName>
    <definedName name="nematg" localSheetId="12">#REF!</definedName>
    <definedName name="nematg" localSheetId="24">#REF!</definedName>
    <definedName name="nematg" localSheetId="16">#REF!</definedName>
    <definedName name="nematg">#REF!</definedName>
    <definedName name="Nepanaudotos_Pask" localSheetId="10">#REF!</definedName>
    <definedName name="Nepanaudotos_Pask" localSheetId="9">#REF!</definedName>
    <definedName name="Nepanaudotos_Pask" localSheetId="11">#REF!</definedName>
    <definedName name="Nepanaudotos_Pask" localSheetId="12">#REF!</definedName>
    <definedName name="Nepanaudotos_Pask" localSheetId="24">#REF!</definedName>
    <definedName name="Nepanaudotos_Pask" localSheetId="16">#REF!</definedName>
    <definedName name="Nepanaudotos_Pask">#REF!</definedName>
    <definedName name="New" localSheetId="10">#REF!</definedName>
    <definedName name="New" localSheetId="9">#REF!</definedName>
    <definedName name="New" localSheetId="11">#REF!</definedName>
    <definedName name="New" localSheetId="12">#REF!</definedName>
    <definedName name="New" localSheetId="24">#REF!</definedName>
    <definedName name="New" localSheetId="16">#REF!</definedName>
    <definedName name="New">#REF!</definedName>
    <definedName name="nhgcccgh" localSheetId="10">#REF!</definedName>
    <definedName name="nhgcccgh" localSheetId="9">#REF!</definedName>
    <definedName name="nhgcccgh" localSheetId="11">#REF!</definedName>
    <definedName name="nhgcccgh" localSheetId="12">#REF!</definedName>
    <definedName name="nhgcccgh" localSheetId="17">#REF!</definedName>
    <definedName name="nhgcccgh" localSheetId="24">#REF!</definedName>
    <definedName name="nhgcccgh" localSheetId="16">#REF!</definedName>
    <definedName name="nhgcccgh">#REF!</definedName>
    <definedName name="nkp" localSheetId="10">#REF!</definedName>
    <definedName name="nkp" localSheetId="9">#REF!</definedName>
    <definedName name="nkp" localSheetId="11">#REF!</definedName>
    <definedName name="nkp" localSheetId="12">#REF!</definedName>
    <definedName name="nkp" localSheetId="24">#REF!</definedName>
    <definedName name="nkp" localSheetId="16">#REF!</definedName>
    <definedName name="nkp">#REF!</definedName>
    <definedName name="NKPA" localSheetId="10">#REF!</definedName>
    <definedName name="NKPA" localSheetId="9">#REF!</definedName>
    <definedName name="NKPA" localSheetId="11">#REF!</definedName>
    <definedName name="NKPA" localSheetId="12">#REF!</definedName>
    <definedName name="NKPA" localSheetId="24">#REF!</definedName>
    <definedName name="NKPA" localSheetId="16">#REF!</definedName>
    <definedName name="NKPA">#REF!</definedName>
    <definedName name="nkpa1" localSheetId="10">#REF!</definedName>
    <definedName name="nkpa1" localSheetId="9">#REF!</definedName>
    <definedName name="nkpa1" localSheetId="11">#REF!</definedName>
    <definedName name="nkpa1" localSheetId="12">#REF!</definedName>
    <definedName name="nkpa1" localSheetId="24">#REF!</definedName>
    <definedName name="nkpa1" localSheetId="16">#REF!</definedName>
    <definedName name="nkpa1">#REF!</definedName>
    <definedName name="nkpa2" localSheetId="10">#REF!</definedName>
    <definedName name="nkpa2" localSheetId="9">#REF!</definedName>
    <definedName name="nkpa2" localSheetId="11">#REF!</definedName>
    <definedName name="nkpa2" localSheetId="12">#REF!</definedName>
    <definedName name="nkpa2" localSheetId="24">#REF!</definedName>
    <definedName name="nkpa2" localSheetId="16">#REF!</definedName>
    <definedName name="nkpa2">#REF!</definedName>
    <definedName name="NKPAG1" localSheetId="10">#REF!</definedName>
    <definedName name="NKPAG1" localSheetId="9">#REF!</definedName>
    <definedName name="NKPAG1" localSheetId="11">#REF!</definedName>
    <definedName name="NKPAG1" localSheetId="12">#REF!</definedName>
    <definedName name="NKPAG1" localSheetId="24">#REF!</definedName>
    <definedName name="NKPAG1" localSheetId="16">#REF!</definedName>
    <definedName name="NKPAG1">#REF!</definedName>
    <definedName name="nnnn">#REF!</definedName>
    <definedName name="NNPP2PigProduction2" localSheetId="10">#REF!</definedName>
    <definedName name="NNPP2PigProduction2" localSheetId="9">#REF!</definedName>
    <definedName name="NNPP2PigProduction2" localSheetId="11">#REF!</definedName>
    <definedName name="NNPP2PigProduction2" localSheetId="12">#REF!</definedName>
    <definedName name="NNPP2PigProduction2" localSheetId="24">#REF!</definedName>
    <definedName name="NNPP2PigProduction2">#REF!</definedName>
    <definedName name="NOK_AVE" localSheetId="10">#REF!</definedName>
    <definedName name="NOK_AVE" localSheetId="9">#REF!</definedName>
    <definedName name="NOK_AVE" localSheetId="11">#REF!</definedName>
    <definedName name="NOK_AVE" localSheetId="12">#REF!</definedName>
    <definedName name="NOK_AVE" localSheetId="24">#REF!</definedName>
    <definedName name="NOK_AVE" localSheetId="16">#REF!</definedName>
    <definedName name="NOK_AVE">#REF!</definedName>
    <definedName name="NOK_END" localSheetId="10">#REF!</definedName>
    <definedName name="NOK_END" localSheetId="9">#REF!</definedName>
    <definedName name="NOK_END" localSheetId="11">#REF!</definedName>
    <definedName name="NOK_END" localSheetId="12">#REF!</definedName>
    <definedName name="NOK_END" localSheetId="24">#REF!</definedName>
    <definedName name="NOK_END" localSheetId="16">#REF!</definedName>
    <definedName name="NOK_END">#REF!</definedName>
    <definedName name="NOK_OB" localSheetId="10">#REF!</definedName>
    <definedName name="NOK_OB" localSheetId="9">#REF!</definedName>
    <definedName name="NOK_OB" localSheetId="11">#REF!</definedName>
    <definedName name="NOK_OB" localSheetId="12">#REF!</definedName>
    <definedName name="NOK_OB" localSheetId="24">#REF!</definedName>
    <definedName name="NOK_OB" localSheetId="16">#REF!</definedName>
    <definedName name="NOK_OB">#REF!</definedName>
    <definedName name="npv" localSheetId="10">#REF!</definedName>
    <definedName name="npv" localSheetId="9">#REF!</definedName>
    <definedName name="npv" localSheetId="11">#REF!</definedName>
    <definedName name="npv" localSheetId="12">#REF!</definedName>
    <definedName name="npv" localSheetId="24">#REF!</definedName>
    <definedName name="npv" localSheetId="16">#REF!</definedName>
    <definedName name="npv">#REF!</definedName>
    <definedName name="npvd" localSheetId="10">#REF!</definedName>
    <definedName name="npvd" localSheetId="9">#REF!</definedName>
    <definedName name="npvd" localSheetId="11">#REF!</definedName>
    <definedName name="npvd" localSheetId="12">#REF!</definedName>
    <definedName name="npvd" localSheetId="24">#REF!</definedName>
    <definedName name="npvd" localSheetId="16">#REF!</definedName>
    <definedName name="npvd">#REF!</definedName>
    <definedName name="npvdout" localSheetId="10">#REF!</definedName>
    <definedName name="npvdout" localSheetId="9">#REF!</definedName>
    <definedName name="npvdout" localSheetId="11">#REF!</definedName>
    <definedName name="npvdout" localSheetId="12">#REF!</definedName>
    <definedName name="npvdout" localSheetId="24">#REF!</definedName>
    <definedName name="npvdout" localSheetId="16">#REF!</definedName>
    <definedName name="npvdout">#REF!</definedName>
    <definedName name="npvdout2" localSheetId="10">#REF!</definedName>
    <definedName name="npvdout2" localSheetId="9">#REF!</definedName>
    <definedName name="npvdout2" localSheetId="11">#REF!</definedName>
    <definedName name="npvdout2" localSheetId="12">#REF!</definedName>
    <definedName name="npvdout2" localSheetId="24">#REF!</definedName>
    <definedName name="npvdout2" localSheetId="16">#REF!</definedName>
    <definedName name="npvdout2">#REF!</definedName>
    <definedName name="npvout" localSheetId="10">#REF!</definedName>
    <definedName name="npvout" localSheetId="9">#REF!</definedName>
    <definedName name="npvout" localSheetId="11">#REF!</definedName>
    <definedName name="npvout" localSheetId="12">#REF!</definedName>
    <definedName name="npvout" localSheetId="24">#REF!</definedName>
    <definedName name="npvout" localSheetId="16">#REF!</definedName>
    <definedName name="npvout">#REF!</definedName>
    <definedName name="Nuostoliai" localSheetId="10">#REF!</definedName>
    <definedName name="Nuostoliai" localSheetId="9">#REF!</definedName>
    <definedName name="Nuostoliai" localSheetId="11">#REF!</definedName>
    <definedName name="Nuostoliai" localSheetId="12">#REF!</definedName>
    <definedName name="Nuostoliai" localSheetId="24">#REF!</definedName>
    <definedName name="Nuostoliai" localSheetId="16">#REF!</definedName>
    <definedName name="Nuostoliai">#REF!</definedName>
    <definedName name="NWC_T_Cr_AdvK">#REF!</definedName>
    <definedName name="NWC_T_Cr_AdvT">#REF!</definedName>
    <definedName name="NWC_T_Cr_CrdK">#REF!</definedName>
    <definedName name="NWC_T_Cr_CrdT">#REF!</definedName>
    <definedName name="NWC_T_Cycle">#REF!</definedName>
    <definedName name="NWC_T_Db_AdvK">#REF!</definedName>
    <definedName name="NWC_T_Db_AdvT">#REF!</definedName>
    <definedName name="NWC_T_Db_CrdK">#REF!</definedName>
    <definedName name="NWC_T_Db_CrdT">#REF!</definedName>
    <definedName name="NWC_T_Goods">#REF!</definedName>
    <definedName name="NWC_T_Mat">#REF!</definedName>
    <definedName name="optimus" localSheetId="10">#REF!</definedName>
    <definedName name="optimus" localSheetId="9">#REF!</definedName>
    <definedName name="optimus" localSheetId="11">#REF!</definedName>
    <definedName name="optimus" localSheetId="12">#REF!</definedName>
    <definedName name="optimus" localSheetId="24">#REF!</definedName>
    <definedName name="optimus" localSheetId="16">#REF!</definedName>
    <definedName name="optimus">#REF!</definedName>
    <definedName name="Other_Exp" localSheetId="24">#REF!</definedName>
    <definedName name="Other_Exp">#REF!</definedName>
    <definedName name="p" localSheetId="19">#REF!</definedName>
    <definedName name="p">#REF!</definedName>
    <definedName name="pajam" localSheetId="10">#REF!</definedName>
    <definedName name="pajam" localSheetId="9">#REF!</definedName>
    <definedName name="pajam" localSheetId="11">#REF!</definedName>
    <definedName name="pajam" localSheetId="12">#REF!</definedName>
    <definedName name="pajam" localSheetId="24">#REF!</definedName>
    <definedName name="pajam" localSheetId="16">#REF!</definedName>
    <definedName name="pajam">#REF!</definedName>
    <definedName name="PalNR" localSheetId="10">#REF!</definedName>
    <definedName name="PalNR" localSheetId="9">#REF!</definedName>
    <definedName name="PalNR" localSheetId="11">#REF!</definedName>
    <definedName name="PalNR" localSheetId="12">#REF!</definedName>
    <definedName name="PalNR" localSheetId="24">#REF!</definedName>
    <definedName name="PalNR" localSheetId="16">#REF!</definedName>
    <definedName name="PalNR">#REF!</definedName>
    <definedName name="palriz" localSheetId="10">#REF!</definedName>
    <definedName name="palriz" localSheetId="9">#REF!</definedName>
    <definedName name="palriz" localSheetId="11">#REF!</definedName>
    <definedName name="palriz" localSheetId="12">#REF!</definedName>
    <definedName name="palriz" localSheetId="24">#REF!</definedName>
    <definedName name="palriz" localSheetId="16">#REF!</definedName>
    <definedName name="palriz">#REF!</definedName>
    <definedName name="pard" localSheetId="10">#REF!</definedName>
    <definedName name="pard" localSheetId="9">#REF!</definedName>
    <definedName name="pard" localSheetId="11">#REF!</definedName>
    <definedName name="pard" localSheetId="12">#REF!</definedName>
    <definedName name="pard" localSheetId="24">#REF!</definedName>
    <definedName name="pard" localSheetId="16">#REF!</definedName>
    <definedName name="pard">#REF!</definedName>
    <definedName name="PardPaj" localSheetId="10">#REF!</definedName>
    <definedName name="PardPaj" localSheetId="9">#REF!</definedName>
    <definedName name="PardPaj" localSheetId="11">#REF!</definedName>
    <definedName name="PardPaj" localSheetId="12">#REF!</definedName>
    <definedName name="PardPaj" localSheetId="24">#REF!</definedName>
    <definedName name="PardPaj" localSheetId="16">#REF!</definedName>
    <definedName name="PardPaj">#REF!</definedName>
    <definedName name="pask1" localSheetId="10">#REF!</definedName>
    <definedName name="pask1" localSheetId="9">#REF!</definedName>
    <definedName name="pask1" localSheetId="11">#REF!</definedName>
    <definedName name="pask1" localSheetId="12">#REF!</definedName>
    <definedName name="pask1" localSheetId="24">#REF!</definedName>
    <definedName name="pask1" localSheetId="16">#REF!</definedName>
    <definedName name="pask1">#REF!</definedName>
    <definedName name="PaskSutIlg" localSheetId="10">#REF!</definedName>
    <definedName name="PaskSutIlg" localSheetId="9">#REF!</definedName>
    <definedName name="PaskSutIlg" localSheetId="11">#REF!</definedName>
    <definedName name="PaskSutIlg" localSheetId="12">#REF!</definedName>
    <definedName name="PaskSutIlg" localSheetId="24">#REF!</definedName>
    <definedName name="PaskSutIlg" localSheetId="16">#REF!</definedName>
    <definedName name="PaskSutIlg">#REF!</definedName>
    <definedName name="paskVal" localSheetId="10">#REF!</definedName>
    <definedName name="paskVal" localSheetId="9">#REF!</definedName>
    <definedName name="paskVal" localSheetId="11">#REF!</definedName>
    <definedName name="paskVal" localSheetId="12">#REF!</definedName>
    <definedName name="paskVal" localSheetId="24">#REF!</definedName>
    <definedName name="paskVal" localSheetId="16">#REF!</definedName>
    <definedName name="paskVal">#REF!</definedName>
    <definedName name="Pay_70" localSheetId="24">#REF!</definedName>
    <definedName name="Pay_70">#REF!</definedName>
    <definedName name="pb">#REF!</definedName>
    <definedName name="pelnas1" localSheetId="10">#REF!</definedName>
    <definedName name="pelnas1" localSheetId="9">#REF!</definedName>
    <definedName name="pelnas1" localSheetId="11">#REF!</definedName>
    <definedName name="pelnas1" localSheetId="12">#REF!</definedName>
    <definedName name="pelnas1" localSheetId="24">#REF!</definedName>
    <definedName name="pelnas1" localSheetId="16">#REF!</definedName>
    <definedName name="pelnas1">#REF!</definedName>
    <definedName name="pelnasnuost" localSheetId="10">#REF!</definedName>
    <definedName name="pelnasnuost" localSheetId="9">#REF!</definedName>
    <definedName name="pelnasnuost" localSheetId="11">#REF!</definedName>
    <definedName name="pelnasnuost" localSheetId="12">#REF!</definedName>
    <definedName name="pelnasnuost" localSheetId="24">#REF!</definedName>
    <definedName name="pelnasnuost" localSheetId="16">#REF!</definedName>
    <definedName name="pelnasnuost">#REF!</definedName>
    <definedName name="PerejimasB" localSheetId="10">#REF!</definedName>
    <definedName name="PerejimasB" localSheetId="9">#REF!</definedName>
    <definedName name="PerejimasB" localSheetId="11">#REF!</definedName>
    <definedName name="PerejimasB" localSheetId="12">#REF!</definedName>
    <definedName name="PerejimasB" localSheetId="24">#REF!</definedName>
    <definedName name="PerejimasB" localSheetId="16">#REF!</definedName>
    <definedName name="PerejimasB">#REF!</definedName>
    <definedName name="PerejimasB1" localSheetId="10">#REF!</definedName>
    <definedName name="PerejimasB1" localSheetId="9">#REF!</definedName>
    <definedName name="PerejimasB1" localSheetId="11">#REF!</definedName>
    <definedName name="PerejimasB1" localSheetId="12">#REF!</definedName>
    <definedName name="PerejimasB1" localSheetId="24">#REF!</definedName>
    <definedName name="PerejimasB1" localSheetId="16">#REF!</definedName>
    <definedName name="PerejimasB1">#REF!</definedName>
    <definedName name="PerejimasB2" localSheetId="10">#REF!</definedName>
    <definedName name="PerejimasB2" localSheetId="9">#REF!</definedName>
    <definedName name="PerejimasB2" localSheetId="11">#REF!</definedName>
    <definedName name="PerejimasB2" localSheetId="12">#REF!</definedName>
    <definedName name="PerejimasB2" localSheetId="24">#REF!</definedName>
    <definedName name="PerejimasB2" localSheetId="16">#REF!</definedName>
    <definedName name="PerejimasB2">#REF!</definedName>
    <definedName name="PerejimasG" localSheetId="10">#REF!</definedName>
    <definedName name="PerejimasG" localSheetId="9">#REF!</definedName>
    <definedName name="PerejimasG" localSheetId="11">#REF!</definedName>
    <definedName name="PerejimasG" localSheetId="12">#REF!</definedName>
    <definedName name="PerejimasG" localSheetId="24">#REF!</definedName>
    <definedName name="PerejimasG" localSheetId="16">#REF!</definedName>
    <definedName name="PerejimasG">#REF!</definedName>
    <definedName name="PerejimasG1" localSheetId="10">#REF!</definedName>
    <definedName name="PerejimasG1" localSheetId="9">#REF!</definedName>
    <definedName name="PerejimasG1" localSheetId="11">#REF!</definedName>
    <definedName name="PerejimasG1" localSheetId="12">#REF!</definedName>
    <definedName name="PerejimasG1" localSheetId="24">#REF!</definedName>
    <definedName name="PerejimasG1" localSheetId="16">#REF!</definedName>
    <definedName name="PerejimasG1">#REF!</definedName>
    <definedName name="PerejimasG2" localSheetId="10">#REF!</definedName>
    <definedName name="PerejimasG2" localSheetId="9">#REF!</definedName>
    <definedName name="PerejimasG2" localSheetId="11">#REF!</definedName>
    <definedName name="PerejimasG2" localSheetId="12">#REF!</definedName>
    <definedName name="PerejimasG2" localSheetId="24">#REF!</definedName>
    <definedName name="PerejimasG2" localSheetId="16">#REF!</definedName>
    <definedName name="PerejimasG2">#REF!</definedName>
    <definedName name="Perf10" localSheetId="24">#REF!</definedName>
    <definedName name="Perf10">#REF!</definedName>
    <definedName name="Perf20" localSheetId="24">#REF!</definedName>
    <definedName name="Perf20">#REF!</definedName>
    <definedName name="Perf25" localSheetId="24">#REF!</definedName>
    <definedName name="Perf25">#REF!</definedName>
    <definedName name="perf5" localSheetId="24">#REF!</definedName>
    <definedName name="perf5">#REF!</definedName>
    <definedName name="Perf50" localSheetId="24">#REF!</definedName>
    <definedName name="Perf50">#REF!</definedName>
    <definedName name="PeriodTitle">#REF!</definedName>
    <definedName name="pers_count_1">#REF!</definedName>
    <definedName name="pers_count_2">#REF!</definedName>
    <definedName name="pers_count_3">#REF!</definedName>
    <definedName name="pers_count_4">#REF!</definedName>
    <definedName name="pessimus" localSheetId="10">#REF!</definedName>
    <definedName name="pessimus" localSheetId="9">#REF!</definedName>
    <definedName name="pessimus" localSheetId="11">#REF!</definedName>
    <definedName name="pessimus" localSheetId="12">#REF!</definedName>
    <definedName name="pessimus" localSheetId="24">#REF!</definedName>
    <definedName name="pessimus" localSheetId="16">#REF!</definedName>
    <definedName name="pessimus">#REF!</definedName>
    <definedName name="PI" localSheetId="10">#REF!</definedName>
    <definedName name="PI" localSheetId="9">#REF!</definedName>
    <definedName name="PI" localSheetId="11">#REF!</definedName>
    <definedName name="PI" localSheetId="12">#REF!</definedName>
    <definedName name="PI" localSheetId="24">#REF!</definedName>
    <definedName name="PI" localSheetId="16">#REF!</definedName>
    <definedName name="PI">#REF!</definedName>
    <definedName name="PirkSus" localSheetId="10">#REF!</definedName>
    <definedName name="PirkSus" localSheetId="9">#REF!</definedName>
    <definedName name="PirkSus" localSheetId="11">#REF!</definedName>
    <definedName name="PirkSus" localSheetId="12">#REF!</definedName>
    <definedName name="PirkSus" localSheetId="24">#REF!</definedName>
    <definedName name="PirkSus" localSheetId="16">#REF!</definedName>
    <definedName name="PirkSus">#REF!</definedName>
    <definedName name="pl" localSheetId="10">#REF!</definedName>
    <definedName name="pl" localSheetId="9">#REF!</definedName>
    <definedName name="pl" localSheetId="11">#REF!</definedName>
    <definedName name="pl" localSheetId="12">#REF!</definedName>
    <definedName name="pl" localSheetId="17">#REF!</definedName>
    <definedName name="pl" localSheetId="24">#REF!</definedName>
    <definedName name="pl" localSheetId="16">#REF!</definedName>
    <definedName name="pl" localSheetId="18">#REF!</definedName>
    <definedName name="pl">#REF!</definedName>
    <definedName name="pl_eq" localSheetId="10">#REF!</definedName>
    <definedName name="pl_eq" localSheetId="9">#REF!</definedName>
    <definedName name="pl_eq" localSheetId="11">#REF!</definedName>
    <definedName name="pl_eq" localSheetId="12">#REF!</definedName>
    <definedName name="pl_eq" localSheetId="17">#REF!</definedName>
    <definedName name="pl_eq" localSheetId="24">#REF!</definedName>
    <definedName name="pl_eq" localSheetId="16">#REF!</definedName>
    <definedName name="pl_eq" localSheetId="18">#REF!</definedName>
    <definedName name="pl_eq">#REF!</definedName>
    <definedName name="PL_LOC" localSheetId="10">#REF!</definedName>
    <definedName name="PL_LOC" localSheetId="9">#REF!</definedName>
    <definedName name="PL_LOC" localSheetId="11">#REF!</definedName>
    <definedName name="PL_LOC" localSheetId="12">#REF!</definedName>
    <definedName name="PL_LOC" localSheetId="17">#REF!</definedName>
    <definedName name="PL_LOC" localSheetId="24">#REF!</definedName>
    <definedName name="PL_LOC" localSheetId="16">#REF!</definedName>
    <definedName name="PL_LOC">#REF!</definedName>
    <definedName name="PL_PACK" localSheetId="10">#REF!</definedName>
    <definedName name="PL_PACK" localSheetId="9">#REF!</definedName>
    <definedName name="PL_PACK" localSheetId="11">#REF!</definedName>
    <definedName name="PL_PACK" localSheetId="12">#REF!</definedName>
    <definedName name="PL_PACK" localSheetId="17">#REF!</definedName>
    <definedName name="PL_PACK" localSheetId="24">#REF!</definedName>
    <definedName name="PL_PACK" localSheetId="16">#REF!</definedName>
    <definedName name="PL_PACK">#REF!</definedName>
    <definedName name="PL_TOT" localSheetId="10">#REF!</definedName>
    <definedName name="PL_TOT" localSheetId="9">#REF!</definedName>
    <definedName name="PL_TOT" localSheetId="11">#REF!</definedName>
    <definedName name="PL_TOT" localSheetId="12">#REF!</definedName>
    <definedName name="PL_TOT" localSheetId="17">#REF!</definedName>
    <definedName name="PL_TOT" localSheetId="24">#REF!</definedName>
    <definedName name="PL_TOT" localSheetId="16">#REF!</definedName>
    <definedName name="PL_TOT">#REF!</definedName>
    <definedName name="PL_XPO" localSheetId="10">#REF!</definedName>
    <definedName name="PL_XPO" localSheetId="9">#REF!</definedName>
    <definedName name="PL_XPO" localSheetId="11">#REF!</definedName>
    <definedName name="PL_XPO" localSheetId="12">#REF!</definedName>
    <definedName name="PL_XPO" localSheetId="17">#REF!</definedName>
    <definedName name="PL_XPO" localSheetId="24">#REF!</definedName>
    <definedName name="PL_XPO" localSheetId="16">#REF!</definedName>
    <definedName name="PL_XPO">#REF!</definedName>
    <definedName name="PMApsk" localSheetId="10">#REF!</definedName>
    <definedName name="PMApsk" localSheetId="9">#REF!</definedName>
    <definedName name="PMApsk" localSheetId="11">#REF!</definedName>
    <definedName name="PMApsk" localSheetId="12">#REF!</definedName>
    <definedName name="PMApsk" localSheetId="24">#REF!</definedName>
    <definedName name="PMApsk" localSheetId="16">#REF!</definedName>
    <definedName name="PMApsk">#REF!</definedName>
    <definedName name="PMsan" localSheetId="10">#REF!</definedName>
    <definedName name="PMsan" localSheetId="9">#REF!</definedName>
    <definedName name="PMsan" localSheetId="11">#REF!</definedName>
    <definedName name="PMsan" localSheetId="12">#REF!</definedName>
    <definedName name="PMsan" localSheetId="24">#REF!</definedName>
    <definedName name="PMsan" localSheetId="16">#REF!</definedName>
    <definedName name="PMsan">#REF!</definedName>
    <definedName name="PMsanK" localSheetId="10">#REF!</definedName>
    <definedName name="PMsanK" localSheetId="9">#REF!</definedName>
    <definedName name="PMsanK" localSheetId="11">#REF!</definedName>
    <definedName name="PMsanK" localSheetId="12">#REF!</definedName>
    <definedName name="PMsanK" localSheetId="24">#REF!</definedName>
    <definedName name="PMsanK" localSheetId="16">#REF!</definedName>
    <definedName name="PMsanK">#REF!</definedName>
    <definedName name="poo" localSheetId="10">#REF!</definedName>
    <definedName name="poo" localSheetId="9">#REF!</definedName>
    <definedName name="poo" localSheetId="11">#REF!</definedName>
    <definedName name="poo" localSheetId="12">#REF!</definedName>
    <definedName name="poo" localSheetId="17">#REF!</definedName>
    <definedName name="poo" localSheetId="24">#REF!</definedName>
    <definedName name="poo" localSheetId="19">#REF!</definedName>
    <definedName name="poo" localSheetId="16">#REF!</definedName>
    <definedName name="poo" localSheetId="18">#REF!</definedName>
    <definedName name="poo">#REF!</definedName>
    <definedName name="pop">#REF!</definedName>
    <definedName name="PORT_Consolidated_1" localSheetId="10">#REF!</definedName>
    <definedName name="PORT_Consolidated_1" localSheetId="9">#REF!</definedName>
    <definedName name="PORT_Consolidated_1" localSheetId="11">#REF!</definedName>
    <definedName name="PORT_Consolidated_1" localSheetId="12">#REF!</definedName>
    <definedName name="PORT_Consolidated_1" localSheetId="24">#REF!</definedName>
    <definedName name="PORT_Consolidated_1" localSheetId="16">#REF!</definedName>
    <definedName name="PORT_Consolidated_1">#REF!</definedName>
    <definedName name="PORT_PrjPeriods" localSheetId="10">#REF!</definedName>
    <definedName name="PORT_PrjPeriods" localSheetId="9">#REF!</definedName>
    <definedName name="PORT_PrjPeriods" localSheetId="11">#REF!</definedName>
    <definedName name="PORT_PrjPeriods" localSheetId="12">#REF!</definedName>
    <definedName name="PORT_PrjPeriods" localSheetId="24">#REF!</definedName>
    <definedName name="PORT_PrjPeriods" localSheetId="16">#REF!</definedName>
    <definedName name="PORT_PrjPeriods">#REF!</definedName>
    <definedName name="prekyb2" localSheetId="10">#REF!</definedName>
    <definedName name="prekyb2" localSheetId="9">#REF!</definedName>
    <definedName name="prekyb2" localSheetId="11">#REF!</definedName>
    <definedName name="prekyb2" localSheetId="12">#REF!</definedName>
    <definedName name="prekyb2" localSheetId="24">#REF!</definedName>
    <definedName name="prekyb2" localSheetId="16">#REF!</definedName>
    <definedName name="prekyb2">#REF!</definedName>
    <definedName name="Present" localSheetId="10">#REF!</definedName>
    <definedName name="Present" localSheetId="9">#REF!</definedName>
    <definedName name="Present" localSheetId="11">#REF!</definedName>
    <definedName name="Present" localSheetId="12">#REF!</definedName>
    <definedName name="Present" localSheetId="17">#REF!</definedName>
    <definedName name="Present" localSheetId="24">#REF!</definedName>
    <definedName name="Present" localSheetId="16">#REF!</definedName>
    <definedName name="Present">#REF!</definedName>
    <definedName name="Prestizas" localSheetId="10">#REF!</definedName>
    <definedName name="Prestizas" localSheetId="9">#REF!</definedName>
    <definedName name="Prestizas" localSheetId="11">#REF!</definedName>
    <definedName name="Prestizas" localSheetId="12">#REF!</definedName>
    <definedName name="Prestizas" localSheetId="24">#REF!</definedName>
    <definedName name="Prestizas" localSheetId="16">#REF!</definedName>
    <definedName name="Prestizas">#REF!</definedName>
    <definedName name="PrestJud7" localSheetId="10">#REF!</definedName>
    <definedName name="PrestJud7" localSheetId="9">#REF!</definedName>
    <definedName name="PrestJud7" localSheetId="11">#REF!</definedName>
    <definedName name="PrestJud7" localSheetId="12">#REF!</definedName>
    <definedName name="PrestJud7" localSheetId="24">#REF!</definedName>
    <definedName name="PrestJud7" localSheetId="16">#REF!</definedName>
    <definedName name="PrestJud7">#REF!</definedName>
    <definedName name="PrestPM" localSheetId="10">#REF!</definedName>
    <definedName name="PrestPM" localSheetId="9">#REF!</definedName>
    <definedName name="PrestPM" localSheetId="11">#REF!</definedName>
    <definedName name="PrestPM" localSheetId="12">#REF!</definedName>
    <definedName name="PrestPM" localSheetId="24">#REF!</definedName>
    <definedName name="PrestPM" localSheetId="16">#REF!</definedName>
    <definedName name="PrestPM">#REF!</definedName>
    <definedName name="PrestSkaic" localSheetId="10">#REF!</definedName>
    <definedName name="PrestSkaic" localSheetId="9">#REF!</definedName>
    <definedName name="PrestSkaic" localSheetId="11">#REF!</definedName>
    <definedName name="PrestSkaic" localSheetId="12">#REF!</definedName>
    <definedName name="PrestSkaic" localSheetId="24">#REF!</definedName>
    <definedName name="PrestSkaic" localSheetId="16">#REF!</definedName>
    <definedName name="PrestSkaic">#REF!</definedName>
    <definedName name="price" localSheetId="10">#REF!</definedName>
    <definedName name="price" localSheetId="9">#REF!</definedName>
    <definedName name="price" localSheetId="11">#REF!</definedName>
    <definedName name="price" localSheetId="12">#REF!</definedName>
    <definedName name="price" localSheetId="24">#REF!</definedName>
    <definedName name="price" localSheetId="16">#REF!</definedName>
    <definedName name="price">#REF!</definedName>
    <definedName name="pricein" localSheetId="10">#REF!</definedName>
    <definedName name="pricein" localSheetId="9">#REF!</definedName>
    <definedName name="pricein" localSheetId="11">#REF!</definedName>
    <definedName name="pricein" localSheetId="12">#REF!</definedName>
    <definedName name="pricein" localSheetId="24">#REF!</definedName>
    <definedName name="pricein" localSheetId="16">#REF!</definedName>
    <definedName name="pricein">#REF!</definedName>
    <definedName name="_xlnm.Print_Area" localSheetId="0">Daily!$A$1:$I$46</definedName>
    <definedName name="_xlnm.Print_Area" localSheetId="18">'W CF'!$B$1:$N$36</definedName>
    <definedName name="_xlnm.Print_Area">#N/A</definedName>
    <definedName name="Print_Area_MI" localSheetId="12">#REF!</definedName>
    <definedName name="Print_Area_MI" localSheetId="17">#REF!</definedName>
    <definedName name="Print_Area_MI" localSheetId="24">#REF!</definedName>
    <definedName name="Print_Area_MI" localSheetId="16">#REF!</definedName>
    <definedName name="Print_Area_MI">#REF!</definedName>
    <definedName name="printsad" localSheetId="11">#REF!</definedName>
    <definedName name="printsad" localSheetId="12">#REF!</definedName>
    <definedName name="printsad" localSheetId="24">#REF!</definedName>
    <definedName name="printsad" localSheetId="16">#REF!</definedName>
    <definedName name="printsad">#REF!</definedName>
    <definedName name="PRJ_COUNT">#REF!</definedName>
    <definedName name="PRJ_Len">#REF!</definedName>
    <definedName name="PRJ_Name" localSheetId="10">#REF!</definedName>
    <definedName name="PRJ_Name" localSheetId="9">#REF!</definedName>
    <definedName name="PRJ_Name" localSheetId="11">#REF!</definedName>
    <definedName name="PRJ_Name" localSheetId="12">#REF!</definedName>
    <definedName name="PRJ_Name" localSheetId="24">#REF!</definedName>
    <definedName name="PRJ_Name" localSheetId="16">#REF!</definedName>
    <definedName name="PRJ_Name">#REF!</definedName>
    <definedName name="PRJ_Protected">#REF!</definedName>
    <definedName name="PRJ_StartDate">#REF!</definedName>
    <definedName name="PRJ_StartMon">#REF!</definedName>
    <definedName name="PRJ_StartYear">#REF!</definedName>
    <definedName name="PRJ_Step">#REF!</definedName>
    <definedName name="PRJ_Step_SName">#REF!</definedName>
    <definedName name="PRJ_StepType">#REF!</definedName>
    <definedName name="process" localSheetId="10">#REF!</definedName>
    <definedName name="process" localSheetId="9">#REF!</definedName>
    <definedName name="process" localSheetId="11">#REF!</definedName>
    <definedName name="process" localSheetId="12">#REF!</definedName>
    <definedName name="process" localSheetId="24">#REF!</definedName>
    <definedName name="process" localSheetId="16">#REF!</definedName>
    <definedName name="process">#REF!</definedName>
    <definedName name="prod">#REF!</definedName>
    <definedName name="prod_tbl_1">#REF!</definedName>
    <definedName name="prod_tbl_2">#REF!</definedName>
    <definedName name="prod_tbl_3">#REF!</definedName>
    <definedName name="prod_tbl_4">#REF!</definedName>
    <definedName name="ProdNum">#REF!</definedName>
    <definedName name="ProfitTax">#REF!</definedName>
    <definedName name="ProfitTax_Period">#REF!</definedName>
    <definedName name="psa" localSheetId="10">#REF!</definedName>
    <definedName name="psa" localSheetId="9">#REF!</definedName>
    <definedName name="psa" localSheetId="11">#REF!</definedName>
    <definedName name="psa" localSheetId="12">#REF!</definedName>
    <definedName name="psa" localSheetId="24">#REF!</definedName>
    <definedName name="psa" localSheetId="16">#REF!</definedName>
    <definedName name="psa">#REF!</definedName>
    <definedName name="q" localSheetId="10">#REF!</definedName>
    <definedName name="q" localSheetId="9">#REF!</definedName>
    <definedName name="q" localSheetId="11">#REF!</definedName>
    <definedName name="q" localSheetId="12">#REF!</definedName>
    <definedName name="q" localSheetId="24">#REF!</definedName>
    <definedName name="q">#REF!</definedName>
    <definedName name="qqq" localSheetId="10" hidden="1">#REF!</definedName>
    <definedName name="qqq" localSheetId="9" hidden="1">#REF!</definedName>
    <definedName name="qqq" localSheetId="22" hidden="1">#REF!</definedName>
    <definedName name="qqq" localSheetId="11" hidden="1">#REF!</definedName>
    <definedName name="qqq" localSheetId="6" hidden="1">#REF!</definedName>
    <definedName name="qqq" localSheetId="12" hidden="1">#REF!</definedName>
    <definedName name="qqq" hidden="1">#REF!</definedName>
    <definedName name="Query1" localSheetId="10">#REF!</definedName>
    <definedName name="Query1" localSheetId="9">#REF!</definedName>
    <definedName name="Query1" localSheetId="11">#REF!</definedName>
    <definedName name="Query1" localSheetId="12">#REF!</definedName>
    <definedName name="Query1" localSheetId="24">#REF!</definedName>
    <definedName name="Query1" localSheetId="16">#REF!</definedName>
    <definedName name="Query1">#REF!</definedName>
    <definedName name="query2" localSheetId="10">#REF!</definedName>
    <definedName name="query2" localSheetId="9">#REF!</definedName>
    <definedName name="query2" localSheetId="11">#REF!</definedName>
    <definedName name="query2" localSheetId="12">#REF!</definedName>
    <definedName name="query2" localSheetId="24">#REF!</definedName>
    <definedName name="query2" localSheetId="16">#REF!</definedName>
    <definedName name="query2">#REF!</definedName>
    <definedName name="range" localSheetId="10">#REF!,#REF!,#REF!,#REF!,#REF!,#REF!,#REF!,#REF!,#REF!,#REF!</definedName>
    <definedName name="range" localSheetId="9">#REF!,#REF!,#REF!,#REF!,#REF!,#REF!,#REF!,#REF!,#REF!,#REF!</definedName>
    <definedName name="range" localSheetId="11">#REF!,#REF!,#REF!,#REF!,#REF!,#REF!,#REF!,#REF!,#REF!,#REF!</definedName>
    <definedName name="range" localSheetId="12">#REF!,#REF!,#REF!,#REF!,#REF!,#REF!,#REF!,#REF!,#REF!,#REF!</definedName>
    <definedName name="range" localSheetId="24">#REF!,#REF!,#REF!,#REF!,#REF!,#REF!,#REF!,#REF!,#REF!,#REF!</definedName>
    <definedName name="range" localSheetId="16">#REF!,#REF!,#REF!,#REF!,#REF!,#REF!,#REF!,#REF!,#REF!,#REF!</definedName>
    <definedName name="range">#REF!,#REF!,#REF!,#REF!,#REF!,#REF!,#REF!,#REF!,#REF!,#REF!</definedName>
    <definedName name="range_VPM">#REF!,#REF!,#REF!,#REF!,#REF!,#REF!,#REF!,#REF!,#REF!,#REF!</definedName>
    <definedName name="rate" localSheetId="10">#REF!</definedName>
    <definedName name="rate" localSheetId="9">#REF!</definedName>
    <definedName name="rate" localSheetId="11">#REF!</definedName>
    <definedName name="rate" localSheetId="12">#REF!</definedName>
    <definedName name="rate" localSheetId="24">#REF!</definedName>
    <definedName name="rate" localSheetId="16">#REF!</definedName>
    <definedName name="rate">#REF!</definedName>
    <definedName name="ratein" localSheetId="10">#REF!</definedName>
    <definedName name="ratein" localSheetId="9">#REF!</definedName>
    <definedName name="ratein" localSheetId="11">#REF!</definedName>
    <definedName name="ratein" localSheetId="12">#REF!</definedName>
    <definedName name="ratein" localSheetId="24">#REF!</definedName>
    <definedName name="ratein" localSheetId="16">#REF!</definedName>
    <definedName name="ratein">#REF!</definedName>
    <definedName name="regnbcvxdf" localSheetId="11">#REF!</definedName>
    <definedName name="regnbcvxdf" localSheetId="12">#REF!</definedName>
    <definedName name="regnbcvxdf" localSheetId="17">#REF!</definedName>
    <definedName name="regnbcvxdf" localSheetId="24">#REF!</definedName>
    <definedName name="regnbcvxdf" localSheetId="16">#REF!</definedName>
    <definedName name="regnbcvxdf">#REF!</definedName>
    <definedName name="RegNum">#REF!</definedName>
    <definedName name="Reorg" localSheetId="10">#REF!</definedName>
    <definedName name="Reorg" localSheetId="9">#REF!</definedName>
    <definedName name="Reorg" localSheetId="11">#REF!</definedName>
    <definedName name="Reorg" localSheetId="12">#REF!</definedName>
    <definedName name="Reorg" localSheetId="24">#REF!</definedName>
    <definedName name="Reorg" localSheetId="16">#REF!</definedName>
    <definedName name="Reorg">#REF!</definedName>
    <definedName name="res" localSheetId="10">#REF!</definedName>
    <definedName name="res" localSheetId="9">#REF!</definedName>
    <definedName name="res" localSheetId="11">#REF!</definedName>
    <definedName name="res" localSheetId="12">#REF!</definedName>
    <definedName name="res" localSheetId="24">#REF!</definedName>
    <definedName name="res" localSheetId="16">#REF!</definedName>
    <definedName name="res">#REF!</definedName>
    <definedName name="Reserve_10" localSheetId="24">#REF!</definedName>
    <definedName name="Reserve_10">#REF!</definedName>
    <definedName name="Reserve_5" localSheetId="24">#REF!</definedName>
    <definedName name="Reserve_5">#REF!</definedName>
    <definedName name="RestP10" localSheetId="24">#REF!</definedName>
    <definedName name="RestP10">#REF!</definedName>
    <definedName name="rfds" localSheetId="10">#REF!</definedName>
    <definedName name="rfds" localSheetId="9">#REF!</definedName>
    <definedName name="rfds" localSheetId="11">#REF!</definedName>
    <definedName name="rfds" localSheetId="12">#REF!</definedName>
    <definedName name="rfds" localSheetId="17">#REF!</definedName>
    <definedName name="rfds" localSheetId="24">#REF!</definedName>
    <definedName name="rfds" localSheetId="16">#REF!</definedName>
    <definedName name="rfds">#REF!</definedName>
    <definedName name="Roads" localSheetId="24">#REF!</definedName>
    <definedName name="Roads">#REF!</definedName>
    <definedName name="rsg" localSheetId="10">#REF!</definedName>
    <definedName name="rsg" localSheetId="9">#REF!</definedName>
    <definedName name="rsg" localSheetId="11">#REF!</definedName>
    <definedName name="rsg" localSheetId="12">#REF!</definedName>
    <definedName name="rsg" localSheetId="17">#REF!</definedName>
    <definedName name="rsg" localSheetId="24">#REF!</definedName>
    <definedName name="rsg" localSheetId="16">#REF!</definedName>
    <definedName name="rsg">#REF!</definedName>
    <definedName name="RUB_AVE" localSheetId="10">#REF!</definedName>
    <definedName name="RUB_AVE" localSheetId="9">#REF!</definedName>
    <definedName name="RUB_AVE" localSheetId="11">#REF!</definedName>
    <definedName name="RUB_AVE" localSheetId="12">#REF!</definedName>
    <definedName name="RUB_AVE" localSheetId="24">#REF!</definedName>
    <definedName name="RUB_AVE" localSheetId="16">#REF!</definedName>
    <definedName name="RUB_AVE">#REF!</definedName>
    <definedName name="RUB_END" localSheetId="10">#REF!</definedName>
    <definedName name="RUB_END" localSheetId="9">#REF!</definedName>
    <definedName name="RUB_END" localSheetId="11">#REF!</definedName>
    <definedName name="RUB_END" localSheetId="12">#REF!</definedName>
    <definedName name="RUB_END" localSheetId="24">#REF!</definedName>
    <definedName name="RUB_END" localSheetId="16">#REF!</definedName>
    <definedName name="RUB_END">#REF!</definedName>
    <definedName name="RUB_OB" localSheetId="10">#REF!</definedName>
    <definedName name="RUB_OB" localSheetId="9">#REF!</definedName>
    <definedName name="RUB_OB" localSheetId="11">#REF!</definedName>
    <definedName name="RUB_OB" localSheetId="12">#REF!</definedName>
    <definedName name="RUB_OB" localSheetId="24">#REF!</definedName>
    <definedName name="RUB_OB" localSheetId="16">#REF!</definedName>
    <definedName name="RUB_OB">#REF!</definedName>
    <definedName name="Ruble" localSheetId="24">#REF!</definedName>
    <definedName name="Ruble">#REF!</definedName>
    <definedName name="SAL_LOC" localSheetId="10">#REF!</definedName>
    <definedName name="SAL_LOC" localSheetId="9">#REF!</definedName>
    <definedName name="SAL_LOC" localSheetId="11">#REF!</definedName>
    <definedName name="SAL_LOC" localSheetId="12">#REF!</definedName>
    <definedName name="SAL_LOC" localSheetId="17">#REF!</definedName>
    <definedName name="SAL_LOC" localSheetId="24">#REF!</definedName>
    <definedName name="SAL_LOC" localSheetId="16">#REF!</definedName>
    <definedName name="SAL_LOC">#REF!</definedName>
    <definedName name="SAL_TOT" localSheetId="10">#REF!</definedName>
    <definedName name="SAL_TOT" localSheetId="9">#REF!</definedName>
    <definedName name="SAL_TOT" localSheetId="11">#REF!</definedName>
    <definedName name="SAL_TOT" localSheetId="12">#REF!</definedName>
    <definedName name="SAL_TOT" localSheetId="17">#REF!</definedName>
    <definedName name="SAL_TOT" localSheetId="24">#REF!</definedName>
    <definedName name="SAL_TOT" localSheetId="16">#REF!</definedName>
    <definedName name="SAL_TOT">#REF!</definedName>
    <definedName name="SAL_XPO" localSheetId="10">#REF!</definedName>
    <definedName name="SAL_XPO" localSheetId="9">#REF!</definedName>
    <definedName name="SAL_XPO" localSheetId="11">#REF!</definedName>
    <definedName name="SAL_XPO" localSheetId="12">#REF!</definedName>
    <definedName name="SAL_XPO" localSheetId="17">#REF!</definedName>
    <definedName name="SAL_XPO" localSheetId="24">#REF!</definedName>
    <definedName name="SAL_XPO" localSheetId="16">#REF!</definedName>
    <definedName name="SAL_XPO">#REF!</definedName>
    <definedName name="sale" localSheetId="10">#REF!</definedName>
    <definedName name="sale" localSheetId="9">#REF!</definedName>
    <definedName name="sale" localSheetId="11">#REF!</definedName>
    <definedName name="sale" localSheetId="12">#REF!</definedName>
    <definedName name="sale" localSheetId="17">#REF!</definedName>
    <definedName name="sale" localSheetId="24">#REF!</definedName>
    <definedName name="sale" localSheetId="16">#REF!</definedName>
    <definedName name="sale">#REF!</definedName>
    <definedName name="sales" localSheetId="10">#REF!</definedName>
    <definedName name="sales" localSheetId="9">#REF!</definedName>
    <definedName name="sales" localSheetId="11">#REF!</definedName>
    <definedName name="sales" localSheetId="12">#REF!</definedName>
    <definedName name="sales" localSheetId="24">#REF!</definedName>
    <definedName name="sales" localSheetId="16">#REF!</definedName>
    <definedName name="sales">#REF!</definedName>
    <definedName name="salesin" localSheetId="10">#REF!</definedName>
    <definedName name="salesin" localSheetId="9">#REF!</definedName>
    <definedName name="salesin" localSheetId="11">#REF!</definedName>
    <definedName name="salesin" localSheetId="12">#REF!</definedName>
    <definedName name="salesin" localSheetId="24">#REF!</definedName>
    <definedName name="salesin" localSheetId="16">#REF!</definedName>
    <definedName name="salesin">#REF!</definedName>
    <definedName name="sandoriaisus" localSheetId="10">#REF!</definedName>
    <definedName name="sandoriaisus" localSheetId="9">#REF!</definedName>
    <definedName name="sandoriaisus" localSheetId="11">#REF!</definedName>
    <definedName name="sandoriaisus" localSheetId="12">#REF!</definedName>
    <definedName name="sandoriaisus" localSheetId="24">#REF!</definedName>
    <definedName name="sandoriaisus" localSheetId="16">#REF!</definedName>
    <definedName name="sandoriaisus">#REF!</definedName>
    <definedName name="SAPBEXdnldView" hidden="1">"44DZMVUOR2LQP7MI1ZNK154DY"</definedName>
    <definedName name="SAPBEXrevision" hidden="1">1</definedName>
    <definedName name="SAPBEXsysID" hidden="1">"PW1"</definedName>
    <definedName name="SAPBEXwbID" hidden="1">"AP2863RVQ3K4VMA0V0ICWDRU0"</definedName>
    <definedName name="scens" localSheetId="10">#REF!</definedName>
    <definedName name="scens" localSheetId="9">#REF!</definedName>
    <definedName name="scens" localSheetId="11">#REF!</definedName>
    <definedName name="scens" localSheetId="12">#REF!</definedName>
    <definedName name="scens" localSheetId="24">#REF!</definedName>
    <definedName name="scens" localSheetId="16">#REF!</definedName>
    <definedName name="scens">#REF!</definedName>
    <definedName name="Score" localSheetId="10">#REF!</definedName>
    <definedName name="Score" localSheetId="9">#REF!</definedName>
    <definedName name="Score" localSheetId="11">#REF!</definedName>
    <definedName name="Score" localSheetId="12">#REF!</definedName>
    <definedName name="Score" localSheetId="17">#REF!</definedName>
    <definedName name="Score" localSheetId="24">#REF!</definedName>
    <definedName name="Score" localSheetId="16">#REF!</definedName>
    <definedName name="Score">#REF!</definedName>
    <definedName name="sdaf" localSheetId="10">#REF!</definedName>
    <definedName name="sdaf" localSheetId="9">#REF!</definedName>
    <definedName name="sdaf" localSheetId="11">#REF!</definedName>
    <definedName name="sdaf" localSheetId="12">#REF!</definedName>
    <definedName name="sdaf" localSheetId="17">#REF!</definedName>
    <definedName name="sdaf" localSheetId="24">#REF!</definedName>
    <definedName name="sdaf" localSheetId="16">#REF!</definedName>
    <definedName name="sdaf">#REF!</definedName>
    <definedName name="sdf" localSheetId="10">#REF!</definedName>
    <definedName name="sdf" localSheetId="9">#REF!</definedName>
    <definedName name="sdf" localSheetId="11">#REF!</definedName>
    <definedName name="sdf" localSheetId="12">#REF!</definedName>
    <definedName name="sdf" localSheetId="17">#REF!</definedName>
    <definedName name="sdf" localSheetId="24">#REF!</definedName>
    <definedName name="sdf" localSheetId="16">#REF!</definedName>
    <definedName name="sdf">#REF!</definedName>
    <definedName name="SE" localSheetId="10">#REF!</definedName>
    <definedName name="SE" localSheetId="9">#REF!</definedName>
    <definedName name="SE" localSheetId="11">#REF!</definedName>
    <definedName name="SE" localSheetId="12">#REF!</definedName>
    <definedName name="SE" localSheetId="17">#REF!</definedName>
    <definedName name="SE" localSheetId="24">#REF!</definedName>
    <definedName name="SE" localSheetId="16">#REF!</definedName>
    <definedName name="SE" localSheetId="18">#REF!</definedName>
    <definedName name="SE">#REF!</definedName>
    <definedName name="Segm1" localSheetId="10">#REF!</definedName>
    <definedName name="Segm1" localSheetId="9">#REF!</definedName>
    <definedName name="Segm1" localSheetId="11">#REF!</definedName>
    <definedName name="Segm1" localSheetId="12">#REF!</definedName>
    <definedName name="Segm1" localSheetId="24">#REF!</definedName>
    <definedName name="Segm1" localSheetId="16">#REF!</definedName>
    <definedName name="Segm1">#REF!</definedName>
    <definedName name="SegmAM" localSheetId="10">#REF!</definedName>
    <definedName name="SegmAM" localSheetId="9">#REF!</definedName>
    <definedName name="SegmAM" localSheetId="11">#REF!</definedName>
    <definedName name="SegmAM" localSheetId="12">#REF!</definedName>
    <definedName name="SegmAM" localSheetId="24">#REF!</definedName>
    <definedName name="SegmAM" localSheetId="16">#REF!</definedName>
    <definedName name="SegmAM">#REF!</definedName>
    <definedName name="Segmentai08" localSheetId="10">#REF!</definedName>
    <definedName name="Segmentai08" localSheetId="9">#REF!</definedName>
    <definedName name="Segmentai08" localSheetId="11">#REF!</definedName>
    <definedName name="Segmentai08" localSheetId="12">#REF!</definedName>
    <definedName name="Segmentai08" localSheetId="24">#REF!</definedName>
    <definedName name="Segmentai08" localSheetId="16">#REF!</definedName>
    <definedName name="Segmentai08">#REF!</definedName>
    <definedName name="SegmPM" localSheetId="10">#REF!</definedName>
    <definedName name="SegmPM" localSheetId="9">#REF!</definedName>
    <definedName name="SegmPM" localSheetId="11">#REF!</definedName>
    <definedName name="SegmPM" localSheetId="12">#REF!</definedName>
    <definedName name="SegmPM" localSheetId="24">#REF!</definedName>
    <definedName name="SegmPM" localSheetId="16">#REF!</definedName>
    <definedName name="SegmPM">#REF!</definedName>
    <definedName name="SENS_Parameter">#REF!</definedName>
    <definedName name="SENS_Project">#REF!</definedName>
    <definedName name="SENS_Res1">#REF!</definedName>
    <definedName name="SENS_Res2">#REF!</definedName>
    <definedName name="SensForSumm">#REF!</definedName>
    <definedName name="sf" localSheetId="10">#REF!</definedName>
    <definedName name="sf" localSheetId="9">#REF!</definedName>
    <definedName name="sf" localSheetId="11">#REF!</definedName>
    <definedName name="sf" localSheetId="12">#REF!</definedName>
    <definedName name="sf" localSheetId="24">#REF!</definedName>
    <definedName name="sf" localSheetId="16">#REF!</definedName>
    <definedName name="sf">#REF!</definedName>
    <definedName name="sger" localSheetId="11">#REF!</definedName>
    <definedName name="sger" localSheetId="12">#REF!</definedName>
    <definedName name="sger" localSheetId="17">#REF!</definedName>
    <definedName name="sger" localSheetId="24">#REF!</definedName>
    <definedName name="sger" localSheetId="16">#REF!</definedName>
    <definedName name="sger">#REF!</definedName>
    <definedName name="ShowAbout">#REF!</definedName>
    <definedName name="ShowRealDates">#REF!</definedName>
    <definedName name="SIP" localSheetId="10">#REF!</definedName>
    <definedName name="SIP" localSheetId="9">#REF!</definedName>
    <definedName name="SIP" localSheetId="11">#REF!</definedName>
    <definedName name="SIP" localSheetId="12">#REF!</definedName>
    <definedName name="SIP" localSheetId="24">#REF!</definedName>
    <definedName name="SIP" localSheetId="16">#REF!</definedName>
    <definedName name="SIP">#REF!</definedName>
    <definedName name="SkolAkc" localSheetId="10">#REF!</definedName>
    <definedName name="SkolAkc" localSheetId="9">#REF!</definedName>
    <definedName name="SkolAkc" localSheetId="11">#REF!</definedName>
    <definedName name="SkolAkc" localSheetId="12">#REF!</definedName>
    <definedName name="SkolAkc" localSheetId="24">#REF!</definedName>
    <definedName name="SkolAkc" localSheetId="16">#REF!</definedName>
    <definedName name="SkolAkc">#REF!</definedName>
    <definedName name="Skolos_akcininkams" localSheetId="10">#REF!</definedName>
    <definedName name="Skolos_akcininkams" localSheetId="9">#REF!</definedName>
    <definedName name="Skolos_akcininkams" localSheetId="11">#REF!</definedName>
    <definedName name="Skolos_akcininkams" localSheetId="12">#REF!</definedName>
    <definedName name="Skolos_akcininkams" localSheetId="24">#REF!</definedName>
    <definedName name="Skolos_akcininkams" localSheetId="16">#REF!</definedName>
    <definedName name="Skolos_akcininkams">#REF!</definedName>
    <definedName name="SkolSus" localSheetId="10">#REF!</definedName>
    <definedName name="SkolSus" localSheetId="9">#REF!</definedName>
    <definedName name="SkolSus" localSheetId="11">#REF!</definedName>
    <definedName name="SkolSus" localSheetId="12">#REF!</definedName>
    <definedName name="SkolSus" localSheetId="24">#REF!</definedName>
    <definedName name="SkolSus" localSheetId="16">#REF!</definedName>
    <definedName name="SkolSus">#REF!</definedName>
    <definedName name="SMM_LOC" localSheetId="10">#REF!</definedName>
    <definedName name="SMM_LOC" localSheetId="9">#REF!</definedName>
    <definedName name="SMM_LOC" localSheetId="11">#REF!</definedName>
    <definedName name="SMM_LOC" localSheetId="12">#REF!</definedName>
    <definedName name="SMM_LOC" localSheetId="17">#REF!</definedName>
    <definedName name="SMM_LOC" localSheetId="24">#REF!</definedName>
    <definedName name="SMM_LOC" localSheetId="16">#REF!</definedName>
    <definedName name="SMM_LOC">#REF!</definedName>
    <definedName name="SMM_TOT" localSheetId="10">#REF!</definedName>
    <definedName name="SMM_TOT" localSheetId="9">#REF!</definedName>
    <definedName name="SMM_TOT" localSheetId="11">#REF!</definedName>
    <definedName name="SMM_TOT" localSheetId="12">#REF!</definedName>
    <definedName name="SMM_TOT" localSheetId="17">#REF!</definedName>
    <definedName name="SMM_TOT" localSheetId="24">#REF!</definedName>
    <definedName name="SMM_TOT" localSheetId="16">#REF!</definedName>
    <definedName name="SMM_TOT">#REF!</definedName>
    <definedName name="SMM_XPO" localSheetId="10">#REF!</definedName>
    <definedName name="SMM_XPO" localSheetId="9">#REF!</definedName>
    <definedName name="SMM_XPO" localSheetId="11">#REF!</definedName>
    <definedName name="SMM_XPO" localSheetId="12">#REF!</definedName>
    <definedName name="SMM_XPO" localSheetId="17">#REF!</definedName>
    <definedName name="SMM_XPO" localSheetId="24">#REF!</definedName>
    <definedName name="SMM_XPO" localSheetId="16">#REF!</definedName>
    <definedName name="SMM_XPO">#REF!</definedName>
    <definedName name="ss">#REF!</definedName>
    <definedName name="ssfrffhg" localSheetId="10">#REF!</definedName>
    <definedName name="ssfrffhg" localSheetId="9">#REF!</definedName>
    <definedName name="ssfrffhg" localSheetId="11">#REF!</definedName>
    <definedName name="ssfrffhg" localSheetId="12">#REF!</definedName>
    <definedName name="ssfrffhg" localSheetId="17">#REF!</definedName>
    <definedName name="ssfrffhg" localSheetId="24">#REF!</definedName>
    <definedName name="ssfrffhg" localSheetId="16">#REF!</definedName>
    <definedName name="ssfrffhg">#REF!</definedName>
    <definedName name="sss" localSheetId="12">#REF!</definedName>
    <definedName name="sss" localSheetId="17">#REF!</definedName>
    <definedName name="sss" localSheetId="19">#REF!</definedName>
    <definedName name="sss" localSheetId="16">#REF!</definedName>
    <definedName name="sss" localSheetId="18">#REF!</definedName>
    <definedName name="sss">#REF!</definedName>
    <definedName name="SsS_Bs" localSheetId="10">#REF!</definedName>
    <definedName name="SsS_Bs" localSheetId="9">#REF!</definedName>
    <definedName name="SsS_Bs" localSheetId="11">#REF!</definedName>
    <definedName name="SsS_Bs" localSheetId="12">#REF!</definedName>
    <definedName name="SsS_Bs" localSheetId="24">#REF!</definedName>
    <definedName name="SsS_Bs" localSheetId="16">#REF!</definedName>
    <definedName name="SsS_Bs">#REF!</definedName>
    <definedName name="SsS_pp" localSheetId="10">#REF!</definedName>
    <definedName name="SsS_pp" localSheetId="9">#REF!</definedName>
    <definedName name="SsS_pp" localSheetId="11">#REF!</definedName>
    <definedName name="SsS_pp" localSheetId="12">#REF!</definedName>
    <definedName name="SsS_pp" localSheetId="24">#REF!</definedName>
    <definedName name="SsS_pp" localSheetId="16">#REF!</definedName>
    <definedName name="SsS_pp">#REF!</definedName>
    <definedName name="ssss" localSheetId="10">#REF!</definedName>
    <definedName name="ssss" localSheetId="9">#REF!</definedName>
    <definedName name="ssss" localSheetId="11">#REF!</definedName>
    <definedName name="ssss" localSheetId="12">#REF!</definedName>
    <definedName name="ssss" localSheetId="17">#REF!</definedName>
    <definedName name="ssss" localSheetId="24">#REF!</definedName>
    <definedName name="ssss" localSheetId="16">#REF!</definedName>
    <definedName name="ssss" localSheetId="18">#REF!</definedName>
    <definedName name="ssss">#REF!</definedName>
    <definedName name="ssssss" localSheetId="10">#REF!</definedName>
    <definedName name="ssssss" localSheetId="9">#REF!</definedName>
    <definedName name="ssssss" localSheetId="11">#REF!</definedName>
    <definedName name="ssssss" localSheetId="12">#REF!</definedName>
    <definedName name="ssssss" localSheetId="17">#REF!</definedName>
    <definedName name="ssssss" localSheetId="24">#REF!</definedName>
    <definedName name="ssssss" localSheetId="16">#REF!</definedName>
    <definedName name="ssssss">#REF!</definedName>
    <definedName name="ssssssss" localSheetId="10">#REF!</definedName>
    <definedName name="ssssssss" localSheetId="9">#REF!</definedName>
    <definedName name="ssssssss" localSheetId="11">#REF!</definedName>
    <definedName name="ssssssss" localSheetId="12">#REF!</definedName>
    <definedName name="ssssssss" localSheetId="17">#REF!</definedName>
    <definedName name="ssssssss" localSheetId="24">#REF!</definedName>
    <definedName name="ssssssss" localSheetId="16">#REF!</definedName>
    <definedName name="ssssssss">#REF!</definedName>
    <definedName name="statuss">#REF!</definedName>
    <definedName name="STD" localSheetId="10">#REF!</definedName>
    <definedName name="STD" localSheetId="9">#REF!</definedName>
    <definedName name="STD" localSheetId="11">#REF!</definedName>
    <definedName name="STD" localSheetId="12">#REF!</definedName>
    <definedName name="STD" localSheetId="17">#REF!</definedName>
    <definedName name="STD" localSheetId="24">#REF!</definedName>
    <definedName name="STD" localSheetId="16">#REF!</definedName>
    <definedName name="STD">#REF!</definedName>
    <definedName name="strategy">#REF!</definedName>
    <definedName name="SUM" localSheetId="10">#REF!</definedName>
    <definedName name="SUM" localSheetId="9">#REF!</definedName>
    <definedName name="SUM" localSheetId="11">#REF!</definedName>
    <definedName name="SUM" localSheetId="12">#REF!</definedName>
    <definedName name="SUM" localSheetId="17">#REF!</definedName>
    <definedName name="SUM" localSheetId="24">#REF!</definedName>
    <definedName name="SUM" localSheetId="16">#REF!</definedName>
    <definedName name="SUM" localSheetId="18">#REF!</definedName>
    <definedName name="SUM">#REF!</definedName>
    <definedName name="sumaz" localSheetId="10">#REF!</definedName>
    <definedName name="sumaz" localSheetId="9">#REF!</definedName>
    <definedName name="sumaz" localSheetId="11">#REF!</definedName>
    <definedName name="sumaz" localSheetId="12">#REF!</definedName>
    <definedName name="sumaz" localSheetId="24">#REF!</definedName>
    <definedName name="sumaz" localSheetId="16">#REF!</definedName>
    <definedName name="sumaz">#REF!</definedName>
    <definedName name="sumazej" localSheetId="10">#REF!</definedName>
    <definedName name="sumazej" localSheetId="9">#REF!</definedName>
    <definedName name="sumazej" localSheetId="11">#REF!</definedName>
    <definedName name="sumazej" localSheetId="12">#REF!</definedName>
    <definedName name="sumazej" localSheetId="24">#REF!</definedName>
    <definedName name="sumazej" localSheetId="16">#REF!</definedName>
    <definedName name="sumazej">#REF!</definedName>
    <definedName name="SUMM_LAST_COLUMN">#REF!</definedName>
    <definedName name="SUMM_PrjList">#REF!</definedName>
    <definedName name="susij" localSheetId="10">#REF!</definedName>
    <definedName name="susij" localSheetId="9">#REF!</definedName>
    <definedName name="susij" localSheetId="11">#REF!</definedName>
    <definedName name="susij" localSheetId="12">#REF!</definedName>
    <definedName name="susij" localSheetId="24">#REF!</definedName>
    <definedName name="susij" localSheetId="16">#REF!</definedName>
    <definedName name="susij">#REF!</definedName>
    <definedName name="susijbal" localSheetId="10">#REF!</definedName>
    <definedName name="susijbal" localSheetId="9">#REF!</definedName>
    <definedName name="susijbal" localSheetId="11">#REF!</definedName>
    <definedName name="susijbal" localSheetId="12">#REF!</definedName>
    <definedName name="susijbal" localSheetId="24">#REF!</definedName>
    <definedName name="susijbal" localSheetId="16">#REF!</definedName>
    <definedName name="susijbal">#REF!</definedName>
    <definedName name="susijesk" localSheetId="10">#REF!</definedName>
    <definedName name="susijesk" localSheetId="9">#REF!</definedName>
    <definedName name="susijesk" localSheetId="11">#REF!</definedName>
    <definedName name="susijesk" localSheetId="12">#REF!</definedName>
    <definedName name="susijesk" localSheetId="24">#REF!</definedName>
    <definedName name="susijesk" localSheetId="16">#REF!</definedName>
    <definedName name="susijesk">#REF!</definedName>
    <definedName name="T" localSheetId="10">#REF!</definedName>
    <definedName name="T" localSheetId="9">#REF!</definedName>
    <definedName name="T" localSheetId="11">#REF!</definedName>
    <definedName name="T" localSheetId="12">#REF!</definedName>
    <definedName name="T" localSheetId="17">#REF!</definedName>
    <definedName name="T" localSheetId="24">#REF!</definedName>
    <definedName name="T" localSheetId="16">#REF!</definedName>
    <definedName name="T" localSheetId="18">#REF!</definedName>
    <definedName name="T">#REF!</definedName>
    <definedName name="table" localSheetId="10">#REF!</definedName>
    <definedName name="table" localSheetId="9">#REF!</definedName>
    <definedName name="table" localSheetId="11">#REF!</definedName>
    <definedName name="table" localSheetId="12">#REF!</definedName>
    <definedName name="table" localSheetId="24">#REF!</definedName>
    <definedName name="table">#REF!</definedName>
    <definedName name="Tbl_FIFO_STATUSS" localSheetId="10">#REF!</definedName>
    <definedName name="Tbl_FIFO_STATUSS" localSheetId="9">#REF!</definedName>
    <definedName name="Tbl_FIFO_STATUSS" localSheetId="11">#REF!</definedName>
    <definedName name="Tbl_FIFO_STATUSS" localSheetId="12">#REF!</definedName>
    <definedName name="Tbl_FIFO_STATUSS" localSheetId="24">#REF!</definedName>
    <definedName name="Tbl_FIFO_STATUSS" localSheetId="16">#REF!</definedName>
    <definedName name="Tbl_FIFO_STATUSS">#REF!</definedName>
    <definedName name="Tech_Sup" localSheetId="24">#REF!</definedName>
    <definedName name="Tech_Sup">#REF!</definedName>
    <definedName name="TEST0" localSheetId="10">#REF!</definedName>
    <definedName name="TEST0" localSheetId="9">#REF!</definedName>
    <definedName name="TEST0" localSheetId="11">#REF!</definedName>
    <definedName name="TEST0" localSheetId="12">#REF!</definedName>
    <definedName name="TEST0" localSheetId="17">#REF!</definedName>
    <definedName name="TEST0" localSheetId="24">#REF!</definedName>
    <definedName name="TEST0" localSheetId="16">#REF!</definedName>
    <definedName name="TEST0">#REF!</definedName>
    <definedName name="TEST1" localSheetId="10">#REF!</definedName>
    <definedName name="TEST1" localSheetId="9">#REF!</definedName>
    <definedName name="TEST1" localSheetId="11">#REF!</definedName>
    <definedName name="TEST1" localSheetId="12">#REF!</definedName>
    <definedName name="TEST1" localSheetId="17">#REF!</definedName>
    <definedName name="TEST1" localSheetId="24">#REF!</definedName>
    <definedName name="TEST1" localSheetId="16">#REF!</definedName>
    <definedName name="TEST1">#REF!</definedName>
    <definedName name="TEST2" localSheetId="10">#REF!</definedName>
    <definedName name="TEST2" localSheetId="9">#REF!</definedName>
    <definedName name="TEST2" localSheetId="11">#REF!</definedName>
    <definedName name="TEST2" localSheetId="12">#REF!</definedName>
    <definedName name="TEST2" localSheetId="17">#REF!</definedName>
    <definedName name="TEST2" localSheetId="24">#REF!</definedName>
    <definedName name="TEST2" localSheetId="16">#REF!</definedName>
    <definedName name="TEST2">#REF!</definedName>
    <definedName name="TEST3" localSheetId="10">#REF!</definedName>
    <definedName name="TEST3" localSheetId="9">#REF!</definedName>
    <definedName name="TEST3" localSheetId="11">#REF!</definedName>
    <definedName name="TEST3" localSheetId="12">#REF!</definedName>
    <definedName name="TEST3" localSheetId="17">#REF!</definedName>
    <definedName name="TEST3" localSheetId="24">#REF!</definedName>
    <definedName name="TEST3" localSheetId="16">#REF!</definedName>
    <definedName name="TEST3">#REF!</definedName>
    <definedName name="TESTHKEY" localSheetId="10">#REF!</definedName>
    <definedName name="TESTHKEY" localSheetId="9">#REF!</definedName>
    <definedName name="TESTHKEY" localSheetId="11">#REF!</definedName>
    <definedName name="TESTHKEY" localSheetId="12">#REF!</definedName>
    <definedName name="TESTHKEY" localSheetId="17">#REF!</definedName>
    <definedName name="TESTHKEY" localSheetId="24">#REF!</definedName>
    <definedName name="TESTHKEY" localSheetId="16">#REF!</definedName>
    <definedName name="TESTHKEY">#REF!</definedName>
    <definedName name="TESTKEYS" localSheetId="10">#REF!</definedName>
    <definedName name="TESTKEYS" localSheetId="9">#REF!</definedName>
    <definedName name="TESTKEYS" localSheetId="11">#REF!</definedName>
    <definedName name="TESTKEYS" localSheetId="12">#REF!</definedName>
    <definedName name="TESTKEYS" localSheetId="17">#REF!</definedName>
    <definedName name="TESTKEYS" localSheetId="24">#REF!</definedName>
    <definedName name="TESTKEYS" localSheetId="16">#REF!</definedName>
    <definedName name="TESTKEYS">#REF!</definedName>
    <definedName name="TESTVKEY" localSheetId="10">#REF!</definedName>
    <definedName name="TESTVKEY" localSheetId="9">#REF!</definedName>
    <definedName name="TESTVKEY" localSheetId="11">#REF!</definedName>
    <definedName name="TESTVKEY" localSheetId="12">#REF!</definedName>
    <definedName name="TESTVKEY" localSheetId="17">#REF!</definedName>
    <definedName name="TESTVKEY" localSheetId="24">#REF!</definedName>
    <definedName name="TESTVKEY" localSheetId="16">#REF!</definedName>
    <definedName name="TESTVKEY">#REF!</definedName>
    <definedName name="TextRefCopy1" localSheetId="10">#REF!</definedName>
    <definedName name="TextRefCopy1" localSheetId="9">#REF!</definedName>
    <definedName name="TextRefCopy1" localSheetId="11">#REF!</definedName>
    <definedName name="TextRefCopy1" localSheetId="12">#REF!</definedName>
    <definedName name="TextRefCopy1" localSheetId="24">#REF!</definedName>
    <definedName name="TextRefCopy1" localSheetId="16">#REF!</definedName>
    <definedName name="TextRefCopy1">#REF!</definedName>
    <definedName name="TextRefCopy2" localSheetId="10">#REF!</definedName>
    <definedName name="TextRefCopy2" localSheetId="9">#REF!</definedName>
    <definedName name="TextRefCopy2" localSheetId="11">#REF!</definedName>
    <definedName name="TextRefCopy2" localSheetId="12">#REF!</definedName>
    <definedName name="TextRefCopy2" localSheetId="24">#REF!</definedName>
    <definedName name="TextRefCopy2" localSheetId="16">#REF!</definedName>
    <definedName name="TextRefCopy2">#REF!</definedName>
    <definedName name="TextRefCopy3" localSheetId="10">#REF!</definedName>
    <definedName name="TextRefCopy3" localSheetId="9">#REF!</definedName>
    <definedName name="TextRefCopy3" localSheetId="11">#REF!</definedName>
    <definedName name="TextRefCopy3" localSheetId="12">#REF!</definedName>
    <definedName name="TextRefCopy3" localSheetId="24">#REF!</definedName>
    <definedName name="TextRefCopy3" localSheetId="16">#REF!</definedName>
    <definedName name="TextRefCopy3">#REF!</definedName>
    <definedName name="TextRefCopy4" localSheetId="10">#REF!</definedName>
    <definedName name="TextRefCopy4" localSheetId="9">#REF!</definedName>
    <definedName name="TextRefCopy4" localSheetId="11">#REF!</definedName>
    <definedName name="TextRefCopy4" localSheetId="12">#REF!</definedName>
    <definedName name="TextRefCopy4" localSheetId="24">#REF!</definedName>
    <definedName name="TextRefCopy4" localSheetId="16">#REF!</definedName>
    <definedName name="TextRefCopy4">#REF!</definedName>
    <definedName name="TextRefCopy5" localSheetId="10">#REF!</definedName>
    <definedName name="TextRefCopy5" localSheetId="9">#REF!</definedName>
    <definedName name="TextRefCopy5" localSheetId="11">#REF!</definedName>
    <definedName name="TextRefCopy5" localSheetId="12">#REF!</definedName>
    <definedName name="TextRefCopy5" localSheetId="24">#REF!</definedName>
    <definedName name="TextRefCopy5" localSheetId="16">#REF!</definedName>
    <definedName name="TextRefCopy5">#REF!</definedName>
    <definedName name="TextRefCopy6" localSheetId="10">#REF!</definedName>
    <definedName name="TextRefCopy6" localSheetId="9">#REF!</definedName>
    <definedName name="TextRefCopy6" localSheetId="11">#REF!</definedName>
    <definedName name="TextRefCopy6" localSheetId="12">#REF!</definedName>
    <definedName name="TextRefCopy6" localSheetId="24">#REF!</definedName>
    <definedName name="TextRefCopy6" localSheetId="16">#REF!</definedName>
    <definedName name="TextRefCopy6">#REF!</definedName>
    <definedName name="TextRefCopy7" localSheetId="10">#REF!</definedName>
    <definedName name="TextRefCopy7" localSheetId="9">#REF!</definedName>
    <definedName name="TextRefCopy7" localSheetId="11">#REF!</definedName>
    <definedName name="TextRefCopy7" localSheetId="12">#REF!</definedName>
    <definedName name="TextRefCopy7" localSheetId="24">#REF!</definedName>
    <definedName name="TextRefCopy7" localSheetId="16">#REF!</definedName>
    <definedName name="TextRefCopy7">#REF!</definedName>
    <definedName name="TextRefCopy8" localSheetId="10">#REF!</definedName>
    <definedName name="TextRefCopy8" localSheetId="9">#REF!</definedName>
    <definedName name="TextRefCopy8" localSheetId="11">#REF!</definedName>
    <definedName name="TextRefCopy8" localSheetId="12">#REF!</definedName>
    <definedName name="TextRefCopy8" localSheetId="24">#REF!</definedName>
    <definedName name="TextRefCopy8" localSheetId="16">#REF!</definedName>
    <definedName name="TextRefCopy8">#REF!</definedName>
    <definedName name="TextRefCopyRangeCount" hidden="1">8</definedName>
    <definedName name="TIT" localSheetId="10">#REF!</definedName>
    <definedName name="TIT" localSheetId="9">#REF!</definedName>
    <definedName name="TIT" localSheetId="11">#REF!</definedName>
    <definedName name="TIT" localSheetId="12">#REF!</definedName>
    <definedName name="TIT" localSheetId="17">#REF!</definedName>
    <definedName name="TIT" localSheetId="24">#REF!</definedName>
    <definedName name="TIT" localSheetId="16">#REF!</definedName>
    <definedName name="TIT">#REF!</definedName>
    <definedName name="to" localSheetId="10">#REF!</definedName>
    <definedName name="to" localSheetId="9">#REF!</definedName>
    <definedName name="to" localSheetId="11">#REF!</definedName>
    <definedName name="to" localSheetId="12">#REF!</definedName>
    <definedName name="to" localSheetId="17">#REF!</definedName>
    <definedName name="to" localSheetId="24">#REF!</definedName>
    <definedName name="to" localSheetId="16">#REF!</definedName>
    <definedName name="to">#REF!</definedName>
    <definedName name="TOT" localSheetId="10">#REF!</definedName>
    <definedName name="TOT" localSheetId="9">#REF!</definedName>
    <definedName name="TOT" localSheetId="11">#REF!</definedName>
    <definedName name="TOT" localSheetId="12">#REF!</definedName>
    <definedName name="TOT" localSheetId="17">#REF!</definedName>
    <definedName name="TOT" localSheetId="24">#REF!</definedName>
    <definedName name="TOT" localSheetId="16">#REF!</definedName>
    <definedName name="TOT">#REF!</definedName>
    <definedName name="TOTAL" localSheetId="10">#REF!</definedName>
    <definedName name="TOTAL" localSheetId="9">#REF!</definedName>
    <definedName name="TOTAL" localSheetId="11">#REF!</definedName>
    <definedName name="Total" localSheetId="12">#REF!</definedName>
    <definedName name="Total" localSheetId="17">#REF!</definedName>
    <definedName name="TOTAL" localSheetId="24">#REF!</definedName>
    <definedName name="Total" localSheetId="19">#REF!</definedName>
    <definedName name="Total" localSheetId="16">#REF!</definedName>
    <definedName name="Total" localSheetId="18">#REF!</definedName>
    <definedName name="TOTAL">#REF!</definedName>
    <definedName name="TPGTV" localSheetId="10">#REF!</definedName>
    <definedName name="TPGTV" localSheetId="9">#REF!</definedName>
    <definedName name="TPGTV" localSheetId="11">#REF!</definedName>
    <definedName name="TPGTV" localSheetId="12">#REF!</definedName>
    <definedName name="TPGTV" localSheetId="24">#REF!</definedName>
    <definedName name="TPGTV" localSheetId="16">#REF!</definedName>
    <definedName name="TPGTV">#REF!</definedName>
    <definedName name="TRIAL_DATE">#REF!</definedName>
    <definedName name="TrMokSumos" localSheetId="10">#REF!</definedName>
    <definedName name="TrMokSumos" localSheetId="9">#REF!</definedName>
    <definedName name="TrMokSumos" localSheetId="11">#REF!</definedName>
    <definedName name="TrMokSumos" localSheetId="12">#REF!</definedName>
    <definedName name="TrMokSumos" localSheetId="24">#REF!</definedName>
    <definedName name="TrMokSumos" localSheetId="16">#REF!</definedName>
    <definedName name="TrMokSumos">#REF!</definedName>
    <definedName name="txdfhxfht" localSheetId="11">#REF!</definedName>
    <definedName name="txdfhxfht" localSheetId="12">#REF!</definedName>
    <definedName name="txdfhxfht" localSheetId="17">#REF!</definedName>
    <definedName name="txdfhxfht" localSheetId="24">#REF!</definedName>
    <definedName name="txdfhxfht" localSheetId="16">#REF!</definedName>
    <definedName name="txdfhxfht">#REF!</definedName>
    <definedName name="Uniformity" localSheetId="10">#REF!</definedName>
    <definedName name="Uniformity" localSheetId="9">#REF!</definedName>
    <definedName name="Uniformity" localSheetId="11">#REF!</definedName>
    <definedName name="Uniformity" localSheetId="12">#REF!</definedName>
    <definedName name="Uniformity" localSheetId="17">#REF!</definedName>
    <definedName name="Uniformity" localSheetId="24">#REF!</definedName>
    <definedName name="Uniformity" localSheetId="16">#REF!</definedName>
    <definedName name="Uniformity">#REF!</definedName>
    <definedName name="UserName">#REF!</definedName>
    <definedName name="uuuuuuu" localSheetId="10">#REF!</definedName>
    <definedName name="uuuuuuu" localSheetId="9">#REF!</definedName>
    <definedName name="uuuuuuu" localSheetId="11">#REF!</definedName>
    <definedName name="uuuuuuu" localSheetId="12">#REF!</definedName>
    <definedName name="uuuuuuu" localSheetId="17">#REF!</definedName>
    <definedName name="uuuuuuu" localSheetId="24">#REF!</definedName>
    <definedName name="uuuuuuu" localSheetId="16">#REF!</definedName>
    <definedName name="uuuuuuu">#REF!</definedName>
    <definedName name="UVKR" localSheetId="10">#REF!</definedName>
    <definedName name="UVKR" localSheetId="9">#REF!</definedName>
    <definedName name="UVKR" localSheetId="11">#REF!</definedName>
    <definedName name="UVKR" localSheetId="12">#REF!</definedName>
    <definedName name="UVKR" localSheetId="24">#REF!</definedName>
    <definedName name="UVKR" localSheetId="16">#REF!</definedName>
    <definedName name="UVKR">#REF!</definedName>
    <definedName name="uyk" localSheetId="10">#REF!</definedName>
    <definedName name="uyk" localSheetId="9">#REF!</definedName>
    <definedName name="uyk" localSheetId="11">#REF!</definedName>
    <definedName name="uyk" localSheetId="12">#REF!</definedName>
    <definedName name="uyk" localSheetId="17">#REF!</definedName>
    <definedName name="uyk" localSheetId="24">#REF!</definedName>
    <definedName name="uyk" localSheetId="16">#REF!</definedName>
    <definedName name="uyk">#REF!</definedName>
    <definedName name="vadov" localSheetId="10">#REF!</definedName>
    <definedName name="vadov" localSheetId="9">#REF!</definedName>
    <definedName name="vadov" localSheetId="11">#REF!</definedName>
    <definedName name="vadov" localSheetId="12">#REF!</definedName>
    <definedName name="vadov" localSheetId="24">#REF!</definedName>
    <definedName name="vadov" localSheetId="16">#REF!</definedName>
    <definedName name="vadov">#REF!</definedName>
    <definedName name="vadovai" localSheetId="10">#REF!</definedName>
    <definedName name="vadovai" localSheetId="9">#REF!</definedName>
    <definedName name="vadovai" localSheetId="11">#REF!</definedName>
    <definedName name="vadovai" localSheetId="12">#REF!</definedName>
    <definedName name="vadovai" localSheetId="24">#REF!</definedName>
    <definedName name="vadovai" localSheetId="16">#REF!</definedName>
    <definedName name="vadovai">#REF!</definedName>
    <definedName name="Val" localSheetId="10">#REF!</definedName>
    <definedName name="Val" localSheetId="9">#REF!</definedName>
    <definedName name="Val" localSheetId="11">#REF!</definedName>
    <definedName name="Val" localSheetId="12">#REF!</definedName>
    <definedName name="Val" localSheetId="24">#REF!</definedName>
    <definedName name="Val" localSheetId="16">#REF!</definedName>
    <definedName name="Val">#REF!</definedName>
    <definedName name="valiut" localSheetId="10">#REF!</definedName>
    <definedName name="valiut" localSheetId="9">#REF!</definedName>
    <definedName name="valiut" localSheetId="11">#REF!</definedName>
    <definedName name="valiut" localSheetId="12">#REF!</definedName>
    <definedName name="valiut" localSheetId="24">#REF!</definedName>
    <definedName name="valiut" localSheetId="16">#REF!</definedName>
    <definedName name="valiut">#REF!</definedName>
    <definedName name="valiutos" localSheetId="10">#REF!</definedName>
    <definedName name="valiutos" localSheetId="9">#REF!</definedName>
    <definedName name="valiutos" localSheetId="11">#REF!</definedName>
    <definedName name="valiutos" localSheetId="12">#REF!</definedName>
    <definedName name="valiutos" localSheetId="24">#REF!</definedName>
    <definedName name="valiutos" localSheetId="16">#REF!</definedName>
    <definedName name="valiutos">#REF!</definedName>
    <definedName name="VAT">#REF!</definedName>
    <definedName name="VAT_20" localSheetId="24">#REF!</definedName>
    <definedName name="VAT_20">#REF!</definedName>
    <definedName name="VAT_OnAssets" localSheetId="10">#REF!</definedName>
    <definedName name="VAT_OnAssets" localSheetId="9">#REF!</definedName>
    <definedName name="VAT_OnAssets" localSheetId="11">#REF!</definedName>
    <definedName name="VAT_OnAssets" localSheetId="12">#REF!</definedName>
    <definedName name="VAT_OnAssets" localSheetId="24">#REF!</definedName>
    <definedName name="VAT_OnAssets" localSheetId="16">#REF!</definedName>
    <definedName name="VAT_OnAssets">#REF!</definedName>
    <definedName name="VAT_Period">#REF!</definedName>
    <definedName name="VAT_Repay">#REF!</definedName>
    <definedName name="vbhn" localSheetId="27" hidden="1">#REF!</definedName>
    <definedName name="vbhn" localSheetId="10" hidden="1">#REF!</definedName>
    <definedName name="vbhn" localSheetId="9" hidden="1">#REF!</definedName>
    <definedName name="vbhn" localSheetId="11" hidden="1">#REF!</definedName>
    <definedName name="vbhn" localSheetId="26" hidden="1">#REF!</definedName>
    <definedName name="vbhn" localSheetId="6" hidden="1">#REF!</definedName>
    <definedName name="vbhn" localSheetId="12" hidden="1">#REF!</definedName>
    <definedName name="vbhn" localSheetId="17" hidden="1">#REF!</definedName>
    <definedName name="vbhn" localSheetId="24" hidden="1">#REF!</definedName>
    <definedName name="vbhn" localSheetId="16" hidden="1">#REF!</definedName>
    <definedName name="vbhn" hidden="1">#REF!</definedName>
    <definedName name="vbhng" localSheetId="10">#REF!</definedName>
    <definedName name="vbhng" localSheetId="9">#REF!</definedName>
    <definedName name="vbhng" localSheetId="11">#REF!</definedName>
    <definedName name="vbhng" localSheetId="12">#REF!</definedName>
    <definedName name="vbhng" localSheetId="17">#REF!</definedName>
    <definedName name="vbhng" localSheetId="24">#REF!</definedName>
    <definedName name="vbhng" localSheetId="16">#REF!</definedName>
    <definedName name="vbhng">#REF!</definedName>
    <definedName name="vbmn" localSheetId="10">#REF!</definedName>
    <definedName name="vbmn" localSheetId="9">#REF!</definedName>
    <definedName name="vbmn" localSheetId="11">#REF!</definedName>
    <definedName name="vbmn" localSheetId="12">#REF!</definedName>
    <definedName name="vbmn" localSheetId="17">#REF!</definedName>
    <definedName name="vbmn" localSheetId="24">#REF!</definedName>
    <definedName name="vbmn" localSheetId="16">#REF!</definedName>
    <definedName name="vbmn">#REF!</definedName>
    <definedName name="veikla" localSheetId="10">#REF!</definedName>
    <definedName name="veikla" localSheetId="9">#REF!</definedName>
    <definedName name="veikla" localSheetId="11">#REF!</definedName>
    <definedName name="veikla" localSheetId="12">#REF!</definedName>
    <definedName name="veikla" localSheetId="24">#REF!</definedName>
    <definedName name="veikla" localSheetId="16">#REF!</definedName>
    <definedName name="veikla">#REF!</definedName>
    <definedName name="veiklos" localSheetId="10">#REF!</definedName>
    <definedName name="veiklos" localSheetId="9">#REF!</definedName>
    <definedName name="veiklos" localSheetId="11">#REF!</definedName>
    <definedName name="veiklos" localSheetId="12">#REF!</definedName>
    <definedName name="veiklos" localSheetId="24">#REF!</definedName>
    <definedName name="veiklos" localSheetId="16">#REF!</definedName>
    <definedName name="veiklos">#REF!</definedName>
    <definedName name="VeiklosNuoma" localSheetId="10">#REF!</definedName>
    <definedName name="VeiklosNuoma" localSheetId="9">#REF!</definedName>
    <definedName name="VeiklosNuoma" localSheetId="11">#REF!</definedName>
    <definedName name="VeiklosNuoma" localSheetId="12">#REF!</definedName>
    <definedName name="VeiklosNuoma" localSheetId="24">#REF!</definedName>
    <definedName name="VeiklosNuoma" localSheetId="16">#REF!</definedName>
    <definedName name="VeiklosNuoma">#REF!</definedName>
    <definedName name="VeiklosSan" localSheetId="10">#REF!</definedName>
    <definedName name="VeiklosSan" localSheetId="9">#REF!</definedName>
    <definedName name="VeiklosSan" localSheetId="11">#REF!</definedName>
    <definedName name="VeiklosSan" localSheetId="12">#REF!</definedName>
    <definedName name="VeiklosSan" localSheetId="24">#REF!</definedName>
    <definedName name="VeiklosSan" localSheetId="16">#REF!</definedName>
    <definedName name="VeiklosSan">#REF!</definedName>
    <definedName name="Ver_BuildDate">#REF!</definedName>
    <definedName name="Ver_ChangeDate">#REF!</definedName>
    <definedName name="VertSum" localSheetId="10">#REF!</definedName>
    <definedName name="VertSum" localSheetId="9">#REF!</definedName>
    <definedName name="VertSum" localSheetId="11">#REF!</definedName>
    <definedName name="VertSum" localSheetId="12">#REF!</definedName>
    <definedName name="VertSum" localSheetId="24">#REF!</definedName>
    <definedName name="VertSum" localSheetId="16">#REF!</definedName>
    <definedName name="VertSum">#REF!</definedName>
    <definedName name="VET" localSheetId="10">#REF!</definedName>
    <definedName name="VET" localSheetId="9">#REF!</definedName>
    <definedName name="VET" localSheetId="11">#REF!</definedName>
    <definedName name="VET" localSheetId="12">#REF!</definedName>
    <definedName name="VET" localSheetId="17">#REF!</definedName>
    <definedName name="VET" localSheetId="24">#REF!</definedName>
    <definedName name="VET" localSheetId="16">#REF!</definedName>
    <definedName name="VET">#REF!</definedName>
    <definedName name="vhjhfhj" localSheetId="10">#REF!</definedName>
    <definedName name="vhjhfhj" localSheetId="9">#REF!</definedName>
    <definedName name="vhjhfhj" localSheetId="11">#REF!</definedName>
    <definedName name="vhjhfhj" localSheetId="12">#REF!</definedName>
    <definedName name="vhjhfhj" localSheetId="17">#REF!</definedName>
    <definedName name="vhjhfhj" localSheetId="24">#REF!</definedName>
    <definedName name="vhjhfhj" localSheetId="16">#REF!</definedName>
    <definedName name="vhjhfhj">#REF!</definedName>
    <definedName name="vj" localSheetId="10">#REF!</definedName>
    <definedName name="vj" localSheetId="9">#REF!</definedName>
    <definedName name="vj" localSheetId="11">#REF!</definedName>
    <definedName name="vj" localSheetId="12">#REF!</definedName>
    <definedName name="vj" localSheetId="24">#REF!</definedName>
    <definedName name="vj" localSheetId="16">#REF!</definedName>
    <definedName name="vj">#REF!</definedName>
    <definedName name="vnuom" localSheetId="10">#REF!</definedName>
    <definedName name="vnuom" localSheetId="9">#REF!</definedName>
    <definedName name="vnuom" localSheetId="11">#REF!</definedName>
    <definedName name="vnuom" localSheetId="12">#REF!</definedName>
    <definedName name="vnuom" localSheetId="24">#REF!</definedName>
    <definedName name="vnuom" localSheetId="16">#REF!</definedName>
    <definedName name="vnuom">#REF!</definedName>
    <definedName name="wa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e" localSheetId="10">#REF!</definedName>
    <definedName name="wae" localSheetId="9">#REF!</definedName>
    <definedName name="wae" localSheetId="11">#REF!</definedName>
    <definedName name="wae" localSheetId="12">#REF!</definedName>
    <definedName name="wae" localSheetId="17">#REF!</definedName>
    <definedName name="wae" localSheetId="24">#REF!</definedName>
    <definedName name="wae" localSheetId="16">#REF!</definedName>
    <definedName name="wae">#REF!</definedName>
    <definedName name="we" localSheetId="27" hidden="1">#REF!</definedName>
    <definedName name="we" localSheetId="10" hidden="1">#REF!</definedName>
    <definedName name="we" localSheetId="9" hidden="1">#REF!</definedName>
    <definedName name="we" localSheetId="11" hidden="1">#REF!</definedName>
    <definedName name="we" localSheetId="26" hidden="1">#REF!</definedName>
    <definedName name="we" localSheetId="6" hidden="1">#REF!</definedName>
    <definedName name="we" localSheetId="12" hidden="1">#REF!</definedName>
    <definedName name="we" localSheetId="17" hidden="1">#REF!</definedName>
    <definedName name="we" localSheetId="24" hidden="1">#REF!</definedName>
    <definedName name="we" localSheetId="16" hidden="1">#REF!</definedName>
    <definedName name="we" hidden="1">#REF!</definedName>
    <definedName name="weafg" localSheetId="10">#REF!</definedName>
    <definedName name="weafg" localSheetId="9">#REF!</definedName>
    <definedName name="weafg" localSheetId="11">#REF!</definedName>
    <definedName name="weafg" localSheetId="12">#REF!</definedName>
    <definedName name="weafg" localSheetId="17">#REF!</definedName>
    <definedName name="weafg" localSheetId="24">#REF!</definedName>
    <definedName name="weafg" localSheetId="16">#REF!</definedName>
    <definedName name="weafg">#REF!</definedName>
    <definedName name="werasw" localSheetId="10">#REF!</definedName>
    <definedName name="werasw" localSheetId="9">#REF!</definedName>
    <definedName name="werasw" localSheetId="11">#REF!</definedName>
    <definedName name="werasw" localSheetId="12">#REF!</definedName>
    <definedName name="werasw" localSheetId="17">#REF!</definedName>
    <definedName name="werasw" localSheetId="24">#REF!</definedName>
    <definedName name="werasw" localSheetId="16">#REF!</definedName>
    <definedName name="werasw">#REF!</definedName>
    <definedName name="wrn.Financial._.Report.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22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Input._.Data." localSheetId="10" hidden="1">{"Input_Fin",#N/A,FALSE,"By Code";"Input_Opt",#N/A,FALSE,"By Code"}</definedName>
    <definedName name="wrn.Input._.Data." localSheetId="9" hidden="1">{"Input_Fin",#N/A,FALSE,"By Code";"Input_Opt",#N/A,FALSE,"By Code"}</definedName>
    <definedName name="wrn.Input._.Data." localSheetId="22" hidden="1">{"Input_Fin",#N/A,FALSE,"By Code";"Input_Opt",#N/A,FALSE,"By Code"}</definedName>
    <definedName name="wrn.Input._.Data." localSheetId="6" hidden="1">{"Input_Fin",#N/A,FALSE,"By Code";"Input_Opt",#N/A,FALSE,"By Code"}</definedName>
    <definedName name="wrn.Input._.Data." localSheetId="19" hidden="1">{"Input_Fin",#N/A,FALSE,"By Code";"Input_Opt",#N/A,FALSE,"By Code"}</definedName>
    <definedName name="wrn.Input._.Data." hidden="1">{"Input_Fin",#N/A,FALSE,"By Code";"Input_Opt",#N/A,FALSE,"By Code"}</definedName>
    <definedName name="wrn.Operation._.Report." localSheetId="10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22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6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1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wwwww" localSheetId="10" hidden="1">#REF!</definedName>
    <definedName name="wwwwww" localSheetId="9" hidden="1">#REF!</definedName>
    <definedName name="wwwwww" localSheetId="22" hidden="1">#REF!</definedName>
    <definedName name="wwwwww" localSheetId="11" hidden="1">#REF!</definedName>
    <definedName name="wwwwww" localSheetId="6" hidden="1">#REF!</definedName>
    <definedName name="wwwwww" localSheetId="12" hidden="1">#REF!</definedName>
    <definedName name="wwwwww" hidden="1">#REF!</definedName>
    <definedName name="x">#N/A</definedName>
    <definedName name="xcv" localSheetId="10">#REF!</definedName>
    <definedName name="xcv" localSheetId="9">#REF!</definedName>
    <definedName name="xcv" localSheetId="11">#REF!</definedName>
    <definedName name="xcv" localSheetId="12">#REF!</definedName>
    <definedName name="xcv" localSheetId="24">#REF!</definedName>
    <definedName name="xcv" localSheetId="16">#REF!</definedName>
    <definedName name="xcv">#REF!</definedName>
    <definedName name="xdf" localSheetId="10">#REF!</definedName>
    <definedName name="xdf" localSheetId="9">#REF!</definedName>
    <definedName name="xdf" localSheetId="11">#REF!</definedName>
    <definedName name="xdf" localSheetId="12">#REF!</definedName>
    <definedName name="xdf" localSheetId="17">#REF!</definedName>
    <definedName name="xdf" localSheetId="24">#REF!</definedName>
    <definedName name="xdf" localSheetId="16">#REF!</definedName>
    <definedName name="xdf">#REF!</definedName>
    <definedName name="xdfgxcygh" localSheetId="11">#REF!</definedName>
    <definedName name="xdfgxcygh" localSheetId="12">#REF!</definedName>
    <definedName name="xdfgxcygh" localSheetId="17">#REF!</definedName>
    <definedName name="xdfgxcygh" localSheetId="24">#REF!</definedName>
    <definedName name="xdfgxcygh" localSheetId="16">#REF!</definedName>
    <definedName name="xdfgxcygh">#REF!</definedName>
    <definedName name="xdfth" localSheetId="10">#REF!</definedName>
    <definedName name="xdfth" localSheetId="9">#REF!</definedName>
    <definedName name="xdfth" localSheetId="11">#REF!</definedName>
    <definedName name="xdfth" localSheetId="12">#REF!</definedName>
    <definedName name="xdfth" localSheetId="17">#REF!</definedName>
    <definedName name="xdfth" localSheetId="24">#REF!</definedName>
    <definedName name="xdfth" localSheetId="16">#REF!</definedName>
    <definedName name="xdfth">#REF!</definedName>
    <definedName name="xdh" localSheetId="10">#REF!</definedName>
    <definedName name="xdh" localSheetId="9">#REF!</definedName>
    <definedName name="xdh" localSheetId="11">#REF!</definedName>
    <definedName name="xdh" localSheetId="12">#REF!</definedName>
    <definedName name="xdh" localSheetId="17">#REF!</definedName>
    <definedName name="xdh" localSheetId="24">#REF!</definedName>
    <definedName name="xdh" localSheetId="16">#REF!</definedName>
    <definedName name="xdh">#REF!</definedName>
    <definedName name="xdhf" localSheetId="11">#REF!</definedName>
    <definedName name="xdhf" localSheetId="12">#REF!</definedName>
    <definedName name="xdhf" localSheetId="17">#REF!</definedName>
    <definedName name="xdhf" localSheetId="24">#REF!</definedName>
    <definedName name="xdhf" localSheetId="16">#REF!</definedName>
    <definedName name="xdhf">#REF!</definedName>
    <definedName name="xfht" localSheetId="10">#REF!</definedName>
    <definedName name="xfht" localSheetId="9">#REF!</definedName>
    <definedName name="xfht" localSheetId="11">#REF!</definedName>
    <definedName name="xfht" localSheetId="12">#REF!</definedName>
    <definedName name="xfht" localSheetId="17">#REF!</definedName>
    <definedName name="xfht" localSheetId="24">#REF!</definedName>
    <definedName name="xfht" localSheetId="16">#REF!</definedName>
    <definedName name="xfht">#REF!</definedName>
    <definedName name="xg" localSheetId="11">#REF!</definedName>
    <definedName name="xg" localSheetId="12">#REF!</definedName>
    <definedName name="xg" localSheetId="17">#REF!</definedName>
    <definedName name="xg" localSheetId="24">#REF!</definedName>
    <definedName name="xg" localSheetId="16">#REF!</definedName>
    <definedName name="xg">#REF!</definedName>
    <definedName name="xgh" localSheetId="10">#REF!</definedName>
    <definedName name="xgh" localSheetId="9">#REF!</definedName>
    <definedName name="xgh" localSheetId="11">#REF!</definedName>
    <definedName name="xgh" localSheetId="12">#REF!</definedName>
    <definedName name="xgh" localSheetId="17">#REF!</definedName>
    <definedName name="xgh" localSheetId="24">#REF!</definedName>
    <definedName name="xgh" localSheetId="16">#REF!</definedName>
    <definedName name="xgh">#REF!</definedName>
    <definedName name="xhttxf" localSheetId="11">#REF!</definedName>
    <definedName name="xhttxf" localSheetId="12">#REF!</definedName>
    <definedName name="xhttxf" localSheetId="17">#REF!</definedName>
    <definedName name="xhttxf" localSheetId="24">#REF!</definedName>
    <definedName name="xhttxf" localSheetId="16">#REF!</definedName>
    <definedName name="xhttxf">#REF!</definedName>
    <definedName name="xls" localSheetId="10">#REF!</definedName>
    <definedName name="xls" localSheetId="9">#REF!</definedName>
    <definedName name="xls" localSheetId="11">#REF!</definedName>
    <definedName name="xls" localSheetId="12">#REF!</definedName>
    <definedName name="xls" localSheetId="17">#REF!</definedName>
    <definedName name="xls" localSheetId="24">#REF!</definedName>
    <definedName name="xls" localSheetId="16">#REF!</definedName>
    <definedName name="xls" localSheetId="18">#REF!</definedName>
    <definedName name="xls">#REF!</definedName>
    <definedName name="XREF_COLUMN_10" localSheetId="27" hidden="1">#REF!</definedName>
    <definedName name="XREF_COLUMN_10" localSheetId="10" hidden="1">#REF!</definedName>
    <definedName name="XREF_COLUMN_10" localSheetId="25" hidden="1">#REF!</definedName>
    <definedName name="XREF_COLUMN_10" localSheetId="9" hidden="1">#REF!</definedName>
    <definedName name="XREF_COLUMN_10" localSheetId="22" hidden="1">#REF!</definedName>
    <definedName name="XREF_COLUMN_10" localSheetId="11" hidden="1">#REF!</definedName>
    <definedName name="XREF_COLUMN_10" localSheetId="26" hidden="1">#REF!</definedName>
    <definedName name="XREF_COLUMN_10" localSheetId="6" hidden="1">#REF!</definedName>
    <definedName name="XREF_COLUMN_10" localSheetId="12" hidden="1">#REF!</definedName>
    <definedName name="XREF_COLUMN_10" localSheetId="24" hidden="1">#REF!</definedName>
    <definedName name="XREF_COLUMN_10" localSheetId="16" hidden="1">#REF!</definedName>
    <definedName name="XREF_COLUMN_10" hidden="1">#REF!</definedName>
    <definedName name="XREF_COLUMN_14" localSheetId="27" hidden="1">#REF!</definedName>
    <definedName name="XREF_COLUMN_14" localSheetId="10" hidden="1">#REF!</definedName>
    <definedName name="XREF_COLUMN_14" localSheetId="25" hidden="1">#REF!</definedName>
    <definedName name="XREF_COLUMN_14" localSheetId="9" hidden="1">#REF!</definedName>
    <definedName name="XREF_COLUMN_14" localSheetId="22" hidden="1">#REF!</definedName>
    <definedName name="XREF_COLUMN_14" localSheetId="11" hidden="1">#REF!</definedName>
    <definedName name="XREF_COLUMN_14" localSheetId="26" hidden="1">#REF!</definedName>
    <definedName name="XREF_COLUMN_14" localSheetId="6" hidden="1">#REF!</definedName>
    <definedName name="XREF_COLUMN_14" localSheetId="12" hidden="1">#REF!</definedName>
    <definedName name="XREF_COLUMN_14" localSheetId="24" hidden="1">#REF!</definedName>
    <definedName name="XREF_COLUMN_14" localSheetId="16" hidden="1">#REF!</definedName>
    <definedName name="XREF_COLUMN_14" hidden="1">#REF!</definedName>
    <definedName name="XREF_COLUMN_3" localSheetId="27" hidden="1">#REF!</definedName>
    <definedName name="XREF_COLUMN_3" localSheetId="10" hidden="1">#REF!</definedName>
    <definedName name="XREF_COLUMN_3" localSheetId="25" hidden="1">#REF!</definedName>
    <definedName name="XREF_COLUMN_3" localSheetId="9" hidden="1">#REF!</definedName>
    <definedName name="XREF_COLUMN_3" localSheetId="22" hidden="1">#REF!</definedName>
    <definedName name="XREF_COLUMN_3" localSheetId="11" hidden="1">#REF!</definedName>
    <definedName name="XREF_COLUMN_3" localSheetId="26" hidden="1">#REF!</definedName>
    <definedName name="XREF_COLUMN_3" localSheetId="6" hidden="1">#REF!</definedName>
    <definedName name="XREF_COLUMN_3" localSheetId="12" hidden="1">#REF!</definedName>
    <definedName name="XREF_COLUMN_3" localSheetId="24" hidden="1">#REF!</definedName>
    <definedName name="XREF_COLUMN_3" localSheetId="16" hidden="1">#REF!</definedName>
    <definedName name="XREF_COLUMN_3" hidden="1">#REF!</definedName>
    <definedName name="XREF_COLUMN_4" localSheetId="27" hidden="1">#REF!</definedName>
    <definedName name="XREF_COLUMN_4" localSheetId="10" hidden="1">#REF!</definedName>
    <definedName name="XREF_COLUMN_4" localSheetId="25" hidden="1">#REF!</definedName>
    <definedName name="XREF_COLUMN_4" localSheetId="9" hidden="1">#REF!</definedName>
    <definedName name="XREF_COLUMN_4" localSheetId="22" hidden="1">#REF!</definedName>
    <definedName name="XREF_COLUMN_4" localSheetId="11" hidden="1">#REF!</definedName>
    <definedName name="XREF_COLUMN_4" localSheetId="26" hidden="1">#REF!</definedName>
    <definedName name="XREF_COLUMN_4" localSheetId="6" hidden="1">#REF!</definedName>
    <definedName name="XREF_COLUMN_4" localSheetId="12" hidden="1">#REF!</definedName>
    <definedName name="XREF_COLUMN_4" localSheetId="24" hidden="1">#REF!</definedName>
    <definedName name="XREF_COLUMN_4" localSheetId="16" hidden="1">#REF!</definedName>
    <definedName name="XREF_COLUMN_4" hidden="1">#REF!</definedName>
    <definedName name="XREF_COLUMN_5" localSheetId="27" hidden="1">#REF!</definedName>
    <definedName name="XREF_COLUMN_5" localSheetId="10" hidden="1">#REF!</definedName>
    <definedName name="XREF_COLUMN_5" localSheetId="25" hidden="1">#REF!</definedName>
    <definedName name="XREF_COLUMN_5" localSheetId="9" hidden="1">#REF!</definedName>
    <definedName name="XREF_COLUMN_5" localSheetId="22" hidden="1">#REF!</definedName>
    <definedName name="XREF_COLUMN_5" localSheetId="11" hidden="1">#REF!</definedName>
    <definedName name="XREF_COLUMN_5" localSheetId="6" hidden="1">#REF!</definedName>
    <definedName name="XREF_COLUMN_5" localSheetId="12" hidden="1">#REF!</definedName>
    <definedName name="XREF_COLUMN_5" localSheetId="24" hidden="1">#REF!</definedName>
    <definedName name="XREF_COLUMN_5" localSheetId="16" hidden="1">#REF!</definedName>
    <definedName name="XREF_COLUMN_5" hidden="1">#REF!</definedName>
    <definedName name="XREF_COLUMN_6" localSheetId="27" hidden="1">#REF!</definedName>
    <definedName name="XREF_COLUMN_6" localSheetId="10" hidden="1">#REF!</definedName>
    <definedName name="XREF_COLUMN_6" localSheetId="25" hidden="1">#REF!</definedName>
    <definedName name="XREF_COLUMN_6" localSheetId="9" hidden="1">#REF!</definedName>
    <definedName name="XREF_COLUMN_6" localSheetId="22" hidden="1">#REF!</definedName>
    <definedName name="XREF_COLUMN_6" localSheetId="11" hidden="1">#REF!</definedName>
    <definedName name="XREF_COLUMN_6" localSheetId="6" hidden="1">#REF!</definedName>
    <definedName name="XREF_COLUMN_6" localSheetId="12" hidden="1">#REF!</definedName>
    <definedName name="XREF_COLUMN_6" localSheetId="24" hidden="1">#REF!</definedName>
    <definedName name="XREF_COLUMN_6" localSheetId="16" hidden="1">#REF!</definedName>
    <definedName name="XREF_COLUMN_6" hidden="1">#REF!</definedName>
    <definedName name="XREF_COLUMN_7" localSheetId="27" hidden="1">#REF!</definedName>
    <definedName name="XREF_COLUMN_7" localSheetId="10" hidden="1">#REF!</definedName>
    <definedName name="XREF_COLUMN_7" localSheetId="25" hidden="1">#REF!</definedName>
    <definedName name="XREF_COLUMN_7" localSheetId="9" hidden="1">#REF!</definedName>
    <definedName name="XREF_COLUMN_7" localSheetId="22" hidden="1">#REF!</definedName>
    <definedName name="XREF_COLUMN_7" localSheetId="11" hidden="1">#REF!</definedName>
    <definedName name="XREF_COLUMN_7" localSheetId="6" hidden="1">#REF!</definedName>
    <definedName name="XREF_COLUMN_7" localSheetId="12" hidden="1">#REF!</definedName>
    <definedName name="XREF_COLUMN_7" localSheetId="24" hidden="1">#REF!</definedName>
    <definedName name="XREF_COLUMN_7" localSheetId="16" hidden="1">#REF!</definedName>
    <definedName name="XREF_COLUMN_7" hidden="1">#REF!</definedName>
    <definedName name="XRefColumnsCount" hidden="1">1</definedName>
    <definedName name="XRefCopy1" localSheetId="27" hidden="1">#REF!</definedName>
    <definedName name="XRefCopy1" localSheetId="10" hidden="1">#REF!</definedName>
    <definedName name="XRefCopy1" localSheetId="25" hidden="1">#REF!</definedName>
    <definedName name="XRefCopy1" localSheetId="9" hidden="1">#REF!</definedName>
    <definedName name="XRefCopy1" localSheetId="22" hidden="1">#REF!</definedName>
    <definedName name="XRefCopy1" localSheetId="11" hidden="1">#REF!</definedName>
    <definedName name="XRefCopy1" localSheetId="26" hidden="1">#REF!</definedName>
    <definedName name="XRefCopy1" localSheetId="6" hidden="1">#REF!</definedName>
    <definedName name="XRefCopy1" localSheetId="12" hidden="1">#REF!</definedName>
    <definedName name="XRefCopy1" localSheetId="24" hidden="1">#REF!</definedName>
    <definedName name="XRefCopy1" localSheetId="16" hidden="1">#REF!</definedName>
    <definedName name="XRefCopy1" hidden="1">#REF!</definedName>
    <definedName name="XRefCopy2" localSheetId="27" hidden="1">#REF!</definedName>
    <definedName name="XRefCopy2" localSheetId="10" hidden="1">#REF!</definedName>
    <definedName name="XRefCopy2" localSheetId="25" hidden="1">#REF!</definedName>
    <definedName name="XRefCopy2" localSheetId="9" hidden="1">#REF!</definedName>
    <definedName name="XRefCopy2" localSheetId="22" hidden="1">#REF!</definedName>
    <definedName name="XRefCopy2" localSheetId="11" hidden="1">#REF!</definedName>
    <definedName name="XRefCopy2" localSheetId="26" hidden="1">#REF!</definedName>
    <definedName name="XRefCopy2" localSheetId="6" hidden="1">#REF!</definedName>
    <definedName name="XRefCopy2" localSheetId="12" hidden="1">#REF!</definedName>
    <definedName name="XRefCopy2" localSheetId="24" hidden="1">#REF!</definedName>
    <definedName name="XRefCopy2" localSheetId="16" hidden="1">#REF!</definedName>
    <definedName name="XRefCopy2" hidden="1">#REF!</definedName>
    <definedName name="XRefCopy3" localSheetId="27" hidden="1">#REF!</definedName>
    <definedName name="XRefCopy3" localSheetId="10" hidden="1">#REF!</definedName>
    <definedName name="XRefCopy3" localSheetId="25" hidden="1">#REF!</definedName>
    <definedName name="XRefCopy3" localSheetId="9" hidden="1">#REF!</definedName>
    <definedName name="XRefCopy3" localSheetId="22" hidden="1">#REF!</definedName>
    <definedName name="XRefCopy3" localSheetId="11" hidden="1">#REF!</definedName>
    <definedName name="XRefCopy3" localSheetId="26" hidden="1">#REF!</definedName>
    <definedName name="XRefCopy3" localSheetId="6" hidden="1">#REF!</definedName>
    <definedName name="XRefCopy3" localSheetId="12" hidden="1">#REF!</definedName>
    <definedName name="XRefCopy3" localSheetId="24" hidden="1">#REF!</definedName>
    <definedName name="XRefCopy3" localSheetId="16" hidden="1">#REF!</definedName>
    <definedName name="XRefCopy3" hidden="1">#REF!</definedName>
    <definedName name="XRefCopy4" localSheetId="27" hidden="1">#REF!</definedName>
    <definedName name="XRefCopy4" localSheetId="10" hidden="1">#REF!</definedName>
    <definedName name="XRefCopy4" localSheetId="25" hidden="1">#REF!</definedName>
    <definedName name="XRefCopy4" localSheetId="9" hidden="1">#REF!</definedName>
    <definedName name="XRefCopy4" localSheetId="22" hidden="1">#REF!</definedName>
    <definedName name="XRefCopy4" localSheetId="11" hidden="1">#REF!</definedName>
    <definedName name="XRefCopy4" localSheetId="6" hidden="1">#REF!</definedName>
    <definedName name="XRefCopy4" localSheetId="12" hidden="1">#REF!</definedName>
    <definedName name="XRefCopy4" localSheetId="24" hidden="1">#REF!</definedName>
    <definedName name="XRefCopy4" localSheetId="16" hidden="1">#REF!</definedName>
    <definedName name="XRefCopy4" hidden="1">#REF!</definedName>
    <definedName name="XRefCopy5" localSheetId="27" hidden="1">#REF!</definedName>
    <definedName name="XRefCopy5" localSheetId="10" hidden="1">#REF!</definedName>
    <definedName name="XRefCopy5" localSheetId="25" hidden="1">#REF!</definedName>
    <definedName name="XRefCopy5" localSheetId="9" hidden="1">#REF!</definedName>
    <definedName name="XRefCopy5" localSheetId="22" hidden="1">#REF!</definedName>
    <definedName name="XRefCopy5" localSheetId="11" hidden="1">#REF!</definedName>
    <definedName name="XRefCopy5" localSheetId="6" hidden="1">#REF!</definedName>
    <definedName name="XRefCopy5" localSheetId="12" hidden="1">#REF!</definedName>
    <definedName name="XRefCopy5" localSheetId="24" hidden="1">#REF!</definedName>
    <definedName name="XRefCopy5" localSheetId="16" hidden="1">#REF!</definedName>
    <definedName name="XRefCopy5" hidden="1">#REF!</definedName>
    <definedName name="XRefCopy6" localSheetId="27" hidden="1">#REF!</definedName>
    <definedName name="XRefCopy6" localSheetId="10" hidden="1">#REF!</definedName>
    <definedName name="XRefCopy6" localSheetId="25" hidden="1">#REF!</definedName>
    <definedName name="XRefCopy6" localSheetId="9" hidden="1">#REF!</definedName>
    <definedName name="XRefCopy6" localSheetId="22" hidden="1">#REF!</definedName>
    <definedName name="XRefCopy6" localSheetId="11" hidden="1">#REF!</definedName>
    <definedName name="XRefCopy6" localSheetId="6" hidden="1">#REF!</definedName>
    <definedName name="XRefCopy6" localSheetId="12" hidden="1">#REF!</definedName>
    <definedName name="XRefCopy6" localSheetId="24" hidden="1">#REF!</definedName>
    <definedName name="XRefCopy6" localSheetId="16" hidden="1">#REF!</definedName>
    <definedName name="XRefCopy6" hidden="1">#REF!</definedName>
    <definedName name="XRefCopy6Row" localSheetId="27" hidden="1">#REF!</definedName>
    <definedName name="XRefCopy6Row" localSheetId="10" hidden="1">#REF!</definedName>
    <definedName name="XRefCopy6Row" localSheetId="25" hidden="1">#REF!</definedName>
    <definedName name="XRefCopy6Row" localSheetId="9" hidden="1">#REF!</definedName>
    <definedName name="XRefCopy6Row" localSheetId="22" hidden="1">#REF!</definedName>
    <definedName name="XRefCopy6Row" localSheetId="11" hidden="1">#REF!</definedName>
    <definedName name="XRefCopy6Row" localSheetId="6" hidden="1">#REF!</definedName>
    <definedName name="XRefCopy6Row" localSheetId="12" hidden="1">#REF!</definedName>
    <definedName name="XRefCopy6Row" localSheetId="24" hidden="1">#REF!</definedName>
    <definedName name="XRefCopy6Row" localSheetId="16" hidden="1">#REF!</definedName>
    <definedName name="XRefCopy6Row" hidden="1">#REF!</definedName>
    <definedName name="XRefCopy7" localSheetId="27" hidden="1">#REF!</definedName>
    <definedName name="XRefCopy7" localSheetId="10" hidden="1">#REF!</definedName>
    <definedName name="XRefCopy7" localSheetId="25" hidden="1">#REF!</definedName>
    <definedName name="XRefCopy7" localSheetId="9" hidden="1">#REF!</definedName>
    <definedName name="XRefCopy7" localSheetId="22" hidden="1">#REF!</definedName>
    <definedName name="XRefCopy7" localSheetId="11" hidden="1">#REF!</definedName>
    <definedName name="XRefCopy7" localSheetId="6" hidden="1">#REF!</definedName>
    <definedName name="XRefCopy7" localSheetId="12" hidden="1">#REF!</definedName>
    <definedName name="XRefCopy7" localSheetId="24" hidden="1">#REF!</definedName>
    <definedName name="XRefCopy7" localSheetId="16" hidden="1">#REF!</definedName>
    <definedName name="XRefCopy7" hidden="1">#REF!</definedName>
    <definedName name="XRefCopy8" localSheetId="27" hidden="1">#REF!</definedName>
    <definedName name="XRefCopy8" localSheetId="10" hidden="1">#REF!</definedName>
    <definedName name="XRefCopy8" localSheetId="25" hidden="1">#REF!</definedName>
    <definedName name="XRefCopy8" localSheetId="9" hidden="1">#REF!</definedName>
    <definedName name="XRefCopy8" localSheetId="22" hidden="1">#REF!</definedName>
    <definedName name="XRefCopy8" localSheetId="11" hidden="1">#REF!</definedName>
    <definedName name="XRefCopy8" localSheetId="6" hidden="1">#REF!</definedName>
    <definedName name="XRefCopy8" localSheetId="12" hidden="1">#REF!</definedName>
    <definedName name="XRefCopy8" localSheetId="24" hidden="1">#REF!</definedName>
    <definedName name="XRefCopy8" localSheetId="16" hidden="1">#REF!</definedName>
    <definedName name="XRefCopy8" hidden="1">#REF!</definedName>
    <definedName name="XRefCopy9" localSheetId="27" hidden="1">#REF!</definedName>
    <definedName name="XRefCopy9" localSheetId="10" hidden="1">#REF!</definedName>
    <definedName name="XRefCopy9" localSheetId="25" hidden="1">#REF!</definedName>
    <definedName name="XRefCopy9" localSheetId="9" hidden="1">#REF!</definedName>
    <definedName name="XRefCopy9" localSheetId="22" hidden="1">#REF!</definedName>
    <definedName name="XRefCopy9" localSheetId="11" hidden="1">#REF!</definedName>
    <definedName name="XRefCopy9" localSheetId="6" hidden="1">#REF!</definedName>
    <definedName name="XRefCopy9" localSheetId="12" hidden="1">#REF!</definedName>
    <definedName name="XRefCopy9" localSheetId="24" hidden="1">#REF!</definedName>
    <definedName name="XRefCopy9" localSheetId="16" hidden="1">#REF!</definedName>
    <definedName name="XRefCopy9" hidden="1">#REF!</definedName>
    <definedName name="XRefCopy9Row" localSheetId="27" hidden="1">#REF!</definedName>
    <definedName name="XRefCopy9Row" localSheetId="10" hidden="1">#REF!</definedName>
    <definedName name="XRefCopy9Row" localSheetId="25" hidden="1">#REF!</definedName>
    <definedName name="XRefCopy9Row" localSheetId="9" hidden="1">#REF!</definedName>
    <definedName name="XRefCopy9Row" localSheetId="22" hidden="1">#REF!</definedName>
    <definedName name="XRefCopy9Row" localSheetId="11" hidden="1">#REF!</definedName>
    <definedName name="XRefCopy9Row" localSheetId="26" hidden="1">#REF!</definedName>
    <definedName name="XRefCopy9Row" localSheetId="6" hidden="1">#REF!</definedName>
    <definedName name="XRefCopy9Row" localSheetId="12" hidden="1">#REF!</definedName>
    <definedName name="XRefCopy9Row" localSheetId="24" hidden="1">#REF!</definedName>
    <definedName name="XRefCopy9Row" localSheetId="16" hidden="1">#REF!</definedName>
    <definedName name="XRefCopy9Row" hidden="1">#REF!</definedName>
    <definedName name="XRefCopyRangeCount" hidden="1">1</definedName>
    <definedName name="XRefPaste10" localSheetId="27" hidden="1">#REF!</definedName>
    <definedName name="XRefPaste10" localSheetId="10" hidden="1">#REF!</definedName>
    <definedName name="XRefPaste10" localSheetId="25" hidden="1">#REF!</definedName>
    <definedName name="XRefPaste10" localSheetId="9" hidden="1">#REF!</definedName>
    <definedName name="XRefPaste10" localSheetId="22" hidden="1">#REF!</definedName>
    <definedName name="XRefPaste10" localSheetId="11" hidden="1">#REF!</definedName>
    <definedName name="XRefPaste10" localSheetId="26" hidden="1">#REF!</definedName>
    <definedName name="XRefPaste10" localSheetId="6" hidden="1">#REF!</definedName>
    <definedName name="XRefPaste10" localSheetId="12" hidden="1">#REF!</definedName>
    <definedName name="XRefPaste10" localSheetId="24" hidden="1">#REF!</definedName>
    <definedName name="XRefPaste10" localSheetId="16" hidden="1">#REF!</definedName>
    <definedName name="XRefPaste10" hidden="1">#REF!</definedName>
    <definedName name="XRefPaste11" localSheetId="27" hidden="1">#REF!</definedName>
    <definedName name="XRefPaste11" localSheetId="10" hidden="1">#REF!</definedName>
    <definedName name="XRefPaste11" localSheetId="25" hidden="1">#REF!</definedName>
    <definedName name="XRefPaste11" localSheetId="9" hidden="1">#REF!</definedName>
    <definedName name="XRefPaste11" localSheetId="22" hidden="1">#REF!</definedName>
    <definedName name="XRefPaste11" localSheetId="11" hidden="1">#REF!</definedName>
    <definedName name="XRefPaste11" localSheetId="26" hidden="1">#REF!</definedName>
    <definedName name="XRefPaste11" localSheetId="6" hidden="1">#REF!</definedName>
    <definedName name="XRefPaste11" localSheetId="12" hidden="1">#REF!</definedName>
    <definedName name="XRefPaste11" localSheetId="24" hidden="1">#REF!</definedName>
    <definedName name="XRefPaste11" localSheetId="16" hidden="1">#REF!</definedName>
    <definedName name="XRefPaste11" hidden="1">#REF!</definedName>
    <definedName name="XRefPaste12" localSheetId="27" hidden="1">#REF!</definedName>
    <definedName name="XRefPaste12" localSheetId="10" hidden="1">#REF!</definedName>
    <definedName name="XRefPaste12" localSheetId="25" hidden="1">#REF!</definedName>
    <definedName name="XRefPaste12" localSheetId="9" hidden="1">#REF!</definedName>
    <definedName name="XRefPaste12" localSheetId="22" hidden="1">#REF!</definedName>
    <definedName name="XRefPaste12" localSheetId="11" hidden="1">#REF!</definedName>
    <definedName name="XRefPaste12" localSheetId="26" hidden="1">#REF!</definedName>
    <definedName name="XRefPaste12" localSheetId="6" hidden="1">#REF!</definedName>
    <definedName name="XRefPaste12" localSheetId="12" hidden="1">#REF!</definedName>
    <definedName name="XRefPaste12" localSheetId="24" hidden="1">#REF!</definedName>
    <definedName name="XRefPaste12" localSheetId="16" hidden="1">#REF!</definedName>
    <definedName name="XRefPaste12" hidden="1">#REF!</definedName>
    <definedName name="XRefPaste13" localSheetId="27" hidden="1">#REF!</definedName>
    <definedName name="XRefPaste13" localSheetId="10" hidden="1">#REF!</definedName>
    <definedName name="XRefPaste13" localSheetId="25" hidden="1">#REF!</definedName>
    <definedName name="XRefPaste13" localSheetId="9" hidden="1">#REF!</definedName>
    <definedName name="XRefPaste13" localSheetId="22" hidden="1">#REF!</definedName>
    <definedName name="XRefPaste13" localSheetId="11" hidden="1">#REF!</definedName>
    <definedName name="XRefPaste13" localSheetId="6" hidden="1">#REF!</definedName>
    <definedName name="XRefPaste13" localSheetId="12" hidden="1">#REF!</definedName>
    <definedName name="XRefPaste13" localSheetId="24" hidden="1">#REF!</definedName>
    <definedName name="XRefPaste13" localSheetId="16" hidden="1">#REF!</definedName>
    <definedName name="XRefPaste13" hidden="1">#REF!</definedName>
    <definedName name="XRefPaste16" localSheetId="27" hidden="1">#REF!</definedName>
    <definedName name="XRefPaste16" localSheetId="10" hidden="1">#REF!</definedName>
    <definedName name="XRefPaste16" localSheetId="25" hidden="1">#REF!</definedName>
    <definedName name="XRefPaste16" localSheetId="9" hidden="1">#REF!</definedName>
    <definedName name="XRefPaste16" localSheetId="22" hidden="1">#REF!</definedName>
    <definedName name="XRefPaste16" localSheetId="11" hidden="1">#REF!</definedName>
    <definedName name="XRefPaste16" localSheetId="6" hidden="1">#REF!</definedName>
    <definedName name="XRefPaste16" localSheetId="12" hidden="1">#REF!</definedName>
    <definedName name="XRefPaste16" localSheetId="24" hidden="1">#REF!</definedName>
    <definedName name="XRefPaste16" localSheetId="16" hidden="1">#REF!</definedName>
    <definedName name="XRefPaste16" hidden="1">#REF!</definedName>
    <definedName name="XRefPaste17" localSheetId="27" hidden="1">#REF!</definedName>
    <definedName name="XRefPaste17" localSheetId="10" hidden="1">#REF!</definedName>
    <definedName name="XRefPaste17" localSheetId="25" hidden="1">#REF!</definedName>
    <definedName name="XRefPaste17" localSheetId="9" hidden="1">#REF!</definedName>
    <definedName name="XRefPaste17" localSheetId="22" hidden="1">#REF!</definedName>
    <definedName name="XRefPaste17" localSheetId="11" hidden="1">#REF!</definedName>
    <definedName name="XRefPaste17" localSheetId="6" hidden="1">#REF!</definedName>
    <definedName name="XRefPaste17" localSheetId="12" hidden="1">#REF!</definedName>
    <definedName name="XRefPaste17" localSheetId="24" hidden="1">#REF!</definedName>
    <definedName name="XRefPaste17" localSheetId="16" hidden="1">#REF!</definedName>
    <definedName name="XRefPaste17" hidden="1">#REF!</definedName>
    <definedName name="XRefPaste18" localSheetId="27" hidden="1">#REF!</definedName>
    <definedName name="XRefPaste18" localSheetId="10" hidden="1">#REF!</definedName>
    <definedName name="XRefPaste18" localSheetId="25" hidden="1">#REF!</definedName>
    <definedName name="XRefPaste18" localSheetId="9" hidden="1">#REF!</definedName>
    <definedName name="XRefPaste18" localSheetId="22" hidden="1">#REF!</definedName>
    <definedName name="XRefPaste18" localSheetId="11" hidden="1">#REF!</definedName>
    <definedName name="XRefPaste18" localSheetId="6" hidden="1">#REF!</definedName>
    <definedName name="XRefPaste18" localSheetId="12" hidden="1">#REF!</definedName>
    <definedName name="XRefPaste18" localSheetId="24" hidden="1">#REF!</definedName>
    <definedName name="XRefPaste18" localSheetId="16" hidden="1">#REF!</definedName>
    <definedName name="XRefPaste18" hidden="1">#REF!</definedName>
    <definedName name="XRefPaste2" localSheetId="27" hidden="1">#REF!</definedName>
    <definedName name="XRefPaste2" localSheetId="10" hidden="1">#REF!</definedName>
    <definedName name="XRefPaste2" localSheetId="25" hidden="1">#REF!</definedName>
    <definedName name="XRefPaste2" localSheetId="9" hidden="1">#REF!</definedName>
    <definedName name="XRefPaste2" localSheetId="22" hidden="1">#REF!</definedName>
    <definedName name="XRefPaste2" localSheetId="11" hidden="1">#REF!</definedName>
    <definedName name="XRefPaste2" localSheetId="6" hidden="1">#REF!</definedName>
    <definedName name="XRefPaste2" localSheetId="12" hidden="1">#REF!</definedName>
    <definedName name="XRefPaste2" localSheetId="24" hidden="1">#REF!</definedName>
    <definedName name="XRefPaste2" localSheetId="16" hidden="1">#REF!</definedName>
    <definedName name="XRefPaste2" hidden="1">#REF!</definedName>
    <definedName name="XRefPaste5" localSheetId="27" hidden="1">#REF!</definedName>
    <definedName name="XRefPaste5" localSheetId="10" hidden="1">#REF!</definedName>
    <definedName name="XRefPaste5" localSheetId="25" hidden="1">#REF!</definedName>
    <definedName name="XRefPaste5" localSheetId="9" hidden="1">#REF!</definedName>
    <definedName name="XRefPaste5" localSheetId="22" hidden="1">#REF!</definedName>
    <definedName name="XRefPaste5" localSheetId="11" hidden="1">#REF!</definedName>
    <definedName name="XRefPaste5" localSheetId="6" hidden="1">#REF!</definedName>
    <definedName name="XRefPaste5" localSheetId="12" hidden="1">#REF!</definedName>
    <definedName name="XRefPaste5" localSheetId="24" hidden="1">#REF!</definedName>
    <definedName name="XRefPaste5" localSheetId="16" hidden="1">#REF!</definedName>
    <definedName name="XRefPaste5" hidden="1">#REF!</definedName>
    <definedName name="XRefPaste6" localSheetId="27" hidden="1">#REF!</definedName>
    <definedName name="XRefPaste6" localSheetId="10" hidden="1">#REF!</definedName>
    <definedName name="XRefPaste6" localSheetId="25" hidden="1">#REF!</definedName>
    <definedName name="XRefPaste6" localSheetId="9" hidden="1">#REF!</definedName>
    <definedName name="XRefPaste6" localSheetId="22" hidden="1">#REF!</definedName>
    <definedName name="XRefPaste6" localSheetId="11" hidden="1">#REF!</definedName>
    <definedName name="XRefPaste6" localSheetId="6" hidden="1">#REF!</definedName>
    <definedName name="XRefPaste6" localSheetId="12" hidden="1">#REF!</definedName>
    <definedName name="XRefPaste6" localSheetId="24" hidden="1">#REF!</definedName>
    <definedName name="XRefPaste6" localSheetId="16" hidden="1">#REF!</definedName>
    <definedName name="XRefPaste6" hidden="1">#REF!</definedName>
    <definedName name="XRefPaste7" localSheetId="27" hidden="1">#REF!</definedName>
    <definedName name="XRefPaste7" localSheetId="10" hidden="1">#REF!</definedName>
    <definedName name="XRefPaste7" localSheetId="25" hidden="1">#REF!</definedName>
    <definedName name="XRefPaste7" localSheetId="9" hidden="1">#REF!</definedName>
    <definedName name="XRefPaste7" localSheetId="22" hidden="1">#REF!</definedName>
    <definedName name="XRefPaste7" localSheetId="11" hidden="1">#REF!</definedName>
    <definedName name="XRefPaste7" localSheetId="6" hidden="1">#REF!</definedName>
    <definedName name="XRefPaste7" localSheetId="12" hidden="1">#REF!</definedName>
    <definedName name="XRefPaste7" localSheetId="24" hidden="1">#REF!</definedName>
    <definedName name="XRefPaste7" localSheetId="16" hidden="1">#REF!</definedName>
    <definedName name="XRefPaste7" hidden="1">#REF!</definedName>
    <definedName name="XRefPaste8" localSheetId="27" hidden="1">#REF!</definedName>
    <definedName name="XRefPaste8" localSheetId="10" hidden="1">#REF!</definedName>
    <definedName name="XRefPaste8" localSheetId="25" hidden="1">#REF!</definedName>
    <definedName name="XRefPaste8" localSheetId="9" hidden="1">#REF!</definedName>
    <definedName name="XRefPaste8" localSheetId="22" hidden="1">#REF!</definedName>
    <definedName name="XRefPaste8" localSheetId="11" hidden="1">#REF!</definedName>
    <definedName name="XRefPaste8" localSheetId="6" hidden="1">#REF!</definedName>
    <definedName name="XRefPaste8" localSheetId="12" hidden="1">#REF!</definedName>
    <definedName name="XRefPaste8" localSheetId="24" hidden="1">#REF!</definedName>
    <definedName name="XRefPaste8" localSheetId="16" hidden="1">#REF!</definedName>
    <definedName name="XRefPaste8" hidden="1">#REF!</definedName>
    <definedName name="XRefPaste9" localSheetId="27" hidden="1">#REF!</definedName>
    <definedName name="XRefPaste9" localSheetId="10" hidden="1">#REF!</definedName>
    <definedName name="XRefPaste9" localSheetId="25" hidden="1">#REF!</definedName>
    <definedName name="XRefPaste9" localSheetId="9" hidden="1">#REF!</definedName>
    <definedName name="XRefPaste9" localSheetId="22" hidden="1">#REF!</definedName>
    <definedName name="XRefPaste9" localSheetId="11" hidden="1">#REF!</definedName>
    <definedName name="XRefPaste9" localSheetId="6" hidden="1">#REF!</definedName>
    <definedName name="XRefPaste9" localSheetId="12" hidden="1">#REF!</definedName>
    <definedName name="XRefPaste9" localSheetId="24" hidden="1">#REF!</definedName>
    <definedName name="XRefPaste9" localSheetId="16" hidden="1">#REF!</definedName>
    <definedName name="XRefPaste9" hidden="1">#REF!</definedName>
    <definedName name="XRefPasteRangeCount" hidden="1">27</definedName>
    <definedName name="xtdddddd" localSheetId="11">#REF!</definedName>
    <definedName name="xtdddddd" localSheetId="12">#REF!</definedName>
    <definedName name="xtdddddd" localSheetId="17">#REF!</definedName>
    <definedName name="xtdddddd" localSheetId="24">#REF!</definedName>
    <definedName name="xtdddddd" localSheetId="16">#REF!</definedName>
    <definedName name="xtdddddd">#REF!</definedName>
    <definedName name="xzc" localSheetId="10">#REF!</definedName>
    <definedName name="xzc" localSheetId="9">#REF!</definedName>
    <definedName name="xzc" localSheetId="11">#REF!</definedName>
    <definedName name="xzc" localSheetId="12">#REF!</definedName>
    <definedName name="xzc" localSheetId="17">#REF!</definedName>
    <definedName name="xzc" localSheetId="24">#REF!</definedName>
    <definedName name="xzc" localSheetId="16">#REF!</definedName>
    <definedName name="xzc">#REF!</definedName>
    <definedName name="xzcb" localSheetId="10">#REF!</definedName>
    <definedName name="xzcb" localSheetId="9">#REF!</definedName>
    <definedName name="xzcb" localSheetId="11">#REF!</definedName>
    <definedName name="xzcb" localSheetId="12">#REF!</definedName>
    <definedName name="xzcb" localSheetId="17">#REF!</definedName>
    <definedName name="xzcb" localSheetId="24">#REF!</definedName>
    <definedName name="xzcb" localSheetId="16">#REF!</definedName>
    <definedName name="xzcb">#REF!</definedName>
    <definedName name="xzf" localSheetId="11">#REF!</definedName>
    <definedName name="xzf" localSheetId="12">#REF!</definedName>
    <definedName name="xzf" localSheetId="17">#REF!</definedName>
    <definedName name="xzf" localSheetId="24">#REF!</definedName>
    <definedName name="xzf" localSheetId="16">#REF!</definedName>
    <definedName name="xzf">#REF!</definedName>
    <definedName name="xzrjnyvgh" localSheetId="11">#REF!</definedName>
    <definedName name="xzrjnyvgh" localSheetId="12">#REF!</definedName>
    <definedName name="xzrjnyvgh" localSheetId="17">#REF!</definedName>
    <definedName name="xzrjnyvgh" localSheetId="24">#REF!</definedName>
    <definedName name="xzrjnyvgh" localSheetId="16">#REF!</definedName>
    <definedName name="xzrjnyvgh">#REF!</definedName>
    <definedName name="y">#REF!</definedName>
    <definedName name="yjcf" localSheetId="10">#REF!</definedName>
    <definedName name="yjcf" localSheetId="9">#REF!</definedName>
    <definedName name="yjcf" localSheetId="11">#REF!</definedName>
    <definedName name="yjcf" localSheetId="12">#REF!</definedName>
    <definedName name="yjcf" localSheetId="17">#REF!</definedName>
    <definedName name="yjcf" localSheetId="24">#REF!</definedName>
    <definedName name="yjcf" localSheetId="16">#REF!</definedName>
    <definedName name="yjcf">#REF!</definedName>
    <definedName name="yjcougv" localSheetId="10">#REF!</definedName>
    <definedName name="yjcougv" localSheetId="9">#REF!</definedName>
    <definedName name="yjcougv" localSheetId="11">#REF!</definedName>
    <definedName name="yjcougv" localSheetId="12">#REF!</definedName>
    <definedName name="yjcougv" localSheetId="17">#REF!</definedName>
    <definedName name="yjcougv" localSheetId="24">#REF!</definedName>
    <definedName name="yjcougv" localSheetId="16">#REF!</definedName>
    <definedName name="yjcougv">#REF!</definedName>
    <definedName name="ytdj" localSheetId="11">#REF!</definedName>
    <definedName name="ytdj" localSheetId="12">#REF!</definedName>
    <definedName name="ytdj" localSheetId="17">#REF!</definedName>
    <definedName name="ytdj" localSheetId="24">#REF!</definedName>
    <definedName name="ytdj" localSheetId="16">#REF!</definedName>
    <definedName name="ytdj">#REF!</definedName>
    <definedName name="yug" localSheetId="10">#REF!</definedName>
    <definedName name="yug" localSheetId="9">#REF!</definedName>
    <definedName name="yug" localSheetId="11">#REF!</definedName>
    <definedName name="yug" localSheetId="12">#REF!</definedName>
    <definedName name="yug" localSheetId="17">#REF!</definedName>
    <definedName name="yug" localSheetId="24">#REF!</definedName>
    <definedName name="yug" localSheetId="16">#REF!</definedName>
    <definedName name="yug">#REF!</definedName>
    <definedName name="YYYY">#REF!</definedName>
    <definedName name="z" localSheetId="10">#REF!</definedName>
    <definedName name="z" localSheetId="9">#REF!</definedName>
    <definedName name="z" localSheetId="11">#REF!</definedName>
    <definedName name="z" localSheetId="12">#REF!</definedName>
    <definedName name="z" localSheetId="17">#REF!</definedName>
    <definedName name="z" localSheetId="24">#REF!</definedName>
    <definedName name="z" localSheetId="16">#REF!</definedName>
    <definedName name="z">#REF!</definedName>
    <definedName name="zgffxdhxtghj" localSheetId="10">#REF!</definedName>
    <definedName name="zgffxdhxtghj" localSheetId="9">#REF!</definedName>
    <definedName name="zgffxdhxtghj" localSheetId="11">#REF!</definedName>
    <definedName name="zgffxdhxtghj" localSheetId="12">#REF!</definedName>
    <definedName name="zgffxdhxtghj" localSheetId="17">#REF!</definedName>
    <definedName name="zgffxdhxtghj" localSheetId="24">#REF!</definedName>
    <definedName name="zgffxdhxtghj" localSheetId="16">#REF!</definedName>
    <definedName name="zgffxdhxtghj">#REF!</definedName>
    <definedName name="zsrg" localSheetId="10">#REF!</definedName>
    <definedName name="zsrg" localSheetId="9">#REF!</definedName>
    <definedName name="zsrg" localSheetId="11">#REF!</definedName>
    <definedName name="zsrg" localSheetId="12">#REF!</definedName>
    <definedName name="zsrg" localSheetId="17">#REF!</definedName>
    <definedName name="zsrg" localSheetId="24">#REF!</definedName>
    <definedName name="zsrg" localSheetId="16">#REF!</definedName>
    <definedName name="zsrg">#REF!</definedName>
    <definedName name="zxfg" localSheetId="10">#REF!</definedName>
    <definedName name="zxfg" localSheetId="9">#REF!</definedName>
    <definedName name="zxfg" localSheetId="11">#REF!</definedName>
    <definedName name="zxfg" localSheetId="12">#REF!</definedName>
    <definedName name="zxfg" localSheetId="17">#REF!</definedName>
    <definedName name="zxfg" localSheetId="24">#REF!</definedName>
    <definedName name="zxfg" localSheetId="16">#REF!</definedName>
    <definedName name="zxfg">#REF!</definedName>
    <definedName name="а" localSheetId="10">#REF!</definedName>
    <definedName name="а" localSheetId="9">#REF!</definedName>
    <definedName name="а" localSheetId="11">#REF!</definedName>
    <definedName name="а" localSheetId="12">#REF!</definedName>
    <definedName name="а" localSheetId="24">#REF!</definedName>
    <definedName name="а" localSheetId="16">#REF!</definedName>
    <definedName name="а">#REF!</definedName>
    <definedName name="ааа" localSheetId="10">#REF!</definedName>
    <definedName name="ааа" localSheetId="9">#REF!</definedName>
    <definedName name="ааа" localSheetId="11">#REF!</definedName>
    <definedName name="ааа" localSheetId="12">#REF!</definedName>
    <definedName name="ааа" localSheetId="24">#REF!</definedName>
    <definedName name="ааа" localSheetId="16">#REF!</definedName>
    <definedName name="ааа">#REF!</definedName>
    <definedName name="аааааааа" localSheetId="10">#REF!</definedName>
    <definedName name="аааааааа" localSheetId="9">#REF!</definedName>
    <definedName name="аааааааа" localSheetId="11">#REF!</definedName>
    <definedName name="аааааааа" localSheetId="12">#REF!</definedName>
    <definedName name="аааааааа" localSheetId="24">#REF!</definedName>
    <definedName name="аааааааа" localSheetId="16">#REF!</definedName>
    <definedName name="аааааааа">#REF!</definedName>
    <definedName name="ббббб" localSheetId="10">#REF!</definedName>
    <definedName name="ббббб" localSheetId="9">#REF!</definedName>
    <definedName name="ббббб" localSheetId="11">#REF!</definedName>
    <definedName name="ббббб" localSheetId="12">#REF!</definedName>
    <definedName name="ббббб" localSheetId="24">#REF!</definedName>
    <definedName name="ббббб" localSheetId="16">#REF!</definedName>
    <definedName name="ббббб">#REF!</definedName>
    <definedName name="ббббббб" localSheetId="10">#REF!</definedName>
    <definedName name="ббббббб" localSheetId="9">#REF!</definedName>
    <definedName name="ббббббб" localSheetId="11">#REF!</definedName>
    <definedName name="ббббббб" localSheetId="12">#REF!</definedName>
    <definedName name="ббббббб" localSheetId="24">#REF!</definedName>
    <definedName name="ббббббб" localSheetId="16">#REF!</definedName>
    <definedName name="ббббббб">#REF!</definedName>
    <definedName name="бббббббббб" localSheetId="10">#REF!</definedName>
    <definedName name="бббббббббб" localSheetId="9">#REF!</definedName>
    <definedName name="бббббббббб" localSheetId="11">#REF!</definedName>
    <definedName name="бббббббббб" localSheetId="12">#REF!</definedName>
    <definedName name="бббббббббб" localSheetId="24">#REF!</definedName>
    <definedName name="бббббббббб" localSheetId="16">#REF!</definedName>
    <definedName name="бббббббббб">#REF!</definedName>
    <definedName name="в" localSheetId="10">#REF!</definedName>
    <definedName name="в" localSheetId="9">#REF!</definedName>
    <definedName name="в" localSheetId="11">#REF!</definedName>
    <definedName name="в" localSheetId="12">#REF!</definedName>
    <definedName name="в" localSheetId="24">#REF!</definedName>
    <definedName name="в" localSheetId="16">#REF!</definedName>
    <definedName name="в">#REF!</definedName>
    <definedName name="вввв" localSheetId="10">#REF!</definedName>
    <definedName name="вввв" localSheetId="9">#REF!</definedName>
    <definedName name="вввв" localSheetId="11">#REF!</definedName>
    <definedName name="вввв" localSheetId="12">#REF!</definedName>
    <definedName name="вввв" localSheetId="24">#REF!</definedName>
    <definedName name="вввв" localSheetId="16">#REF!</definedName>
    <definedName name="вввв">#REF!</definedName>
    <definedName name="ввввввввввв" localSheetId="10">#REF!</definedName>
    <definedName name="ввввввввввв" localSheetId="9">#REF!</definedName>
    <definedName name="ввввввввввв" localSheetId="11">#REF!</definedName>
    <definedName name="ввввввввввв" localSheetId="12">#REF!</definedName>
    <definedName name="ввввввввввв" localSheetId="24">#REF!</definedName>
    <definedName name="ввввввввввв" localSheetId="16">#REF!</definedName>
    <definedName name="ввввввввввв">#REF!</definedName>
    <definedName name="ггггг" localSheetId="10">#REF!</definedName>
    <definedName name="ггггг" localSheetId="9">#REF!</definedName>
    <definedName name="ггггг" localSheetId="11">#REF!</definedName>
    <definedName name="ггггг" localSheetId="12">#REF!</definedName>
    <definedName name="ггггг" localSheetId="24">#REF!</definedName>
    <definedName name="ггггг" localSheetId="16">#REF!</definedName>
    <definedName name="ггггг">#REF!</definedName>
    <definedName name="еее" localSheetId="10">#REF!</definedName>
    <definedName name="еее" localSheetId="9">#REF!</definedName>
    <definedName name="еее" localSheetId="11">#REF!</definedName>
    <definedName name="еее" localSheetId="12">#REF!</definedName>
    <definedName name="еее" localSheetId="24">#REF!</definedName>
    <definedName name="еее" localSheetId="16">#REF!</definedName>
    <definedName name="еее">#REF!</definedName>
    <definedName name="ееееее" localSheetId="10">#REF!</definedName>
    <definedName name="ееееее" localSheetId="9">#REF!</definedName>
    <definedName name="ееееее" localSheetId="11">#REF!</definedName>
    <definedName name="ееееее" localSheetId="12">#REF!</definedName>
    <definedName name="ееееее" localSheetId="24">#REF!</definedName>
    <definedName name="ееееее" localSheetId="16">#REF!</definedName>
    <definedName name="ееееее">#REF!</definedName>
    <definedName name="еееееееее" localSheetId="10">#REF!</definedName>
    <definedName name="еееееееее" localSheetId="9">#REF!</definedName>
    <definedName name="еееееееее" localSheetId="11">#REF!</definedName>
    <definedName name="еееееееее" localSheetId="12">#REF!</definedName>
    <definedName name="еееееееее" localSheetId="24">#REF!</definedName>
    <definedName name="еееееееее" localSheetId="16">#REF!</definedName>
    <definedName name="еееееееее">#REF!</definedName>
    <definedName name="жжжжжж" localSheetId="10">#REF!</definedName>
    <definedName name="жжжжжж" localSheetId="9">#REF!</definedName>
    <definedName name="жжжжжж" localSheetId="11">#REF!</definedName>
    <definedName name="жжжжжж" localSheetId="12">#REF!</definedName>
    <definedName name="жжжжжж" localSheetId="24">#REF!</definedName>
    <definedName name="жжжжжж" localSheetId="16">#REF!</definedName>
    <definedName name="жжжжжж">#REF!</definedName>
    <definedName name="зззззз" localSheetId="10">#REF!</definedName>
    <definedName name="зззззз" localSheetId="9">#REF!</definedName>
    <definedName name="зззззз" localSheetId="11">#REF!</definedName>
    <definedName name="зззззз" localSheetId="12">#REF!</definedName>
    <definedName name="зззззз" localSheetId="24">#REF!</definedName>
    <definedName name="зззззз" localSheetId="16">#REF!</definedName>
    <definedName name="зззззз">#REF!</definedName>
    <definedName name="и" localSheetId="10">#REF!</definedName>
    <definedName name="и" localSheetId="9">#REF!</definedName>
    <definedName name="и" localSheetId="11">#REF!</definedName>
    <definedName name="и" localSheetId="12">#REF!</definedName>
    <definedName name="и" localSheetId="24">#REF!</definedName>
    <definedName name="и" localSheetId="16">#REF!</definedName>
    <definedName name="и">#REF!</definedName>
    <definedName name="иии" localSheetId="10">#REF!</definedName>
    <definedName name="иии" localSheetId="9">#REF!</definedName>
    <definedName name="иии" localSheetId="11">#REF!</definedName>
    <definedName name="иии" localSheetId="12">#REF!</definedName>
    <definedName name="иии" localSheetId="24">#REF!</definedName>
    <definedName name="иии" localSheetId="16">#REF!</definedName>
    <definedName name="иии">#REF!</definedName>
    <definedName name="ййй" localSheetId="10">#REF!</definedName>
    <definedName name="ййй" localSheetId="9">#REF!</definedName>
    <definedName name="ййй" localSheetId="11">#REF!</definedName>
    <definedName name="ййй" localSheetId="12">#REF!</definedName>
    <definedName name="ййй" localSheetId="24">#REF!</definedName>
    <definedName name="ййй" localSheetId="16">#REF!</definedName>
    <definedName name="ййй">#REF!</definedName>
    <definedName name="ййййййййй" localSheetId="10">#REF!</definedName>
    <definedName name="ййййййййй" localSheetId="9">#REF!</definedName>
    <definedName name="ййййййййй" localSheetId="11">#REF!</definedName>
    <definedName name="ййййййййй" localSheetId="12">#REF!</definedName>
    <definedName name="ййййййййй" localSheetId="24">#REF!</definedName>
    <definedName name="ййййййййй" localSheetId="16">#REF!</definedName>
    <definedName name="ййййййййй">#REF!</definedName>
    <definedName name="ииииииииииииии" localSheetId="10">#REF!</definedName>
    <definedName name="ииииииииииииии" localSheetId="9">#REF!</definedName>
    <definedName name="ииииииииииииии" localSheetId="11">#REF!</definedName>
    <definedName name="ииииииииииииии" localSheetId="12">#REF!</definedName>
    <definedName name="ииииииииииииии" localSheetId="24">#REF!</definedName>
    <definedName name="ииииииииииииии" localSheetId="16">#REF!</definedName>
    <definedName name="ииииииииииииии">#REF!</definedName>
    <definedName name="кккк" localSheetId="10">#REF!</definedName>
    <definedName name="кккк" localSheetId="9">#REF!</definedName>
    <definedName name="кккк" localSheetId="11">#REF!</definedName>
    <definedName name="кккк" localSheetId="12">#REF!</definedName>
    <definedName name="кккк" localSheetId="24">#REF!</definedName>
    <definedName name="кккк" localSheetId="16">#REF!</definedName>
    <definedName name="кккк">#REF!</definedName>
    <definedName name="ккккккккккк" localSheetId="10">#REF!</definedName>
    <definedName name="ккккккккккк" localSheetId="9">#REF!</definedName>
    <definedName name="ккккккккккк" localSheetId="11">#REF!</definedName>
    <definedName name="ккккккккккк" localSheetId="12">#REF!</definedName>
    <definedName name="ккккккккккк" localSheetId="24">#REF!</definedName>
    <definedName name="ккккккккккк" localSheetId="16">#REF!</definedName>
    <definedName name="ккккккккккк">#REF!</definedName>
    <definedName name="лллл" localSheetId="10">#REF!</definedName>
    <definedName name="лллл" localSheetId="9">#REF!</definedName>
    <definedName name="лллл" localSheetId="11">#REF!</definedName>
    <definedName name="лллл" localSheetId="12">#REF!</definedName>
    <definedName name="лллл" localSheetId="24">#REF!</definedName>
    <definedName name="лллл" localSheetId="16">#REF!</definedName>
    <definedName name="лллл">#REF!</definedName>
    <definedName name="м" localSheetId="10">#REF!</definedName>
    <definedName name="м" localSheetId="9">#REF!</definedName>
    <definedName name="м" localSheetId="11">#REF!</definedName>
    <definedName name="м" localSheetId="12">#REF!</definedName>
    <definedName name="м" localSheetId="24">#REF!</definedName>
    <definedName name="м" localSheetId="16">#REF!</definedName>
    <definedName name="м">#REF!</definedName>
    <definedName name="ммм" localSheetId="10">#REF!</definedName>
    <definedName name="ммм" localSheetId="9">#REF!</definedName>
    <definedName name="ммм" localSheetId="11">#REF!</definedName>
    <definedName name="ммм" localSheetId="12">#REF!</definedName>
    <definedName name="ммм" localSheetId="24">#REF!</definedName>
    <definedName name="ммм" localSheetId="16">#REF!</definedName>
    <definedName name="ммм">#REF!</definedName>
    <definedName name="ммммммммм" localSheetId="10">#REF!</definedName>
    <definedName name="ммммммммм" localSheetId="9">#REF!</definedName>
    <definedName name="ммммммммм" localSheetId="11">#REF!</definedName>
    <definedName name="ммммммммм" localSheetId="12">#REF!</definedName>
    <definedName name="ммммммммм" localSheetId="24">#REF!</definedName>
    <definedName name="ммммммммм" localSheetId="16">#REF!</definedName>
    <definedName name="ммммммммм">#REF!</definedName>
    <definedName name="ммммммммммм" localSheetId="10">#REF!</definedName>
    <definedName name="ммммммммммм" localSheetId="9">#REF!</definedName>
    <definedName name="ммммммммммм" localSheetId="11">#REF!</definedName>
    <definedName name="ммммммммммм" localSheetId="12">#REF!</definedName>
    <definedName name="ммммммммммм" localSheetId="24">#REF!</definedName>
    <definedName name="ммммммммммм" localSheetId="16">#REF!</definedName>
    <definedName name="ммммммммммм">#REF!</definedName>
    <definedName name="нннннн" localSheetId="10">#REF!</definedName>
    <definedName name="нннннн" localSheetId="9">#REF!</definedName>
    <definedName name="нннннн" localSheetId="11">#REF!</definedName>
    <definedName name="нннннн" localSheetId="12">#REF!</definedName>
    <definedName name="нннннн" localSheetId="24">#REF!</definedName>
    <definedName name="нннннн" localSheetId="16">#REF!</definedName>
    <definedName name="нннннн">#REF!</definedName>
    <definedName name="ннннннннннн" localSheetId="10">#REF!</definedName>
    <definedName name="ннннннннннн" localSheetId="9">#REF!</definedName>
    <definedName name="ннннннннннн" localSheetId="11">#REF!</definedName>
    <definedName name="ннннннннннн" localSheetId="12">#REF!</definedName>
    <definedName name="ннннннннннн" localSheetId="24">#REF!</definedName>
    <definedName name="ннннннннннн" localSheetId="16">#REF!</definedName>
    <definedName name="ннннннннннн">#REF!</definedName>
    <definedName name="о" localSheetId="10">#REF!</definedName>
    <definedName name="о" localSheetId="9">#REF!</definedName>
    <definedName name="о" localSheetId="11">#REF!</definedName>
    <definedName name="о" localSheetId="12">#REF!</definedName>
    <definedName name="о" localSheetId="24">#REF!</definedName>
    <definedName name="о" localSheetId="16">#REF!</definedName>
    <definedName name="о">#REF!</definedName>
    <definedName name="ооо" localSheetId="10">#REF!</definedName>
    <definedName name="ооо" localSheetId="9">#REF!</definedName>
    <definedName name="ооо" localSheetId="11">#REF!</definedName>
    <definedName name="ооо" localSheetId="12">#REF!</definedName>
    <definedName name="ооо" localSheetId="24">#REF!</definedName>
    <definedName name="ооо" localSheetId="16">#REF!</definedName>
    <definedName name="ооо">#REF!</definedName>
    <definedName name="оооооо" localSheetId="10">#REF!</definedName>
    <definedName name="оооооо" localSheetId="9">#REF!</definedName>
    <definedName name="оооооо" localSheetId="11">#REF!</definedName>
    <definedName name="оооооо" localSheetId="12">#REF!</definedName>
    <definedName name="оооооо" localSheetId="24">#REF!</definedName>
    <definedName name="оооооо" localSheetId="16">#REF!</definedName>
    <definedName name="оооооо">#REF!</definedName>
    <definedName name="п" localSheetId="10">#REF!</definedName>
    <definedName name="п" localSheetId="9">#REF!</definedName>
    <definedName name="п" localSheetId="11">#REF!</definedName>
    <definedName name="п" localSheetId="12">#REF!</definedName>
    <definedName name="п" localSheetId="24">#REF!</definedName>
    <definedName name="п" localSheetId="16">#REF!</definedName>
    <definedName name="п">#REF!</definedName>
    <definedName name="пппппппппп" localSheetId="10">#REF!</definedName>
    <definedName name="пппппппппп" localSheetId="9">#REF!</definedName>
    <definedName name="пппппппппп" localSheetId="11">#REF!</definedName>
    <definedName name="пппппппппп" localSheetId="12">#REF!</definedName>
    <definedName name="пппппппппп" localSheetId="24">#REF!</definedName>
    <definedName name="пппппппппп" localSheetId="16">#REF!</definedName>
    <definedName name="пппппппппп">#REF!</definedName>
    <definedName name="р" localSheetId="10">#REF!</definedName>
    <definedName name="р" localSheetId="9">#REF!</definedName>
    <definedName name="р" localSheetId="11">#REF!</definedName>
    <definedName name="р" localSheetId="12">#REF!</definedName>
    <definedName name="р" localSheetId="24">#REF!</definedName>
    <definedName name="р" localSheetId="16">#REF!</definedName>
    <definedName name="р">#REF!</definedName>
    <definedName name="ррр" localSheetId="10">#REF!</definedName>
    <definedName name="ррр" localSheetId="9">#REF!</definedName>
    <definedName name="ррр" localSheetId="11">#REF!</definedName>
    <definedName name="ррр" localSheetId="12">#REF!</definedName>
    <definedName name="ррр" localSheetId="24">#REF!</definedName>
    <definedName name="ррр" localSheetId="16">#REF!</definedName>
    <definedName name="ррр">#REF!</definedName>
    <definedName name="рррррр" localSheetId="10">#REF!</definedName>
    <definedName name="рррррр" localSheetId="9">#REF!</definedName>
    <definedName name="рррррр" localSheetId="11">#REF!</definedName>
    <definedName name="рррррр" localSheetId="12">#REF!</definedName>
    <definedName name="рррррр" localSheetId="24">#REF!</definedName>
    <definedName name="рррррр" localSheetId="16">#REF!</definedName>
    <definedName name="рррррр">#REF!</definedName>
    <definedName name="рррррррррр" localSheetId="10">#REF!</definedName>
    <definedName name="рррррррррр" localSheetId="9">#REF!</definedName>
    <definedName name="рррррррррр" localSheetId="11">#REF!</definedName>
    <definedName name="рррррррррр" localSheetId="12">#REF!</definedName>
    <definedName name="рррррррррр" localSheetId="24">#REF!</definedName>
    <definedName name="рррррррррр" localSheetId="16">#REF!</definedName>
    <definedName name="рррррррррр">#REF!</definedName>
    <definedName name="ррррррррррр" localSheetId="10">#REF!</definedName>
    <definedName name="ррррррррррр" localSheetId="9">#REF!</definedName>
    <definedName name="ррррррррррр" localSheetId="11">#REF!</definedName>
    <definedName name="ррррррррррр" localSheetId="12">#REF!</definedName>
    <definedName name="ррррррррррр" localSheetId="24">#REF!</definedName>
    <definedName name="ррррррррррр" localSheetId="16">#REF!</definedName>
    <definedName name="ррррррррррр">#REF!</definedName>
    <definedName name="с" localSheetId="10">#REF!</definedName>
    <definedName name="с" localSheetId="9">#REF!</definedName>
    <definedName name="с" localSheetId="11">#REF!</definedName>
    <definedName name="с" localSheetId="12">#REF!</definedName>
    <definedName name="с" localSheetId="24">#REF!</definedName>
    <definedName name="с" localSheetId="16">#REF!</definedName>
    <definedName name="с">#REF!</definedName>
    <definedName name="ссс" localSheetId="10">#REF!</definedName>
    <definedName name="ссс" localSheetId="9">#REF!</definedName>
    <definedName name="ссс" localSheetId="11">#REF!</definedName>
    <definedName name="ссс" localSheetId="12">#REF!</definedName>
    <definedName name="ссс" localSheetId="24">#REF!</definedName>
    <definedName name="ссс" localSheetId="16">#REF!</definedName>
    <definedName name="ссс">#REF!</definedName>
    <definedName name="ссссс" localSheetId="10">#REF!</definedName>
    <definedName name="ссссс" localSheetId="9">#REF!</definedName>
    <definedName name="ссссс" localSheetId="11">#REF!</definedName>
    <definedName name="ссссс" localSheetId="12">#REF!</definedName>
    <definedName name="ссссс" localSheetId="24">#REF!</definedName>
    <definedName name="ссссс" localSheetId="16">#REF!</definedName>
    <definedName name="ссссс">#REF!</definedName>
    <definedName name="СуммTable_10">#REF!</definedName>
    <definedName name="т" localSheetId="10">#REF!</definedName>
    <definedName name="т" localSheetId="9">#REF!</definedName>
    <definedName name="т" localSheetId="11">#REF!</definedName>
    <definedName name="т" localSheetId="12">#REF!</definedName>
    <definedName name="т" localSheetId="24">#REF!</definedName>
    <definedName name="т" localSheetId="16">#REF!</definedName>
    <definedName name="т">#REF!</definedName>
    <definedName name="ттт" localSheetId="10">#REF!</definedName>
    <definedName name="ттт" localSheetId="9">#REF!</definedName>
    <definedName name="ттт" localSheetId="11">#REF!</definedName>
    <definedName name="ттт" localSheetId="12">#REF!</definedName>
    <definedName name="ттт" localSheetId="24">#REF!</definedName>
    <definedName name="ттт" localSheetId="16">#REF!</definedName>
    <definedName name="ттт">#REF!</definedName>
    <definedName name="ттттттттттттт" localSheetId="10">#REF!</definedName>
    <definedName name="ттттттттттттт" localSheetId="9">#REF!</definedName>
    <definedName name="ттттттттттттт" localSheetId="11">#REF!</definedName>
    <definedName name="ттттттттттттт" localSheetId="12">#REF!</definedName>
    <definedName name="ттттттттттттт" localSheetId="24">#REF!</definedName>
    <definedName name="ттттттттттттт" localSheetId="16">#REF!</definedName>
    <definedName name="ттттттттттттт">#REF!</definedName>
    <definedName name="ууу" localSheetId="10">#REF!</definedName>
    <definedName name="ууу" localSheetId="9">#REF!</definedName>
    <definedName name="ууу" localSheetId="11">#REF!</definedName>
    <definedName name="ууу" localSheetId="12">#REF!</definedName>
    <definedName name="ууу" localSheetId="24">#REF!</definedName>
    <definedName name="ууу" localSheetId="16">#REF!</definedName>
    <definedName name="ууу">#REF!</definedName>
    <definedName name="уууууу" localSheetId="10">#REF!</definedName>
    <definedName name="уууууу" localSheetId="9">#REF!</definedName>
    <definedName name="уууууу" localSheetId="11">#REF!</definedName>
    <definedName name="уууууу" localSheetId="12">#REF!</definedName>
    <definedName name="уууууу" localSheetId="24">#REF!</definedName>
    <definedName name="уууууу" localSheetId="16">#REF!</definedName>
    <definedName name="уууууу">#REF!</definedName>
    <definedName name="уууууууууу" localSheetId="10">#REF!</definedName>
    <definedName name="уууууууууу" localSheetId="9">#REF!</definedName>
    <definedName name="уууууууууу" localSheetId="11">#REF!</definedName>
    <definedName name="уууууууууу" localSheetId="12">#REF!</definedName>
    <definedName name="уууууууууу" localSheetId="24">#REF!</definedName>
    <definedName name="уууууууууу" localSheetId="16">#REF!</definedName>
    <definedName name="уууууууууу">#REF!</definedName>
    <definedName name="ффф" localSheetId="10">#REF!</definedName>
    <definedName name="ффф" localSheetId="9">#REF!</definedName>
    <definedName name="ффф" localSheetId="11">#REF!</definedName>
    <definedName name="ффф" localSheetId="12">#REF!</definedName>
    <definedName name="ффф" localSheetId="24">#REF!</definedName>
    <definedName name="ффф" localSheetId="16">#REF!</definedName>
    <definedName name="ффф">#REF!</definedName>
    <definedName name="ффффффффф" localSheetId="10">#REF!</definedName>
    <definedName name="ффффффффф" localSheetId="9">#REF!</definedName>
    <definedName name="ффффффффф" localSheetId="11">#REF!</definedName>
    <definedName name="ффффффффф" localSheetId="12">#REF!</definedName>
    <definedName name="ффффффффф" localSheetId="24">#REF!</definedName>
    <definedName name="ффффффффф" localSheetId="16">#REF!</definedName>
    <definedName name="ффффффффф">#REF!</definedName>
    <definedName name="ххххххх" localSheetId="10">#REF!</definedName>
    <definedName name="ххххххх" localSheetId="9">#REF!</definedName>
    <definedName name="ххххххх" localSheetId="11">#REF!</definedName>
    <definedName name="ххххххх" localSheetId="12">#REF!</definedName>
    <definedName name="ххххххх" localSheetId="24">#REF!</definedName>
    <definedName name="ххххххх" localSheetId="16">#REF!</definedName>
    <definedName name="ххххххх">#REF!</definedName>
    <definedName name="ццц" localSheetId="10">#REF!</definedName>
    <definedName name="ццц" localSheetId="9">#REF!</definedName>
    <definedName name="ццц" localSheetId="11">#REF!</definedName>
    <definedName name="ццц" localSheetId="12">#REF!</definedName>
    <definedName name="ццц" localSheetId="24">#REF!</definedName>
    <definedName name="ццц" localSheetId="16">#REF!</definedName>
    <definedName name="ццц">#REF!</definedName>
    <definedName name="ццццццццц" localSheetId="10">#REF!</definedName>
    <definedName name="ццццццццц" localSheetId="9">#REF!</definedName>
    <definedName name="ццццццццц" localSheetId="11">#REF!</definedName>
    <definedName name="ццццццццц" localSheetId="12">#REF!</definedName>
    <definedName name="ццццццццц" localSheetId="24">#REF!</definedName>
    <definedName name="ццццццццц" localSheetId="16">#REF!</definedName>
    <definedName name="ццццццццц">#REF!</definedName>
    <definedName name="ч" localSheetId="10">#REF!</definedName>
    <definedName name="ч" localSheetId="9">#REF!</definedName>
    <definedName name="ч" localSheetId="11">#REF!</definedName>
    <definedName name="ч" localSheetId="12">#REF!</definedName>
    <definedName name="ч" localSheetId="24">#REF!</definedName>
    <definedName name="ч" localSheetId="16">#REF!</definedName>
    <definedName name="ч">#REF!</definedName>
    <definedName name="ччч" localSheetId="10">#REF!</definedName>
    <definedName name="ччч" localSheetId="9">#REF!</definedName>
    <definedName name="ччч" localSheetId="11">#REF!</definedName>
    <definedName name="ччч" localSheetId="12">#REF!</definedName>
    <definedName name="ччч" localSheetId="24">#REF!</definedName>
    <definedName name="ччч" localSheetId="16">#REF!</definedName>
    <definedName name="ччч">#REF!</definedName>
    <definedName name="шшшшшшшшш" localSheetId="10">#REF!</definedName>
    <definedName name="шшшшшшшшш" localSheetId="9">#REF!</definedName>
    <definedName name="шшшшшшшшш" localSheetId="11">#REF!</definedName>
    <definedName name="шшшшшшшшш" localSheetId="12">#REF!</definedName>
    <definedName name="шшшшшшшшш" localSheetId="24">#REF!</definedName>
    <definedName name="шшшшшшшшш" localSheetId="16">#REF!</definedName>
    <definedName name="шшшшшшшшш">#REF!</definedName>
    <definedName name="ы" localSheetId="10">#REF!</definedName>
    <definedName name="ы" localSheetId="9">#REF!</definedName>
    <definedName name="ы" localSheetId="11">#REF!</definedName>
    <definedName name="ы" localSheetId="12">#REF!</definedName>
    <definedName name="ы" localSheetId="24">#REF!</definedName>
    <definedName name="ы" localSheetId="16">#REF!</definedName>
    <definedName name="ы">#REF!</definedName>
    <definedName name="ыыыыыыыыы" localSheetId="10">#REF!</definedName>
    <definedName name="ыыыыыыыыы" localSheetId="9">#REF!</definedName>
    <definedName name="ыыыыыыыыы" localSheetId="11">#REF!</definedName>
    <definedName name="ыыыыыыыыы" localSheetId="12">#REF!</definedName>
    <definedName name="ыыыыыыыыы" localSheetId="24">#REF!</definedName>
    <definedName name="ыыыыыыыыы" localSheetId="16">#REF!</definedName>
    <definedName name="ыыыыыыыыы">#REF!</definedName>
    <definedName name="ь" localSheetId="10">#REF!</definedName>
    <definedName name="ь" localSheetId="9">#REF!</definedName>
    <definedName name="ь" localSheetId="11">#REF!</definedName>
    <definedName name="ь" localSheetId="12">#REF!</definedName>
    <definedName name="ь" localSheetId="24">#REF!</definedName>
    <definedName name="ь" localSheetId="16">#REF!</definedName>
    <definedName name="ь">#REF!</definedName>
    <definedName name="ььь" localSheetId="10">#REF!</definedName>
    <definedName name="ььь" localSheetId="9">#REF!</definedName>
    <definedName name="ььь" localSheetId="11">#REF!</definedName>
    <definedName name="ььь" localSheetId="12">#REF!</definedName>
    <definedName name="ььь" localSheetId="24">#REF!</definedName>
    <definedName name="ььь" localSheetId="16">#REF!</definedName>
    <definedName name="ььь">#REF!</definedName>
    <definedName name="ьььььььььььь" localSheetId="10">#REF!</definedName>
    <definedName name="ьььььььььььь" localSheetId="9">#REF!</definedName>
    <definedName name="ьььььььььььь" localSheetId="11">#REF!</definedName>
    <definedName name="ьььььььььььь" localSheetId="12">#REF!</definedName>
    <definedName name="ьььььььььььь" localSheetId="24">#REF!</definedName>
    <definedName name="ьььььььььььь" localSheetId="16">#REF!</definedName>
    <definedName name="ьььььььььььь">#REF!</definedName>
    <definedName name="эээээ" localSheetId="10">#REF!</definedName>
    <definedName name="эээээ" localSheetId="9">#REF!</definedName>
    <definedName name="эээээ" localSheetId="11">#REF!</definedName>
    <definedName name="эээээ" localSheetId="12">#REF!</definedName>
    <definedName name="эээээ" localSheetId="24">#REF!</definedName>
    <definedName name="эээээ" localSheetId="16">#REF!</definedName>
    <definedName name="эээээ">#REF!</definedName>
    <definedName name="ююююю" localSheetId="10">#REF!</definedName>
    <definedName name="ююююю" localSheetId="9">#REF!</definedName>
    <definedName name="ююююю" localSheetId="11">#REF!</definedName>
    <definedName name="ююююю" localSheetId="12">#REF!</definedName>
    <definedName name="ююююю" localSheetId="24">#REF!</definedName>
    <definedName name="ююююю" localSheetId="16">#REF!</definedName>
    <definedName name="ююююю">#REF!</definedName>
    <definedName name="юююююююююю" localSheetId="10">#REF!</definedName>
    <definedName name="юююююююююю" localSheetId="9">#REF!</definedName>
    <definedName name="юююююююююю" localSheetId="11">#REF!</definedName>
    <definedName name="юююююююююю" localSheetId="12">#REF!</definedName>
    <definedName name="юююююююююю" localSheetId="24">#REF!</definedName>
    <definedName name="юююююююююю" localSheetId="16">#REF!</definedName>
    <definedName name="юююююююююю">#REF!</definedName>
    <definedName name="я" localSheetId="10">#REF!</definedName>
    <definedName name="я" localSheetId="9">#REF!</definedName>
    <definedName name="я" localSheetId="11">#REF!</definedName>
    <definedName name="я" localSheetId="12">#REF!</definedName>
    <definedName name="я" localSheetId="24">#REF!</definedName>
    <definedName name="я" localSheetId="16">#REF!</definedName>
    <definedName name="я">#REF!</definedName>
    <definedName name="яяя" localSheetId="10">#REF!</definedName>
    <definedName name="яяя" localSheetId="9">#REF!</definedName>
    <definedName name="яяя" localSheetId="11">#REF!</definedName>
    <definedName name="яяя" localSheetId="12">#REF!</definedName>
    <definedName name="яяя" localSheetId="24">#REF!</definedName>
    <definedName name="яяя" localSheetId="16">#REF!</definedName>
    <definedName name="яяя">#REF!</definedName>
    <definedName name="กหเหเ" localSheetId="10">#REF!</definedName>
    <definedName name="กหเหเ" localSheetId="9">#REF!</definedName>
    <definedName name="กหเหเ" localSheetId="11">#REF!</definedName>
    <definedName name="กหเหเ" localSheetId="12">#REF!</definedName>
    <definedName name="กหเหเ" localSheetId="17">#REF!</definedName>
    <definedName name="กหเหเ" localSheetId="24">#REF!</definedName>
    <definedName name="กหเหเ" localSheetId="16">#REF!</definedName>
    <definedName name="กหเหเ">#REF!</definedName>
    <definedName name="กำไรขาดทุน" localSheetId="10">#REF!</definedName>
    <definedName name="กำไรขาดทุน" localSheetId="9">#REF!</definedName>
    <definedName name="กำไรขาดทุน" localSheetId="11">#REF!</definedName>
    <definedName name="กำไรขาดทุน" localSheetId="12">#REF!</definedName>
    <definedName name="กำไรขาดทุน" localSheetId="17">#REF!</definedName>
    <definedName name="กำไรขาดทุน" localSheetId="24">#REF!</definedName>
    <definedName name="กำไรขาดทุน" localSheetId="16">#REF!</definedName>
    <definedName name="กำไรขาดทุน">#REF!</definedName>
    <definedName name="คัดทิ้ง">#REF!</definedName>
    <definedName name="ค่ายา">#REF!</definedName>
    <definedName name="ทรัพย์สิน" localSheetId="10">#REF!</definedName>
    <definedName name="ทรัพย์สิน" localSheetId="9">#REF!</definedName>
    <definedName name="ทรัพย์สิน" localSheetId="11">#REF!</definedName>
    <definedName name="ทรัพย์สิน" localSheetId="12">#REF!</definedName>
    <definedName name="ทรัพย์สิน" localSheetId="17">#REF!</definedName>
    <definedName name="ทรัพย์สิน" localSheetId="24">#REF!</definedName>
    <definedName name="ทรัพย์สิน" localSheetId="16">#REF!</definedName>
    <definedName name="ทรัพย์สิน">#REF!</definedName>
    <definedName name="นน.เข้า">#REF!</definedName>
    <definedName name="นน.ออก">#REF!</definedName>
    <definedName name="พพพพ" localSheetId="17">#REF!</definedName>
    <definedName name="พพพพ" localSheetId="24">#REF!</definedName>
    <definedName name="พพพพ">#REF!</definedName>
    <definedName name="ฟ" localSheetId="10">#REF!</definedName>
    <definedName name="ฟ" localSheetId="9">#REF!</definedName>
    <definedName name="ฟ" localSheetId="11">#REF!</definedName>
    <definedName name="ฟ" localSheetId="12">#REF!</definedName>
    <definedName name="ฟ" localSheetId="17">#REF!</definedName>
    <definedName name="ฟ" localSheetId="24">#REF!</definedName>
    <definedName name="ฟ" localSheetId="16">#REF!</definedName>
    <definedName name="ฟ">#REF!</definedName>
    <definedName name="ฟฟ" localSheetId="10">#REF!</definedName>
    <definedName name="ฟฟ" localSheetId="9">#REF!</definedName>
    <definedName name="ฟฟ" localSheetId="11">#REF!</definedName>
    <definedName name="ฟฟ" localSheetId="12">#REF!</definedName>
    <definedName name="ฟฟ" localSheetId="17">#REF!</definedName>
    <definedName name="ฟฟ" localSheetId="24">#REF!</definedName>
    <definedName name="ฟฟ" localSheetId="16">#REF!</definedName>
    <definedName name="ฟฟ">#REF!</definedName>
    <definedName name="ร่วมT" localSheetId="19">#REF!</definedName>
    <definedName name="ร่วมT">#REF!</definedName>
    <definedName name="วววว" localSheetId="11">#REF!</definedName>
    <definedName name="วววว" localSheetId="12">#REF!</definedName>
    <definedName name="วววว" localSheetId="24">#REF!</definedName>
    <definedName name="วววว" localSheetId="16">#REF!</definedName>
    <definedName name="วววว">#REF!</definedName>
    <definedName name="ส่วนแบ่งตลาด" localSheetId="10">#REF!</definedName>
    <definedName name="ส่วนแบ่งตลาด" localSheetId="9">#REF!</definedName>
    <definedName name="ส่วนแบ่งตลาด" localSheetId="11">#REF!</definedName>
    <definedName name="ส่วนแบ่งตลาด" localSheetId="12">#REF!</definedName>
    <definedName name="ส่วนแบ่งตลาด" localSheetId="17">#REF!</definedName>
    <definedName name="ส่วนแบ่งตลาด" localSheetId="24">#REF!</definedName>
    <definedName name="ส่วนแบ่งตลาด" localSheetId="16">#REF!</definedName>
    <definedName name="ส่วนแบ่งตลาด">#REF!</definedName>
    <definedName name="สสสสส" localSheetId="17">#REF!</definedName>
    <definedName name="สสสสส" localSheetId="24">#REF!</definedName>
    <definedName name="สสสสส">#REF!</definedName>
    <definedName name="หนี้สินและทุน" localSheetId="10">#REF!</definedName>
    <definedName name="หนี้สินและทุน" localSheetId="9">#REF!</definedName>
    <definedName name="หนี้สินและทุน" localSheetId="11">#REF!</definedName>
    <definedName name="หนี้สินและทุน" localSheetId="12">#REF!</definedName>
    <definedName name="หนี้สินและทุน" localSheetId="17">#REF!</definedName>
    <definedName name="หนี้สินและทุน" localSheetId="24">#REF!</definedName>
    <definedName name="หนี้สินและทุน" localSheetId="16">#REF!</definedName>
    <definedName name="หนี้สินและทุน">#REF!</definedName>
    <definedName name="หมูเข้า">#REF!</definedName>
    <definedName name="หมูออก">#REF!</definedName>
    <definedName name="หหก" localSheetId="10">#REF!</definedName>
    <definedName name="หหก" localSheetId="9">#REF!</definedName>
    <definedName name="หหก" localSheetId="11">#REF!</definedName>
    <definedName name="หหก" localSheetId="12">#REF!</definedName>
    <definedName name="หหก" localSheetId="17">#REF!</definedName>
    <definedName name="หหก" localSheetId="24">#REF!</definedName>
    <definedName name="หหก" localSheetId="16">#REF!</definedName>
    <definedName name="หหก">#REF!</definedName>
    <definedName name="อายุ">#REF!</definedName>
    <definedName name="อายุลูกหนี้" localSheetId="11">#REF!</definedName>
    <definedName name="อายุลูกหนี้" localSheetId="17">#N/A</definedName>
    <definedName name="อายุลูกหนี้" localSheetId="24">#REF!</definedName>
    <definedName name="อายุลูกหนี้" localSheetId="19">#N/A</definedName>
    <definedName name="อายุลูกหนี้" localSheetId="18">#N/A</definedName>
    <definedName name="อายุลูกหนี้">#REF!</definedName>
  </definedNames>
  <calcPr calcId="191029"/>
  <pivotCaches>
    <pivotCache cacheId="2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7" i="2" l="1"/>
  <c r="YH49" i="3"/>
  <c r="YH43" i="3"/>
  <c r="YH25" i="3"/>
  <c r="YH11" i="3"/>
  <c r="YH3" i="3" l="1"/>
  <c r="ZD29" i="1" l="1"/>
  <c r="ZD26" i="1"/>
  <c r="ZD22" i="1"/>
  <c r="ZD21" i="1"/>
  <c r="ZD17" i="1"/>
  <c r="E23" i="105"/>
  <c r="L25" i="107"/>
  <c r="K25" i="107"/>
  <c r="J25" i="107"/>
  <c r="I25" i="107"/>
  <c r="K24" i="107"/>
  <c r="J24" i="107"/>
  <c r="I24" i="107"/>
  <c r="D21" i="107"/>
  <c r="D26" i="107" s="1"/>
  <c r="D19" i="107"/>
  <c r="D24" i="107" s="1"/>
  <c r="L18" i="107"/>
  <c r="K18" i="107"/>
  <c r="J18" i="107"/>
  <c r="I18" i="107"/>
  <c r="H18" i="107"/>
  <c r="G18" i="107"/>
  <c r="D16" i="107"/>
  <c r="C15" i="107"/>
  <c r="D14" i="107"/>
  <c r="L13" i="107"/>
  <c r="K13" i="107"/>
  <c r="J13" i="107"/>
  <c r="I13" i="107"/>
  <c r="H13" i="107"/>
  <c r="G13" i="107"/>
  <c r="C12" i="107"/>
  <c r="D11" i="107"/>
  <c r="C10" i="107"/>
  <c r="U9" i="107"/>
  <c r="T9" i="107"/>
  <c r="D9" i="107"/>
  <c r="C9" i="107"/>
  <c r="U7" i="107"/>
  <c r="Q7" i="107"/>
  <c r="P7" i="107"/>
  <c r="O7" i="107"/>
  <c r="D7" i="107"/>
  <c r="D22" i="107" s="1"/>
  <c r="D27" i="107" s="1"/>
  <c r="C7" i="107"/>
  <c r="N7" i="107" s="1"/>
  <c r="AA6" i="107"/>
  <c r="Z6" i="107"/>
  <c r="Y6" i="107"/>
  <c r="S6" i="107"/>
  <c r="Q6" i="107"/>
  <c r="P6" i="107"/>
  <c r="O6" i="107"/>
  <c r="N6" i="107"/>
  <c r="L6" i="107"/>
  <c r="K6" i="107"/>
  <c r="J6" i="107"/>
  <c r="I6" i="107"/>
  <c r="C6" i="107"/>
  <c r="X6" i="107" s="1"/>
  <c r="T5" i="107"/>
  <c r="R5" i="107"/>
  <c r="H5" i="107"/>
  <c r="D5" i="107"/>
  <c r="Q5" i="107" s="1"/>
  <c r="AA4" i="107"/>
  <c r="Z4" i="107"/>
  <c r="Y4" i="107"/>
  <c r="X4" i="107"/>
  <c r="W4" i="107"/>
  <c r="V4" i="107"/>
  <c r="U4" i="107"/>
  <c r="T4" i="107"/>
  <c r="S4" i="107"/>
  <c r="M4" i="107"/>
  <c r="L4" i="107"/>
  <c r="I4" i="107"/>
  <c r="H4" i="107"/>
  <c r="G4" i="107"/>
  <c r="V2" i="107"/>
  <c r="W2" i="107" s="1"/>
  <c r="X2" i="107" s="1"/>
  <c r="Y2" i="107" s="1"/>
  <c r="Z2" i="107" s="1"/>
  <c r="AA2" i="107" s="1"/>
  <c r="S2" i="107"/>
  <c r="T2" i="107" s="1"/>
  <c r="U2" i="107" s="1"/>
  <c r="AK121" i="106"/>
  <c r="AJ121" i="106"/>
  <c r="AI121" i="106"/>
  <c r="AH121" i="106"/>
  <c r="AG121" i="106"/>
  <c r="AF121" i="106"/>
  <c r="W121" i="106"/>
  <c r="V121" i="106"/>
  <c r="AO118" i="106"/>
  <c r="AN118" i="106"/>
  <c r="AL118" i="106"/>
  <c r="AM118" i="106" s="1"/>
  <c r="L118" i="106"/>
  <c r="AO117" i="106"/>
  <c r="AN117" i="106"/>
  <c r="AB117" i="106"/>
  <c r="AC117" i="106" s="1"/>
  <c r="AD117" i="106" s="1"/>
  <c r="AE117" i="106" s="1"/>
  <c r="AA117" i="106"/>
  <c r="Z117" i="106"/>
  <c r="Y117" i="106"/>
  <c r="X117" i="106"/>
  <c r="AL117" i="106" s="1"/>
  <c r="AO116" i="106"/>
  <c r="AN116" i="106"/>
  <c r="Z116" i="106"/>
  <c r="AA116" i="106" s="1"/>
  <c r="AB116" i="106" s="1"/>
  <c r="AC116" i="106" s="1"/>
  <c r="Y116" i="106"/>
  <c r="AL116" i="106" s="1"/>
  <c r="AM116" i="106" s="1"/>
  <c r="L116" i="106"/>
  <c r="AO115" i="106"/>
  <c r="AN115" i="106"/>
  <c r="Y115" i="106"/>
  <c r="L115" i="106"/>
  <c r="AO114" i="106"/>
  <c r="AN114" i="106"/>
  <c r="AL114" i="106"/>
  <c r="AM114" i="106" s="1"/>
  <c r="AB114" i="106"/>
  <c r="L114" i="106"/>
  <c r="H114" i="106"/>
  <c r="AO113" i="106"/>
  <c r="AN113" i="106"/>
  <c r="AM113" i="106"/>
  <c r="AB113" i="106"/>
  <c r="AL113" i="106" s="1"/>
  <c r="L113" i="106"/>
  <c r="AO112" i="106"/>
  <c r="AN112" i="106"/>
  <c r="AL112" i="106"/>
  <c r="AB112" i="106"/>
  <c r="Y112" i="106"/>
  <c r="AO111" i="106"/>
  <c r="AN111" i="106"/>
  <c r="AL111" i="106"/>
  <c r="AO110" i="106"/>
  <c r="AN110" i="106"/>
  <c r="AL110" i="106"/>
  <c r="AO109" i="106"/>
  <c r="AN109" i="106"/>
  <c r="AL109" i="106"/>
  <c r="AO108" i="106"/>
  <c r="AN108" i="106"/>
  <c r="AL108" i="106"/>
  <c r="AL107" i="106"/>
  <c r="AM107" i="106" s="1"/>
  <c r="AO106" i="106"/>
  <c r="AN106" i="106"/>
  <c r="AM106" i="106"/>
  <c r="AL106" i="106"/>
  <c r="H106" i="106"/>
  <c r="L106" i="106"/>
  <c r="AO105" i="106"/>
  <c r="AN105" i="106"/>
  <c r="AL105" i="106"/>
  <c r="L105" i="106"/>
  <c r="H105" i="106"/>
  <c r="AM105" i="106"/>
  <c r="AO104" i="106"/>
  <c r="AN104" i="106"/>
  <c r="AM104" i="106"/>
  <c r="AL104" i="106"/>
  <c r="H104" i="106"/>
  <c r="L104" i="106"/>
  <c r="AO103" i="106"/>
  <c r="AN103" i="106"/>
  <c r="AL103" i="106"/>
  <c r="L103" i="106"/>
  <c r="H103" i="106"/>
  <c r="AM103" i="106"/>
  <c r="AO102" i="106"/>
  <c r="AN102" i="106"/>
  <c r="AM102" i="106"/>
  <c r="AL102" i="106"/>
  <c r="H102" i="106"/>
  <c r="L102" i="106"/>
  <c r="AO101" i="106"/>
  <c r="AN101" i="106"/>
  <c r="AL101" i="106"/>
  <c r="L101" i="106"/>
  <c r="H101" i="106"/>
  <c r="AM101" i="106"/>
  <c r="AO100" i="106"/>
  <c r="AN100" i="106"/>
  <c r="AL100" i="106"/>
  <c r="H100" i="106"/>
  <c r="L100" i="106"/>
  <c r="AO99" i="106"/>
  <c r="AN99" i="106"/>
  <c r="AL99" i="106"/>
  <c r="H99" i="106"/>
  <c r="AM99" i="106"/>
  <c r="AO98" i="106"/>
  <c r="AN98" i="106"/>
  <c r="AL98" i="106"/>
  <c r="H98" i="106"/>
  <c r="AO97" i="106"/>
  <c r="AN97" i="106"/>
  <c r="AL97" i="106"/>
  <c r="AO95" i="106"/>
  <c r="AN95" i="106"/>
  <c r="AB95" i="106"/>
  <c r="AA95" i="106"/>
  <c r="Z95" i="106"/>
  <c r="Y95" i="106"/>
  <c r="X95" i="106"/>
  <c r="L95" i="106"/>
  <c r="AO94" i="106"/>
  <c r="AN94" i="106"/>
  <c r="AB94" i="106"/>
  <c r="AA94" i="106"/>
  <c r="Z94" i="106"/>
  <c r="Y94" i="106"/>
  <c r="X94" i="106"/>
  <c r="L94" i="106"/>
  <c r="H94" i="106"/>
  <c r="AO93" i="106"/>
  <c r="AN93" i="106"/>
  <c r="AB93" i="106"/>
  <c r="AA93" i="106"/>
  <c r="Z93" i="106"/>
  <c r="Y93" i="106"/>
  <c r="X93" i="106"/>
  <c r="L93" i="106"/>
  <c r="H93" i="106"/>
  <c r="AO92" i="106"/>
  <c r="AN92" i="106"/>
  <c r="AB92" i="106"/>
  <c r="AA92" i="106"/>
  <c r="Z92" i="106"/>
  <c r="Y92" i="106"/>
  <c r="X92" i="106"/>
  <c r="L92" i="106"/>
  <c r="H92" i="106"/>
  <c r="AO91" i="106"/>
  <c r="AN91" i="106"/>
  <c r="AC91" i="106"/>
  <c r="AB91" i="106"/>
  <c r="AA91" i="106"/>
  <c r="Z91" i="106"/>
  <c r="Y91" i="106"/>
  <c r="X91" i="106"/>
  <c r="AL91" i="106" s="1"/>
  <c r="AM91" i="106" s="1"/>
  <c r="L91" i="106"/>
  <c r="H91" i="106"/>
  <c r="AO90" i="106"/>
  <c r="AN90" i="106"/>
  <c r="AC90" i="106"/>
  <c r="AB90" i="106"/>
  <c r="AL90" i="106" s="1"/>
  <c r="AM90" i="106" s="1"/>
  <c r="AA90" i="106"/>
  <c r="Z90" i="106"/>
  <c r="Y90" i="106"/>
  <c r="X90" i="106"/>
  <c r="L90" i="106"/>
  <c r="H90" i="106"/>
  <c r="AO89" i="106"/>
  <c r="AN89" i="106"/>
  <c r="AB89" i="106"/>
  <c r="AA89" i="106"/>
  <c r="Z89" i="106"/>
  <c r="Y89" i="106"/>
  <c r="X89" i="106"/>
  <c r="H89" i="106"/>
  <c r="AO88" i="106"/>
  <c r="AN88" i="106"/>
  <c r="AB88" i="106"/>
  <c r="AA88" i="106"/>
  <c r="Z88" i="106"/>
  <c r="Y88" i="106"/>
  <c r="X88" i="106"/>
  <c r="L88" i="106"/>
  <c r="H88" i="106"/>
  <c r="AO87" i="106"/>
  <c r="AN87" i="106"/>
  <c r="AC87" i="106"/>
  <c r="AB87" i="106"/>
  <c r="AA87" i="106"/>
  <c r="Z87" i="106"/>
  <c r="Y87" i="106"/>
  <c r="X87" i="106"/>
  <c r="L87" i="106"/>
  <c r="H87" i="106"/>
  <c r="AO86" i="106"/>
  <c r="AN86" i="106"/>
  <c r="AB86" i="106"/>
  <c r="AA86" i="106"/>
  <c r="Z86" i="106"/>
  <c r="Y86" i="106"/>
  <c r="X86" i="106"/>
  <c r="L86" i="106"/>
  <c r="H86" i="106"/>
  <c r="AO85" i="106"/>
  <c r="AN85" i="106"/>
  <c r="AB85" i="106"/>
  <c r="AA85" i="106"/>
  <c r="Z85" i="106"/>
  <c r="Y85" i="106"/>
  <c r="X85" i="106"/>
  <c r="L85" i="106"/>
  <c r="H85" i="106"/>
  <c r="AO84" i="106"/>
  <c r="AN84" i="106"/>
  <c r="AA84" i="106"/>
  <c r="Z84" i="106"/>
  <c r="Y84" i="106"/>
  <c r="X84" i="106"/>
  <c r="L84" i="106"/>
  <c r="AB84" i="106"/>
  <c r="H84" i="106"/>
  <c r="AO83" i="106"/>
  <c r="AN83" i="106"/>
  <c r="AL83" i="106"/>
  <c r="AM83" i="106" s="1"/>
  <c r="AC83" i="106"/>
  <c r="AA83" i="106"/>
  <c r="Z83" i="106"/>
  <c r="Y83" i="106"/>
  <c r="X83" i="106"/>
  <c r="L83" i="106"/>
  <c r="AB83" i="106"/>
  <c r="H83" i="106"/>
  <c r="AO82" i="106"/>
  <c r="AN82" i="106"/>
  <c r="AC82" i="106"/>
  <c r="AB82" i="106"/>
  <c r="AA82" i="106"/>
  <c r="Z82" i="106"/>
  <c r="Y82" i="106"/>
  <c r="X82" i="106"/>
  <c r="L82" i="106"/>
  <c r="H82" i="106"/>
  <c r="AO81" i="106"/>
  <c r="AN81" i="106"/>
  <c r="AC81" i="106"/>
  <c r="AB81" i="106"/>
  <c r="AA81" i="106"/>
  <c r="AL81" i="106" s="1"/>
  <c r="AM81" i="106" s="1"/>
  <c r="Z81" i="106"/>
  <c r="Y81" i="106"/>
  <c r="X81" i="106"/>
  <c r="L81" i="106"/>
  <c r="H81" i="106"/>
  <c r="AO80" i="106"/>
  <c r="AN80" i="106"/>
  <c r="AB80" i="106"/>
  <c r="AA80" i="106"/>
  <c r="Z80" i="106"/>
  <c r="Y80" i="106"/>
  <c r="X80" i="106"/>
  <c r="AC80" i="106"/>
  <c r="H80" i="106"/>
  <c r="AO79" i="106"/>
  <c r="AN79" i="106"/>
  <c r="AB79" i="106"/>
  <c r="AA79" i="106"/>
  <c r="Z79" i="106"/>
  <c r="Y79" i="106"/>
  <c r="X79" i="106"/>
  <c r="L79" i="106"/>
  <c r="AO78" i="106"/>
  <c r="AN78" i="106"/>
  <c r="AB78" i="106"/>
  <c r="AA78" i="106"/>
  <c r="Z78" i="106"/>
  <c r="Y78" i="106"/>
  <c r="X78" i="106"/>
  <c r="L78" i="106"/>
  <c r="H78" i="106"/>
  <c r="AO77" i="106"/>
  <c r="AN77" i="106"/>
  <c r="AC77" i="106"/>
  <c r="AB77" i="106"/>
  <c r="AA77" i="106"/>
  <c r="Z77" i="106"/>
  <c r="Y77" i="106"/>
  <c r="X77" i="106"/>
  <c r="L77" i="106"/>
  <c r="H77" i="106"/>
  <c r="AO76" i="106"/>
  <c r="AN76" i="106"/>
  <c r="AB76" i="106"/>
  <c r="AA76" i="106"/>
  <c r="Z76" i="106"/>
  <c r="Y76" i="106"/>
  <c r="X76" i="106"/>
  <c r="L76" i="106"/>
  <c r="H76" i="106"/>
  <c r="AO75" i="106"/>
  <c r="AN75" i="106"/>
  <c r="AC75" i="106"/>
  <c r="AB75" i="106"/>
  <c r="AA75" i="106"/>
  <c r="Z75" i="106"/>
  <c r="Y75" i="106"/>
  <c r="X75" i="106"/>
  <c r="AL75" i="106" s="1"/>
  <c r="AM75" i="106" s="1"/>
  <c r="L75" i="106"/>
  <c r="H75" i="106"/>
  <c r="AO74" i="106"/>
  <c r="AN74" i="106"/>
  <c r="AB74" i="106"/>
  <c r="AA74" i="106"/>
  <c r="Z74" i="106"/>
  <c r="Y74" i="106"/>
  <c r="X74" i="106"/>
  <c r="L74" i="106"/>
  <c r="AO73" i="106"/>
  <c r="AN73" i="106"/>
  <c r="AL73" i="106"/>
  <c r="AM73" i="106" s="1"/>
  <c r="AC73" i="106"/>
  <c r="AB73" i="106"/>
  <c r="AA73" i="106"/>
  <c r="Z73" i="106"/>
  <c r="Y73" i="106"/>
  <c r="X73" i="106"/>
  <c r="U73" i="106"/>
  <c r="T73" i="106"/>
  <c r="L73" i="106"/>
  <c r="H73" i="106"/>
  <c r="AO72" i="106"/>
  <c r="AN72" i="106"/>
  <c r="AB72" i="106"/>
  <c r="AA72" i="106"/>
  <c r="Z72" i="106"/>
  <c r="Y72" i="106"/>
  <c r="X72" i="106"/>
  <c r="U72" i="106"/>
  <c r="T72" i="106"/>
  <c r="H72" i="106"/>
  <c r="AO71" i="106"/>
  <c r="AN71" i="106"/>
  <c r="AM71" i="106"/>
  <c r="AC71" i="106"/>
  <c r="AB71" i="106"/>
  <c r="AA71" i="106"/>
  <c r="Z71" i="106"/>
  <c r="Y71" i="106"/>
  <c r="X71" i="106"/>
  <c r="AL71" i="106" s="1"/>
  <c r="U71" i="106"/>
  <c r="T71" i="106"/>
  <c r="L71" i="106"/>
  <c r="H71" i="106"/>
  <c r="AO70" i="106"/>
  <c r="AN70" i="106"/>
  <c r="AB70" i="106"/>
  <c r="AA70" i="106"/>
  <c r="Z70" i="106"/>
  <c r="Y70" i="106"/>
  <c r="X70" i="106"/>
  <c r="U70" i="106"/>
  <c r="T70" i="106"/>
  <c r="L70" i="106"/>
  <c r="AO69" i="106"/>
  <c r="AN69" i="106"/>
  <c r="AC69" i="106"/>
  <c r="AB69" i="106"/>
  <c r="AA69" i="106"/>
  <c r="Y69" i="106"/>
  <c r="X69" i="106"/>
  <c r="U69" i="106"/>
  <c r="T69" i="106"/>
  <c r="L69" i="106"/>
  <c r="AO68" i="106"/>
  <c r="AN68" i="106"/>
  <c r="AC68" i="106"/>
  <c r="AA68" i="106"/>
  <c r="Z68" i="106"/>
  <c r="Y68" i="106"/>
  <c r="X68" i="106"/>
  <c r="U68" i="106"/>
  <c r="T68" i="106"/>
  <c r="H68" i="106"/>
  <c r="AO67" i="106"/>
  <c r="AN67" i="106"/>
  <c r="AB67" i="106"/>
  <c r="AA67" i="106"/>
  <c r="Z67" i="106"/>
  <c r="Y67" i="106"/>
  <c r="X67" i="106"/>
  <c r="U67" i="106"/>
  <c r="T67" i="106"/>
  <c r="L67" i="106"/>
  <c r="H67" i="106"/>
  <c r="AO66" i="106"/>
  <c r="AN66" i="106"/>
  <c r="AB66" i="106"/>
  <c r="AA66" i="106"/>
  <c r="Z66" i="106"/>
  <c r="Y66" i="106"/>
  <c r="X66" i="106"/>
  <c r="U66" i="106"/>
  <c r="T66" i="106"/>
  <c r="L66" i="106"/>
  <c r="H66" i="106"/>
  <c r="AO65" i="106"/>
  <c r="AN65" i="106"/>
  <c r="AL65" i="106"/>
  <c r="AM65" i="106" s="1"/>
  <c r="AC65" i="106"/>
  <c r="AB65" i="106"/>
  <c r="AA65" i="106"/>
  <c r="Z65" i="106"/>
  <c r="Y65" i="106"/>
  <c r="X65" i="106"/>
  <c r="U65" i="106"/>
  <c r="T65" i="106"/>
  <c r="L65" i="106"/>
  <c r="H65" i="106"/>
  <c r="AO64" i="106"/>
  <c r="AN64" i="106"/>
  <c r="AC64" i="106"/>
  <c r="AB64" i="106"/>
  <c r="AA64" i="106"/>
  <c r="Z64" i="106"/>
  <c r="Y64" i="106"/>
  <c r="X64" i="106"/>
  <c r="U64" i="106"/>
  <c r="T64" i="106"/>
  <c r="L64" i="106"/>
  <c r="H64" i="106"/>
  <c r="AO63" i="106"/>
  <c r="AN63" i="106"/>
  <c r="AB63" i="106"/>
  <c r="AA63" i="106"/>
  <c r="Z63" i="106"/>
  <c r="Y63" i="106"/>
  <c r="X63" i="106"/>
  <c r="U63" i="106"/>
  <c r="T63" i="106"/>
  <c r="AO62" i="106"/>
  <c r="AN62" i="106"/>
  <c r="AC62" i="106"/>
  <c r="AB62" i="106"/>
  <c r="AA62" i="106"/>
  <c r="Z62" i="106"/>
  <c r="Y62" i="106"/>
  <c r="X62" i="106"/>
  <c r="U62" i="106"/>
  <c r="T62" i="106"/>
  <c r="L62" i="106"/>
  <c r="H62" i="106"/>
  <c r="AO61" i="106"/>
  <c r="AN61" i="106"/>
  <c r="AB61" i="106"/>
  <c r="AA61" i="106"/>
  <c r="Z61" i="106"/>
  <c r="Y61" i="106"/>
  <c r="X61" i="106"/>
  <c r="U61" i="106"/>
  <c r="T61" i="106"/>
  <c r="AO60" i="106"/>
  <c r="AN60" i="106"/>
  <c r="AB60" i="106"/>
  <c r="Z60" i="106"/>
  <c r="Y60" i="106"/>
  <c r="X60" i="106"/>
  <c r="U60" i="106"/>
  <c r="T60" i="106"/>
  <c r="L60" i="106"/>
  <c r="AO59" i="106"/>
  <c r="AN59" i="106"/>
  <c r="AB59" i="106"/>
  <c r="AA59" i="106"/>
  <c r="Z59" i="106"/>
  <c r="Y59" i="106"/>
  <c r="X59" i="106"/>
  <c r="U59" i="106"/>
  <c r="T59" i="106"/>
  <c r="L59" i="106"/>
  <c r="AO58" i="106"/>
  <c r="AN58" i="106"/>
  <c r="AC58" i="106"/>
  <c r="AB58" i="106"/>
  <c r="AA58" i="106"/>
  <c r="Y58" i="106"/>
  <c r="X58" i="106"/>
  <c r="U58" i="106"/>
  <c r="T58" i="106"/>
  <c r="L58" i="106"/>
  <c r="AO57" i="106"/>
  <c r="AN57" i="106"/>
  <c r="AC57" i="106"/>
  <c r="AB57" i="106"/>
  <c r="AA57" i="106"/>
  <c r="Z57" i="106"/>
  <c r="Y57" i="106"/>
  <c r="U57" i="106"/>
  <c r="T57" i="106"/>
  <c r="L57" i="106"/>
  <c r="H57" i="106"/>
  <c r="X57" i="106"/>
  <c r="AO56" i="106"/>
  <c r="AN56" i="106"/>
  <c r="AB56" i="106"/>
  <c r="AA56" i="106"/>
  <c r="Z56" i="106"/>
  <c r="Y56" i="106"/>
  <c r="X56" i="106"/>
  <c r="U56" i="106"/>
  <c r="T56" i="106"/>
  <c r="AO55" i="106"/>
  <c r="AN55" i="106"/>
  <c r="AC55" i="106"/>
  <c r="AB55" i="106"/>
  <c r="AA55" i="106"/>
  <c r="Z55" i="106"/>
  <c r="Y55" i="106"/>
  <c r="X55" i="106"/>
  <c r="U55" i="106"/>
  <c r="T55" i="106"/>
  <c r="L55" i="106"/>
  <c r="H55" i="106"/>
  <c r="AO54" i="106"/>
  <c r="AN54" i="106"/>
  <c r="AC54" i="106"/>
  <c r="AB54" i="106"/>
  <c r="AA54" i="106"/>
  <c r="Z54" i="106"/>
  <c r="Y54" i="106"/>
  <c r="X54" i="106"/>
  <c r="U54" i="106"/>
  <c r="T54" i="106"/>
  <c r="AL54" i="106" s="1"/>
  <c r="AM54" i="106" s="1"/>
  <c r="AO53" i="106"/>
  <c r="AN53" i="106"/>
  <c r="AC53" i="106"/>
  <c r="AB53" i="106"/>
  <c r="AA53" i="106"/>
  <c r="Z53" i="106"/>
  <c r="Y53" i="106"/>
  <c r="AL53" i="106" s="1"/>
  <c r="AM53" i="106" s="1"/>
  <c r="X53" i="106"/>
  <c r="U53" i="106"/>
  <c r="T53" i="106"/>
  <c r="L53" i="106"/>
  <c r="H53" i="106"/>
  <c r="AO52" i="106"/>
  <c r="AN52" i="106"/>
  <c r="AC52" i="106"/>
  <c r="AB52" i="106"/>
  <c r="AA52" i="106"/>
  <c r="Z52" i="106"/>
  <c r="Y52" i="106"/>
  <c r="AL52" i="106" s="1"/>
  <c r="AM52" i="106" s="1"/>
  <c r="X52" i="106"/>
  <c r="U52" i="106"/>
  <c r="T52" i="106"/>
  <c r="H52" i="106"/>
  <c r="AO51" i="106"/>
  <c r="AN51" i="106"/>
  <c r="AC51" i="106"/>
  <c r="AB51" i="106"/>
  <c r="AA51" i="106"/>
  <c r="Z51" i="106"/>
  <c r="Y51" i="106"/>
  <c r="AL51" i="106" s="1"/>
  <c r="AM51" i="106" s="1"/>
  <c r="X51" i="106"/>
  <c r="U51" i="106"/>
  <c r="T51" i="106"/>
  <c r="L51" i="106"/>
  <c r="H51" i="106"/>
  <c r="AO50" i="106"/>
  <c r="AN50" i="106"/>
  <c r="AB50" i="106"/>
  <c r="AA50" i="106"/>
  <c r="Z50" i="106"/>
  <c r="Y50" i="106"/>
  <c r="X50" i="106"/>
  <c r="U50" i="106"/>
  <c r="T50" i="106"/>
  <c r="L50" i="106"/>
  <c r="AC50" i="106"/>
  <c r="H50" i="106"/>
  <c r="AO49" i="106"/>
  <c r="AN49" i="106"/>
  <c r="AC49" i="106"/>
  <c r="AB49" i="106"/>
  <c r="AA49" i="106"/>
  <c r="Z49" i="106"/>
  <c r="Y49" i="106"/>
  <c r="U49" i="106"/>
  <c r="T49" i="106"/>
  <c r="L49" i="106"/>
  <c r="X49" i="106"/>
  <c r="H49" i="106"/>
  <c r="AO48" i="106"/>
  <c r="AN48" i="106"/>
  <c r="AC48" i="106"/>
  <c r="AB48" i="106"/>
  <c r="AA48" i="106"/>
  <c r="Z48" i="106"/>
  <c r="X48" i="106"/>
  <c r="U48" i="106"/>
  <c r="T48" i="106"/>
  <c r="L48" i="106"/>
  <c r="Y48" i="106"/>
  <c r="H48" i="106"/>
  <c r="AO47" i="106"/>
  <c r="AN47" i="106"/>
  <c r="AB47" i="106"/>
  <c r="AA47" i="106"/>
  <c r="Z47" i="106"/>
  <c r="Y47" i="106"/>
  <c r="X47" i="106"/>
  <c r="U47" i="106"/>
  <c r="T47" i="106"/>
  <c r="AO46" i="106"/>
  <c r="AN46" i="106"/>
  <c r="AB46" i="106"/>
  <c r="AA46" i="106"/>
  <c r="Z46" i="106"/>
  <c r="Y46" i="106"/>
  <c r="X46" i="106"/>
  <c r="U46" i="106"/>
  <c r="T46" i="106"/>
  <c r="L46" i="106"/>
  <c r="H46" i="106"/>
  <c r="AO45" i="106"/>
  <c r="AN45" i="106"/>
  <c r="AC45" i="106"/>
  <c r="AB45" i="106"/>
  <c r="AA45" i="106"/>
  <c r="Z45" i="106"/>
  <c r="Y45" i="106"/>
  <c r="AL45" i="106" s="1"/>
  <c r="AM45" i="106" s="1"/>
  <c r="X45" i="106"/>
  <c r="U45" i="106"/>
  <c r="T45" i="106"/>
  <c r="L45" i="106"/>
  <c r="AO44" i="106"/>
  <c r="AN44" i="106"/>
  <c r="AB44" i="106"/>
  <c r="AA44" i="106"/>
  <c r="Z44" i="106"/>
  <c r="Y44" i="106"/>
  <c r="X44" i="106"/>
  <c r="U44" i="106"/>
  <c r="T44" i="106"/>
  <c r="H44" i="106"/>
  <c r="AO43" i="106"/>
  <c r="AN43" i="106"/>
  <c r="AB43" i="106"/>
  <c r="AA43" i="106"/>
  <c r="Z43" i="106"/>
  <c r="Y43" i="106"/>
  <c r="X43" i="106"/>
  <c r="U43" i="106"/>
  <c r="T43" i="106"/>
  <c r="L43" i="106"/>
  <c r="AO42" i="106"/>
  <c r="AN42" i="106"/>
  <c r="AB42" i="106"/>
  <c r="AA42" i="106"/>
  <c r="Z42" i="106"/>
  <c r="Y42" i="106"/>
  <c r="X42" i="106"/>
  <c r="U42" i="106"/>
  <c r="T42" i="106"/>
  <c r="L42" i="106"/>
  <c r="H42" i="106"/>
  <c r="AO41" i="106"/>
  <c r="AN41" i="106"/>
  <c r="AL41" i="106"/>
  <c r="AM41" i="106" s="1"/>
  <c r="AC41" i="106"/>
  <c r="AB41" i="106"/>
  <c r="AA41" i="106"/>
  <c r="Z41" i="106"/>
  <c r="Y41" i="106"/>
  <c r="X41" i="106"/>
  <c r="U41" i="106"/>
  <c r="T41" i="106"/>
  <c r="L41" i="106"/>
  <c r="AO40" i="106"/>
  <c r="AN40" i="106"/>
  <c r="AC40" i="106"/>
  <c r="AB40" i="106"/>
  <c r="AA40" i="106"/>
  <c r="Z40" i="106"/>
  <c r="Y40" i="106"/>
  <c r="X40" i="106"/>
  <c r="U40" i="106"/>
  <c r="T40" i="106"/>
  <c r="L40" i="106"/>
  <c r="H40" i="106"/>
  <c r="AO39" i="106"/>
  <c r="AN39" i="106"/>
  <c r="AL39" i="106"/>
  <c r="AM39" i="106" s="1"/>
  <c r="AC39" i="106"/>
  <c r="AB39" i="106"/>
  <c r="AA39" i="106"/>
  <c r="Z39" i="106"/>
  <c r="Y39" i="106"/>
  <c r="X39" i="106"/>
  <c r="U39" i="106"/>
  <c r="T39" i="106"/>
  <c r="L39" i="106"/>
  <c r="H39" i="106"/>
  <c r="AO38" i="106"/>
  <c r="AN38" i="106"/>
  <c r="AC38" i="106"/>
  <c r="AB38" i="106"/>
  <c r="AA38" i="106"/>
  <c r="Z38" i="106"/>
  <c r="Y38" i="106"/>
  <c r="X38" i="106"/>
  <c r="U38" i="106"/>
  <c r="T38" i="106"/>
  <c r="L38" i="106"/>
  <c r="H38" i="106"/>
  <c r="AO37" i="106"/>
  <c r="AN37" i="106"/>
  <c r="AC37" i="106"/>
  <c r="AB37" i="106"/>
  <c r="AA37" i="106"/>
  <c r="Z37" i="106"/>
  <c r="Y37" i="106"/>
  <c r="U37" i="106"/>
  <c r="T37" i="106"/>
  <c r="X37" i="106"/>
  <c r="H37" i="106"/>
  <c r="AO36" i="106"/>
  <c r="AN36" i="106"/>
  <c r="AC36" i="106"/>
  <c r="AL36" i="106" s="1"/>
  <c r="AM36" i="106" s="1"/>
  <c r="AB36" i="106"/>
  <c r="AA36" i="106"/>
  <c r="Z36" i="106"/>
  <c r="Y36" i="106"/>
  <c r="X36" i="106"/>
  <c r="U36" i="106"/>
  <c r="T36" i="106"/>
  <c r="L36" i="106"/>
  <c r="H36" i="106"/>
  <c r="AO35" i="106"/>
  <c r="AN35" i="106"/>
  <c r="AC35" i="106"/>
  <c r="AB35" i="106"/>
  <c r="AA35" i="106"/>
  <c r="Z35" i="106"/>
  <c r="Y35" i="106"/>
  <c r="AL35" i="106" s="1"/>
  <c r="AM35" i="106" s="1"/>
  <c r="X35" i="106"/>
  <c r="U35" i="106"/>
  <c r="T35" i="106"/>
  <c r="L35" i="106"/>
  <c r="AO34" i="106"/>
  <c r="AN34" i="106"/>
  <c r="AC34" i="106"/>
  <c r="AA34" i="106"/>
  <c r="Z34" i="106"/>
  <c r="Y34" i="106"/>
  <c r="X34" i="106"/>
  <c r="U34" i="106"/>
  <c r="T34" i="106"/>
  <c r="H34" i="106"/>
  <c r="AO33" i="106"/>
  <c r="AN33" i="106"/>
  <c r="AB33" i="106"/>
  <c r="AA33" i="106"/>
  <c r="Z33" i="106"/>
  <c r="Y33" i="106"/>
  <c r="X33" i="106"/>
  <c r="U33" i="106"/>
  <c r="T33" i="106"/>
  <c r="AL33" i="106" s="1"/>
  <c r="AM33" i="106" s="1"/>
  <c r="AC33" i="106"/>
  <c r="AO32" i="106"/>
  <c r="AN32" i="106"/>
  <c r="AB32" i="106"/>
  <c r="AA32" i="106"/>
  <c r="Z32" i="106"/>
  <c r="Y32" i="106"/>
  <c r="X32" i="106"/>
  <c r="U32" i="106"/>
  <c r="T32" i="106"/>
  <c r="L32" i="106"/>
  <c r="H32" i="106"/>
  <c r="AC31" i="106"/>
  <c r="AA31" i="106"/>
  <c r="Z31" i="106"/>
  <c r="Y31" i="106"/>
  <c r="X31" i="106"/>
  <c r="U31" i="106"/>
  <c r="T31" i="106"/>
  <c r="AB31" i="106"/>
  <c r="AO30" i="106"/>
  <c r="AN30" i="106"/>
  <c r="AC30" i="106"/>
  <c r="AB30" i="106"/>
  <c r="AA30" i="106"/>
  <c r="Z30" i="106"/>
  <c r="X30" i="106"/>
  <c r="U30" i="106"/>
  <c r="T30" i="106"/>
  <c r="Y30" i="106"/>
  <c r="H30" i="106"/>
  <c r="AO29" i="106"/>
  <c r="AN29" i="106"/>
  <c r="AC29" i="106"/>
  <c r="AB29" i="106"/>
  <c r="Z29" i="106"/>
  <c r="Y29" i="106"/>
  <c r="X29" i="106"/>
  <c r="U29" i="106"/>
  <c r="T29" i="106"/>
  <c r="L29" i="106"/>
  <c r="H29" i="106"/>
  <c r="AO28" i="106"/>
  <c r="AN28" i="106"/>
  <c r="AC28" i="106"/>
  <c r="AB28" i="106"/>
  <c r="AL28" i="106" s="1"/>
  <c r="AM28" i="106" s="1"/>
  <c r="AA28" i="106"/>
  <c r="Z28" i="106"/>
  <c r="Y28" i="106"/>
  <c r="X28" i="106"/>
  <c r="U28" i="106"/>
  <c r="T28" i="106"/>
  <c r="H28" i="106"/>
  <c r="AO27" i="106"/>
  <c r="AN27" i="106"/>
  <c r="AL27" i="106"/>
  <c r="AM27" i="106" s="1"/>
  <c r="AC27" i="106"/>
  <c r="AB27" i="106"/>
  <c r="AA27" i="106"/>
  <c r="Y27" i="106"/>
  <c r="X27" i="106"/>
  <c r="U27" i="106"/>
  <c r="T27" i="106"/>
  <c r="L27" i="106"/>
  <c r="H27" i="106"/>
  <c r="Z27" i="106"/>
  <c r="AO26" i="106"/>
  <c r="AN26" i="106"/>
  <c r="AB26" i="106"/>
  <c r="AA26" i="106"/>
  <c r="Z26" i="106"/>
  <c r="Y26" i="106"/>
  <c r="X26" i="106"/>
  <c r="U26" i="106"/>
  <c r="T26" i="106"/>
  <c r="L26" i="106"/>
  <c r="H26" i="106"/>
  <c r="AO25" i="106"/>
  <c r="AN25" i="106"/>
  <c r="AC25" i="106"/>
  <c r="AB25" i="106"/>
  <c r="AA25" i="106"/>
  <c r="Z25" i="106"/>
  <c r="Y25" i="106"/>
  <c r="X25" i="106"/>
  <c r="U25" i="106"/>
  <c r="T25" i="106"/>
  <c r="L25" i="106"/>
  <c r="H25" i="106"/>
  <c r="AO24" i="106"/>
  <c r="AN24" i="106"/>
  <c r="AC24" i="106"/>
  <c r="AB24" i="106"/>
  <c r="AA24" i="106"/>
  <c r="AL24" i="106" s="1"/>
  <c r="AM24" i="106" s="1"/>
  <c r="Z24" i="106"/>
  <c r="Y24" i="106"/>
  <c r="X24" i="106"/>
  <c r="U24" i="106"/>
  <c r="T24" i="106"/>
  <c r="L24" i="106"/>
  <c r="H24" i="106"/>
  <c r="AO23" i="106"/>
  <c r="AN23" i="106"/>
  <c r="AC23" i="106"/>
  <c r="AB23" i="106"/>
  <c r="AL23" i="106" s="1"/>
  <c r="AM23" i="106" s="1"/>
  <c r="AA23" i="106"/>
  <c r="Z23" i="106"/>
  <c r="Y23" i="106"/>
  <c r="X23" i="106"/>
  <c r="U23" i="106"/>
  <c r="T23" i="106"/>
  <c r="L23" i="106"/>
  <c r="H23" i="106"/>
  <c r="AO22" i="106"/>
  <c r="AN22" i="106"/>
  <c r="AC22" i="106"/>
  <c r="AL22" i="106" s="1"/>
  <c r="AM22" i="106" s="1"/>
  <c r="AB22" i="106"/>
  <c r="AA22" i="106"/>
  <c r="Z22" i="106"/>
  <c r="Y22" i="106"/>
  <c r="X22" i="106"/>
  <c r="U22" i="106"/>
  <c r="T22" i="106"/>
  <c r="L22" i="106"/>
  <c r="H22" i="106"/>
  <c r="AO21" i="106"/>
  <c r="AN21" i="106"/>
  <c r="AM21" i="106"/>
  <c r="AL21" i="106"/>
  <c r="AC21" i="106"/>
  <c r="AB21" i="106"/>
  <c r="AA21" i="106"/>
  <c r="Z21" i="106"/>
  <c r="Y21" i="106"/>
  <c r="X21" i="106"/>
  <c r="U21" i="106"/>
  <c r="T21" i="106"/>
  <c r="L21" i="106"/>
  <c r="H21" i="106"/>
  <c r="AO20" i="106"/>
  <c r="AN20" i="106"/>
  <c r="AB20" i="106"/>
  <c r="AA20" i="106"/>
  <c r="Z20" i="106"/>
  <c r="Y20" i="106"/>
  <c r="X20" i="106"/>
  <c r="U20" i="106"/>
  <c r="T20" i="106"/>
  <c r="H20" i="106"/>
  <c r="AO19" i="106"/>
  <c r="AN19" i="106"/>
  <c r="AB19" i="106"/>
  <c r="AA19" i="106"/>
  <c r="Z19" i="106"/>
  <c r="Y19" i="106"/>
  <c r="X19" i="106"/>
  <c r="U19" i="106"/>
  <c r="T19" i="106"/>
  <c r="H19" i="106"/>
  <c r="AO18" i="106"/>
  <c r="AN18" i="106"/>
  <c r="AC18" i="106"/>
  <c r="AB18" i="106"/>
  <c r="AA18" i="106"/>
  <c r="Z18" i="106"/>
  <c r="Y18" i="106"/>
  <c r="X18" i="106"/>
  <c r="U18" i="106"/>
  <c r="T18" i="106"/>
  <c r="L18" i="106"/>
  <c r="AO17" i="106"/>
  <c r="AN17" i="106"/>
  <c r="AB17" i="106"/>
  <c r="AA17" i="106"/>
  <c r="Z17" i="106"/>
  <c r="Y17" i="106"/>
  <c r="X17" i="106"/>
  <c r="U17" i="106"/>
  <c r="T17" i="106"/>
  <c r="H17" i="106"/>
  <c r="AO16" i="106"/>
  <c r="AN16" i="106"/>
  <c r="AB16" i="106"/>
  <c r="AA16" i="106"/>
  <c r="Z16" i="106"/>
  <c r="Y16" i="106"/>
  <c r="X16" i="106"/>
  <c r="U16" i="106"/>
  <c r="T16" i="106"/>
  <c r="L16" i="106"/>
  <c r="H16" i="106"/>
  <c r="AC16" i="106"/>
  <c r="H12" i="105"/>
  <c r="AO15" i="106"/>
  <c r="AN15" i="106"/>
  <c r="AC15" i="106"/>
  <c r="AB15" i="106"/>
  <c r="AA15" i="106"/>
  <c r="Z15" i="106"/>
  <c r="Y15" i="106"/>
  <c r="X15" i="106"/>
  <c r="U15" i="106"/>
  <c r="T15" i="106"/>
  <c r="AL15" i="106" s="1"/>
  <c r="AM15" i="106" s="1"/>
  <c r="L15" i="106"/>
  <c r="H15" i="106"/>
  <c r="I12" i="105"/>
  <c r="AO14" i="106"/>
  <c r="AN14" i="106"/>
  <c r="AC14" i="106"/>
  <c r="AB14" i="106"/>
  <c r="AA14" i="106"/>
  <c r="Z14" i="106"/>
  <c r="Y14" i="106"/>
  <c r="X14" i="106"/>
  <c r="U14" i="106"/>
  <c r="T14" i="106"/>
  <c r="AL14" i="106" s="1"/>
  <c r="AM14" i="106" s="1"/>
  <c r="L14" i="106"/>
  <c r="H14" i="106"/>
  <c r="AO13" i="106"/>
  <c r="AN13" i="106"/>
  <c r="AC13" i="106"/>
  <c r="AB13" i="106"/>
  <c r="AA13" i="106"/>
  <c r="Z13" i="106"/>
  <c r="Y13" i="106"/>
  <c r="X13" i="106"/>
  <c r="U13" i="106"/>
  <c r="T13" i="106"/>
  <c r="AL13" i="106" s="1"/>
  <c r="AM13" i="106" s="1"/>
  <c r="L13" i="106"/>
  <c r="H13" i="106"/>
  <c r="AL12" i="106"/>
  <c r="AM12" i="106" s="1"/>
  <c r="L12" i="106"/>
  <c r="AO11" i="106"/>
  <c r="AN11" i="106"/>
  <c r="AL11" i="106"/>
  <c r="H11" i="106"/>
  <c r="G11" i="106"/>
  <c r="L11" i="106" s="1"/>
  <c r="AO10" i="106"/>
  <c r="AN10" i="106"/>
  <c r="AM10" i="106"/>
  <c r="AL10" i="106"/>
  <c r="AC10" i="106"/>
  <c r="N10" i="106"/>
  <c r="L10" i="106"/>
  <c r="H10" i="106"/>
  <c r="AO9" i="106"/>
  <c r="AN9" i="106"/>
  <c r="AM9" i="106"/>
  <c r="AL9" i="106"/>
  <c r="N9" i="106"/>
  <c r="L9" i="106"/>
  <c r="H9" i="106"/>
  <c r="AO8" i="106"/>
  <c r="AN8" i="106"/>
  <c r="AL8" i="106"/>
  <c r="AM8" i="106" s="1"/>
  <c r="G8" i="106"/>
  <c r="F8" i="106"/>
  <c r="AO7" i="106"/>
  <c r="AN7" i="106"/>
  <c r="AC7" i="106"/>
  <c r="AL7" i="106" s="1"/>
  <c r="AM7" i="106" s="1"/>
  <c r="N7" i="106"/>
  <c r="L7" i="106"/>
  <c r="H7" i="106"/>
  <c r="AO6" i="106"/>
  <c r="AN6" i="106"/>
  <c r="AL6" i="106"/>
  <c r="AM6" i="106" s="1"/>
  <c r="N6" i="106"/>
  <c r="L6" i="106"/>
  <c r="H6" i="106"/>
  <c r="AL5" i="106"/>
  <c r="AM5" i="106" s="1"/>
  <c r="L5" i="106"/>
  <c r="AO4" i="106"/>
  <c r="AN4" i="106"/>
  <c r="AA4" i="106"/>
  <c r="Q4" i="107" s="1"/>
  <c r="Z4" i="106"/>
  <c r="P4" i="107" s="1"/>
  <c r="Y4" i="106"/>
  <c r="X4" i="106"/>
  <c r="N4" i="107" s="1"/>
  <c r="U4" i="106"/>
  <c r="T4" i="106"/>
  <c r="G4" i="106"/>
  <c r="AO3" i="106"/>
  <c r="AN3" i="106"/>
  <c r="AC3" i="106"/>
  <c r="AA3" i="106"/>
  <c r="Z3" i="106"/>
  <c r="X3" i="106"/>
  <c r="U3" i="106"/>
  <c r="T3" i="106"/>
  <c r="AL3" i="106" s="1"/>
  <c r="G3" i="106"/>
  <c r="F3" i="106"/>
  <c r="AG2" i="106"/>
  <c r="AH2" i="106" s="1"/>
  <c r="AI2" i="106" s="1"/>
  <c r="AJ2" i="106" s="1"/>
  <c r="AK2" i="106" s="1"/>
  <c r="AF2" i="106"/>
  <c r="AE2" i="106"/>
  <c r="AD2" i="106"/>
  <c r="AC94" i="106" s="1"/>
  <c r="L24" i="105"/>
  <c r="H24" i="105"/>
  <c r="D24" i="105"/>
  <c r="L19" i="105"/>
  <c r="M17" i="105"/>
  <c r="O17" i="105" s="1" a="1"/>
  <c r="O17" i="105" s="1"/>
  <c r="L17" i="105"/>
  <c r="M16" i="105"/>
  <c r="O16" i="105" s="1"/>
  <c r="L16" i="105"/>
  <c r="I16" i="105"/>
  <c r="E16" i="105" s="1"/>
  <c r="H16" i="105"/>
  <c r="D16" i="105"/>
  <c r="M15" i="105"/>
  <c r="O15" i="105" s="1"/>
  <c r="L15" i="105"/>
  <c r="K15" i="105"/>
  <c r="K35" i="105" s="1"/>
  <c r="I15" i="105"/>
  <c r="H15" i="105"/>
  <c r="D15" i="105"/>
  <c r="M13" i="105"/>
  <c r="L13" i="105"/>
  <c r="I13" i="105"/>
  <c r="H13" i="105"/>
  <c r="E13" i="105"/>
  <c r="D13" i="105"/>
  <c r="L10" i="105"/>
  <c r="I10" i="105"/>
  <c r="H10" i="105"/>
  <c r="J10" i="105" s="1"/>
  <c r="D10" i="105"/>
  <c r="M9" i="105"/>
  <c r="O7" i="105"/>
  <c r="M7" i="105"/>
  <c r="L7" i="105"/>
  <c r="H7" i="105"/>
  <c r="M6" i="105"/>
  <c r="O6" i="105" s="1"/>
  <c r="L6" i="105"/>
  <c r="H6" i="105"/>
  <c r="AM3" i="106" l="1"/>
  <c r="K12" i="105"/>
  <c r="K32" i="105" s="1"/>
  <c r="I14" i="105"/>
  <c r="J12" i="105"/>
  <c r="H14" i="105"/>
  <c r="AL16" i="106"/>
  <c r="AM16" i="106" s="1"/>
  <c r="O13" i="105"/>
  <c r="O33" i="105" s="1"/>
  <c r="L9" i="105"/>
  <c r="M12" i="105"/>
  <c r="G125" i="106"/>
  <c r="L8" i="106"/>
  <c r="K16" i="105" s="1"/>
  <c r="L17" i="106"/>
  <c r="AA29" i="106"/>
  <c r="I9" i="105"/>
  <c r="AC32" i="106"/>
  <c r="L33" i="106"/>
  <c r="AC42" i="106"/>
  <c r="AL42" i="106" s="1"/>
  <c r="AM42" i="106" s="1"/>
  <c r="AC47" i="106"/>
  <c r="AL47" i="106" s="1"/>
  <c r="AM47" i="106" s="1"/>
  <c r="L47" i="106"/>
  <c r="L56" i="106"/>
  <c r="H56" i="106"/>
  <c r="AC56" i="106"/>
  <c r="AL57" i="106"/>
  <c r="AM57" i="106" s="1"/>
  <c r="R9" i="107"/>
  <c r="AL18" i="106"/>
  <c r="AM18" i="106" s="1"/>
  <c r="H31" i="106"/>
  <c r="Z58" i="106"/>
  <c r="H61" i="106"/>
  <c r="AC61" i="106"/>
  <c r="H79" i="106"/>
  <c r="AL56" i="106"/>
  <c r="AM56" i="106" s="1"/>
  <c r="AL62" i="106"/>
  <c r="AM62" i="106" s="1"/>
  <c r="L117" i="106"/>
  <c r="H117" i="106"/>
  <c r="AL4" i="106"/>
  <c r="AM4" i="106" s="1"/>
  <c r="AL17" i="106"/>
  <c r="AM17" i="106" s="1"/>
  <c r="AL32" i="106"/>
  <c r="AM32" i="106" s="1"/>
  <c r="L44" i="106"/>
  <c r="H45" i="106"/>
  <c r="L54" i="106"/>
  <c r="L61" i="106"/>
  <c r="L112" i="106"/>
  <c r="H112" i="106"/>
  <c r="J16" i="105"/>
  <c r="AL55" i="106"/>
  <c r="AM55" i="106" s="1"/>
  <c r="F121" i="106"/>
  <c r="H41" i="106"/>
  <c r="H43" i="106"/>
  <c r="H19" i="105"/>
  <c r="D7" i="105"/>
  <c r="L28" i="106"/>
  <c r="L30" i="106"/>
  <c r="AL31" i="106"/>
  <c r="AM31" i="106" s="1"/>
  <c r="Q8" i="107"/>
  <c r="AL40" i="106"/>
  <c r="AM40" i="106" s="1"/>
  <c r="AL50" i="106"/>
  <c r="AM50" i="106" s="1"/>
  <c r="H59" i="106"/>
  <c r="AC59" i="106"/>
  <c r="AL82" i="106"/>
  <c r="AM82" i="106" s="1"/>
  <c r="L31" i="106"/>
  <c r="N16" i="105"/>
  <c r="U121" i="106"/>
  <c r="AC17" i="106"/>
  <c r="AC20" i="106"/>
  <c r="AL20" i="106" s="1"/>
  <c r="AM20" i="106" s="1"/>
  <c r="L20" i="106"/>
  <c r="O9" i="105" s="1"/>
  <c r="AL30" i="106"/>
  <c r="AM30" i="106" s="1"/>
  <c r="L37" i="106"/>
  <c r="AL38" i="106"/>
  <c r="AM38" i="106" s="1"/>
  <c r="H58" i="106"/>
  <c r="L4" i="106"/>
  <c r="H4" i="106"/>
  <c r="AB4" i="106"/>
  <c r="AL61" i="106"/>
  <c r="AM61" i="106" s="1"/>
  <c r="AL76" i="106"/>
  <c r="AM76" i="106" s="1"/>
  <c r="M8" i="105"/>
  <c r="O4" i="107"/>
  <c r="Y121" i="106"/>
  <c r="N10" i="105"/>
  <c r="AL37" i="106"/>
  <c r="AM37" i="106" s="1"/>
  <c r="L109" i="106"/>
  <c r="H109" i="106"/>
  <c r="M10" i="105"/>
  <c r="M11" i="105" s="1"/>
  <c r="L8" i="105"/>
  <c r="G121" i="106"/>
  <c r="G124" i="106"/>
  <c r="H3" i="106"/>
  <c r="AL29" i="106"/>
  <c r="AM29" i="106" s="1"/>
  <c r="I17" i="105"/>
  <c r="G15" i="105"/>
  <c r="G35" i="105" s="1"/>
  <c r="S9" i="107"/>
  <c r="H60" i="106"/>
  <c r="AA60" i="106"/>
  <c r="AL60" i="106" s="1"/>
  <c r="AM60" i="106" s="1"/>
  <c r="AL89" i="106"/>
  <c r="AM89" i="106" s="1"/>
  <c r="AM11" i="106"/>
  <c r="I7" i="105"/>
  <c r="L3" i="106"/>
  <c r="J7" i="105"/>
  <c r="K13" i="105"/>
  <c r="K33" i="105" s="1"/>
  <c r="H17" i="105"/>
  <c r="N13" i="105"/>
  <c r="M18" i="105"/>
  <c r="AC19" i="106"/>
  <c r="AC121" i="106" s="1"/>
  <c r="L19" i="106"/>
  <c r="AL25" i="106"/>
  <c r="AM25" i="106" s="1"/>
  <c r="L34" i="106"/>
  <c r="H35" i="106"/>
  <c r="AC46" i="106"/>
  <c r="AL49" i="106"/>
  <c r="AM49" i="106" s="1"/>
  <c r="N7" i="105"/>
  <c r="J15" i="105"/>
  <c r="AA121" i="106"/>
  <c r="L12" i="105"/>
  <c r="D12" i="105" s="1"/>
  <c r="J13" i="105"/>
  <c r="E15" i="105"/>
  <c r="S5" i="107"/>
  <c r="AL58" i="106"/>
  <c r="AM58" i="106" s="1"/>
  <c r="L63" i="106"/>
  <c r="AC63" i="106"/>
  <c r="AL63" i="106" s="1"/>
  <c r="AM63" i="106" s="1"/>
  <c r="AL64" i="106"/>
  <c r="AM64" i="106" s="1"/>
  <c r="N6" i="105"/>
  <c r="AL46" i="106"/>
  <c r="AM46" i="106" s="1"/>
  <c r="D6" i="105"/>
  <c r="I6" i="105"/>
  <c r="H9" i="105"/>
  <c r="N15" i="105"/>
  <c r="N17" i="105" s="1"/>
  <c r="H8" i="106"/>
  <c r="H18" i="106"/>
  <c r="AC43" i="106"/>
  <c r="H47" i="106"/>
  <c r="AL48" i="106"/>
  <c r="AM48" i="106" s="1"/>
  <c r="H63" i="106"/>
  <c r="L89" i="106"/>
  <c r="AC89" i="106"/>
  <c r="AL80" i="106"/>
  <c r="AM80" i="106" s="1"/>
  <c r="AM117" i="106"/>
  <c r="Z69" i="106"/>
  <c r="Z121" i="106" s="1"/>
  <c r="AM109" i="106"/>
  <c r="X121" i="106"/>
  <c r="AL43" i="106"/>
  <c r="AM43" i="106" s="1"/>
  <c r="AM112" i="106"/>
  <c r="AB34" i="106"/>
  <c r="AL34" i="106" s="1"/>
  <c r="AM34" i="106" s="1"/>
  <c r="H8" i="105"/>
  <c r="L52" i="106"/>
  <c r="H54" i="106"/>
  <c r="AC72" i="106"/>
  <c r="AL72" i="106" s="1"/>
  <c r="AM72" i="106" s="1"/>
  <c r="AC74" i="106"/>
  <c r="AL74" i="106" s="1"/>
  <c r="AM74" i="106" s="1"/>
  <c r="X8" i="107"/>
  <c r="N10" i="107"/>
  <c r="AL94" i="106"/>
  <c r="AM94" i="106" s="1"/>
  <c r="AM110" i="106"/>
  <c r="L110" i="106"/>
  <c r="H110" i="106"/>
  <c r="Z115" i="106"/>
  <c r="AA115" i="106" s="1"/>
  <c r="AB115" i="106" s="1"/>
  <c r="AC115" i="106" s="1"/>
  <c r="AD115" i="106" s="1"/>
  <c r="AM97" i="106"/>
  <c r="L97" i="106"/>
  <c r="V12" i="107"/>
  <c r="AC66" i="106"/>
  <c r="AL66" i="106" s="1"/>
  <c r="AM66" i="106" s="1"/>
  <c r="H97" i="106"/>
  <c r="L107" i="106"/>
  <c r="H107" i="106"/>
  <c r="H33" i="106"/>
  <c r="H70" i="106"/>
  <c r="AL77" i="106"/>
  <c r="AM77" i="106" s="1"/>
  <c r="AL87" i="106"/>
  <c r="AM87" i="106" s="1"/>
  <c r="H25" i="107"/>
  <c r="AC78" i="106"/>
  <c r="AL78" i="106" s="1"/>
  <c r="AM78" i="106" s="1"/>
  <c r="AC88" i="106"/>
  <c r="AL88" i="106" s="1"/>
  <c r="AM88" i="106" s="1"/>
  <c r="AL93" i="106"/>
  <c r="AM93" i="106" s="1"/>
  <c r="L111" i="106"/>
  <c r="H111" i="106"/>
  <c r="H69" i="106"/>
  <c r="AM108" i="106"/>
  <c r="L108" i="106"/>
  <c r="H108" i="106"/>
  <c r="AL59" i="106"/>
  <c r="AM59" i="106" s="1"/>
  <c r="AB68" i="106"/>
  <c r="AL68" i="106" s="1"/>
  <c r="AM68" i="106" s="1"/>
  <c r="L68" i="106"/>
  <c r="L72" i="106"/>
  <c r="H74" i="106"/>
  <c r="L80" i="106"/>
  <c r="H95" i="106"/>
  <c r="L98" i="106"/>
  <c r="AM111" i="106"/>
  <c r="AL69" i="106"/>
  <c r="AM69" i="106" s="1"/>
  <c r="V15" i="107"/>
  <c r="AC93" i="106"/>
  <c r="AM98" i="106"/>
  <c r="AM100" i="106"/>
  <c r="AC70" i="106"/>
  <c r="AL70" i="106" s="1"/>
  <c r="AM70" i="106" s="1"/>
  <c r="AC76" i="106"/>
  <c r="AC92" i="106"/>
  <c r="AL92" i="106" s="1"/>
  <c r="AM92" i="106" s="1"/>
  <c r="I8" i="107"/>
  <c r="Y12" i="107"/>
  <c r="Y15" i="107"/>
  <c r="H118" i="106"/>
  <c r="U5" i="107"/>
  <c r="R7" i="107"/>
  <c r="V9" i="107"/>
  <c r="D12" i="107"/>
  <c r="X12" i="107" s="1"/>
  <c r="Z12" i="107"/>
  <c r="D15" i="107"/>
  <c r="X15" i="107" s="1"/>
  <c r="Z15" i="107"/>
  <c r="V5" i="107"/>
  <c r="V8" i="107" s="1"/>
  <c r="M6" i="107"/>
  <c r="S7" i="107"/>
  <c r="W9" i="107"/>
  <c r="AA12" i="107"/>
  <c r="AA15" i="107"/>
  <c r="H113" i="106"/>
  <c r="W5" i="107"/>
  <c r="T7" i="107"/>
  <c r="X9" i="107"/>
  <c r="L99" i="106"/>
  <c r="K10" i="105" s="1"/>
  <c r="H116" i="106"/>
  <c r="X5" i="107"/>
  <c r="Y9" i="107"/>
  <c r="M12" i="107"/>
  <c r="M15" i="107"/>
  <c r="AC26" i="106"/>
  <c r="AL26" i="106" s="1"/>
  <c r="AM26" i="106" s="1"/>
  <c r="AC44" i="106"/>
  <c r="AL44" i="106" s="1"/>
  <c r="AM44" i="106" s="1"/>
  <c r="AC60" i="106"/>
  <c r="AC86" i="106"/>
  <c r="AL86" i="106" s="1"/>
  <c r="AM86" i="106" s="1"/>
  <c r="H115" i="106"/>
  <c r="Y5" i="107"/>
  <c r="V7" i="107"/>
  <c r="Z9" i="107"/>
  <c r="N12" i="107"/>
  <c r="N15" i="107"/>
  <c r="AC85" i="106"/>
  <c r="AL85" i="106" s="1"/>
  <c r="AM85" i="106" s="1"/>
  <c r="Z5" i="107"/>
  <c r="Z8" i="107" s="1"/>
  <c r="G7" i="107"/>
  <c r="W7" i="107"/>
  <c r="AA9" i="107"/>
  <c r="O12" i="107"/>
  <c r="O15" i="107"/>
  <c r="AC84" i="106"/>
  <c r="AL84" i="106" s="1"/>
  <c r="AM84" i="106" s="1"/>
  <c r="G5" i="107"/>
  <c r="G8" i="107" s="1"/>
  <c r="AA5" i="107"/>
  <c r="R6" i="107"/>
  <c r="H7" i="107"/>
  <c r="X7" i="107"/>
  <c r="P12" i="107"/>
  <c r="P15" i="107"/>
  <c r="I7" i="107"/>
  <c r="Y7" i="107"/>
  <c r="M9" i="107"/>
  <c r="Y10" i="107"/>
  <c r="Q12" i="107"/>
  <c r="Q15" i="107"/>
  <c r="C17" i="107"/>
  <c r="M5" i="107"/>
  <c r="T6" i="107"/>
  <c r="J7" i="107"/>
  <c r="Z7" i="107"/>
  <c r="N9" i="107"/>
  <c r="D10" i="107"/>
  <c r="X10" i="107" s="1"/>
  <c r="R12" i="107"/>
  <c r="R15" i="107"/>
  <c r="D17" i="107"/>
  <c r="N5" i="107"/>
  <c r="N8" i="107" s="1"/>
  <c r="U6" i="107"/>
  <c r="K7" i="107"/>
  <c r="K8" i="107" s="1"/>
  <c r="AA7" i="107"/>
  <c r="O9" i="107"/>
  <c r="S12" i="107"/>
  <c r="S15" i="107"/>
  <c r="O5" i="107"/>
  <c r="V6" i="107"/>
  <c r="L7" i="107"/>
  <c r="L8" i="107" s="1"/>
  <c r="P9" i="107"/>
  <c r="T12" i="107"/>
  <c r="T15" i="107"/>
  <c r="C20" i="107"/>
  <c r="AC67" i="106"/>
  <c r="AL67" i="106" s="1"/>
  <c r="AM67" i="106" s="1"/>
  <c r="AC79" i="106"/>
  <c r="AL79" i="106" s="1"/>
  <c r="AM79" i="106" s="1"/>
  <c r="AC95" i="106"/>
  <c r="AL95" i="106" s="1"/>
  <c r="AM95" i="106" s="1"/>
  <c r="P5" i="107"/>
  <c r="P8" i="107" s="1"/>
  <c r="G6" i="107"/>
  <c r="W6" i="107"/>
  <c r="M7" i="107"/>
  <c r="Q9" i="107"/>
  <c r="M10" i="107"/>
  <c r="C11" i="107"/>
  <c r="U12" i="107"/>
  <c r="C14" i="107"/>
  <c r="U15" i="107"/>
  <c r="D20" i="107"/>
  <c r="D25" i="107" s="1"/>
  <c r="H6" i="107"/>
  <c r="H8" i="107" s="1"/>
  <c r="K36" i="105" l="1"/>
  <c r="G16" i="105"/>
  <c r="G36" i="105" s="1"/>
  <c r="O29" i="105"/>
  <c r="O18" i="105"/>
  <c r="K30" i="105"/>
  <c r="Y25" i="107"/>
  <c r="K9" i="105"/>
  <c r="K29" i="105" s="1"/>
  <c r="E9" i="105"/>
  <c r="I11" i="105"/>
  <c r="F10" i="105"/>
  <c r="J8" i="107"/>
  <c r="E4" i="107"/>
  <c r="G25" i="107"/>
  <c r="E5" i="107"/>
  <c r="M25" i="107"/>
  <c r="AA8" i="107"/>
  <c r="AL19" i="106"/>
  <c r="AM19" i="106" s="1"/>
  <c r="S8" i="107"/>
  <c r="F12" i="105"/>
  <c r="J14" i="105"/>
  <c r="E6" i="107"/>
  <c r="AA10" i="107"/>
  <c r="N17" i="107"/>
  <c r="M17" i="107"/>
  <c r="AA17" i="107"/>
  <c r="Z17" i="107"/>
  <c r="C22" i="107"/>
  <c r="Y17" i="107"/>
  <c r="X17" i="107"/>
  <c r="W17" i="107"/>
  <c r="V17" i="107"/>
  <c r="U17" i="107"/>
  <c r="T17" i="107"/>
  <c r="S17" i="107"/>
  <c r="R17" i="107"/>
  <c r="Q17" i="107"/>
  <c r="P17" i="107"/>
  <c r="O17" i="107"/>
  <c r="S10" i="107"/>
  <c r="S25" i="107" s="1"/>
  <c r="E15" i="107"/>
  <c r="F13" i="105"/>
  <c r="E17" i="105"/>
  <c r="K17" i="105" a="1"/>
  <c r="K17" i="105" s="1"/>
  <c r="K37" i="105" s="1"/>
  <c r="M14" i="105"/>
  <c r="O12" i="105"/>
  <c r="O32" i="105" s="1"/>
  <c r="G12" i="105"/>
  <c r="G32" i="105" s="1"/>
  <c r="E12" i="107"/>
  <c r="J9" i="105"/>
  <c r="D9" i="105"/>
  <c r="H18" i="105"/>
  <c r="H11" i="105"/>
  <c r="H20" i="105" s="1"/>
  <c r="M20" i="105"/>
  <c r="O8" i="105" a="1"/>
  <c r="O8" i="105" s="1"/>
  <c r="T8" i="107"/>
  <c r="L11" i="105"/>
  <c r="N9" i="105"/>
  <c r="E12" i="105"/>
  <c r="F6" i="107"/>
  <c r="AC6" i="107" s="1"/>
  <c r="J6" i="105"/>
  <c r="E6" i="105"/>
  <c r="G6" i="105" s="1"/>
  <c r="G26" i="105" s="1"/>
  <c r="I18" i="105"/>
  <c r="I8" i="105"/>
  <c r="K6" i="105"/>
  <c r="K26" i="105" s="1"/>
  <c r="N12" i="105"/>
  <c r="L14" i="105"/>
  <c r="H121" i="106"/>
  <c r="J121" i="106" s="1"/>
  <c r="G13" i="105"/>
  <c r="G33" i="105" s="1"/>
  <c r="L18" i="105"/>
  <c r="E9" i="107"/>
  <c r="AA20" i="107"/>
  <c r="AA25" i="107" s="1"/>
  <c r="Z20" i="107"/>
  <c r="Y20" i="107"/>
  <c r="X20" i="107"/>
  <c r="W20" i="107"/>
  <c r="V20" i="107"/>
  <c r="U20" i="107"/>
  <c r="T20" i="107"/>
  <c r="S20" i="107"/>
  <c r="R20" i="107"/>
  <c r="Q20" i="107"/>
  <c r="P20" i="107"/>
  <c r="O20" i="107"/>
  <c r="N20" i="107"/>
  <c r="D17" i="105"/>
  <c r="G126" i="106"/>
  <c r="G127" i="106" s="1"/>
  <c r="N25" i="107"/>
  <c r="F5" i="107"/>
  <c r="AC5" i="107" s="1"/>
  <c r="F16" i="105"/>
  <c r="M8" i="107"/>
  <c r="J17" i="105"/>
  <c r="F15" i="105"/>
  <c r="R4" i="107"/>
  <c r="F4" i="107" s="1"/>
  <c r="AC4" i="107" s="1"/>
  <c r="AB121" i="106"/>
  <c r="E7" i="107"/>
  <c r="F15" i="107"/>
  <c r="AC15" i="107" s="1"/>
  <c r="Y8" i="107"/>
  <c r="D8" i="105"/>
  <c r="N8" i="105"/>
  <c r="N18" i="105"/>
  <c r="N19" i="105"/>
  <c r="F7" i="105"/>
  <c r="J19" i="105"/>
  <c r="O25" i="107"/>
  <c r="K14" i="105" a="1"/>
  <c r="K14" i="105" s="1"/>
  <c r="K34" i="105" s="1"/>
  <c r="X25" i="107"/>
  <c r="Z14" i="107"/>
  <c r="Y14" i="107"/>
  <c r="X14" i="107"/>
  <c r="W14" i="107"/>
  <c r="V14" i="107"/>
  <c r="U14" i="107"/>
  <c r="T14" i="107"/>
  <c r="S14" i="107"/>
  <c r="R14" i="107"/>
  <c r="C19" i="107"/>
  <c r="Q14" i="107"/>
  <c r="P14" i="107"/>
  <c r="O14" i="107"/>
  <c r="N14" i="107"/>
  <c r="M14" i="107"/>
  <c r="AA14" i="107"/>
  <c r="Z10" i="107"/>
  <c r="Z13" i="107" s="1"/>
  <c r="F12" i="107"/>
  <c r="W15" i="107"/>
  <c r="F7" i="107"/>
  <c r="AC7" i="107" s="1"/>
  <c r="L121" i="106"/>
  <c r="I121" i="106" s="1"/>
  <c r="O10" i="105"/>
  <c r="M19" i="105"/>
  <c r="E10" i="105"/>
  <c r="D19" i="105"/>
  <c r="O8" i="107"/>
  <c r="D18" i="105"/>
  <c r="W10" i="107"/>
  <c r="W25" i="107" s="1"/>
  <c r="V10" i="107"/>
  <c r="V13" i="107" s="1"/>
  <c r="U10" i="107"/>
  <c r="T10" i="107"/>
  <c r="Q10" i="107"/>
  <c r="P10" i="107"/>
  <c r="P25" i="107" s="1"/>
  <c r="O10" i="107"/>
  <c r="F10" i="107" s="1"/>
  <c r="AC10" i="107" s="1"/>
  <c r="W12" i="107"/>
  <c r="AD121" i="106"/>
  <c r="AE115" i="106"/>
  <c r="K7" i="105"/>
  <c r="K27" i="105" s="1"/>
  <c r="G7" i="105"/>
  <c r="G27" i="105" s="1"/>
  <c r="I19" i="105"/>
  <c r="E7" i="105"/>
  <c r="V25" i="107"/>
  <c r="U8" i="107"/>
  <c r="Z11" i="107"/>
  <c r="Y11" i="107"/>
  <c r="Y13" i="107" s="1"/>
  <c r="X11" i="107"/>
  <c r="X13" i="107" s="1"/>
  <c r="W11" i="107"/>
  <c r="V11" i="107"/>
  <c r="U11" i="107"/>
  <c r="T11" i="107"/>
  <c r="S11" i="107"/>
  <c r="R11" i="107"/>
  <c r="R13" i="107" s="1"/>
  <c r="C16" i="107"/>
  <c r="Q11" i="107"/>
  <c r="P11" i="107"/>
  <c r="O11" i="107"/>
  <c r="N11" i="107"/>
  <c r="M11" i="107"/>
  <c r="E11" i="107" s="1"/>
  <c r="AA11" i="107"/>
  <c r="AA13" i="107" s="1"/>
  <c r="F9" i="107"/>
  <c r="AC9" i="107" s="1"/>
  <c r="R10" i="107"/>
  <c r="W8" i="107"/>
  <c r="H22" i="105" l="1"/>
  <c r="E8" i="107"/>
  <c r="V24" i="107"/>
  <c r="U27" i="107"/>
  <c r="X24" i="107"/>
  <c r="P27" i="107"/>
  <c r="F11" i="107"/>
  <c r="AC11" i="107" s="1"/>
  <c r="Q25" i="107"/>
  <c r="Z25" i="107"/>
  <c r="E25" i="107"/>
  <c r="E19" i="105"/>
  <c r="T25" i="107"/>
  <c r="T13" i="107"/>
  <c r="O30" i="105"/>
  <c r="O19" i="105"/>
  <c r="G19" i="105" s="1"/>
  <c r="O14" i="105" a="1"/>
  <c r="O14" i="105" s="1"/>
  <c r="O34" i="105" s="1"/>
  <c r="K19" i="105"/>
  <c r="U13" i="107"/>
  <c r="O19" i="107"/>
  <c r="O24" i="107" s="1"/>
  <c r="N19" i="107"/>
  <c r="M19" i="107"/>
  <c r="L19" i="107"/>
  <c r="AA19" i="107"/>
  <c r="H19" i="107"/>
  <c r="Z19" i="107"/>
  <c r="Z24" i="107" s="1"/>
  <c r="G19" i="107"/>
  <c r="Y19" i="107"/>
  <c r="X19" i="107"/>
  <c r="W19" i="107"/>
  <c r="W24" i="107" s="1"/>
  <c r="V19" i="107"/>
  <c r="U19" i="107"/>
  <c r="U24" i="107" s="1"/>
  <c r="T19" i="107"/>
  <c r="T24" i="107" s="1"/>
  <c r="S19" i="107"/>
  <c r="R19" i="107"/>
  <c r="Q19" i="107"/>
  <c r="P19" i="107"/>
  <c r="P24" i="107" s="1"/>
  <c r="E20" i="107"/>
  <c r="F20" i="107"/>
  <c r="AC20" i="107" s="1"/>
  <c r="M13" i="107"/>
  <c r="E13" i="107" s="1"/>
  <c r="F14" i="105"/>
  <c r="W13" i="107"/>
  <c r="D14" i="105"/>
  <c r="S18" i="107"/>
  <c r="E18" i="105"/>
  <c r="J18" i="105"/>
  <c r="F6" i="105"/>
  <c r="J8" i="105"/>
  <c r="AE121" i="106"/>
  <c r="AL115" i="106"/>
  <c r="S24" i="107"/>
  <c r="D11" i="105"/>
  <c r="W18" i="107"/>
  <c r="F19" i="105"/>
  <c r="E10" i="107"/>
  <c r="O11" i="105" a="1"/>
  <c r="O11" i="105" s="1"/>
  <c r="R25" i="107"/>
  <c r="AC12" i="107"/>
  <c r="J11" i="105"/>
  <c r="F9" i="105"/>
  <c r="X22" i="107"/>
  <c r="X27" i="107" s="1"/>
  <c r="H22" i="107"/>
  <c r="H27" i="107" s="1"/>
  <c r="W22" i="107"/>
  <c r="W27" i="107" s="1"/>
  <c r="G22" i="107"/>
  <c r="V22" i="107"/>
  <c r="V27" i="107" s="1"/>
  <c r="U22" i="107"/>
  <c r="T22" i="107"/>
  <c r="T27" i="107" s="1"/>
  <c r="S22" i="107"/>
  <c r="S27" i="107" s="1"/>
  <c r="R22" i="107"/>
  <c r="R27" i="107" s="1"/>
  <c r="Q22" i="107"/>
  <c r="Q27" i="107" s="1"/>
  <c r="P22" i="107"/>
  <c r="O22" i="107"/>
  <c r="O27" i="107" s="1"/>
  <c r="N22" i="107"/>
  <c r="M22" i="107"/>
  <c r="M27" i="107" s="1"/>
  <c r="L22" i="107"/>
  <c r="L27" i="107" s="1"/>
  <c r="AA22" i="107"/>
  <c r="AA27" i="107" s="1"/>
  <c r="K22" i="107"/>
  <c r="K27" i="107" s="1"/>
  <c r="Z22" i="107"/>
  <c r="Z27" i="107" s="1"/>
  <c r="J22" i="107"/>
  <c r="J27" i="107" s="1"/>
  <c r="Y22" i="107"/>
  <c r="Y27" i="107" s="1"/>
  <c r="I22" i="107"/>
  <c r="I27" i="107" s="1"/>
  <c r="Q13" i="107"/>
  <c r="M22" i="105"/>
  <c r="F25" i="107"/>
  <c r="AC25" i="107" s="1"/>
  <c r="P13" i="107"/>
  <c r="R8" i="107"/>
  <c r="R24" i="107"/>
  <c r="N14" i="105"/>
  <c r="Q24" i="107"/>
  <c r="E17" i="107"/>
  <c r="E11" i="105"/>
  <c r="K11" i="105" a="1"/>
  <c r="K11" i="105" s="1"/>
  <c r="K31" i="105" s="1"/>
  <c r="G11" i="105"/>
  <c r="G31" i="105" s="1"/>
  <c r="F17" i="105"/>
  <c r="I20" i="105"/>
  <c r="K8" i="105" a="1"/>
  <c r="K8" i="105" s="1"/>
  <c r="K28" i="105" s="1"/>
  <c r="E8" i="105"/>
  <c r="R16" i="107"/>
  <c r="R18" i="107" s="1"/>
  <c r="Q16" i="107"/>
  <c r="P16" i="107"/>
  <c r="O16" i="107"/>
  <c r="N16" i="107"/>
  <c r="M16" i="107"/>
  <c r="E16" i="107" s="1"/>
  <c r="AA16" i="107"/>
  <c r="AA18" i="107" s="1"/>
  <c r="Z16" i="107"/>
  <c r="Y16" i="107"/>
  <c r="Y18" i="107" s="1"/>
  <c r="X16" i="107"/>
  <c r="X18" i="107" s="1"/>
  <c r="W16" i="107"/>
  <c r="V16" i="107"/>
  <c r="V18" i="107" s="1"/>
  <c r="U16" i="107"/>
  <c r="U18" i="107" s="1"/>
  <c r="T16" i="107"/>
  <c r="C21" i="107"/>
  <c r="S16" i="107"/>
  <c r="S13" i="107"/>
  <c r="F8" i="107"/>
  <c r="N13" i="107"/>
  <c r="E14" i="107"/>
  <c r="F17" i="107"/>
  <c r="AC17" i="107" s="1"/>
  <c r="G9" i="105"/>
  <c r="G29" i="105" s="1"/>
  <c r="G10" i="105"/>
  <c r="G30" i="105" s="1"/>
  <c r="L20" i="105"/>
  <c r="K18" i="105"/>
  <c r="G18" i="105" s="1"/>
  <c r="G17" i="105"/>
  <c r="G37" i="105" s="1"/>
  <c r="O13" i="107"/>
  <c r="U25" i="107"/>
  <c r="F14" i="107"/>
  <c r="AC14" i="107" s="1"/>
  <c r="E14" i="105"/>
  <c r="N11" i="105"/>
  <c r="P26" i="107" l="1"/>
  <c r="P28" i="107" s="1"/>
  <c r="Q26" i="107"/>
  <c r="F18" i="105"/>
  <c r="O18" i="107"/>
  <c r="Q18" i="107"/>
  <c r="P18" i="107"/>
  <c r="E19" i="107"/>
  <c r="G24" i="107"/>
  <c r="M18" i="107"/>
  <c r="F16" i="107"/>
  <c r="AC16" i="107" s="1"/>
  <c r="AA24" i="107"/>
  <c r="Z18" i="107"/>
  <c r="AC8" i="107"/>
  <c r="L24" i="107"/>
  <c r="H24" i="107"/>
  <c r="F13" i="107"/>
  <c r="AC13" i="107" s="1"/>
  <c r="F22" i="107"/>
  <c r="AC22" i="107" s="1"/>
  <c r="N27" i="107"/>
  <c r="F27" i="107" s="1"/>
  <c r="AC27" i="107" s="1"/>
  <c r="M23" i="107"/>
  <c r="M24" i="107"/>
  <c r="U26" i="107"/>
  <c r="U28" i="107" s="1"/>
  <c r="R23" i="107"/>
  <c r="R29" i="107" s="1"/>
  <c r="Y24" i="107"/>
  <c r="F19" i="107"/>
  <c r="AC19" i="107" s="1"/>
  <c r="L22" i="105"/>
  <c r="Q28" i="107"/>
  <c r="Q23" i="107"/>
  <c r="N20" i="105"/>
  <c r="R21" i="107"/>
  <c r="R26" i="107" s="1"/>
  <c r="R28" i="107" s="1"/>
  <c r="Q21" i="107"/>
  <c r="P21" i="107"/>
  <c r="O21" i="107"/>
  <c r="O23" i="107" s="1"/>
  <c r="N21" i="107"/>
  <c r="F21" i="107" s="1"/>
  <c r="M21" i="107"/>
  <c r="M26" i="107" s="1"/>
  <c r="L21" i="107"/>
  <c r="L26" i="107" s="1"/>
  <c r="AA21" i="107"/>
  <c r="AA26" i="107" s="1"/>
  <c r="K21" i="107"/>
  <c r="Z21" i="107"/>
  <c r="Z23" i="107" s="1"/>
  <c r="J21" i="107"/>
  <c r="Y21" i="107"/>
  <c r="Y23" i="107" s="1"/>
  <c r="I21" i="107"/>
  <c r="X21" i="107"/>
  <c r="X26" i="107" s="1"/>
  <c r="X28" i="107" s="1"/>
  <c r="H21" i="107"/>
  <c r="H26" i="107" s="1"/>
  <c r="W21" i="107"/>
  <c r="W23" i="107" s="1"/>
  <c r="G21" i="107"/>
  <c r="G23" i="107" s="1"/>
  <c r="V21" i="107"/>
  <c r="V26" i="107" s="1"/>
  <c r="V28" i="107" s="1"/>
  <c r="U21" i="107"/>
  <c r="T21" i="107"/>
  <c r="T23" i="107" s="1"/>
  <c r="S21" i="107"/>
  <c r="S26" i="107" s="1"/>
  <c r="S28" i="107" s="1"/>
  <c r="AM115" i="106"/>
  <c r="AM121" i="106" s="1"/>
  <c r="AL121" i="106"/>
  <c r="D20" i="105"/>
  <c r="Q29" i="107"/>
  <c r="O31" i="105"/>
  <c r="O20" i="105"/>
  <c r="O40" i="105" s="1"/>
  <c r="U23" i="107"/>
  <c r="U29" i="107" s="1"/>
  <c r="P23" i="107"/>
  <c r="P29" i="107" s="1"/>
  <c r="K20" i="105"/>
  <c r="K40" i="105" s="1"/>
  <c r="E22" i="107"/>
  <c r="G27" i="107"/>
  <c r="J20" i="105"/>
  <c r="F8" i="105"/>
  <c r="V23" i="107"/>
  <c r="V29" i="107" s="1"/>
  <c r="N24" i="107"/>
  <c r="F11" i="105"/>
  <c r="T18" i="107"/>
  <c r="E20" i="105"/>
  <c r="I22" i="105"/>
  <c r="N18" i="107"/>
  <c r="F18" i="107" s="1"/>
  <c r="G14" i="105"/>
  <c r="G34" i="105" s="1"/>
  <c r="G8" i="105"/>
  <c r="G28" i="105" s="1"/>
  <c r="M29" i="107" l="1"/>
  <c r="W29" i="107"/>
  <c r="AA28" i="107"/>
  <c r="N26" i="107"/>
  <c r="AA23" i="107"/>
  <c r="AA29" i="107" s="1"/>
  <c r="X23" i="107"/>
  <c r="X29" i="107" s="1"/>
  <c r="I23" i="107"/>
  <c r="I26" i="107"/>
  <c r="I28" i="107" s="1"/>
  <c r="F24" i="107"/>
  <c r="AC24" i="107" s="1"/>
  <c r="N28" i="107"/>
  <c r="F28" i="107" s="1"/>
  <c r="K23" i="107"/>
  <c r="K26" i="107"/>
  <c r="K28" i="107" s="1"/>
  <c r="H23" i="107"/>
  <c r="H29" i="107" s="1"/>
  <c r="E24" i="107"/>
  <c r="Y26" i="107"/>
  <c r="Y29" i="107" s="1"/>
  <c r="T26" i="107"/>
  <c r="T28" i="107" s="1"/>
  <c r="J23" i="107"/>
  <c r="J26" i="107"/>
  <c r="J28" i="107" s="1"/>
  <c r="N23" i="107"/>
  <c r="AC18" i="107"/>
  <c r="O26" i="107"/>
  <c r="O28" i="107" s="1"/>
  <c r="D21" i="105"/>
  <c r="D22" i="105"/>
  <c r="H21" i="105"/>
  <c r="E18" i="107"/>
  <c r="W26" i="107"/>
  <c r="W28" i="107" s="1"/>
  <c r="S23" i="107"/>
  <c r="S29" i="107" s="1"/>
  <c r="Z26" i="107"/>
  <c r="Z28" i="107" s="1"/>
  <c r="E27" i="107"/>
  <c r="L23" i="107"/>
  <c r="L29" i="107" s="1"/>
  <c r="N22" i="105"/>
  <c r="T29" i="107"/>
  <c r="H28" i="107"/>
  <c r="F20" i="105"/>
  <c r="J21" i="105"/>
  <c r="J22" i="105"/>
  <c r="E21" i="105"/>
  <c r="E22" i="105"/>
  <c r="AC21" i="107"/>
  <c r="L28" i="107"/>
  <c r="G20" i="105"/>
  <c r="G40" i="105" s="1"/>
  <c r="I21" i="105"/>
  <c r="E21" i="107"/>
  <c r="G26" i="107"/>
  <c r="G29" i="107" s="1"/>
  <c r="M28" i="107"/>
  <c r="Z29" i="107"/>
  <c r="F26" i="107" l="1"/>
  <c r="AC26" i="107" s="1"/>
  <c r="E26" i="107"/>
  <c r="J29" i="107"/>
  <c r="Y28" i="107"/>
  <c r="AC28" i="107" s="1"/>
  <c r="AC29" i="107" s="1"/>
  <c r="E23" i="107"/>
  <c r="F22" i="105"/>
  <c r="I29" i="107"/>
  <c r="F23" i="107"/>
  <c r="N29" i="107"/>
  <c r="G28" i="107"/>
  <c r="E28" i="107" s="1"/>
  <c r="O29" i="107"/>
  <c r="E29" i="107"/>
  <c r="K29" i="107"/>
  <c r="AC23" i="107" l="1"/>
  <c r="F29" i="107"/>
  <c r="K55" i="58" l="1"/>
  <c r="L55" i="58" s="1"/>
  <c r="K54" i="58"/>
  <c r="L54" i="58" s="1"/>
  <c r="K53" i="58" l="1"/>
  <c r="L53" i="58" s="1"/>
  <c r="G47" i="2" l="1"/>
  <c r="K52" i="58" l="1"/>
  <c r="L52" i="58"/>
  <c r="L62" i="100" l="1"/>
  <c r="G62" i="100"/>
  <c r="L61" i="100"/>
  <c r="G61" i="100"/>
  <c r="L60" i="100"/>
  <c r="G60" i="100"/>
  <c r="L59" i="100"/>
  <c r="G59" i="100"/>
  <c r="G58" i="100"/>
  <c r="G57" i="100"/>
  <c r="L56" i="100"/>
  <c r="G56" i="100"/>
  <c r="L55" i="100"/>
  <c r="G55" i="100"/>
  <c r="L54" i="100"/>
  <c r="G54" i="100"/>
  <c r="L53" i="100"/>
  <c r="G53" i="100"/>
  <c r="L52" i="100"/>
  <c r="G52" i="100"/>
  <c r="L51" i="100"/>
  <c r="G51" i="100"/>
  <c r="L50" i="100"/>
  <c r="G50" i="100"/>
  <c r="L49" i="100"/>
  <c r="G49" i="100"/>
  <c r="L48" i="100"/>
  <c r="G48" i="100"/>
  <c r="L47" i="100"/>
  <c r="G47" i="100"/>
  <c r="L46" i="100"/>
  <c r="G46" i="100"/>
  <c r="L45" i="100"/>
  <c r="G45" i="100"/>
  <c r="G44" i="100"/>
  <c r="L43" i="100"/>
  <c r="G43" i="100"/>
  <c r="L42" i="100"/>
  <c r="G42" i="100"/>
  <c r="L41" i="100"/>
  <c r="G41" i="100"/>
  <c r="S15" i="100" s="1"/>
  <c r="L40" i="100"/>
  <c r="G40" i="100"/>
  <c r="S16" i="100" s="1"/>
  <c r="P16" i="100" s="1"/>
  <c r="L39" i="100"/>
  <c r="G39" i="100"/>
  <c r="L38" i="100"/>
  <c r="G38" i="100"/>
  <c r="L37" i="100"/>
  <c r="G37" i="100"/>
  <c r="L36" i="100"/>
  <c r="G36" i="100"/>
  <c r="F35" i="100"/>
  <c r="L35" i="100" s="1"/>
  <c r="L34" i="100"/>
  <c r="G34" i="100"/>
  <c r="P33" i="100"/>
  <c r="L33" i="100"/>
  <c r="G33" i="100"/>
  <c r="P32" i="100"/>
  <c r="L32" i="100"/>
  <c r="G32" i="100"/>
  <c r="P31" i="100"/>
  <c r="L31" i="100"/>
  <c r="G31" i="100"/>
  <c r="P30" i="100"/>
  <c r="L30" i="100"/>
  <c r="G30" i="100"/>
  <c r="L29" i="100"/>
  <c r="G29" i="100"/>
  <c r="L28" i="100"/>
  <c r="G28" i="100"/>
  <c r="P27" i="100"/>
  <c r="L27" i="100"/>
  <c r="G27" i="100"/>
  <c r="P26" i="100"/>
  <c r="L26" i="100"/>
  <c r="P25" i="100"/>
  <c r="L25" i="100"/>
  <c r="P24" i="100"/>
  <c r="L24" i="100"/>
  <c r="L23" i="100"/>
  <c r="H23" i="100"/>
  <c r="L22" i="100"/>
  <c r="H22" i="100"/>
  <c r="L21" i="100"/>
  <c r="H21" i="100"/>
  <c r="L20" i="100"/>
  <c r="H20" i="100"/>
  <c r="S19" i="100"/>
  <c r="P19" i="100" s="1"/>
  <c r="R19" i="100"/>
  <c r="L19" i="100"/>
  <c r="H19" i="100"/>
  <c r="S18" i="100"/>
  <c r="P18" i="100" s="1"/>
  <c r="R18" i="100"/>
  <c r="L18" i="100"/>
  <c r="H18" i="100"/>
  <c r="L17" i="100"/>
  <c r="H17" i="100"/>
  <c r="R16" i="100"/>
  <c r="L16" i="100"/>
  <c r="R15" i="100"/>
  <c r="L15" i="100"/>
  <c r="H15" i="100"/>
  <c r="L14" i="100"/>
  <c r="H14" i="100"/>
  <c r="S13" i="100"/>
  <c r="R13" i="100"/>
  <c r="T13" i="100" s="1"/>
  <c r="P13" i="100"/>
  <c r="L13" i="100"/>
  <c r="H13" i="100"/>
  <c r="S12" i="100"/>
  <c r="P12" i="100" s="1"/>
  <c r="R12" i="100"/>
  <c r="L12" i="100"/>
  <c r="H12" i="100"/>
  <c r="L11" i="100"/>
  <c r="H11" i="100"/>
  <c r="S10" i="100"/>
  <c r="R10" i="100"/>
  <c r="L10" i="100"/>
  <c r="H10" i="100"/>
  <c r="L9" i="100"/>
  <c r="S8" i="100"/>
  <c r="P8" i="100" s="1"/>
  <c r="R8" i="100"/>
  <c r="L8" i="100"/>
  <c r="H8" i="100"/>
  <c r="S7" i="100"/>
  <c r="P7" i="100" s="1"/>
  <c r="R7" i="100"/>
  <c r="H7" i="100"/>
  <c r="S6" i="100"/>
  <c r="P6" i="100" s="1"/>
  <c r="R6" i="100"/>
  <c r="L6" i="100"/>
  <c r="H6" i="100"/>
  <c r="S5" i="100"/>
  <c r="R5" i="100"/>
  <c r="L5" i="100"/>
  <c r="L4" i="100"/>
  <c r="L63" i="100" s="1"/>
  <c r="H4" i="100"/>
  <c r="A2" i="100"/>
  <c r="T18" i="100" l="1"/>
  <c r="R9" i="100"/>
  <c r="T7" i="100"/>
  <c r="T12" i="100"/>
  <c r="T19" i="100"/>
  <c r="T5" i="100"/>
  <c r="T10" i="100"/>
  <c r="R20" i="100"/>
  <c r="T8" i="100"/>
  <c r="S11" i="100"/>
  <c r="P11" i="100" s="1"/>
  <c r="S20" i="100"/>
  <c r="P20" i="100" s="1"/>
  <c r="P15" i="100"/>
  <c r="T20" i="100"/>
  <c r="T16" i="100"/>
  <c r="P10" i="100"/>
  <c r="S9" i="100"/>
  <c r="P5" i="100"/>
  <c r="F63" i="100"/>
  <c r="T6" i="100"/>
  <c r="R11" i="100"/>
  <c r="G35" i="100"/>
  <c r="G63" i="100" s="1"/>
  <c r="I63" i="100" s="1"/>
  <c r="P21" i="100" s="1"/>
  <c r="T15" i="100"/>
  <c r="T11" i="100" l="1"/>
  <c r="R14" i="100"/>
  <c r="H63" i="100"/>
  <c r="P9" i="100"/>
  <c r="T9" i="100"/>
  <c r="S14" i="100"/>
  <c r="P14" i="100" s="1"/>
  <c r="S21" i="100" l="1"/>
  <c r="T14" i="100"/>
  <c r="R21" i="100"/>
  <c r="T21" i="100" s="1"/>
  <c r="K51" i="58" l="1"/>
  <c r="L51" i="58"/>
  <c r="YM29" i="1" l="1"/>
  <c r="YM26" i="1"/>
  <c r="YM22" i="1"/>
  <c r="YM21" i="1"/>
  <c r="YM17" i="1"/>
  <c r="O5" i="94" l="1"/>
  <c r="O6" i="94"/>
  <c r="O7" i="94"/>
  <c r="O8" i="94"/>
  <c r="O9" i="94"/>
  <c r="O10" i="94"/>
  <c r="O11" i="94"/>
  <c r="O12" i="94"/>
  <c r="O13" i="94"/>
  <c r="E28" i="2" l="1"/>
  <c r="ZD25" i="1" l="1"/>
  <c r="YM25" i="1" l="1"/>
  <c r="E51" i="2" l="1"/>
  <c r="O5" i="95" l="1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D66" i="59" l="1"/>
  <c r="J66" i="59"/>
  <c r="P66" i="59"/>
  <c r="K50" i="58"/>
  <c r="L50" i="58" s="1"/>
  <c r="D65" i="59"/>
  <c r="J65" i="59"/>
  <c r="P65" i="59"/>
  <c r="K49" i="58"/>
  <c r="L49" i="58" s="1"/>
  <c r="XT17" i="1" l="1"/>
  <c r="XT21" i="1"/>
  <c r="XT22" i="1"/>
  <c r="XT26" i="1"/>
  <c r="XT29" i="1"/>
  <c r="WV49" i="3" l="1"/>
  <c r="WV43" i="3"/>
  <c r="WV25" i="3"/>
  <c r="WV11" i="3"/>
  <c r="WV3" i="3" l="1"/>
  <c r="WU49" i="3" l="1"/>
  <c r="WU43" i="3"/>
  <c r="WU25" i="3"/>
  <c r="WU11" i="3"/>
  <c r="WU3" i="3" l="1"/>
  <c r="WT49" i="3"/>
  <c r="WT43" i="3"/>
  <c r="WT25" i="3"/>
  <c r="WT11" i="3"/>
  <c r="WT3" i="3" l="1"/>
  <c r="D48" i="1"/>
  <c r="ZD13" i="1" s="1"/>
  <c r="YM13" i="1" l="1"/>
  <c r="XT13" i="1"/>
  <c r="WS49" i="3" l="1"/>
  <c r="WS43" i="3"/>
  <c r="WS25" i="3"/>
  <c r="WS11" i="3"/>
  <c r="WR49" i="3"/>
  <c r="WR43" i="3"/>
  <c r="WR25" i="3"/>
  <c r="WR11" i="3"/>
  <c r="D64" i="59"/>
  <c r="J64" i="59"/>
  <c r="P64" i="59"/>
  <c r="K48" i="58"/>
  <c r="L48" i="58" s="1"/>
  <c r="WS3" i="3" l="1"/>
  <c r="WR3" i="3"/>
  <c r="D63" i="59" l="1"/>
  <c r="J63" i="59"/>
  <c r="P63" i="59"/>
  <c r="K47" i="58"/>
  <c r="L47" i="58" s="1"/>
  <c r="XT25" i="1" l="1"/>
  <c r="J62" i="59" l="1"/>
  <c r="D62" i="59"/>
  <c r="P62" i="59"/>
  <c r="K46" i="58"/>
  <c r="L46" i="58" s="1"/>
  <c r="J61" i="59" l="1"/>
  <c r="P61" i="59"/>
  <c r="K45" i="58" l="1"/>
  <c r="D60" i="59" l="1"/>
  <c r="J60" i="59"/>
  <c r="P60" i="59"/>
  <c r="L45" i="58"/>
  <c r="D59" i="59" l="1"/>
  <c r="J59" i="59"/>
  <c r="P59" i="59"/>
  <c r="K44" i="58"/>
  <c r="L44" i="58" s="1"/>
  <c r="O31" i="94" l="1"/>
  <c r="O30" i="94"/>
  <c r="O29" i="94"/>
  <c r="O28" i="94"/>
  <c r="O27" i="94"/>
  <c r="O26" i="94"/>
  <c r="O25" i="94"/>
  <c r="O24" i="94"/>
  <c r="O23" i="94"/>
  <c r="O22" i="94"/>
  <c r="O21" i="94"/>
  <c r="O20" i="94"/>
  <c r="O19" i="94"/>
  <c r="O18" i="94"/>
  <c r="O17" i="94"/>
  <c r="O16" i="94"/>
  <c r="O15" i="94"/>
  <c r="O14" i="94"/>
  <c r="C33" i="93"/>
  <c r="C33" i="89" s="1"/>
  <c r="N31" i="93"/>
  <c r="N31" i="89" s="1"/>
  <c r="N34" i="89" s="1"/>
  <c r="M31" i="93"/>
  <c r="M34" i="93" s="1"/>
  <c r="L31" i="93"/>
  <c r="L34" i="93" s="1"/>
  <c r="K31" i="93"/>
  <c r="K31" i="89" s="1"/>
  <c r="K34" i="89" s="1"/>
  <c r="J31" i="93"/>
  <c r="J34" i="93" s="1"/>
  <c r="I31" i="93"/>
  <c r="I34" i="93" s="1"/>
  <c r="H31" i="93"/>
  <c r="H34" i="93" s="1"/>
  <c r="G31" i="93"/>
  <c r="G34" i="93" s="1"/>
  <c r="F31" i="93"/>
  <c r="F34" i="93" s="1"/>
  <c r="E31" i="93"/>
  <c r="E31" i="89" s="1"/>
  <c r="E34" i="89" s="1"/>
  <c r="D31" i="93"/>
  <c r="D31" i="89" s="1"/>
  <c r="D34" i="89" s="1"/>
  <c r="C31" i="93"/>
  <c r="N30" i="93"/>
  <c r="N30" i="89" s="1"/>
  <c r="M30" i="93"/>
  <c r="M30" i="89" s="1"/>
  <c r="L30" i="93"/>
  <c r="L30" i="89" s="1"/>
  <c r="K30" i="93"/>
  <c r="K30" i="89" s="1"/>
  <c r="J30" i="93"/>
  <c r="J30" i="89" s="1"/>
  <c r="I30" i="93"/>
  <c r="I30" i="89" s="1"/>
  <c r="H30" i="93"/>
  <c r="H30" i="89" s="1"/>
  <c r="G30" i="93"/>
  <c r="G30" i="89" s="1"/>
  <c r="F30" i="93"/>
  <c r="F30" i="89" s="1"/>
  <c r="E30" i="93"/>
  <c r="E30" i="89" s="1"/>
  <c r="D30" i="93"/>
  <c r="D30" i="89" s="1"/>
  <c r="C30" i="93"/>
  <c r="C30" i="89" s="1"/>
  <c r="N29" i="93"/>
  <c r="N29" i="89" s="1"/>
  <c r="M29" i="93"/>
  <c r="M29" i="89" s="1"/>
  <c r="L29" i="93"/>
  <c r="L29" i="89" s="1"/>
  <c r="K29" i="93"/>
  <c r="K29" i="89" s="1"/>
  <c r="J29" i="93"/>
  <c r="J29" i="89" s="1"/>
  <c r="I29" i="93"/>
  <c r="I29" i="89" s="1"/>
  <c r="H29" i="93"/>
  <c r="H29" i="89" s="1"/>
  <c r="G29" i="93"/>
  <c r="G29" i="89" s="1"/>
  <c r="F29" i="93"/>
  <c r="F29" i="89" s="1"/>
  <c r="E29" i="93"/>
  <c r="E29" i="89" s="1"/>
  <c r="D29" i="93"/>
  <c r="D29" i="89" s="1"/>
  <c r="C29" i="93"/>
  <c r="C29" i="89" s="1"/>
  <c r="N28" i="93"/>
  <c r="N28" i="89" s="1"/>
  <c r="M28" i="93"/>
  <c r="M28" i="89" s="1"/>
  <c r="L28" i="93"/>
  <c r="L28" i="89" s="1"/>
  <c r="K28" i="93"/>
  <c r="K28" i="89" s="1"/>
  <c r="J28" i="93"/>
  <c r="J28" i="89" s="1"/>
  <c r="I28" i="93"/>
  <c r="I28" i="89" s="1"/>
  <c r="H28" i="93"/>
  <c r="H28" i="89" s="1"/>
  <c r="G28" i="93"/>
  <c r="G28" i="89" s="1"/>
  <c r="F28" i="93"/>
  <c r="F28" i="89" s="1"/>
  <c r="E28" i="93"/>
  <c r="E28" i="89" s="1"/>
  <c r="D28" i="93"/>
  <c r="D28" i="89" s="1"/>
  <c r="C28" i="93"/>
  <c r="C28" i="89" s="1"/>
  <c r="N27" i="93"/>
  <c r="N27" i="89" s="1"/>
  <c r="M27" i="93"/>
  <c r="M27" i="89" s="1"/>
  <c r="L27" i="93"/>
  <c r="L27" i="89" s="1"/>
  <c r="K27" i="93"/>
  <c r="K27" i="89" s="1"/>
  <c r="J27" i="93"/>
  <c r="J27" i="89" s="1"/>
  <c r="I27" i="93"/>
  <c r="I27" i="89" s="1"/>
  <c r="H27" i="93"/>
  <c r="H27" i="89" s="1"/>
  <c r="G27" i="93"/>
  <c r="G27" i="89" s="1"/>
  <c r="F27" i="93"/>
  <c r="F27" i="89" s="1"/>
  <c r="E27" i="93"/>
  <c r="E27" i="89" s="1"/>
  <c r="D27" i="93"/>
  <c r="D27" i="89" s="1"/>
  <c r="C27" i="93"/>
  <c r="C27" i="89" s="1"/>
  <c r="N26" i="93"/>
  <c r="N26" i="89" s="1"/>
  <c r="M26" i="93"/>
  <c r="M26" i="89" s="1"/>
  <c r="L26" i="93"/>
  <c r="L26" i="89" s="1"/>
  <c r="K26" i="93"/>
  <c r="K26" i="89" s="1"/>
  <c r="J26" i="93"/>
  <c r="J26" i="89" s="1"/>
  <c r="I26" i="93"/>
  <c r="I26" i="89" s="1"/>
  <c r="H26" i="93"/>
  <c r="H26" i="89" s="1"/>
  <c r="G26" i="93"/>
  <c r="G26" i="89" s="1"/>
  <c r="F26" i="93"/>
  <c r="F26" i="89" s="1"/>
  <c r="E26" i="93"/>
  <c r="E26" i="89" s="1"/>
  <c r="D26" i="93"/>
  <c r="D26" i="89" s="1"/>
  <c r="C26" i="93"/>
  <c r="C26" i="89" s="1"/>
  <c r="N25" i="93"/>
  <c r="N25" i="89" s="1"/>
  <c r="M25" i="93"/>
  <c r="M25" i="89" s="1"/>
  <c r="L25" i="93"/>
  <c r="L25" i="89" s="1"/>
  <c r="K25" i="93"/>
  <c r="K25" i="89" s="1"/>
  <c r="J25" i="93"/>
  <c r="J25" i="89" s="1"/>
  <c r="I25" i="93"/>
  <c r="I25" i="89" s="1"/>
  <c r="H25" i="93"/>
  <c r="H25" i="89" s="1"/>
  <c r="G25" i="93"/>
  <c r="G25" i="89" s="1"/>
  <c r="F25" i="93"/>
  <c r="F25" i="89" s="1"/>
  <c r="E25" i="93"/>
  <c r="E25" i="89" s="1"/>
  <c r="D25" i="93"/>
  <c r="D25" i="89" s="1"/>
  <c r="C25" i="93"/>
  <c r="C25" i="89" s="1"/>
  <c r="N24" i="93"/>
  <c r="N24" i="89" s="1"/>
  <c r="M24" i="93"/>
  <c r="M24" i="89" s="1"/>
  <c r="L24" i="93"/>
  <c r="L24" i="89" s="1"/>
  <c r="K24" i="93"/>
  <c r="K24" i="89" s="1"/>
  <c r="J24" i="93"/>
  <c r="J24" i="89" s="1"/>
  <c r="I24" i="93"/>
  <c r="I24" i="89" s="1"/>
  <c r="H24" i="93"/>
  <c r="H24" i="89" s="1"/>
  <c r="G24" i="93"/>
  <c r="G24" i="89" s="1"/>
  <c r="F24" i="93"/>
  <c r="F24" i="89" s="1"/>
  <c r="E24" i="93"/>
  <c r="E24" i="89" s="1"/>
  <c r="D24" i="93"/>
  <c r="D24" i="89" s="1"/>
  <c r="C24" i="93"/>
  <c r="C24" i="89" s="1"/>
  <c r="N23" i="93"/>
  <c r="N23" i="89" s="1"/>
  <c r="M23" i="93"/>
  <c r="M23" i="89" s="1"/>
  <c r="L23" i="93"/>
  <c r="L23" i="89" s="1"/>
  <c r="K23" i="93"/>
  <c r="K23" i="89" s="1"/>
  <c r="J23" i="93"/>
  <c r="J23" i="89" s="1"/>
  <c r="I23" i="93"/>
  <c r="I23" i="89" s="1"/>
  <c r="H23" i="93"/>
  <c r="H23" i="89" s="1"/>
  <c r="G23" i="93"/>
  <c r="G23" i="89" s="1"/>
  <c r="F23" i="93"/>
  <c r="F23" i="89" s="1"/>
  <c r="E23" i="93"/>
  <c r="E23" i="89" s="1"/>
  <c r="D23" i="93"/>
  <c r="D23" i="89" s="1"/>
  <c r="C23" i="93"/>
  <c r="C23" i="89" s="1"/>
  <c r="N22" i="93"/>
  <c r="N22" i="89" s="1"/>
  <c r="M22" i="93"/>
  <c r="M22" i="89" s="1"/>
  <c r="L22" i="93"/>
  <c r="L22" i="89" s="1"/>
  <c r="K22" i="93"/>
  <c r="K22" i="89" s="1"/>
  <c r="J22" i="93"/>
  <c r="J22" i="89" s="1"/>
  <c r="I22" i="93"/>
  <c r="I22" i="89" s="1"/>
  <c r="H22" i="93"/>
  <c r="H22" i="89" s="1"/>
  <c r="G22" i="93"/>
  <c r="G22" i="89" s="1"/>
  <c r="F22" i="93"/>
  <c r="F22" i="89" s="1"/>
  <c r="E22" i="93"/>
  <c r="E22" i="89" s="1"/>
  <c r="D22" i="93"/>
  <c r="D22" i="89" s="1"/>
  <c r="C22" i="93"/>
  <c r="C22" i="89" s="1"/>
  <c r="N21" i="93"/>
  <c r="N21" i="89" s="1"/>
  <c r="M21" i="93"/>
  <c r="M21" i="89" s="1"/>
  <c r="L21" i="93"/>
  <c r="L21" i="89" s="1"/>
  <c r="K21" i="93"/>
  <c r="K21" i="89" s="1"/>
  <c r="J21" i="93"/>
  <c r="J21" i="89" s="1"/>
  <c r="I21" i="93"/>
  <c r="I21" i="89" s="1"/>
  <c r="H21" i="93"/>
  <c r="H21" i="89" s="1"/>
  <c r="G21" i="93"/>
  <c r="G21" i="89" s="1"/>
  <c r="F21" i="93"/>
  <c r="F21" i="89" s="1"/>
  <c r="E21" i="93"/>
  <c r="E21" i="89" s="1"/>
  <c r="D21" i="93"/>
  <c r="D21" i="89" s="1"/>
  <c r="C21" i="93"/>
  <c r="C21" i="89" s="1"/>
  <c r="N20" i="93"/>
  <c r="N20" i="89" s="1"/>
  <c r="M20" i="93"/>
  <c r="M20" i="89" s="1"/>
  <c r="L20" i="93"/>
  <c r="L20" i="89" s="1"/>
  <c r="K20" i="93"/>
  <c r="K20" i="89" s="1"/>
  <c r="J20" i="93"/>
  <c r="J20" i="89" s="1"/>
  <c r="I20" i="93"/>
  <c r="I20" i="89" s="1"/>
  <c r="H20" i="93"/>
  <c r="H20" i="89" s="1"/>
  <c r="G20" i="93"/>
  <c r="G20" i="89" s="1"/>
  <c r="F20" i="93"/>
  <c r="F20" i="89" s="1"/>
  <c r="E20" i="93"/>
  <c r="E20" i="89" s="1"/>
  <c r="D20" i="93"/>
  <c r="D20" i="89" s="1"/>
  <c r="C20" i="93"/>
  <c r="C20" i="89" s="1"/>
  <c r="N19" i="93"/>
  <c r="N19" i="89" s="1"/>
  <c r="M19" i="93"/>
  <c r="M19" i="89" s="1"/>
  <c r="L19" i="93"/>
  <c r="L19" i="89" s="1"/>
  <c r="K19" i="93"/>
  <c r="K19" i="89" s="1"/>
  <c r="J19" i="93"/>
  <c r="J19" i="89" s="1"/>
  <c r="I19" i="93"/>
  <c r="I19" i="89" s="1"/>
  <c r="H19" i="93"/>
  <c r="H19" i="89" s="1"/>
  <c r="G19" i="93"/>
  <c r="G19" i="89" s="1"/>
  <c r="F19" i="93"/>
  <c r="F19" i="89" s="1"/>
  <c r="E19" i="93"/>
  <c r="E19" i="89" s="1"/>
  <c r="D19" i="93"/>
  <c r="D19" i="89" s="1"/>
  <c r="C19" i="93"/>
  <c r="C19" i="89" s="1"/>
  <c r="N18" i="93"/>
  <c r="N18" i="89" s="1"/>
  <c r="M18" i="93"/>
  <c r="M18" i="89" s="1"/>
  <c r="L18" i="93"/>
  <c r="L18" i="89" s="1"/>
  <c r="K18" i="93"/>
  <c r="K18" i="89" s="1"/>
  <c r="J18" i="93"/>
  <c r="J18" i="89" s="1"/>
  <c r="I18" i="93"/>
  <c r="I18" i="89" s="1"/>
  <c r="H18" i="93"/>
  <c r="H18" i="89" s="1"/>
  <c r="G18" i="93"/>
  <c r="G18" i="89" s="1"/>
  <c r="F18" i="93"/>
  <c r="F18" i="89" s="1"/>
  <c r="E18" i="93"/>
  <c r="E18" i="89" s="1"/>
  <c r="D18" i="93"/>
  <c r="D18" i="89" s="1"/>
  <c r="C18" i="93"/>
  <c r="C18" i="89" s="1"/>
  <c r="N17" i="93"/>
  <c r="N17" i="89" s="1"/>
  <c r="M17" i="93"/>
  <c r="M17" i="89" s="1"/>
  <c r="L17" i="93"/>
  <c r="L17" i="89" s="1"/>
  <c r="K17" i="93"/>
  <c r="K17" i="89" s="1"/>
  <c r="J17" i="93"/>
  <c r="J17" i="89" s="1"/>
  <c r="I17" i="93"/>
  <c r="I17" i="89" s="1"/>
  <c r="H17" i="93"/>
  <c r="H17" i="89" s="1"/>
  <c r="G17" i="93"/>
  <c r="G17" i="89" s="1"/>
  <c r="F17" i="93"/>
  <c r="F17" i="89" s="1"/>
  <c r="E17" i="93"/>
  <c r="E17" i="89" s="1"/>
  <c r="D17" i="93"/>
  <c r="D17" i="89" s="1"/>
  <c r="C17" i="93"/>
  <c r="C17" i="89" s="1"/>
  <c r="N16" i="93"/>
  <c r="N16" i="89" s="1"/>
  <c r="M16" i="93"/>
  <c r="M16" i="89" s="1"/>
  <c r="L16" i="93"/>
  <c r="L16" i="89" s="1"/>
  <c r="K16" i="93"/>
  <c r="K16" i="89" s="1"/>
  <c r="J16" i="93"/>
  <c r="J16" i="89" s="1"/>
  <c r="I16" i="93"/>
  <c r="I16" i="89" s="1"/>
  <c r="H16" i="93"/>
  <c r="H16" i="89" s="1"/>
  <c r="G16" i="93"/>
  <c r="G16" i="89" s="1"/>
  <c r="F16" i="93"/>
  <c r="F16" i="89" s="1"/>
  <c r="E16" i="93"/>
  <c r="E16" i="89" s="1"/>
  <c r="D16" i="93"/>
  <c r="D16" i="89" s="1"/>
  <c r="C16" i="93"/>
  <c r="C16" i="89" s="1"/>
  <c r="N15" i="93"/>
  <c r="N15" i="89" s="1"/>
  <c r="M15" i="93"/>
  <c r="M15" i="89" s="1"/>
  <c r="L15" i="93"/>
  <c r="L15" i="89" s="1"/>
  <c r="K15" i="93"/>
  <c r="K15" i="89" s="1"/>
  <c r="J15" i="93"/>
  <c r="J15" i="89" s="1"/>
  <c r="I15" i="93"/>
  <c r="I15" i="89" s="1"/>
  <c r="H15" i="93"/>
  <c r="H15" i="89" s="1"/>
  <c r="G15" i="93"/>
  <c r="G15" i="89" s="1"/>
  <c r="F15" i="93"/>
  <c r="F15" i="89" s="1"/>
  <c r="E15" i="93"/>
  <c r="E15" i="89" s="1"/>
  <c r="D15" i="93"/>
  <c r="D15" i="89" s="1"/>
  <c r="C15" i="93"/>
  <c r="C15" i="89" s="1"/>
  <c r="N14" i="93"/>
  <c r="N14" i="89" s="1"/>
  <c r="M14" i="93"/>
  <c r="M14" i="89" s="1"/>
  <c r="L14" i="93"/>
  <c r="L14" i="89" s="1"/>
  <c r="K14" i="93"/>
  <c r="K14" i="89" s="1"/>
  <c r="J14" i="93"/>
  <c r="J14" i="89" s="1"/>
  <c r="I14" i="93"/>
  <c r="I14" i="89" s="1"/>
  <c r="H14" i="93"/>
  <c r="H14" i="89" s="1"/>
  <c r="G14" i="93"/>
  <c r="G14" i="89" s="1"/>
  <c r="F14" i="93"/>
  <c r="F14" i="89" s="1"/>
  <c r="E14" i="93"/>
  <c r="E14" i="89" s="1"/>
  <c r="D14" i="93"/>
  <c r="D14" i="89" s="1"/>
  <c r="C14" i="93"/>
  <c r="C14" i="89" s="1"/>
  <c r="N13" i="93"/>
  <c r="N13" i="89" s="1"/>
  <c r="M13" i="93"/>
  <c r="M13" i="89" s="1"/>
  <c r="L13" i="93"/>
  <c r="L13" i="89" s="1"/>
  <c r="K13" i="93"/>
  <c r="K13" i="89" s="1"/>
  <c r="J13" i="93"/>
  <c r="J13" i="89" s="1"/>
  <c r="I13" i="93"/>
  <c r="I13" i="89" s="1"/>
  <c r="H13" i="93"/>
  <c r="H13" i="89" s="1"/>
  <c r="G13" i="93"/>
  <c r="G13" i="89" s="1"/>
  <c r="F13" i="93"/>
  <c r="F13" i="89" s="1"/>
  <c r="E13" i="93"/>
  <c r="E13" i="89" s="1"/>
  <c r="D13" i="93"/>
  <c r="D13" i="89" s="1"/>
  <c r="C13" i="93"/>
  <c r="C13" i="89" s="1"/>
  <c r="N12" i="93"/>
  <c r="N12" i="89" s="1"/>
  <c r="M12" i="93"/>
  <c r="M12" i="89" s="1"/>
  <c r="L12" i="93"/>
  <c r="L12" i="89" s="1"/>
  <c r="K12" i="93"/>
  <c r="K12" i="89" s="1"/>
  <c r="J12" i="93"/>
  <c r="J12" i="89" s="1"/>
  <c r="I12" i="93"/>
  <c r="I12" i="89" s="1"/>
  <c r="H12" i="93"/>
  <c r="H12" i="89" s="1"/>
  <c r="G12" i="93"/>
  <c r="G12" i="89" s="1"/>
  <c r="F12" i="93"/>
  <c r="F12" i="89" s="1"/>
  <c r="E12" i="93"/>
  <c r="E12" i="89" s="1"/>
  <c r="D12" i="93"/>
  <c r="D12" i="89" s="1"/>
  <c r="C12" i="93"/>
  <c r="C12" i="89" s="1"/>
  <c r="N11" i="93"/>
  <c r="N11" i="89" s="1"/>
  <c r="M11" i="93"/>
  <c r="M11" i="89" s="1"/>
  <c r="L11" i="93"/>
  <c r="L11" i="89" s="1"/>
  <c r="K11" i="93"/>
  <c r="K11" i="89" s="1"/>
  <c r="J11" i="93"/>
  <c r="J11" i="89" s="1"/>
  <c r="I11" i="93"/>
  <c r="I11" i="89" s="1"/>
  <c r="H11" i="93"/>
  <c r="H11" i="89" s="1"/>
  <c r="G11" i="93"/>
  <c r="G11" i="89" s="1"/>
  <c r="F11" i="93"/>
  <c r="F11" i="89" s="1"/>
  <c r="E11" i="93"/>
  <c r="E11" i="89" s="1"/>
  <c r="D11" i="93"/>
  <c r="D11" i="89" s="1"/>
  <c r="C11" i="93"/>
  <c r="C11" i="89" s="1"/>
  <c r="N10" i="93"/>
  <c r="N10" i="89" s="1"/>
  <c r="M10" i="93"/>
  <c r="M10" i="89" s="1"/>
  <c r="L10" i="93"/>
  <c r="L10" i="89" s="1"/>
  <c r="K10" i="93"/>
  <c r="K10" i="89" s="1"/>
  <c r="J10" i="93"/>
  <c r="J10" i="89" s="1"/>
  <c r="I10" i="93"/>
  <c r="I10" i="89" s="1"/>
  <c r="H10" i="93"/>
  <c r="H10" i="89" s="1"/>
  <c r="G10" i="93"/>
  <c r="G10" i="89" s="1"/>
  <c r="F10" i="93"/>
  <c r="F10" i="89" s="1"/>
  <c r="E10" i="93"/>
  <c r="E10" i="89" s="1"/>
  <c r="D10" i="93"/>
  <c r="D10" i="89" s="1"/>
  <c r="C10" i="93"/>
  <c r="C10" i="89" s="1"/>
  <c r="N9" i="93"/>
  <c r="N9" i="89" s="1"/>
  <c r="M9" i="93"/>
  <c r="M9" i="89" s="1"/>
  <c r="L9" i="93"/>
  <c r="L9" i="89" s="1"/>
  <c r="K9" i="93"/>
  <c r="K9" i="89" s="1"/>
  <c r="J9" i="93"/>
  <c r="J9" i="89" s="1"/>
  <c r="I9" i="93"/>
  <c r="I9" i="89" s="1"/>
  <c r="H9" i="93"/>
  <c r="H9" i="89" s="1"/>
  <c r="G9" i="93"/>
  <c r="G9" i="89" s="1"/>
  <c r="F9" i="93"/>
  <c r="F9" i="89" s="1"/>
  <c r="E9" i="93"/>
  <c r="E9" i="89" s="1"/>
  <c r="D9" i="93"/>
  <c r="D9" i="89" s="1"/>
  <c r="C9" i="93"/>
  <c r="C9" i="89" s="1"/>
  <c r="N8" i="93"/>
  <c r="N8" i="89" s="1"/>
  <c r="M8" i="93"/>
  <c r="M8" i="89" s="1"/>
  <c r="L8" i="93"/>
  <c r="L8" i="89" s="1"/>
  <c r="K8" i="93"/>
  <c r="K8" i="89" s="1"/>
  <c r="J8" i="93"/>
  <c r="J8" i="89" s="1"/>
  <c r="I8" i="93"/>
  <c r="I8" i="89" s="1"/>
  <c r="H8" i="93"/>
  <c r="H8" i="89" s="1"/>
  <c r="G8" i="93"/>
  <c r="G8" i="89" s="1"/>
  <c r="F8" i="93"/>
  <c r="F8" i="89" s="1"/>
  <c r="E8" i="93"/>
  <c r="E8" i="89" s="1"/>
  <c r="D8" i="93"/>
  <c r="D8" i="89" s="1"/>
  <c r="C8" i="93"/>
  <c r="C8" i="89" s="1"/>
  <c r="N7" i="93"/>
  <c r="N7" i="89" s="1"/>
  <c r="M7" i="93"/>
  <c r="M7" i="89" s="1"/>
  <c r="L7" i="93"/>
  <c r="L7" i="89" s="1"/>
  <c r="K7" i="93"/>
  <c r="K7" i="89" s="1"/>
  <c r="J7" i="93"/>
  <c r="J7" i="89" s="1"/>
  <c r="I7" i="93"/>
  <c r="I7" i="89" s="1"/>
  <c r="H7" i="93"/>
  <c r="H7" i="89" s="1"/>
  <c r="G7" i="93"/>
  <c r="G7" i="89" s="1"/>
  <c r="F7" i="93"/>
  <c r="F7" i="89" s="1"/>
  <c r="E7" i="93"/>
  <c r="E7" i="89" s="1"/>
  <c r="D7" i="93"/>
  <c r="D7" i="89" s="1"/>
  <c r="C7" i="93"/>
  <c r="C7" i="89" s="1"/>
  <c r="N6" i="93"/>
  <c r="N6" i="89" s="1"/>
  <c r="M6" i="93"/>
  <c r="M6" i="89" s="1"/>
  <c r="L6" i="93"/>
  <c r="L6" i="89" s="1"/>
  <c r="K6" i="93"/>
  <c r="K6" i="89" s="1"/>
  <c r="J6" i="93"/>
  <c r="J6" i="89" s="1"/>
  <c r="I6" i="93"/>
  <c r="I6" i="89" s="1"/>
  <c r="H6" i="93"/>
  <c r="H6" i="89" s="1"/>
  <c r="G6" i="93"/>
  <c r="G6" i="89" s="1"/>
  <c r="F6" i="93"/>
  <c r="F6" i="89" s="1"/>
  <c r="E6" i="93"/>
  <c r="E6" i="89" s="1"/>
  <c r="D6" i="93"/>
  <c r="D6" i="89" s="1"/>
  <c r="C6" i="93"/>
  <c r="C6" i="89" s="1"/>
  <c r="N5" i="93"/>
  <c r="N5" i="89" s="1"/>
  <c r="M5" i="93"/>
  <c r="M5" i="89" s="1"/>
  <c r="L5" i="93"/>
  <c r="L5" i="89" s="1"/>
  <c r="K5" i="93"/>
  <c r="K5" i="89" s="1"/>
  <c r="J5" i="93"/>
  <c r="J5" i="89" s="1"/>
  <c r="I5" i="93"/>
  <c r="I5" i="89" s="1"/>
  <c r="H5" i="93"/>
  <c r="H5" i="89" s="1"/>
  <c r="G5" i="93"/>
  <c r="G5" i="89" s="1"/>
  <c r="F5" i="93"/>
  <c r="F5" i="89" s="1"/>
  <c r="E5" i="93"/>
  <c r="E5" i="89" s="1"/>
  <c r="D5" i="93"/>
  <c r="D5" i="89" s="1"/>
  <c r="C5" i="93"/>
  <c r="C5" i="89" s="1"/>
  <c r="N4" i="93"/>
  <c r="M4" i="93"/>
  <c r="L4" i="93"/>
  <c r="K4" i="93"/>
  <c r="J4" i="93"/>
  <c r="I4" i="93"/>
  <c r="H4" i="93"/>
  <c r="G4" i="93"/>
  <c r="F4" i="93"/>
  <c r="E4" i="93"/>
  <c r="D4" i="93"/>
  <c r="C4" i="93"/>
  <c r="N3" i="93"/>
  <c r="M3" i="93"/>
  <c r="L3" i="93"/>
  <c r="K3" i="93"/>
  <c r="J3" i="93"/>
  <c r="I3" i="93"/>
  <c r="H3" i="93"/>
  <c r="G3" i="93"/>
  <c r="F3" i="93"/>
  <c r="E3" i="93"/>
  <c r="D3" i="93"/>
  <c r="B2" i="93"/>
  <c r="O31" i="92"/>
  <c r="O30" i="92"/>
  <c r="O29" i="92"/>
  <c r="O28" i="92"/>
  <c r="O27" i="92"/>
  <c r="O26" i="92"/>
  <c r="O25" i="92"/>
  <c r="O24" i="92"/>
  <c r="O23" i="92"/>
  <c r="O22" i="92"/>
  <c r="O21" i="92"/>
  <c r="O20" i="92"/>
  <c r="O19" i="92"/>
  <c r="O18" i="92"/>
  <c r="O17" i="92"/>
  <c r="O16" i="92"/>
  <c r="O15" i="92"/>
  <c r="O14" i="92"/>
  <c r="O13" i="92"/>
  <c r="O12" i="92"/>
  <c r="O11" i="92"/>
  <c r="O10" i="92"/>
  <c r="O9" i="92"/>
  <c r="O8" i="92"/>
  <c r="O7" i="92"/>
  <c r="O6" i="92"/>
  <c r="O5" i="92"/>
  <c r="N4" i="92"/>
  <c r="M4" i="92"/>
  <c r="L4" i="92"/>
  <c r="K4" i="92"/>
  <c r="J4" i="92"/>
  <c r="I4" i="92"/>
  <c r="H4" i="92"/>
  <c r="G4" i="92"/>
  <c r="F4" i="92"/>
  <c r="E4" i="92"/>
  <c r="D4" i="92"/>
  <c r="C4" i="92"/>
  <c r="N3" i="92"/>
  <c r="M3" i="92"/>
  <c r="L3" i="92"/>
  <c r="K3" i="92"/>
  <c r="J3" i="92"/>
  <c r="I3" i="92"/>
  <c r="H3" i="92"/>
  <c r="G3" i="92"/>
  <c r="F3" i="92"/>
  <c r="E3" i="92"/>
  <c r="D3" i="92"/>
  <c r="C3" i="92"/>
  <c r="B2" i="92"/>
  <c r="N4" i="91"/>
  <c r="M4" i="91"/>
  <c r="L4" i="91"/>
  <c r="K4" i="91"/>
  <c r="J4" i="91"/>
  <c r="I4" i="91"/>
  <c r="H4" i="91"/>
  <c r="G4" i="91"/>
  <c r="F4" i="91"/>
  <c r="E4" i="91"/>
  <c r="D4" i="91"/>
  <c r="C4" i="91"/>
  <c r="N3" i="91"/>
  <c r="M3" i="91"/>
  <c r="L3" i="91"/>
  <c r="K3" i="91"/>
  <c r="J3" i="91"/>
  <c r="I3" i="91"/>
  <c r="H3" i="91"/>
  <c r="G3" i="91"/>
  <c r="F3" i="91"/>
  <c r="E3" i="91"/>
  <c r="D3" i="91"/>
  <c r="C3" i="91"/>
  <c r="B2" i="91"/>
  <c r="N4" i="90"/>
  <c r="M4" i="90"/>
  <c r="L4" i="90"/>
  <c r="K4" i="90"/>
  <c r="J4" i="90"/>
  <c r="I4" i="90"/>
  <c r="H4" i="90"/>
  <c r="G4" i="90"/>
  <c r="F4" i="90"/>
  <c r="E4" i="90"/>
  <c r="D4" i="90"/>
  <c r="C4" i="90"/>
  <c r="N3" i="90"/>
  <c r="M3" i="90"/>
  <c r="L3" i="90"/>
  <c r="K3" i="90"/>
  <c r="J3" i="90"/>
  <c r="I3" i="90"/>
  <c r="H3" i="90"/>
  <c r="G3" i="90"/>
  <c r="F3" i="90"/>
  <c r="E3" i="90"/>
  <c r="D3" i="90"/>
  <c r="B2" i="90"/>
  <c r="J31" i="89" l="1"/>
  <c r="J34" i="89" s="1"/>
  <c r="I31" i="89"/>
  <c r="I34" i="89" s="1"/>
  <c r="F31" i="89"/>
  <c r="F34" i="89" s="1"/>
  <c r="H31" i="89"/>
  <c r="H34" i="89" s="1"/>
  <c r="K34" i="93"/>
  <c r="G31" i="89"/>
  <c r="G34" i="89" s="1"/>
  <c r="N34" i="93"/>
  <c r="L31" i="89"/>
  <c r="L34" i="89" s="1"/>
  <c r="M31" i="89"/>
  <c r="M34" i="89" s="1"/>
  <c r="C31" i="89"/>
  <c r="C34" i="89" s="1"/>
  <c r="C35" i="89" s="1"/>
  <c r="C34" i="93"/>
  <c r="C35" i="93" s="1"/>
  <c r="O5" i="93"/>
  <c r="O6" i="93"/>
  <c r="D34" i="93"/>
  <c r="E34" i="93"/>
  <c r="O7" i="93" l="1"/>
  <c r="D33" i="93"/>
  <c r="C37" i="93"/>
  <c r="C36" i="89"/>
  <c r="C37" i="89"/>
  <c r="C36" i="93"/>
  <c r="D33" i="89" l="1"/>
  <c r="D35" i="89" s="1"/>
  <c r="D35" i="93"/>
  <c r="E33" i="93" l="1"/>
  <c r="D36" i="89"/>
  <c r="D37" i="93"/>
  <c r="D36" i="93"/>
  <c r="D37" i="89"/>
  <c r="E33" i="89" l="1"/>
  <c r="E35" i="89" s="1"/>
  <c r="E35" i="93"/>
  <c r="E37" i="93" l="1"/>
  <c r="E36" i="89"/>
  <c r="E36" i="93"/>
  <c r="E37" i="89"/>
  <c r="F33" i="93"/>
  <c r="F33" i="89" l="1"/>
  <c r="F35" i="89" s="1"/>
  <c r="F35" i="93"/>
  <c r="F37" i="89" l="1"/>
  <c r="F36" i="89"/>
  <c r="F36" i="93"/>
  <c r="G33" i="93"/>
  <c r="F37" i="93"/>
  <c r="G33" i="89" l="1"/>
  <c r="G35" i="89" s="1"/>
  <c r="G35" i="93"/>
  <c r="G37" i="89" l="1"/>
  <c r="G36" i="89"/>
  <c r="G36" i="93"/>
  <c r="H33" i="93"/>
  <c r="G37" i="93"/>
  <c r="H33" i="89" l="1"/>
  <c r="H35" i="89" s="1"/>
  <c r="H35" i="93"/>
  <c r="H37" i="89" l="1"/>
  <c r="H36" i="93"/>
  <c r="I33" i="93"/>
  <c r="H37" i="93"/>
  <c r="H36" i="89"/>
  <c r="I33" i="89" l="1"/>
  <c r="I35" i="89" s="1"/>
  <c r="I35" i="93"/>
  <c r="I37" i="89" l="1"/>
  <c r="I36" i="93"/>
  <c r="J33" i="93"/>
  <c r="I37" i="93"/>
  <c r="I36" i="89"/>
  <c r="J35" i="93" l="1"/>
  <c r="J33" i="89"/>
  <c r="J35" i="89" s="1"/>
  <c r="J36" i="93" l="1"/>
  <c r="J37" i="89"/>
  <c r="J36" i="89"/>
  <c r="K33" i="93"/>
  <c r="J37" i="93"/>
  <c r="K35" i="93" l="1"/>
  <c r="K33" i="89"/>
  <c r="K35" i="89" s="1"/>
  <c r="K36" i="93" l="1"/>
  <c r="L33" i="93"/>
  <c r="K37" i="89"/>
  <c r="K37" i="93"/>
  <c r="K36" i="89"/>
  <c r="L35" i="93" l="1"/>
  <c r="L33" i="89"/>
  <c r="L35" i="89" s="1"/>
  <c r="M33" i="93" l="1"/>
  <c r="L37" i="89"/>
  <c r="L37" i="93"/>
  <c r="L36" i="89"/>
  <c r="L36" i="93"/>
  <c r="M35" i="93" l="1"/>
  <c r="M33" i="89"/>
  <c r="M35" i="89" s="1"/>
  <c r="M36" i="93" l="1"/>
  <c r="N33" i="93"/>
  <c r="M37" i="89"/>
  <c r="M37" i="93"/>
  <c r="M36" i="89"/>
  <c r="N33" i="89" l="1"/>
  <c r="N35" i="89" s="1"/>
  <c r="N35" i="93"/>
  <c r="N36" i="93" l="1"/>
  <c r="N37" i="93"/>
  <c r="N36" i="89"/>
  <c r="N37" i="89"/>
  <c r="VV49" i="3" l="1"/>
  <c r="VV43" i="3"/>
  <c r="VV25" i="3"/>
  <c r="VV11" i="3"/>
  <c r="D58" i="59"/>
  <c r="J58" i="59"/>
  <c r="P58" i="59"/>
  <c r="J57" i="59"/>
  <c r="D57" i="59"/>
  <c r="K43" i="58"/>
  <c r="L43" i="58" s="1"/>
  <c r="K42" i="58"/>
  <c r="L42" i="58" s="1"/>
  <c r="K41" i="58"/>
  <c r="L41" i="58" s="1"/>
  <c r="VV3" i="3" l="1"/>
  <c r="WR29" i="1" l="1"/>
  <c r="WR26" i="1"/>
  <c r="WR22" i="1"/>
  <c r="WR21" i="1"/>
  <c r="WR17" i="1"/>
  <c r="P57" i="59" l="1"/>
  <c r="K40" i="58" l="1"/>
  <c r="L40" i="58" s="1"/>
  <c r="D56" i="59"/>
  <c r="J56" i="59"/>
  <c r="P56" i="59"/>
  <c r="WR25" i="1" l="1"/>
  <c r="VD49" i="3"/>
  <c r="VD3" i="3" s="1"/>
  <c r="VD4" i="3" s="1"/>
  <c r="D55" i="59" l="1"/>
  <c r="P55" i="59"/>
  <c r="J55" i="59"/>
  <c r="K39" i="58"/>
  <c r="L39" i="58" s="1"/>
  <c r="K38" i="58"/>
  <c r="L38" i="58" s="1"/>
  <c r="VJ17" i="1" l="1"/>
  <c r="VJ21" i="1"/>
  <c r="VJ22" i="1"/>
  <c r="VJ26" i="1"/>
  <c r="VJ29" i="1"/>
  <c r="UY29" i="1" l="1"/>
  <c r="UZ29" i="1"/>
  <c r="VA29" i="1"/>
  <c r="UX29" i="1"/>
  <c r="UW29" i="1" l="1"/>
  <c r="UW30" i="1" l="1"/>
  <c r="UX30" i="1"/>
  <c r="UY30" i="1"/>
  <c r="UZ30" i="1"/>
  <c r="VA27" i="1" l="1"/>
  <c r="VA30" i="1" s="1"/>
  <c r="UE47" i="3" l="1"/>
  <c r="UE45" i="3" l="1"/>
  <c r="UE49" i="3"/>
  <c r="UE43" i="3"/>
  <c r="UE25" i="3"/>
  <c r="UE11" i="3"/>
  <c r="UE3" i="3" l="1"/>
  <c r="UD47" i="3" l="1"/>
  <c r="UD45" i="3" l="1"/>
  <c r="UD49" i="3"/>
  <c r="UD43" i="3"/>
  <c r="UD25" i="3"/>
  <c r="UD11" i="3"/>
  <c r="UD3" i="3" l="1"/>
  <c r="UC47" i="3" l="1"/>
  <c r="UC46" i="3" l="1"/>
  <c r="UC45" i="3" l="1"/>
  <c r="UC49" i="3" l="1"/>
  <c r="UC43" i="3"/>
  <c r="UC25" i="3"/>
  <c r="UC11" i="3"/>
  <c r="UC3" i="3" l="1"/>
  <c r="UB46" i="3"/>
  <c r="UB45" i="3" l="1"/>
  <c r="UB49" i="3" l="1"/>
  <c r="UB43" i="3"/>
  <c r="UB25" i="3"/>
  <c r="UB11" i="3"/>
  <c r="UB3" i="3" l="1"/>
  <c r="VJ25" i="1" l="1"/>
  <c r="UA45" i="3"/>
  <c r="UA49" i="3" l="1"/>
  <c r="UA43" i="3"/>
  <c r="UA25" i="3"/>
  <c r="UA11" i="3"/>
  <c r="UA3" i="3" l="1"/>
  <c r="TZ49" i="3" l="1"/>
  <c r="TZ43" i="3"/>
  <c r="TZ25" i="3"/>
  <c r="TZ11" i="3"/>
  <c r="TZ3" i="3" l="1"/>
  <c r="D63" i="1" l="1"/>
  <c r="C63" i="1" s="1"/>
  <c r="ZD18" i="1" s="1"/>
  <c r="YM18" i="1" l="1"/>
  <c r="XT18" i="1"/>
  <c r="WR18" i="1"/>
  <c r="VJ18" i="1"/>
  <c r="D40" i="2"/>
  <c r="D39" i="2"/>
  <c r="WR13" i="1" l="1"/>
  <c r="VJ13" i="1"/>
  <c r="TF47" i="3"/>
  <c r="TF46" i="3"/>
  <c r="TF43" i="3"/>
  <c r="TF25" i="3"/>
  <c r="TF11" i="3"/>
  <c r="TF49" i="3" l="1"/>
  <c r="TE49" i="3"/>
  <c r="TF3" i="3" l="1"/>
  <c r="TE25" i="3" l="1"/>
  <c r="E47" i="2" l="1"/>
  <c r="C48" i="1"/>
  <c r="ZD14" i="1" s="1"/>
  <c r="YM14" i="1" l="1"/>
  <c r="XT14" i="1"/>
  <c r="WR14" i="1"/>
  <c r="VJ14" i="1"/>
  <c r="TE43" i="3"/>
  <c r="TE11" i="3"/>
  <c r="TN23" i="1" l="1"/>
  <c r="TO23" i="1"/>
  <c r="TP23" i="1"/>
  <c r="TQ23" i="1"/>
  <c r="TR23" i="1"/>
  <c r="TS23" i="1"/>
  <c r="P54" i="59" l="1"/>
  <c r="J54" i="59"/>
  <c r="D54" i="59"/>
  <c r="J53" i="59"/>
  <c r="K37" i="58"/>
  <c r="L37" i="58" s="1"/>
  <c r="TE26" i="1" l="1"/>
  <c r="TE25" i="1"/>
  <c r="TE18" i="1"/>
  <c r="TE17" i="1"/>
  <c r="TE14" i="1" l="1"/>
  <c r="TE13" i="1"/>
  <c r="P53" i="59" l="1"/>
  <c r="D53" i="59"/>
  <c r="K36" i="58"/>
  <c r="L36" i="58" s="1"/>
  <c r="SF26" i="1" l="1"/>
  <c r="SF25" i="1"/>
  <c r="SF18" i="1"/>
  <c r="SF17" i="1"/>
  <c r="RG49" i="3" l="1"/>
  <c r="RG43" i="3"/>
  <c r="RG25" i="3"/>
  <c r="RG11" i="3"/>
  <c r="RG3" i="3" l="1"/>
  <c r="D52" i="59" l="1"/>
  <c r="J52" i="59"/>
  <c r="P52" i="59"/>
  <c r="P51" i="59"/>
  <c r="J51" i="59"/>
  <c r="K35" i="58"/>
  <c r="L35" i="58" s="1"/>
  <c r="D51" i="59" l="1"/>
  <c r="K34" i="58"/>
  <c r="L34" i="58" s="1"/>
  <c r="P50" i="59" l="1"/>
  <c r="D50" i="59"/>
  <c r="J50" i="59"/>
  <c r="E33" i="58"/>
  <c r="L33" i="58" s="1"/>
  <c r="RG26" i="1" l="1"/>
  <c r="RG25" i="1"/>
  <c r="RG18" i="1"/>
  <c r="RG17" i="1"/>
  <c r="QH49" i="3" l="1"/>
  <c r="QH43" i="3"/>
  <c r="QH25" i="3"/>
  <c r="QH11" i="3"/>
  <c r="QH3" i="3" l="1"/>
  <c r="J49" i="59" l="1"/>
  <c r="I32" i="58"/>
  <c r="D49" i="59" s="1"/>
  <c r="K32" i="58" l="1"/>
  <c r="L32" i="58" s="1"/>
  <c r="J48" i="59" l="1"/>
  <c r="D48" i="59"/>
  <c r="J47" i="59" l="1"/>
  <c r="D47" i="59"/>
  <c r="SF13" i="1" l="1"/>
  <c r="RG13" i="1" l="1"/>
  <c r="D46" i="59"/>
  <c r="J46" i="59"/>
  <c r="SF14" i="1" l="1"/>
  <c r="RG14" i="1"/>
  <c r="D53" i="1" l="1"/>
  <c r="C53" i="1" l="1"/>
  <c r="NU49" i="3"/>
  <c r="NU43" i="3"/>
  <c r="NU25" i="3"/>
  <c r="NU11" i="3"/>
  <c r="NU3" i="3" l="1"/>
  <c r="J45" i="59" l="1"/>
  <c r="D45" i="59"/>
  <c r="D44" i="59" l="1"/>
  <c r="J44" i="59"/>
  <c r="D43" i="59" l="1"/>
  <c r="J43" i="59"/>
  <c r="D42" i="59" l="1"/>
  <c r="J42" i="59"/>
  <c r="MY4" i="1" l="1"/>
  <c r="MZ4" i="1" s="1"/>
  <c r="NA4" i="1" s="1"/>
  <c r="NB4" i="1" s="1"/>
  <c r="NC4" i="1" s="1"/>
  <c r="D41" i="59" l="1"/>
  <c r="J41" i="59"/>
  <c r="J40" i="59"/>
  <c r="D40" i="59"/>
  <c r="J39" i="59"/>
  <c r="D39" i="59"/>
  <c r="H23" i="58"/>
  <c r="LE49" i="3" l="1"/>
  <c r="LE43" i="3"/>
  <c r="LE25" i="3"/>
  <c r="LE11" i="3"/>
  <c r="LE3" i="3" l="1"/>
  <c r="D38" i="59" l="1"/>
  <c r="J38" i="59"/>
  <c r="J37" i="59"/>
  <c r="H22" i="58"/>
  <c r="D37" i="59"/>
  <c r="K21" i="58" l="1"/>
  <c r="D23" i="2" l="1"/>
  <c r="KW49" i="3"/>
  <c r="KW43" i="3"/>
  <c r="KW25" i="3"/>
  <c r="KW11" i="3"/>
  <c r="LQ27" i="1"/>
  <c r="LQ28" i="1" s="1"/>
  <c r="KW3" i="3" l="1"/>
  <c r="KU49" i="3" l="1"/>
  <c r="KV49" i="3"/>
  <c r="KV43" i="3"/>
  <c r="KV25" i="3"/>
  <c r="KV11" i="3"/>
  <c r="KV3" i="3" l="1"/>
  <c r="KU43" i="3" l="1"/>
  <c r="KU25" i="3"/>
  <c r="KU11" i="3"/>
  <c r="KU3" i="3" l="1"/>
  <c r="D36" i="59" l="1"/>
  <c r="KS49" i="3" l="1"/>
  <c r="KS43" i="3"/>
  <c r="KS25" i="3"/>
  <c r="KS11" i="3"/>
  <c r="KS3" i="3" l="1"/>
  <c r="D34" i="59" l="1"/>
  <c r="D33" i="59"/>
  <c r="KJ49" i="3" l="1"/>
  <c r="KJ43" i="3"/>
  <c r="KJ25" i="3"/>
  <c r="KJ11" i="3"/>
  <c r="KJ3" i="3" l="1"/>
  <c r="K28" i="59" l="1"/>
  <c r="P31" i="59"/>
  <c r="P30" i="59"/>
  <c r="P29" i="59"/>
  <c r="P28" i="59"/>
  <c r="J31" i="59"/>
  <c r="D29" i="59"/>
  <c r="J30" i="59"/>
  <c r="JS49" i="3" l="1"/>
  <c r="JS43" i="3"/>
  <c r="JS25" i="3"/>
  <c r="JS11" i="3"/>
  <c r="JS3" i="3" l="1"/>
  <c r="J27" i="59"/>
  <c r="P27" i="59"/>
  <c r="E16" i="58"/>
  <c r="E15" i="58"/>
  <c r="J25" i="59" l="1"/>
  <c r="P22" i="59" l="1"/>
  <c r="P21" i="59"/>
  <c r="IY49" i="3"/>
  <c r="IY43" i="3"/>
  <c r="IY25" i="3"/>
  <c r="IY11" i="3"/>
  <c r="P24" i="59"/>
  <c r="IY3" i="3" l="1"/>
  <c r="F11" i="58"/>
  <c r="J23" i="59" s="1"/>
  <c r="JU25" i="1" l="1"/>
  <c r="P23" i="59" l="1"/>
  <c r="E11" i="58"/>
  <c r="P20" i="59" l="1"/>
  <c r="P18" i="59" l="1"/>
  <c r="P16" i="59" l="1"/>
  <c r="J15" i="59" l="1"/>
  <c r="D14" i="59"/>
  <c r="F8" i="6" l="1"/>
  <c r="F7" i="6"/>
  <c r="F6" i="6"/>
  <c r="AF9" i="6" l="1"/>
  <c r="AB9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AL9" i="6"/>
  <c r="AK9" i="6"/>
  <c r="AJ9" i="6"/>
  <c r="AI9" i="6"/>
  <c r="AH9" i="6"/>
  <c r="AG9" i="6"/>
  <c r="AE9" i="6"/>
  <c r="AD9" i="6"/>
  <c r="AC9" i="6"/>
  <c r="AA9" i="6"/>
  <c r="Z14" i="6"/>
  <c r="Z9" i="6"/>
  <c r="K6" i="58" l="1"/>
  <c r="H6" i="58"/>
  <c r="E6" i="58"/>
  <c r="L6" i="58" l="1"/>
  <c r="J10" i="59"/>
  <c r="K10" i="59" s="1"/>
  <c r="D9" i="59"/>
  <c r="HU49" i="3" l="1"/>
  <c r="HU43" i="3"/>
  <c r="HU25" i="3"/>
  <c r="HU11" i="3"/>
  <c r="HU3" i="3" l="1"/>
  <c r="HT25" i="3" l="1"/>
  <c r="HT49" i="3" l="1"/>
  <c r="HT43" i="3"/>
  <c r="HT11" i="3"/>
  <c r="HT3" i="3" l="1"/>
  <c r="HS25" i="3" l="1"/>
  <c r="HS11" i="3" l="1"/>
  <c r="HS49" i="3" l="1"/>
  <c r="HS43" i="3"/>
  <c r="HS3" i="3" l="1"/>
  <c r="HR25" i="3"/>
  <c r="HR49" i="3" l="1"/>
  <c r="HR43" i="3"/>
  <c r="HR11" i="3"/>
  <c r="HR3" i="3" l="1"/>
  <c r="F10" i="60"/>
  <c r="E10" i="60"/>
  <c r="D10" i="60"/>
  <c r="C10" i="60"/>
  <c r="D8" i="60"/>
  <c r="A8" i="60"/>
  <c r="A7" i="60"/>
  <c r="A6" i="60"/>
  <c r="A5" i="60"/>
  <c r="A2" i="60"/>
  <c r="E14" i="60"/>
  <c r="D14" i="60"/>
  <c r="C14" i="60"/>
  <c r="B13" i="60"/>
  <c r="B10" i="60" l="1"/>
  <c r="HN4" i="3" l="1"/>
  <c r="HN11" i="3"/>
  <c r="HN12" i="3" s="1"/>
  <c r="HN25" i="3"/>
  <c r="HN26" i="3" s="1"/>
  <c r="HN43" i="3"/>
  <c r="HN44" i="3" s="1"/>
  <c r="HN49" i="3"/>
  <c r="HN50" i="3" s="1"/>
  <c r="HM49" i="3" l="1"/>
  <c r="HM43" i="3"/>
  <c r="HM25" i="3"/>
  <c r="HM11" i="3"/>
  <c r="HM3" i="3" l="1"/>
  <c r="HL49" i="3"/>
  <c r="HL43" i="3"/>
  <c r="HL25" i="3"/>
  <c r="HL11" i="3"/>
  <c r="HL3" i="3" l="1"/>
  <c r="HK49" i="3" l="1"/>
  <c r="HK43" i="3"/>
  <c r="HK25" i="3"/>
  <c r="HK11" i="3"/>
  <c r="HK3" i="3" l="1"/>
  <c r="HJ49" i="3" l="1"/>
  <c r="HJ43" i="3"/>
  <c r="HJ25" i="3"/>
  <c r="HJ11" i="3"/>
  <c r="HJ3" i="3" l="1"/>
  <c r="B3" i="58"/>
  <c r="P4" i="59"/>
  <c r="R4" i="59" s="1"/>
  <c r="O5" i="59" s="1"/>
  <c r="J4" i="59"/>
  <c r="L4" i="59" s="1"/>
  <c r="I5" i="59" s="1"/>
  <c r="D4" i="59"/>
  <c r="F4" i="59" s="1"/>
  <c r="C5" i="59" s="1"/>
  <c r="HI49" i="3" l="1"/>
  <c r="HI43" i="3"/>
  <c r="HI25" i="3"/>
  <c r="HI11" i="3"/>
  <c r="HI3" i="3" l="1"/>
  <c r="HH49" i="3" l="1"/>
  <c r="HH43" i="3"/>
  <c r="HH25" i="3"/>
  <c r="HH11" i="3"/>
  <c r="ID25" i="1"/>
  <c r="HH3" i="3" l="1"/>
  <c r="B15" i="57"/>
  <c r="B22" i="57" s="1"/>
  <c r="B14" i="57"/>
  <c r="B21" i="57" s="1"/>
  <c r="B13" i="57"/>
  <c r="B20" i="57" s="1"/>
  <c r="B12" i="57"/>
  <c r="B19" i="57" s="1"/>
  <c r="G25" i="54"/>
  <c r="G26" i="54" s="1"/>
  <c r="G11" i="54"/>
  <c r="E33" i="54" s="1"/>
  <c r="I9" i="54"/>
  <c r="I11" i="54" s="1"/>
  <c r="I23" i="54"/>
  <c r="G6" i="54"/>
  <c r="I5" i="54"/>
  <c r="I4" i="54"/>
  <c r="G15" i="54"/>
  <c r="I15" i="54" s="1"/>
  <c r="E14" i="54"/>
  <c r="G14" i="54" s="1"/>
  <c r="G19" i="54" s="1"/>
  <c r="I19" i="54" s="1"/>
  <c r="E36" i="54" l="1"/>
  <c r="E8" i="57" s="1"/>
  <c r="F8" i="57" s="1"/>
  <c r="I6" i="54"/>
  <c r="E5" i="57"/>
  <c r="S2" i="59" s="1"/>
  <c r="G20" i="54"/>
  <c r="G21" i="54" s="1"/>
  <c r="E6" i="57" s="1"/>
  <c r="M2" i="59" s="1"/>
  <c r="I14" i="54"/>
  <c r="I16" i="54" s="1"/>
  <c r="G16" i="54"/>
  <c r="I24" i="54"/>
  <c r="I26" i="54" s="1"/>
  <c r="E35" i="54" s="1"/>
  <c r="M4" i="59" l="1"/>
  <c r="M8" i="59"/>
  <c r="S4" i="59"/>
  <c r="S8" i="59"/>
  <c r="I20" i="54"/>
  <c r="I21" i="54" s="1"/>
  <c r="E34" i="54"/>
  <c r="E7" i="57"/>
  <c r="G2" i="59" s="1"/>
  <c r="G4" i="59" l="1"/>
  <c r="E15" i="57"/>
  <c r="K3" i="58"/>
  <c r="G3" i="58"/>
  <c r="F15" i="57" l="1"/>
  <c r="G15" i="57" s="1"/>
  <c r="H15" i="57" s="1"/>
  <c r="I15" i="57" s="1"/>
  <c r="J15" i="57" s="1"/>
  <c r="K15" i="57" s="1"/>
  <c r="L15" i="57" s="1"/>
  <c r="M15" i="57" l="1"/>
  <c r="HG49" i="3"/>
  <c r="HG43" i="3"/>
  <c r="HG25" i="3"/>
  <c r="HG11" i="3"/>
  <c r="D47" i="2" l="1"/>
  <c r="JU13" i="1"/>
  <c r="G29" i="54"/>
  <c r="G31" i="54" s="1"/>
  <c r="ID13" i="1"/>
  <c r="HG3" i="3"/>
  <c r="JU14" i="1" l="1"/>
  <c r="ID14" i="1"/>
  <c r="I4" i="57" l="1"/>
  <c r="L4" i="57" s="1"/>
  <c r="H4" i="57"/>
  <c r="K4" i="57" s="1"/>
  <c r="G4" i="57"/>
  <c r="J4" i="57" s="1"/>
  <c r="B4" i="57"/>
  <c r="H5" i="57" l="1"/>
  <c r="HW25" i="1" l="1"/>
  <c r="HX25" i="1"/>
  <c r="HZ25" i="1"/>
  <c r="IA25" i="1"/>
  <c r="HY25" i="1"/>
  <c r="HU25" i="1"/>
  <c r="HT25" i="1"/>
  <c r="HV25" i="1"/>
  <c r="JU26" i="1" l="1"/>
  <c r="ID26" i="1"/>
  <c r="HZ27" i="1"/>
  <c r="HT26" i="1"/>
  <c r="IA26" i="1"/>
  <c r="HX26" i="1"/>
  <c r="HU26" i="1"/>
  <c r="HZ26" i="1"/>
  <c r="HW26" i="1"/>
  <c r="HV26" i="1"/>
  <c r="HY26" i="1"/>
  <c r="HV27" i="1"/>
  <c r="HY27" i="1"/>
  <c r="HW27" i="1"/>
  <c r="HT27" i="1"/>
  <c r="HU27" i="1"/>
  <c r="IA27" i="1"/>
  <c r="HX27" i="1"/>
  <c r="HX28" i="1" l="1"/>
  <c r="HY28" i="1"/>
  <c r="HV28" i="1"/>
  <c r="HZ28" i="1"/>
  <c r="HT28" i="1"/>
  <c r="HW28" i="1"/>
  <c r="IA28" i="1"/>
  <c r="HU28" i="1"/>
  <c r="HF49" i="3" l="1"/>
  <c r="HF43" i="3"/>
  <c r="HF25" i="3"/>
  <c r="HF11" i="3"/>
  <c r="HF3" i="3" l="1"/>
  <c r="HE49" i="3"/>
  <c r="HE43" i="3"/>
  <c r="HE25" i="3"/>
  <c r="HE11" i="3"/>
  <c r="HE3" i="3" l="1"/>
  <c r="HD49" i="3"/>
  <c r="HD43" i="3"/>
  <c r="HD25" i="3"/>
  <c r="HD11" i="3"/>
  <c r="HD3" i="3" l="1"/>
  <c r="HC49" i="3"/>
  <c r="HC43" i="3"/>
  <c r="HC25" i="3"/>
  <c r="HC11" i="3"/>
  <c r="HC3" i="3" l="1"/>
  <c r="HB49" i="3"/>
  <c r="HB43" i="3"/>
  <c r="HB25" i="3"/>
  <c r="HB11" i="3"/>
  <c r="HB3" i="3" l="1"/>
  <c r="HW30" i="1" l="1"/>
  <c r="HV30" i="1"/>
  <c r="HA49" i="3" l="1"/>
  <c r="HA43" i="3"/>
  <c r="HA25" i="3"/>
  <c r="HA11" i="3"/>
  <c r="HA3" i="3" l="1"/>
  <c r="GZ49" i="3"/>
  <c r="GZ43" i="3"/>
  <c r="GZ25" i="3"/>
  <c r="GZ11" i="3"/>
  <c r="GZ3" i="3" l="1"/>
  <c r="GY49" i="3" l="1"/>
  <c r="GY43" i="3"/>
  <c r="GY25" i="3"/>
  <c r="GY11" i="3"/>
  <c r="GY3" i="3" l="1"/>
  <c r="GX49" i="3"/>
  <c r="GX43" i="3"/>
  <c r="GX25" i="3"/>
  <c r="GX11" i="3"/>
  <c r="GX3" i="3" l="1"/>
  <c r="GW49" i="3" l="1"/>
  <c r="GW43" i="3"/>
  <c r="GW25" i="3"/>
  <c r="GW11" i="3"/>
  <c r="GW3" i="3" l="1"/>
  <c r="GV49" i="3" l="1"/>
  <c r="GV43" i="3"/>
  <c r="GV25" i="3"/>
  <c r="GV11" i="3"/>
  <c r="GV3" i="3" l="1"/>
  <c r="GU49" i="3"/>
  <c r="GU43" i="3"/>
  <c r="GU25" i="3"/>
  <c r="GU11" i="3"/>
  <c r="GU3" i="3" l="1"/>
  <c r="GT49" i="3" l="1"/>
  <c r="GT43" i="3"/>
  <c r="GT25" i="3"/>
  <c r="GT11" i="3"/>
  <c r="GT3" i="3" l="1"/>
  <c r="GS49" i="3"/>
  <c r="GS43" i="3"/>
  <c r="GS25" i="3"/>
  <c r="GS11" i="3"/>
  <c r="GS3" i="3" l="1"/>
  <c r="GR49" i="3" l="1"/>
  <c r="GR43" i="3"/>
  <c r="GR25" i="3"/>
  <c r="GR11" i="3"/>
  <c r="GR3" i="3" l="1"/>
  <c r="GQ49" i="3" l="1"/>
  <c r="GQ43" i="3"/>
  <c r="GQ25" i="3"/>
  <c r="GQ11" i="3"/>
  <c r="GQ3" i="3" l="1"/>
  <c r="GP49" i="3"/>
  <c r="GP43" i="3"/>
  <c r="GP25" i="3"/>
  <c r="GP11" i="3"/>
  <c r="GP3" i="3" l="1"/>
  <c r="GO46" i="3"/>
  <c r="GO49" i="3" s="1"/>
  <c r="GO43" i="3"/>
  <c r="GO25" i="3"/>
  <c r="GO11" i="3"/>
  <c r="GO3" i="3" l="1"/>
  <c r="GN49" i="3"/>
  <c r="GN43" i="3"/>
  <c r="GN25" i="3"/>
  <c r="GN11" i="3"/>
  <c r="GN3" i="3" l="1"/>
  <c r="GM49" i="3"/>
  <c r="GM43" i="3"/>
  <c r="GM25" i="3"/>
  <c r="GM11" i="3"/>
  <c r="GM3" i="3" l="1"/>
  <c r="GL46" i="3"/>
  <c r="GL45" i="3"/>
  <c r="GL43" i="3"/>
  <c r="GL25" i="3"/>
  <c r="GL11" i="3"/>
  <c r="GL49" i="3" l="1"/>
  <c r="GL3" i="3" s="1"/>
  <c r="GK43" i="3" l="1"/>
  <c r="GK25" i="3"/>
  <c r="GK11" i="3"/>
  <c r="GJ49" i="3" l="1"/>
  <c r="GJ43" i="3"/>
  <c r="GJ25" i="3"/>
  <c r="GJ11" i="3"/>
  <c r="GJ3" i="3" l="1"/>
  <c r="GI49" i="3" l="1"/>
  <c r="GI43" i="3"/>
  <c r="GI25" i="3"/>
  <c r="GI11" i="3"/>
  <c r="GI3" i="3" l="1"/>
  <c r="HD15" i="1"/>
  <c r="GH37" i="3" l="1"/>
  <c r="GH28" i="3"/>
  <c r="GH21" i="3" l="1"/>
  <c r="GH24" i="3"/>
  <c r="GH19" i="3"/>
  <c r="GH18" i="3"/>
  <c r="GH17" i="3"/>
  <c r="GH16" i="3"/>
  <c r="GH15" i="3"/>
  <c r="GH14" i="3"/>
  <c r="GH11" i="3" l="1"/>
  <c r="GH25" i="3"/>
  <c r="GH43" i="3"/>
  <c r="GH49" i="3"/>
  <c r="HD13" i="1"/>
  <c r="HD21" i="1"/>
  <c r="HD29" i="1"/>
  <c r="GH3" i="3" l="1"/>
  <c r="HC15" i="1"/>
  <c r="HC13" i="1"/>
  <c r="GG37" i="3" l="1"/>
  <c r="GG28" i="3"/>
  <c r="GG21" i="3" l="1"/>
  <c r="GG24" i="3"/>
  <c r="GG19" i="3"/>
  <c r="GG17" i="3"/>
  <c r="GG16" i="3"/>
  <c r="GG15" i="3"/>
  <c r="GG14" i="3"/>
  <c r="HC21" i="1" l="1"/>
  <c r="HC29" i="1"/>
  <c r="GG11" i="3"/>
  <c r="GG25" i="3"/>
  <c r="GG43" i="3"/>
  <c r="GG49" i="3"/>
  <c r="GG3" i="3" l="1"/>
  <c r="GF37" i="3"/>
  <c r="GF28" i="3"/>
  <c r="GF21" i="3" l="1"/>
  <c r="GF24" i="3"/>
  <c r="GF19" i="3"/>
  <c r="GF17" i="3"/>
  <c r="GF16" i="3"/>
  <c r="GF15" i="3"/>
  <c r="GF14" i="3"/>
  <c r="GF11" i="3" l="1"/>
  <c r="GF25" i="3"/>
  <c r="GF43" i="3"/>
  <c r="GF49" i="3"/>
  <c r="HB13" i="1"/>
  <c r="HB15" i="1"/>
  <c r="HB21" i="1"/>
  <c r="HB29" i="1"/>
  <c r="GF3" i="3" l="1"/>
  <c r="GE37" i="3"/>
  <c r="GE28" i="3"/>
  <c r="GE21" i="3" l="1"/>
  <c r="GE24" i="3"/>
  <c r="GE19" i="3"/>
  <c r="GE17" i="3"/>
  <c r="GE16" i="3"/>
  <c r="GE15" i="3"/>
  <c r="GE14" i="3"/>
  <c r="GE11" i="3" l="1"/>
  <c r="GE25" i="3"/>
  <c r="GE43" i="3"/>
  <c r="GE49" i="3"/>
  <c r="HA13" i="1"/>
  <c r="HA15" i="1"/>
  <c r="HA21" i="1"/>
  <c r="HA29" i="1"/>
  <c r="GE3" i="3" l="1"/>
  <c r="GZ13" i="1"/>
  <c r="GZ15" i="1" l="1"/>
  <c r="GD37" i="3" l="1"/>
  <c r="GD28" i="3"/>
  <c r="GD21" i="3" l="1"/>
  <c r="GD24" i="3"/>
  <c r="GD19" i="3"/>
  <c r="GD18" i="3"/>
  <c r="GD17" i="3"/>
  <c r="GD16" i="3"/>
  <c r="GD15" i="3"/>
  <c r="GD14" i="3"/>
  <c r="GD11" i="3"/>
  <c r="GD43" i="3"/>
  <c r="GD49" i="3"/>
  <c r="GZ21" i="1"/>
  <c r="GZ29" i="1"/>
  <c r="GD25" i="3" l="1"/>
  <c r="GD3" i="3" s="1"/>
  <c r="GY13" i="1" l="1"/>
  <c r="GC21" i="3"/>
  <c r="GC24" i="3"/>
  <c r="GC19" i="3"/>
  <c r="GC18" i="3"/>
  <c r="GC17" i="3"/>
  <c r="GC16" i="3"/>
  <c r="GC15" i="3"/>
  <c r="GC14" i="3"/>
  <c r="GC37" i="3" l="1"/>
  <c r="GC28" i="3"/>
  <c r="GC11" i="3" l="1"/>
  <c r="GC25" i="3"/>
  <c r="GC43" i="3"/>
  <c r="GC49" i="3"/>
  <c r="GC3" i="3" l="1"/>
  <c r="GY15" i="1" l="1"/>
  <c r="GY21" i="1"/>
  <c r="GY29" i="1"/>
  <c r="F12" i="60" l="1"/>
  <c r="B12" i="60" l="1"/>
  <c r="F14" i="60"/>
  <c r="B14" i="60" s="1"/>
  <c r="GB21" i="3" l="1"/>
  <c r="GB24" i="3"/>
  <c r="GB19" i="3"/>
  <c r="GB18" i="3"/>
  <c r="GB17" i="3"/>
  <c r="GB16" i="3"/>
  <c r="GB15" i="3"/>
  <c r="GB14" i="3"/>
  <c r="GB37" i="3" l="1"/>
  <c r="GB28" i="3"/>
  <c r="GB11" i="3"/>
  <c r="GB25" i="3"/>
  <c r="GB49" i="3"/>
  <c r="GX13" i="1"/>
  <c r="GX15" i="1"/>
  <c r="GX21" i="1"/>
  <c r="GX29" i="1"/>
  <c r="GB43" i="3" l="1"/>
  <c r="GB3" i="3" s="1"/>
  <c r="GA37" i="3"/>
  <c r="GA32" i="3"/>
  <c r="GA28" i="3"/>
  <c r="GA21" i="3" l="1"/>
  <c r="GA24" i="3"/>
  <c r="GA19" i="3"/>
  <c r="GA18" i="3"/>
  <c r="GA17" i="3"/>
  <c r="GA16" i="3"/>
  <c r="GA15" i="3"/>
  <c r="GA14" i="3"/>
  <c r="GA11" i="3" l="1"/>
  <c r="GA25" i="3"/>
  <c r="GA43" i="3"/>
  <c r="GA49" i="3"/>
  <c r="GW13" i="1"/>
  <c r="GW15" i="1"/>
  <c r="GW21" i="1"/>
  <c r="GW29" i="1"/>
  <c r="GV13" i="1"/>
  <c r="GA3" i="3" l="1"/>
  <c r="FZ37" i="3" l="1"/>
  <c r="FZ32" i="3"/>
  <c r="FZ28" i="3"/>
  <c r="FZ21" i="3" l="1"/>
  <c r="FZ24" i="3"/>
  <c r="FZ19" i="3"/>
  <c r="FZ18" i="3"/>
  <c r="FZ17" i="3"/>
  <c r="FZ16" i="3"/>
  <c r="FZ15" i="3"/>
  <c r="FZ14" i="3"/>
  <c r="GV15" i="1"/>
  <c r="GV21" i="1"/>
  <c r="GV29" i="1"/>
  <c r="FZ11" i="3"/>
  <c r="FZ43" i="3"/>
  <c r="FZ49" i="3"/>
  <c r="FZ25" i="3" l="1"/>
  <c r="FZ3" i="3" s="1"/>
  <c r="GU21" i="1" l="1"/>
  <c r="FY37" i="3" l="1"/>
  <c r="FY32" i="3"/>
  <c r="FY28" i="3"/>
  <c r="GU13" i="1" l="1"/>
  <c r="GU15" i="1"/>
  <c r="GU29" i="1"/>
  <c r="FY11" i="3"/>
  <c r="FY25" i="3"/>
  <c r="FY43" i="3"/>
  <c r="FY49" i="3"/>
  <c r="FY3" i="3" l="1"/>
  <c r="FX37" i="3"/>
  <c r="FX32" i="3"/>
  <c r="FX28" i="3"/>
  <c r="FX21" i="3" l="1"/>
  <c r="FX24" i="3"/>
  <c r="FX19" i="3"/>
  <c r="FX18" i="3"/>
  <c r="FX17" i="3"/>
  <c r="FX16" i="3"/>
  <c r="FX15" i="3"/>
  <c r="FX14" i="3"/>
  <c r="GT13" i="1" l="1"/>
  <c r="GT15" i="1"/>
  <c r="GT29" i="1"/>
  <c r="FX11" i="3"/>
  <c r="FX25" i="3"/>
  <c r="FX43" i="3"/>
  <c r="FX49" i="3"/>
  <c r="FX3" i="3" l="1"/>
  <c r="FW21" i="3" l="1"/>
  <c r="FW24" i="3"/>
  <c r="FW19" i="3"/>
  <c r="FW18" i="3"/>
  <c r="FW17" i="3"/>
  <c r="FW16" i="3"/>
  <c r="FW15" i="3"/>
  <c r="FW14" i="3"/>
  <c r="GS21" i="1" l="1"/>
  <c r="FW37" i="3" l="1"/>
  <c r="FW32" i="3"/>
  <c r="FW28" i="3"/>
  <c r="FW11" i="3" l="1"/>
  <c r="FW25" i="3"/>
  <c r="FW43" i="3"/>
  <c r="FW49" i="3"/>
  <c r="GS13" i="1"/>
  <c r="GS15" i="1"/>
  <c r="GS29" i="1"/>
  <c r="FW3" i="3" l="1"/>
  <c r="GR13" i="1" l="1"/>
  <c r="FV37" i="3" l="1"/>
  <c r="FV32" i="3"/>
  <c r="FV21" i="3" l="1"/>
  <c r="FV24" i="3"/>
  <c r="FV19" i="3"/>
  <c r="FV18" i="3"/>
  <c r="FV17" i="3"/>
  <c r="FV16" i="3"/>
  <c r="FV15" i="3"/>
  <c r="FV14" i="3"/>
  <c r="FV11" i="3" l="1"/>
  <c r="FV25" i="3"/>
  <c r="FV43" i="3"/>
  <c r="FV49" i="3"/>
  <c r="GR15" i="1"/>
  <c r="GR29" i="1"/>
  <c r="FV3" i="3" l="1"/>
  <c r="GQ13" i="1"/>
  <c r="FU37" i="3" l="1"/>
  <c r="FU32" i="3"/>
  <c r="FU21" i="3" l="1"/>
  <c r="FU24" i="3"/>
  <c r="FU19" i="3"/>
  <c r="FU18" i="3"/>
  <c r="FU17" i="3"/>
  <c r="FU16" i="3"/>
  <c r="FU15" i="3"/>
  <c r="FU14" i="3"/>
  <c r="FU11" i="3"/>
  <c r="FU43" i="3"/>
  <c r="FU49" i="3"/>
  <c r="GQ15" i="1"/>
  <c r="GQ21" i="1"/>
  <c r="GQ29" i="1"/>
  <c r="FU25" i="3" l="1"/>
  <c r="FU3" i="3" s="1"/>
  <c r="FT37" i="3" l="1"/>
  <c r="FT32" i="3"/>
  <c r="FT21" i="3" l="1"/>
  <c r="FT24" i="3"/>
  <c r="FT19" i="3"/>
  <c r="FT18" i="3"/>
  <c r="FT17" i="3"/>
  <c r="FT16" i="3"/>
  <c r="FT15" i="3"/>
  <c r="FT14" i="3"/>
  <c r="FT11" i="3" l="1"/>
  <c r="FT25" i="3"/>
  <c r="FT43" i="3"/>
  <c r="FT49" i="3"/>
  <c r="GP13" i="1"/>
  <c r="GP15" i="1"/>
  <c r="GP21" i="1"/>
  <c r="GP29" i="1"/>
  <c r="FT3" i="3" l="1"/>
  <c r="GO15" i="1"/>
  <c r="GO13" i="1" l="1"/>
  <c r="GO21" i="1"/>
  <c r="GO29" i="1"/>
  <c r="FS11" i="3"/>
  <c r="FS25" i="3"/>
  <c r="FS43" i="3"/>
  <c r="FS49" i="3"/>
  <c r="FS3" i="3" l="1"/>
  <c r="GN21" i="1"/>
  <c r="FR11" i="3" l="1"/>
  <c r="FR25" i="3"/>
  <c r="FR43" i="3"/>
  <c r="FR49" i="3"/>
  <c r="GN13" i="1"/>
  <c r="GN15" i="1"/>
  <c r="GN29" i="1"/>
  <c r="FR3" i="3" l="1"/>
  <c r="GM13" i="1"/>
  <c r="FQ37" i="3" l="1"/>
  <c r="FQ32" i="3"/>
  <c r="FQ21" i="3" l="1"/>
  <c r="FQ24" i="3"/>
  <c r="FQ19" i="3"/>
  <c r="FQ18" i="3"/>
  <c r="FQ17" i="3"/>
  <c r="FQ16" i="3"/>
  <c r="FQ15" i="3"/>
  <c r="FQ14" i="3"/>
  <c r="FQ11" i="3"/>
  <c r="FQ43" i="3"/>
  <c r="FQ49" i="3"/>
  <c r="FQ25" i="3" l="1"/>
  <c r="FQ3" i="3" s="1"/>
  <c r="GM15" i="1" l="1"/>
  <c r="GM29" i="1"/>
  <c r="GL13" i="1"/>
  <c r="FP37" i="3" l="1"/>
  <c r="FP32" i="3"/>
  <c r="FP21" i="3" l="1"/>
  <c r="FP24" i="3"/>
  <c r="FP19" i="3"/>
  <c r="FP18" i="3"/>
  <c r="FP17" i="3"/>
  <c r="FP16" i="3"/>
  <c r="FP15" i="3"/>
  <c r="FP14" i="3"/>
  <c r="FP11" i="3"/>
  <c r="FP43" i="3"/>
  <c r="FP49" i="3"/>
  <c r="GL15" i="1"/>
  <c r="GL29" i="1"/>
  <c r="FP25" i="3" l="1"/>
  <c r="FP3" i="3" s="1"/>
  <c r="GK13" i="1" l="1"/>
  <c r="GK21" i="1"/>
  <c r="FO37" i="3" l="1"/>
  <c r="FO32" i="3"/>
  <c r="FO21" i="3" l="1"/>
  <c r="FO24" i="3"/>
  <c r="FO19" i="3"/>
  <c r="FO18" i="3"/>
  <c r="FO17" i="3"/>
  <c r="FO16" i="3"/>
  <c r="FO15" i="3"/>
  <c r="FO14" i="3"/>
  <c r="GK15" i="1"/>
  <c r="GK29" i="1"/>
  <c r="FO11" i="3" l="1"/>
  <c r="FO25" i="3"/>
  <c r="FO43" i="3"/>
  <c r="FO49" i="3"/>
  <c r="FO3" i="3" l="1"/>
  <c r="GJ13" i="1"/>
  <c r="GJ15" i="1"/>
  <c r="GJ29" i="1"/>
  <c r="FN11" i="3"/>
  <c r="FN25" i="3"/>
  <c r="FN43" i="3"/>
  <c r="FN49" i="3"/>
  <c r="FN3" i="3" l="1"/>
  <c r="GI13" i="1"/>
  <c r="FM11" i="3" l="1"/>
  <c r="FM25" i="3"/>
  <c r="FM43" i="3"/>
  <c r="FM49" i="3"/>
  <c r="GI15" i="1"/>
  <c r="GI29" i="1"/>
  <c r="FM3" i="3" l="1"/>
  <c r="FL37" i="3"/>
  <c r="FL21" i="3" l="1"/>
  <c r="FL24" i="3"/>
  <c r="FL19" i="3"/>
  <c r="FL18" i="3"/>
  <c r="FL17" i="3"/>
  <c r="FL16" i="3"/>
  <c r="FL15" i="3"/>
  <c r="GH13" i="1" l="1"/>
  <c r="GH15" i="1"/>
  <c r="GH21" i="1"/>
  <c r="GH29" i="1"/>
  <c r="FL11" i="3"/>
  <c r="FL25" i="3"/>
  <c r="FL43" i="3"/>
  <c r="FL49" i="3"/>
  <c r="FK21" i="3"/>
  <c r="FK24" i="3"/>
  <c r="FK19" i="3"/>
  <c r="FK18" i="3"/>
  <c r="FK17" i="3"/>
  <c r="FK16" i="3"/>
  <c r="FK15" i="3"/>
  <c r="FK37" i="3"/>
  <c r="GG13" i="1"/>
  <c r="FK25" i="3" l="1"/>
  <c r="FL3" i="3"/>
  <c r="GG15" i="1"/>
  <c r="GG21" i="1"/>
  <c r="GG29" i="1"/>
  <c r="FK11" i="3"/>
  <c r="FK43" i="3"/>
  <c r="FK49" i="3"/>
  <c r="FK3" i="3" l="1"/>
  <c r="FJ37" i="3"/>
  <c r="FJ21" i="3" l="1"/>
  <c r="FJ24" i="3"/>
  <c r="FJ19" i="3"/>
  <c r="FJ18" i="3"/>
  <c r="FJ17" i="3"/>
  <c r="FJ16" i="3"/>
  <c r="FJ15" i="3"/>
  <c r="GE15" i="1" l="1"/>
  <c r="GE13" i="1"/>
  <c r="FI49" i="3"/>
  <c r="FI43" i="3"/>
  <c r="FI25" i="3"/>
  <c r="FI11" i="3"/>
  <c r="FJ11" i="3"/>
  <c r="FJ25" i="3"/>
  <c r="FJ43" i="3"/>
  <c r="FJ49" i="3"/>
  <c r="GF13" i="1"/>
  <c r="GF15" i="1"/>
  <c r="GF21" i="1"/>
  <c r="GF29" i="1"/>
  <c r="FI3" i="3" l="1"/>
  <c r="FJ3" i="3"/>
  <c r="GE29" i="1" l="1"/>
  <c r="GD13" i="1" l="1"/>
  <c r="GD21" i="1"/>
  <c r="FH11" i="3" l="1"/>
  <c r="FH25" i="3"/>
  <c r="FH43" i="3"/>
  <c r="FH49" i="3"/>
  <c r="GD15" i="1"/>
  <c r="GD29" i="1"/>
  <c r="FH3" i="3" l="1"/>
  <c r="GC13" i="1"/>
  <c r="FG37" i="3" l="1"/>
  <c r="FG32" i="3"/>
  <c r="FG21" i="3" l="1"/>
  <c r="FG24" i="3"/>
  <c r="FG19" i="3"/>
  <c r="FG18" i="3"/>
  <c r="FG17" i="3"/>
  <c r="FG16" i="3"/>
  <c r="FG15" i="3"/>
  <c r="FG11" i="3" l="1"/>
  <c r="FG25" i="3"/>
  <c r="FG43" i="3"/>
  <c r="FG49" i="3"/>
  <c r="GC15" i="1"/>
  <c r="GC29" i="1"/>
  <c r="FG3" i="3" l="1"/>
  <c r="GB13" i="1"/>
  <c r="FF37" i="3" l="1"/>
  <c r="FF32" i="3"/>
  <c r="FF21" i="3" l="1"/>
  <c r="FF24" i="3"/>
  <c r="FF19" i="3"/>
  <c r="FF18" i="3"/>
  <c r="FF17" i="3"/>
  <c r="FF16" i="3"/>
  <c r="FF15" i="3"/>
  <c r="FF11" i="3" l="1"/>
  <c r="FF25" i="3"/>
  <c r="FF43" i="3"/>
  <c r="FF49" i="3"/>
  <c r="GB15" i="1"/>
  <c r="GB29" i="1"/>
  <c r="FF3" i="3" l="1"/>
  <c r="FE37" i="3"/>
  <c r="GA13" i="1" l="1"/>
  <c r="GA15" i="1"/>
  <c r="GA29" i="1"/>
  <c r="FE11" i="3"/>
  <c r="FE25" i="3"/>
  <c r="FE43" i="3"/>
  <c r="FE49" i="3"/>
  <c r="FE3" i="3" l="1"/>
  <c r="FD37" i="3" l="1"/>
  <c r="FD11" i="3" l="1"/>
  <c r="FD25" i="3"/>
  <c r="FD43" i="3"/>
  <c r="FD49" i="3"/>
  <c r="FZ13" i="1"/>
  <c r="FZ15" i="1"/>
  <c r="FZ29" i="1"/>
  <c r="FD3" i="3" l="1"/>
  <c r="FY13" i="1"/>
  <c r="FC37" i="3" l="1"/>
  <c r="FC11" i="3" l="1"/>
  <c r="FC25" i="3"/>
  <c r="FC43" i="3"/>
  <c r="FC49" i="3"/>
  <c r="FY15" i="1"/>
  <c r="FY29" i="1"/>
  <c r="FC3" i="3" l="1"/>
  <c r="FX15" i="1" l="1"/>
  <c r="FB11" i="3" l="1"/>
  <c r="FB25" i="3"/>
  <c r="FB43" i="3"/>
  <c r="FB49" i="3"/>
  <c r="FX13" i="1"/>
  <c r="FX29" i="1"/>
  <c r="FB3" i="3" l="1"/>
  <c r="FA37" i="3"/>
  <c r="FW13" i="1" l="1"/>
  <c r="FW15" i="1"/>
  <c r="FW29" i="1"/>
  <c r="FA11" i="3"/>
  <c r="FA25" i="3"/>
  <c r="FA43" i="3"/>
  <c r="FA49" i="3"/>
  <c r="FA3" i="3" l="1"/>
  <c r="EZ37" i="3"/>
  <c r="FV13" i="1" l="1"/>
  <c r="FV15" i="1"/>
  <c r="FV29" i="1"/>
  <c r="EZ11" i="3"/>
  <c r="EZ25" i="3"/>
  <c r="EZ43" i="3"/>
  <c r="EZ49" i="3"/>
  <c r="EZ3" i="3" l="1"/>
  <c r="FU13" i="1"/>
  <c r="EY37" i="3" l="1"/>
  <c r="EY11" i="3" l="1"/>
  <c r="EY25" i="3"/>
  <c r="EY43" i="3"/>
  <c r="EY49" i="3"/>
  <c r="FU15" i="1"/>
  <c r="FU29" i="1"/>
  <c r="EY3" i="3" l="1"/>
  <c r="FT13" i="1"/>
  <c r="FT21" i="1"/>
  <c r="EX37" i="3" l="1"/>
  <c r="EX21" i="3" l="1"/>
  <c r="EX24" i="3"/>
  <c r="EX19" i="3"/>
  <c r="EX18" i="3"/>
  <c r="EX17" i="3"/>
  <c r="EX16" i="3"/>
  <c r="EX15" i="3"/>
  <c r="EX11" i="3" l="1"/>
  <c r="EX25" i="3"/>
  <c r="EX43" i="3"/>
  <c r="EX49" i="3"/>
  <c r="EX3" i="3" l="1"/>
  <c r="FT15" i="1" l="1"/>
  <c r="FT29" i="1"/>
  <c r="FS21" i="1" l="1"/>
  <c r="FS13" i="1"/>
  <c r="EW37" i="3" l="1"/>
  <c r="EW21" i="3" l="1"/>
  <c r="EW24" i="3"/>
  <c r="EW19" i="3"/>
  <c r="EW18" i="3"/>
  <c r="EW17" i="3"/>
  <c r="EW16" i="3"/>
  <c r="EW15" i="3"/>
  <c r="FS15" i="1" l="1"/>
  <c r="FS29" i="1"/>
  <c r="EW11" i="3" l="1"/>
  <c r="EW25" i="3"/>
  <c r="EW43" i="3"/>
  <c r="EW49" i="3"/>
  <c r="EW3" i="3" l="1"/>
  <c r="EV37" i="3"/>
  <c r="EV21" i="3" l="1"/>
  <c r="EV24" i="3"/>
  <c r="EV19" i="3"/>
  <c r="EV18" i="3"/>
  <c r="EV17" i="3"/>
  <c r="EV16" i="3"/>
  <c r="EV15" i="3"/>
  <c r="FR13" i="1" l="1"/>
  <c r="FR15" i="1"/>
  <c r="FR29" i="1"/>
  <c r="EV11" i="3"/>
  <c r="EV25" i="3"/>
  <c r="EV43" i="3"/>
  <c r="EV49" i="3"/>
  <c r="EV3" i="3" l="1"/>
  <c r="FQ15" i="1"/>
  <c r="EU37" i="3"/>
  <c r="EU43" i="3" s="1"/>
  <c r="EU21" i="3"/>
  <c r="EU24" i="3"/>
  <c r="EU19" i="3"/>
  <c r="EU18" i="3"/>
  <c r="EU17" i="3"/>
  <c r="EU16" i="3"/>
  <c r="EU15" i="3"/>
  <c r="EU11" i="3"/>
  <c r="EU49" i="3"/>
  <c r="FQ13" i="1"/>
  <c r="FQ29" i="1"/>
  <c r="FP13" i="1"/>
  <c r="FP15" i="1"/>
  <c r="FP21" i="1"/>
  <c r="ET37" i="3"/>
  <c r="ET43" i="3" s="1"/>
  <c r="ET21" i="3"/>
  <c r="ET24" i="3"/>
  <c r="ET19" i="3"/>
  <c r="ET18" i="3"/>
  <c r="ET17" i="3"/>
  <c r="ET16" i="3"/>
  <c r="ET15" i="3"/>
  <c r="ET11" i="3"/>
  <c r="ET49" i="3"/>
  <c r="FP29" i="1"/>
  <c r="FO13" i="1"/>
  <c r="FO15" i="1"/>
  <c r="FO29" i="1"/>
  <c r="FN13" i="1"/>
  <c r="ES37" i="3"/>
  <c r="ES43" i="3" s="1"/>
  <c r="ES21" i="3"/>
  <c r="ES24" i="3"/>
  <c r="ES19" i="3"/>
  <c r="ES18" i="3"/>
  <c r="ES17" i="3"/>
  <c r="ES16" i="3"/>
  <c r="ES15" i="3"/>
  <c r="ES11" i="3"/>
  <c r="ES49" i="3"/>
  <c r="ER49" i="3"/>
  <c r="ER43" i="3"/>
  <c r="ER25" i="3"/>
  <c r="ER11" i="3"/>
  <c r="FN15" i="1"/>
  <c r="FN29" i="1"/>
  <c r="FM13" i="1"/>
  <c r="EQ37" i="3"/>
  <c r="EQ43" i="3" s="1"/>
  <c r="EQ21" i="3"/>
  <c r="EQ24" i="3"/>
  <c r="EQ19" i="3"/>
  <c r="EQ18" i="3"/>
  <c r="EQ17" i="3"/>
  <c r="EQ16" i="3"/>
  <c r="EQ15" i="3"/>
  <c r="EQ11" i="3"/>
  <c r="EQ49" i="3"/>
  <c r="FM15" i="1"/>
  <c r="FM29" i="1"/>
  <c r="FL13" i="1"/>
  <c r="EP37" i="3"/>
  <c r="EP43" i="3" s="1"/>
  <c r="EP21" i="3"/>
  <c r="EP24" i="3"/>
  <c r="EP19" i="3"/>
  <c r="EP18" i="3"/>
  <c r="EP17" i="3"/>
  <c r="EP16" i="3"/>
  <c r="EP15" i="3"/>
  <c r="FL15" i="1"/>
  <c r="FL29" i="1"/>
  <c r="EP11" i="3"/>
  <c r="EP49" i="3"/>
  <c r="FK13" i="1"/>
  <c r="EO37" i="3"/>
  <c r="EO43" i="3" s="1"/>
  <c r="EO21" i="3"/>
  <c r="EO24" i="3"/>
  <c r="EO19" i="3"/>
  <c r="EO18" i="3"/>
  <c r="EO17" i="3"/>
  <c r="EO16" i="3"/>
  <c r="FK15" i="1"/>
  <c r="FK29" i="1"/>
  <c r="EO11" i="3"/>
  <c r="EO49" i="3"/>
  <c r="FJ13" i="1"/>
  <c r="EN37" i="3"/>
  <c r="EN43" i="3" s="1"/>
  <c r="EN21" i="3"/>
  <c r="EN24" i="3"/>
  <c r="EN19" i="3"/>
  <c r="EN18" i="3"/>
  <c r="EN17" i="3"/>
  <c r="EN16" i="3"/>
  <c r="EN15" i="3"/>
  <c r="FJ15" i="1"/>
  <c r="FJ29" i="1"/>
  <c r="EN11" i="3"/>
  <c r="EN49" i="3"/>
  <c r="FI13" i="1"/>
  <c r="EM37" i="3"/>
  <c r="EM43" i="3" s="1"/>
  <c r="EM21" i="3"/>
  <c r="EM24" i="3"/>
  <c r="EM19" i="3"/>
  <c r="EM18" i="3"/>
  <c r="EM17" i="3"/>
  <c r="EM16" i="3"/>
  <c r="EM15" i="3"/>
  <c r="EM11" i="3"/>
  <c r="EM49" i="3"/>
  <c r="FI15" i="1"/>
  <c r="FI29" i="1"/>
  <c r="FH21" i="1"/>
  <c r="EL37" i="3"/>
  <c r="EL43" i="3" s="1"/>
  <c r="FH13" i="1"/>
  <c r="FH15" i="1"/>
  <c r="FH29" i="1"/>
  <c r="EL21" i="3"/>
  <c r="EL24" i="3"/>
  <c r="EL19" i="3"/>
  <c r="EL18" i="3"/>
  <c r="EL17" i="3"/>
  <c r="EL16" i="3"/>
  <c r="EL15" i="3"/>
  <c r="EL11" i="3"/>
  <c r="EL49" i="3"/>
  <c r="EK37" i="3"/>
  <c r="EK43" i="3" s="1"/>
  <c r="EK21" i="3"/>
  <c r="EK24" i="3"/>
  <c r="EK19" i="3"/>
  <c r="EK18" i="3"/>
  <c r="EK17" i="3"/>
  <c r="EK16" i="3"/>
  <c r="EK15" i="3"/>
  <c r="FG13" i="1"/>
  <c r="FG15" i="1"/>
  <c r="FG29" i="1"/>
  <c r="EK11" i="3"/>
  <c r="EK49" i="3"/>
  <c r="FF15" i="1"/>
  <c r="FF13" i="1"/>
  <c r="EJ37" i="3"/>
  <c r="EJ43" i="3" s="1"/>
  <c r="EJ21" i="3"/>
  <c r="EJ24" i="3"/>
  <c r="EJ19" i="3"/>
  <c r="EJ18" i="3"/>
  <c r="EJ17" i="3"/>
  <c r="EJ16" i="3"/>
  <c r="EJ15" i="3"/>
  <c r="EJ11" i="3"/>
  <c r="EJ49" i="3"/>
  <c r="FF29" i="1"/>
  <c r="FE15" i="1"/>
  <c r="EI37" i="3"/>
  <c r="EI43" i="3" s="1"/>
  <c r="EI21" i="3"/>
  <c r="EI24" i="3"/>
  <c r="EI19" i="3"/>
  <c r="EI18" i="3"/>
  <c r="EI17" i="3"/>
  <c r="EI16" i="3"/>
  <c r="EI15" i="3"/>
  <c r="FE13" i="1"/>
  <c r="FE29" i="1"/>
  <c r="EI11" i="3"/>
  <c r="EI49" i="3"/>
  <c r="FD13" i="1"/>
  <c r="FD15" i="1"/>
  <c r="EH37" i="3"/>
  <c r="EH43" i="3" s="1"/>
  <c r="EH21" i="3"/>
  <c r="EH24" i="3"/>
  <c r="EH19" i="3"/>
  <c r="EH18" i="3"/>
  <c r="EH17" i="3"/>
  <c r="EH16" i="3"/>
  <c r="EH15" i="3"/>
  <c r="FD29" i="1"/>
  <c r="EH11" i="3"/>
  <c r="EH49" i="3"/>
  <c r="FC15" i="1"/>
  <c r="EG37" i="3"/>
  <c r="EG43" i="3" s="1"/>
  <c r="EG21" i="3"/>
  <c r="EG24" i="3"/>
  <c r="EG19" i="3"/>
  <c r="EG18" i="3"/>
  <c r="EG17" i="3"/>
  <c r="EG16" i="3"/>
  <c r="EG15" i="3"/>
  <c r="FC13" i="1"/>
  <c r="FC29" i="1"/>
  <c r="EG11" i="3"/>
  <c r="EG49" i="3"/>
  <c r="EF37" i="3"/>
  <c r="EF43" i="3" s="1"/>
  <c r="EF21" i="3"/>
  <c r="EF24" i="3"/>
  <c r="EF19" i="3"/>
  <c r="EF18" i="3"/>
  <c r="EF17" i="3"/>
  <c r="EF16" i="3"/>
  <c r="EF15" i="3"/>
  <c r="EF11" i="3"/>
  <c r="EF49" i="3"/>
  <c r="FB13" i="1"/>
  <c r="FB15" i="1"/>
  <c r="FB29" i="1"/>
  <c r="EE37" i="3"/>
  <c r="EE43" i="3" s="1"/>
  <c r="EE21" i="3"/>
  <c r="EE24" i="3"/>
  <c r="EE19" i="3"/>
  <c r="EE18" i="3"/>
  <c r="EE17" i="3"/>
  <c r="EE16" i="3"/>
  <c r="EE15" i="3"/>
  <c r="FA13" i="1"/>
  <c r="FA15" i="1"/>
  <c r="FA29" i="1"/>
  <c r="EE11" i="3"/>
  <c r="EE49" i="3"/>
  <c r="EZ13" i="1"/>
  <c r="ED37" i="3"/>
  <c r="ED43" i="3" s="1"/>
  <c r="ED21" i="3"/>
  <c r="ED24" i="3"/>
  <c r="ED19" i="3"/>
  <c r="ED18" i="3"/>
  <c r="ED17" i="3"/>
  <c r="ED16" i="3"/>
  <c r="ED15" i="3"/>
  <c r="EZ15" i="1"/>
  <c r="EZ21" i="1"/>
  <c r="EZ29" i="1"/>
  <c r="ED11" i="3"/>
  <c r="ED49" i="3"/>
  <c r="EY13" i="1"/>
  <c r="EC37" i="3"/>
  <c r="EC43" i="3" s="1"/>
  <c r="EC21" i="3"/>
  <c r="EC24" i="3"/>
  <c r="EC19" i="3"/>
  <c r="EC18" i="3"/>
  <c r="EC17" i="3"/>
  <c r="EC16" i="3"/>
  <c r="EC15" i="3"/>
  <c r="EC11" i="3"/>
  <c r="EC49" i="3"/>
  <c r="EY15" i="1"/>
  <c r="EY21" i="1"/>
  <c r="EY29" i="1"/>
  <c r="EX21" i="1"/>
  <c r="EB37" i="3"/>
  <c r="EB43" i="3" s="1"/>
  <c r="EB21" i="3"/>
  <c r="EB24" i="3"/>
  <c r="EB19" i="3"/>
  <c r="EB18" i="3"/>
  <c r="EB17" i="3"/>
  <c r="EB16" i="3"/>
  <c r="EB15" i="3"/>
  <c r="EX13" i="1"/>
  <c r="EX15" i="1"/>
  <c r="EX29" i="1"/>
  <c r="EB11" i="3"/>
  <c r="EB49" i="3"/>
  <c r="EW13" i="1"/>
  <c r="EA37" i="3"/>
  <c r="EA43" i="3" s="1"/>
  <c r="EW15" i="1"/>
  <c r="EA21" i="3"/>
  <c r="EA24" i="3"/>
  <c r="EA19" i="3"/>
  <c r="EA18" i="3"/>
  <c r="EA17" i="3"/>
  <c r="EA16" i="3"/>
  <c r="EA15" i="3"/>
  <c r="EW29" i="1"/>
  <c r="EA11" i="3"/>
  <c r="EA49" i="3"/>
  <c r="EV13" i="1"/>
  <c r="DZ37" i="3"/>
  <c r="DZ43" i="3" s="1"/>
  <c r="EV15" i="1"/>
  <c r="EV29" i="1"/>
  <c r="DZ21" i="3"/>
  <c r="DZ24" i="3"/>
  <c r="DZ19" i="3"/>
  <c r="DZ18" i="3"/>
  <c r="DZ17" i="3"/>
  <c r="DZ16" i="3"/>
  <c r="DZ15" i="3"/>
  <c r="DZ11" i="3"/>
  <c r="DZ49" i="3"/>
  <c r="EU15" i="1"/>
  <c r="ET15" i="1"/>
  <c r="DY37" i="3"/>
  <c r="DY33" i="3"/>
  <c r="DY28" i="3"/>
  <c r="DY21" i="3"/>
  <c r="DY24" i="3"/>
  <c r="DY19" i="3"/>
  <c r="DY18" i="3"/>
  <c r="DY17" i="3"/>
  <c r="DY16" i="3"/>
  <c r="DY15" i="3"/>
  <c r="DY11" i="3"/>
  <c r="DY49" i="3"/>
  <c r="EU13" i="1"/>
  <c r="EU29" i="1"/>
  <c r="DX37" i="3"/>
  <c r="DX33" i="3"/>
  <c r="DX21" i="3"/>
  <c r="DX24" i="3"/>
  <c r="DX19" i="3"/>
  <c r="DX18" i="3"/>
  <c r="DX17" i="3"/>
  <c r="DX16" i="3"/>
  <c r="DX15" i="3"/>
  <c r="ET13" i="1"/>
  <c r="ET29" i="1"/>
  <c r="DX11" i="3"/>
  <c r="DX49" i="3"/>
  <c r="DW37" i="3"/>
  <c r="DW43" i="3" s="1"/>
  <c r="DW21" i="3"/>
  <c r="DW24" i="3"/>
  <c r="DW19" i="3"/>
  <c r="DW18" i="3"/>
  <c r="DW17" i="3"/>
  <c r="DW16" i="3"/>
  <c r="DW15" i="3"/>
  <c r="DW11" i="3"/>
  <c r="DW49" i="3"/>
  <c r="ES13" i="1"/>
  <c r="ES15" i="1"/>
  <c r="ES29" i="1"/>
  <c r="Y14" i="6"/>
  <c r="X14" i="6"/>
  <c r="W14" i="6"/>
  <c r="V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E14" i="6"/>
  <c r="U13" i="6"/>
  <c r="F13" i="6" s="1"/>
  <c r="U12" i="6"/>
  <c r="C12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C9" i="6"/>
  <c r="I4" i="6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ER15" i="1"/>
  <c r="DV37" i="3"/>
  <c r="DV43" i="3" s="1"/>
  <c r="DV21" i="3"/>
  <c r="DV24" i="3"/>
  <c r="DV19" i="3"/>
  <c r="DV18" i="3"/>
  <c r="DV17" i="3"/>
  <c r="DV16" i="3"/>
  <c r="DV15" i="3"/>
  <c r="DV11" i="3"/>
  <c r="DV49" i="3"/>
  <c r="ER13" i="1"/>
  <c r="ER29" i="1"/>
  <c r="EQ13" i="1"/>
  <c r="DU37" i="3"/>
  <c r="DU43" i="3" s="1"/>
  <c r="DU21" i="3"/>
  <c r="DU24" i="3"/>
  <c r="DU19" i="3"/>
  <c r="DU18" i="3"/>
  <c r="DU17" i="3"/>
  <c r="DU16" i="3"/>
  <c r="DU15" i="3"/>
  <c r="EQ15" i="1"/>
  <c r="EQ29" i="1"/>
  <c r="DU11" i="3"/>
  <c r="DU49" i="3"/>
  <c r="EP21" i="1"/>
  <c r="EP13" i="1"/>
  <c r="DT37" i="3"/>
  <c r="DT43" i="3" s="1"/>
  <c r="DT21" i="3"/>
  <c r="DT24" i="3"/>
  <c r="DT19" i="3"/>
  <c r="DT18" i="3"/>
  <c r="DT17" i="3"/>
  <c r="DT16" i="3"/>
  <c r="DT15" i="3"/>
  <c r="DT14" i="3"/>
  <c r="EP15" i="1"/>
  <c r="EP29" i="1"/>
  <c r="DT11" i="3"/>
  <c r="DT49" i="3"/>
  <c r="DS37" i="3"/>
  <c r="DS43" i="3" s="1"/>
  <c r="EO13" i="1"/>
  <c r="EO15" i="1"/>
  <c r="EO29" i="1"/>
  <c r="DS11" i="3"/>
  <c r="DS25" i="3"/>
  <c r="DS49" i="3"/>
  <c r="EN21" i="1"/>
  <c r="EN13" i="1"/>
  <c r="DR37" i="3"/>
  <c r="DR43" i="3" s="1"/>
  <c r="EN15" i="1"/>
  <c r="EN29" i="1"/>
  <c r="DR11" i="3"/>
  <c r="DR25" i="3"/>
  <c r="DR49" i="3"/>
  <c r="DQ37" i="3"/>
  <c r="DQ43" i="3" s="1"/>
  <c r="DQ21" i="3"/>
  <c r="DQ24" i="3"/>
  <c r="DQ19" i="3"/>
  <c r="DQ18" i="3"/>
  <c r="DQ17" i="3"/>
  <c r="DQ16" i="3"/>
  <c r="DQ15" i="3"/>
  <c r="DQ14" i="3"/>
  <c r="DQ11" i="3"/>
  <c r="DQ49" i="3"/>
  <c r="EM13" i="1"/>
  <c r="EM15" i="1"/>
  <c r="EM29" i="1"/>
  <c r="EL13" i="1"/>
  <c r="DP37" i="3"/>
  <c r="DP43" i="3" s="1"/>
  <c r="DP21" i="3"/>
  <c r="DP24" i="3"/>
  <c r="DP19" i="3"/>
  <c r="DP18" i="3"/>
  <c r="DP17" i="3"/>
  <c r="DP16" i="3"/>
  <c r="DP15" i="3"/>
  <c r="DP14" i="3"/>
  <c r="EL15" i="1"/>
  <c r="EL29" i="1"/>
  <c r="DP11" i="3"/>
  <c r="DP49" i="3"/>
  <c r="DO37" i="3"/>
  <c r="DO43" i="3" s="1"/>
  <c r="DO21" i="3"/>
  <c r="DO24" i="3"/>
  <c r="DO19" i="3"/>
  <c r="DO18" i="3"/>
  <c r="DO17" i="3"/>
  <c r="DO16" i="3"/>
  <c r="DO15" i="3"/>
  <c r="DO14" i="3"/>
  <c r="EK13" i="1"/>
  <c r="EK15" i="1"/>
  <c r="EK29" i="1"/>
  <c r="DO11" i="3"/>
  <c r="DO49" i="3"/>
  <c r="EJ13" i="1"/>
  <c r="EJ15" i="1"/>
  <c r="EJ29" i="1"/>
  <c r="DN37" i="3"/>
  <c r="DN43" i="3" s="1"/>
  <c r="DN21" i="3"/>
  <c r="DN24" i="3"/>
  <c r="DN19" i="3"/>
  <c r="DN18" i="3"/>
  <c r="DN17" i="3"/>
  <c r="DN16" i="3"/>
  <c r="DN15" i="3"/>
  <c r="DN14" i="3"/>
  <c r="DN11" i="3"/>
  <c r="DN49" i="3"/>
  <c r="DM37" i="3"/>
  <c r="DM43" i="3" s="1"/>
  <c r="EI13" i="1"/>
  <c r="EI15" i="1"/>
  <c r="EI29" i="1"/>
  <c r="DM21" i="3"/>
  <c r="DM24" i="3"/>
  <c r="DM19" i="3"/>
  <c r="DM18" i="3"/>
  <c r="DM17" i="3"/>
  <c r="DM16" i="3"/>
  <c r="DM15" i="3"/>
  <c r="DM14" i="3"/>
  <c r="DM11" i="3"/>
  <c r="DM49" i="3"/>
  <c r="DL21" i="3"/>
  <c r="DL24" i="3"/>
  <c r="DL19" i="3"/>
  <c r="DL18" i="3"/>
  <c r="DL17" i="3"/>
  <c r="DL16" i="3"/>
  <c r="DL15" i="3"/>
  <c r="DL14" i="3"/>
  <c r="DL37" i="3"/>
  <c r="DL43" i="3" s="1"/>
  <c r="EH13" i="1"/>
  <c r="EH15" i="1"/>
  <c r="EH29" i="1"/>
  <c r="DL11" i="3"/>
  <c r="DL49" i="3"/>
  <c r="EG15" i="1"/>
  <c r="EG13" i="1"/>
  <c r="DK37" i="3"/>
  <c r="DK43" i="3" s="1"/>
  <c r="DK21" i="3"/>
  <c r="DK24" i="3"/>
  <c r="DK19" i="3"/>
  <c r="DK18" i="3"/>
  <c r="DK17" i="3"/>
  <c r="DK16" i="3"/>
  <c r="DK15" i="3"/>
  <c r="DK14" i="3"/>
  <c r="DK11" i="3"/>
  <c r="DK49" i="3"/>
  <c r="EG29" i="1"/>
  <c r="EF15" i="1"/>
  <c r="DJ21" i="3"/>
  <c r="DJ24" i="3"/>
  <c r="DJ19" i="3"/>
  <c r="DJ18" i="3"/>
  <c r="DJ17" i="3"/>
  <c r="DJ16" i="3"/>
  <c r="DJ15" i="3"/>
  <c r="DJ14" i="3"/>
  <c r="DJ11" i="3"/>
  <c r="DJ43" i="3"/>
  <c r="DJ49" i="3"/>
  <c r="EF13" i="1"/>
  <c r="EF29" i="1"/>
  <c r="EE13" i="1"/>
  <c r="DI39" i="3"/>
  <c r="DI43" i="3" s="1"/>
  <c r="DI21" i="3"/>
  <c r="DI24" i="3"/>
  <c r="DI19" i="3"/>
  <c r="DI18" i="3"/>
  <c r="DI17" i="3"/>
  <c r="DI16" i="3"/>
  <c r="DI15" i="3"/>
  <c r="DI14" i="3"/>
  <c r="DI11" i="3"/>
  <c r="DI49" i="3"/>
  <c r="EE15" i="1"/>
  <c r="EE29" i="1"/>
  <c r="ED13" i="1"/>
  <c r="DH39" i="3"/>
  <c r="DH28" i="3"/>
  <c r="DH21" i="3"/>
  <c r="DH24" i="3"/>
  <c r="DH19" i="3"/>
  <c r="DH18" i="3"/>
  <c r="DH17" i="3"/>
  <c r="DH16" i="3"/>
  <c r="DH15" i="3"/>
  <c r="DH14" i="3"/>
  <c r="ED15" i="1"/>
  <c r="ED29" i="1"/>
  <c r="DH11" i="3"/>
  <c r="DH49" i="3"/>
  <c r="DG28" i="3"/>
  <c r="DG43" i="3" s="1"/>
  <c r="DG21" i="3"/>
  <c r="DG24" i="3"/>
  <c r="DG19" i="3"/>
  <c r="DG18" i="3"/>
  <c r="DG17" i="3"/>
  <c r="DG16" i="3"/>
  <c r="DG15" i="3"/>
  <c r="DG14" i="3"/>
  <c r="DG11" i="3"/>
  <c r="DG49" i="3"/>
  <c r="EC13" i="1"/>
  <c r="EC15" i="1"/>
  <c r="EC29" i="1"/>
  <c r="EB15" i="1"/>
  <c r="EB13" i="1"/>
  <c r="DF28" i="3"/>
  <c r="DF43" i="3" s="1"/>
  <c r="C49" i="3"/>
  <c r="EB29" i="1"/>
  <c r="DF21" i="3"/>
  <c r="DF24" i="3"/>
  <c r="DF19" i="3"/>
  <c r="DF18" i="3"/>
  <c r="DF17" i="3"/>
  <c r="DF16" i="3"/>
  <c r="DF15" i="3"/>
  <c r="DF14" i="3"/>
  <c r="DF11" i="3"/>
  <c r="DF49" i="3"/>
  <c r="EA13" i="1"/>
  <c r="DE28" i="3"/>
  <c r="DE43" i="3" s="1"/>
  <c r="EA15" i="1"/>
  <c r="DE21" i="3"/>
  <c r="DE24" i="3"/>
  <c r="DE19" i="3"/>
  <c r="DE18" i="3"/>
  <c r="DE17" i="3"/>
  <c r="DE16" i="3"/>
  <c r="DE15" i="3"/>
  <c r="DE14" i="3"/>
  <c r="EA29" i="1"/>
  <c r="DE11" i="3"/>
  <c r="DE49" i="3"/>
  <c r="DZ15" i="1"/>
  <c r="DZ21" i="1"/>
  <c r="DZ13" i="1"/>
  <c r="DD39" i="3"/>
  <c r="DD43" i="3" s="1"/>
  <c r="DD21" i="3"/>
  <c r="DD24" i="3"/>
  <c r="DD19" i="3"/>
  <c r="DD18" i="3"/>
  <c r="DD17" i="3"/>
  <c r="DD16" i="3"/>
  <c r="DD15" i="3"/>
  <c r="DD14" i="3"/>
  <c r="DZ29" i="1"/>
  <c r="DD11" i="3"/>
  <c r="DD49" i="3"/>
  <c r="DC39" i="3"/>
  <c r="DC43" i="3" s="1"/>
  <c r="DC21" i="3"/>
  <c r="DC24" i="3"/>
  <c r="DC19" i="3"/>
  <c r="DC18" i="3"/>
  <c r="DC17" i="3"/>
  <c r="DC16" i="3"/>
  <c r="DC15" i="3"/>
  <c r="DC14" i="3"/>
  <c r="DY15" i="1"/>
  <c r="DY13" i="1"/>
  <c r="DY29" i="1"/>
  <c r="DC11" i="3"/>
  <c r="DC49" i="3"/>
  <c r="DB39" i="3"/>
  <c r="DB43" i="3" s="1"/>
  <c r="DB21" i="3"/>
  <c r="DB24" i="3"/>
  <c r="DB19" i="3"/>
  <c r="DB18" i="3"/>
  <c r="DB17" i="3"/>
  <c r="DB16" i="3"/>
  <c r="DB15" i="3"/>
  <c r="DB14" i="3"/>
  <c r="DX13" i="1"/>
  <c r="DX15" i="1"/>
  <c r="DX29" i="1"/>
  <c r="DB11" i="3"/>
  <c r="DB49" i="3"/>
  <c r="DW15" i="1"/>
  <c r="DA39" i="3"/>
  <c r="DA43" i="3" s="1"/>
  <c r="DA21" i="3"/>
  <c r="DA24" i="3"/>
  <c r="DA19" i="3"/>
  <c r="DA18" i="3"/>
  <c r="DA17" i="3"/>
  <c r="DA16" i="3"/>
  <c r="DA15" i="3"/>
  <c r="DA14" i="3"/>
  <c r="DW13" i="1"/>
  <c r="DW29" i="1"/>
  <c r="DA11" i="3"/>
  <c r="DA49" i="3"/>
  <c r="DV13" i="1"/>
  <c r="DV15" i="1"/>
  <c r="DV29" i="1"/>
  <c r="CZ11" i="3"/>
  <c r="CZ25" i="3"/>
  <c r="CZ43" i="3"/>
  <c r="CZ49" i="3"/>
  <c r="CY39" i="3"/>
  <c r="CY43" i="3" s="1"/>
  <c r="CY21" i="3"/>
  <c r="CY24" i="3"/>
  <c r="CY19" i="3"/>
  <c r="CY18" i="3"/>
  <c r="CY17" i="3"/>
  <c r="CY16" i="3"/>
  <c r="CY15" i="3"/>
  <c r="CY14" i="3"/>
  <c r="CY11" i="3"/>
  <c r="CY49" i="3"/>
  <c r="DU13" i="1"/>
  <c r="DU15" i="1"/>
  <c r="DU29" i="1"/>
  <c r="DT13" i="1"/>
  <c r="DT15" i="1"/>
  <c r="DT29" i="1"/>
  <c r="CX21" i="3"/>
  <c r="CX24" i="3"/>
  <c r="CX19" i="3"/>
  <c r="CX18" i="3"/>
  <c r="CX17" i="3"/>
  <c r="CX16" i="3"/>
  <c r="CX15" i="3"/>
  <c r="CX14" i="3"/>
  <c r="CX11" i="3"/>
  <c r="CX43" i="3"/>
  <c r="CX49" i="3"/>
  <c r="DS15" i="1"/>
  <c r="CW21" i="3"/>
  <c r="CW24" i="3"/>
  <c r="CW19" i="3"/>
  <c r="CW18" i="3"/>
  <c r="CW17" i="3"/>
  <c r="CW16" i="3"/>
  <c r="CW15" i="3"/>
  <c r="CW14" i="3"/>
  <c r="DS13" i="1"/>
  <c r="DS29" i="1"/>
  <c r="CW11" i="3"/>
  <c r="CW43" i="3"/>
  <c r="CW49" i="3"/>
  <c r="DR13" i="1"/>
  <c r="DR15" i="1"/>
  <c r="CV21" i="3"/>
  <c r="CV24" i="3"/>
  <c r="CV19" i="3"/>
  <c r="CV18" i="3"/>
  <c r="CV17" i="3"/>
  <c r="CV16" i="3"/>
  <c r="CV15" i="3"/>
  <c r="CV14" i="3"/>
  <c r="CV11" i="3"/>
  <c r="CV43" i="3"/>
  <c r="CV49" i="3"/>
  <c r="DR29" i="1"/>
  <c r="DQ13" i="1"/>
  <c r="DQ15" i="1"/>
  <c r="CU21" i="3"/>
  <c r="CU19" i="3"/>
  <c r="CU18" i="3"/>
  <c r="CU17" i="3"/>
  <c r="CU16" i="3"/>
  <c r="CU15" i="3"/>
  <c r="CU14" i="3"/>
  <c r="DQ29" i="1"/>
  <c r="CU11" i="3"/>
  <c r="CU43" i="3"/>
  <c r="CU49" i="3"/>
  <c r="CT19" i="3"/>
  <c r="CT18" i="3"/>
  <c r="CT17" i="3"/>
  <c r="CT16" i="3"/>
  <c r="CT15" i="3"/>
  <c r="CT14" i="3"/>
  <c r="DP13" i="1"/>
  <c r="DP15" i="1"/>
  <c r="DP29" i="1"/>
  <c r="CT11" i="3"/>
  <c r="CT43" i="3"/>
  <c r="CT49" i="3"/>
  <c r="DO15" i="1"/>
  <c r="CS19" i="3"/>
  <c r="CS18" i="3"/>
  <c r="CS17" i="3"/>
  <c r="CS16" i="3"/>
  <c r="CS15" i="3"/>
  <c r="CS14" i="3"/>
  <c r="DO13" i="1"/>
  <c r="DO29" i="1"/>
  <c r="CS11" i="3"/>
  <c r="CS43" i="3"/>
  <c r="CS49" i="3"/>
  <c r="DN15" i="1"/>
  <c r="CR19" i="3"/>
  <c r="CR18" i="3"/>
  <c r="CR17" i="3"/>
  <c r="CR16" i="3"/>
  <c r="CR15" i="3"/>
  <c r="CR14" i="3"/>
  <c r="DN13" i="1"/>
  <c r="DN29" i="1"/>
  <c r="CR11" i="3"/>
  <c r="CR43" i="3"/>
  <c r="CR49" i="3"/>
  <c r="DM13" i="1"/>
  <c r="CQ19" i="3"/>
  <c r="CQ18" i="3"/>
  <c r="CQ17" i="3"/>
  <c r="CQ16" i="3"/>
  <c r="CQ15" i="3"/>
  <c r="CQ14" i="3"/>
  <c r="DM15" i="1"/>
  <c r="DM29" i="1"/>
  <c r="CQ11" i="3"/>
  <c r="CQ43" i="3"/>
  <c r="CQ49" i="3"/>
  <c r="CP19" i="3"/>
  <c r="CP18" i="3"/>
  <c r="CP17" i="3"/>
  <c r="CP16" i="3"/>
  <c r="CP15" i="3"/>
  <c r="CP14" i="3"/>
  <c r="CO14" i="3"/>
  <c r="CO15" i="3"/>
  <c r="CO16" i="3"/>
  <c r="CO17" i="3"/>
  <c r="CO18" i="3"/>
  <c r="CO19" i="3"/>
  <c r="DL13" i="1"/>
  <c r="DL15" i="1"/>
  <c r="DL29" i="1"/>
  <c r="CP11" i="3"/>
  <c r="CP43" i="3"/>
  <c r="CP49" i="3"/>
  <c r="DK15" i="1"/>
  <c r="DK13" i="1"/>
  <c r="DK29" i="1"/>
  <c r="CO11" i="3"/>
  <c r="CO43" i="3"/>
  <c r="CO49" i="3"/>
  <c r="DJ13" i="1"/>
  <c r="CN19" i="3"/>
  <c r="CN18" i="3"/>
  <c r="CN17" i="3"/>
  <c r="CN16" i="3"/>
  <c r="CN15" i="3"/>
  <c r="CN14" i="3"/>
  <c r="DJ15" i="1"/>
  <c r="DJ29" i="1"/>
  <c r="CN11" i="3"/>
  <c r="CN43" i="3"/>
  <c r="CN49" i="3"/>
  <c r="DI15" i="1"/>
  <c r="E13" i="2"/>
  <c r="CM21" i="3"/>
  <c r="CM19" i="3"/>
  <c r="CM18" i="3"/>
  <c r="CM17" i="3"/>
  <c r="CM16" i="3"/>
  <c r="CM15" i="3"/>
  <c r="CM14" i="3"/>
  <c r="CM11" i="3"/>
  <c r="CM43" i="3"/>
  <c r="CM49" i="3"/>
  <c r="DI13" i="1"/>
  <c r="DI29" i="1"/>
  <c r="DH13" i="1"/>
  <c r="DH15" i="1"/>
  <c r="CL21" i="3"/>
  <c r="CL19" i="3"/>
  <c r="CL18" i="3"/>
  <c r="CL17" i="3"/>
  <c r="CL16" i="3"/>
  <c r="CL15" i="3"/>
  <c r="CL14" i="3"/>
  <c r="CL49" i="3"/>
  <c r="DH29" i="1"/>
  <c r="CL11" i="3"/>
  <c r="CL43" i="3"/>
  <c r="DG15" i="1"/>
  <c r="CK21" i="3"/>
  <c r="CK19" i="3"/>
  <c r="CK18" i="3"/>
  <c r="CK17" i="3"/>
  <c r="CK16" i="3"/>
  <c r="DG13" i="1"/>
  <c r="DG29" i="1"/>
  <c r="CK11" i="3"/>
  <c r="CK43" i="3"/>
  <c r="CK49" i="3"/>
  <c r="DF13" i="1"/>
  <c r="CJ21" i="3"/>
  <c r="CJ19" i="3"/>
  <c r="CJ18" i="3"/>
  <c r="CJ17" i="3"/>
  <c r="CJ16" i="3"/>
  <c r="DF15" i="1"/>
  <c r="DF29" i="1"/>
  <c r="CJ11" i="3"/>
  <c r="CJ43" i="3"/>
  <c r="CJ49" i="3"/>
  <c r="DE15" i="1"/>
  <c r="DE13" i="1"/>
  <c r="CI19" i="3"/>
  <c r="CI18" i="3"/>
  <c r="CI17" i="3"/>
  <c r="CI16" i="3"/>
  <c r="DE29" i="1"/>
  <c r="CI11" i="3"/>
  <c r="CI43" i="3"/>
  <c r="CI49" i="3"/>
  <c r="DD13" i="1"/>
  <c r="DD15" i="1"/>
  <c r="DD29" i="1"/>
  <c r="CH19" i="3"/>
  <c r="CH18" i="3"/>
  <c r="CH17" i="3"/>
  <c r="CH16" i="3"/>
  <c r="CH11" i="3"/>
  <c r="CH43" i="3"/>
  <c r="CH49" i="3"/>
  <c r="DC13" i="1"/>
  <c r="CG19" i="3"/>
  <c r="CG18" i="3"/>
  <c r="CG17" i="3"/>
  <c r="CG16" i="3"/>
  <c r="CG11" i="3"/>
  <c r="CG43" i="3"/>
  <c r="CG49" i="3"/>
  <c r="DC15" i="1"/>
  <c r="DC29" i="1"/>
  <c r="DB13" i="1"/>
  <c r="DB21" i="1"/>
  <c r="CF19" i="3"/>
  <c r="CF18" i="3"/>
  <c r="CF17" i="3"/>
  <c r="CF16" i="3"/>
  <c r="CF11" i="3"/>
  <c r="CF43" i="3"/>
  <c r="CF49" i="3"/>
  <c r="DB15" i="1"/>
  <c r="DB29" i="1"/>
  <c r="DA21" i="1"/>
  <c r="DA13" i="1"/>
  <c r="DA15" i="1"/>
  <c r="CE19" i="3"/>
  <c r="CE18" i="3"/>
  <c r="CE17" i="3"/>
  <c r="CE16" i="3"/>
  <c r="CE11" i="3"/>
  <c r="CE43" i="3"/>
  <c r="CE49" i="3"/>
  <c r="DA29" i="1"/>
  <c r="CY15" i="1"/>
  <c r="CZ15" i="1"/>
  <c r="CZ21" i="1"/>
  <c r="CD19" i="3"/>
  <c r="CD18" i="3"/>
  <c r="CD17" i="3"/>
  <c r="CD16" i="3"/>
  <c r="CZ13" i="1"/>
  <c r="CZ29" i="1"/>
  <c r="CD11" i="3"/>
  <c r="CD43" i="3"/>
  <c r="CD49" i="3"/>
  <c r="CC19" i="3"/>
  <c r="CC18" i="3"/>
  <c r="CC17" i="3"/>
  <c r="CC16" i="3"/>
  <c r="CY21" i="1"/>
  <c r="CC11" i="3"/>
  <c r="CC43" i="3"/>
  <c r="CC49" i="3"/>
  <c r="CY13" i="1"/>
  <c r="CY29" i="1"/>
  <c r="CA19" i="3"/>
  <c r="CA18" i="3"/>
  <c r="CA17" i="3"/>
  <c r="CA16" i="3"/>
  <c r="CA11" i="3"/>
  <c r="CA43" i="3"/>
  <c r="CA49" i="3"/>
  <c r="CX13" i="1"/>
  <c r="CB19" i="3"/>
  <c r="CB18" i="3"/>
  <c r="CB17" i="3"/>
  <c r="CB16" i="3"/>
  <c r="CX15" i="1"/>
  <c r="CX29" i="1"/>
  <c r="CW13" i="1"/>
  <c r="CB11" i="3"/>
  <c r="CB43" i="3"/>
  <c r="CB49" i="3"/>
  <c r="CW15" i="1"/>
  <c r="CW29" i="1"/>
  <c r="CV13" i="1"/>
  <c r="CV15" i="1"/>
  <c r="BZ23" i="3"/>
  <c r="BZ19" i="3"/>
  <c r="BZ18" i="3"/>
  <c r="BZ17" i="3"/>
  <c r="BZ16" i="3"/>
  <c r="BZ11" i="3"/>
  <c r="BZ43" i="3"/>
  <c r="BZ49" i="3"/>
  <c r="CV29" i="1"/>
  <c r="CU15" i="1"/>
  <c r="BY23" i="3"/>
  <c r="BY19" i="3"/>
  <c r="BY18" i="3"/>
  <c r="BY17" i="3"/>
  <c r="BY16" i="3"/>
  <c r="CU13" i="1"/>
  <c r="CU29" i="1"/>
  <c r="BY11" i="3"/>
  <c r="BY43" i="3"/>
  <c r="BY49" i="3"/>
  <c r="BX23" i="3"/>
  <c r="BX19" i="3"/>
  <c r="BX18" i="3"/>
  <c r="BX17" i="3"/>
  <c r="BX16" i="3"/>
  <c r="BX11" i="3"/>
  <c r="BX43" i="3"/>
  <c r="BX49" i="3"/>
  <c r="CT13" i="1"/>
  <c r="CT15" i="1"/>
  <c r="CT29" i="1"/>
  <c r="CS13" i="1"/>
  <c r="BW23" i="3"/>
  <c r="BW19" i="3"/>
  <c r="BW18" i="3"/>
  <c r="BW17" i="3"/>
  <c r="BW16" i="3"/>
  <c r="BW11" i="3"/>
  <c r="BW43" i="3"/>
  <c r="BW49" i="3"/>
  <c r="CS15" i="1"/>
  <c r="CS29" i="1"/>
  <c r="CR13" i="1"/>
  <c r="CR15" i="1"/>
  <c r="CR29" i="1"/>
  <c r="BV23" i="3"/>
  <c r="BV19" i="3"/>
  <c r="BV18" i="3"/>
  <c r="BV17" i="3"/>
  <c r="BV16" i="3"/>
  <c r="BV11" i="3"/>
  <c r="BV43" i="3"/>
  <c r="BV49" i="3"/>
  <c r="CQ13" i="1"/>
  <c r="BU23" i="3"/>
  <c r="BU19" i="3"/>
  <c r="BU18" i="3"/>
  <c r="BU17" i="3"/>
  <c r="BU16" i="3"/>
  <c r="BU11" i="3"/>
  <c r="BU43" i="3"/>
  <c r="BU49" i="3"/>
  <c r="CQ15" i="1"/>
  <c r="CQ29" i="1"/>
  <c r="CP21" i="1"/>
  <c r="CP13" i="1"/>
  <c r="BT23" i="3"/>
  <c r="BT19" i="3"/>
  <c r="BT18" i="3"/>
  <c r="BT17" i="3"/>
  <c r="BT16" i="3"/>
  <c r="BT11" i="3"/>
  <c r="BT43" i="3"/>
  <c r="BT49" i="3"/>
  <c r="CP15" i="1"/>
  <c r="CP29" i="1"/>
  <c r="CO15" i="1"/>
  <c r="BS23" i="3"/>
  <c r="BS19" i="3"/>
  <c r="BS18" i="3"/>
  <c r="BS17" i="3"/>
  <c r="BS16" i="3"/>
  <c r="CO13" i="1"/>
  <c r="CO29" i="1"/>
  <c r="BS11" i="3"/>
  <c r="BS43" i="3"/>
  <c r="BS49" i="3"/>
  <c r="BR23" i="3"/>
  <c r="BR19" i="3"/>
  <c r="BR18" i="3"/>
  <c r="BR17" i="3"/>
  <c r="BR16" i="3"/>
  <c r="CN15" i="1"/>
  <c r="BR11" i="3"/>
  <c r="BR43" i="3"/>
  <c r="BR49" i="3"/>
  <c r="CN13" i="1"/>
  <c r="CN29" i="1"/>
  <c r="CM13" i="1"/>
  <c r="CM15" i="1"/>
  <c r="CM29" i="1"/>
  <c r="BQ23" i="3"/>
  <c r="BQ19" i="3"/>
  <c r="BQ18" i="3"/>
  <c r="BQ17" i="3"/>
  <c r="BQ16" i="3"/>
  <c r="BQ11" i="3"/>
  <c r="BQ43" i="3"/>
  <c r="BQ49" i="3"/>
  <c r="BP23" i="3"/>
  <c r="BP19" i="3"/>
  <c r="BP18" i="3"/>
  <c r="BP17" i="3"/>
  <c r="BP16" i="3"/>
  <c r="BP11" i="3"/>
  <c r="BP43" i="3"/>
  <c r="BP49" i="3"/>
  <c r="CL13" i="1"/>
  <c r="CL15" i="1"/>
  <c r="CL29" i="1"/>
  <c r="CK15" i="1"/>
  <c r="CK13" i="1"/>
  <c r="BO11" i="3"/>
  <c r="BO23" i="3"/>
  <c r="BO19" i="3"/>
  <c r="BO18" i="3"/>
  <c r="BO17" i="3"/>
  <c r="BO16" i="3"/>
  <c r="CK29" i="1"/>
  <c r="BO43" i="3"/>
  <c r="BO49" i="3"/>
  <c r="CJ13" i="1"/>
  <c r="BN23" i="3"/>
  <c r="BN19" i="3"/>
  <c r="BN18" i="3"/>
  <c r="BN17" i="3"/>
  <c r="BN16" i="3"/>
  <c r="BN11" i="3"/>
  <c r="BN43" i="3"/>
  <c r="BN49" i="3"/>
  <c r="CJ15" i="1"/>
  <c r="CJ29" i="1"/>
  <c r="CI13" i="1"/>
  <c r="CI15" i="1"/>
  <c r="BM23" i="3"/>
  <c r="BM19" i="3"/>
  <c r="BM18" i="3"/>
  <c r="BM17" i="3"/>
  <c r="BM16" i="3"/>
  <c r="BM11" i="3"/>
  <c r="BM43" i="3"/>
  <c r="BM49" i="3"/>
  <c r="CI29" i="1"/>
  <c r="BL49" i="3"/>
  <c r="BL43" i="3"/>
  <c r="BL23" i="3"/>
  <c r="BL19" i="3"/>
  <c r="BL18" i="3"/>
  <c r="BL17" i="3"/>
  <c r="BL16" i="3"/>
  <c r="BL11" i="3"/>
  <c r="CH29" i="1"/>
  <c r="CH15" i="1"/>
  <c r="CH13" i="1"/>
  <c r="CG29" i="1"/>
  <c r="CG15" i="1"/>
  <c r="CG13" i="1"/>
  <c r="BK49" i="3"/>
  <c r="BK50" i="3" s="1"/>
  <c r="BK43" i="3"/>
  <c r="BK44" i="3" s="1"/>
  <c r="BK23" i="3"/>
  <c r="BK19" i="3"/>
  <c r="BK18" i="3"/>
  <c r="BK17" i="3"/>
  <c r="BK16" i="3"/>
  <c r="BK11" i="3"/>
  <c r="BK12" i="3" s="1"/>
  <c r="O42" i="40"/>
  <c r="N41" i="40"/>
  <c r="M41" i="40"/>
  <c r="L41" i="40"/>
  <c r="K41" i="40"/>
  <c r="J41" i="40"/>
  <c r="I41" i="40"/>
  <c r="H41" i="40"/>
  <c r="G41" i="40"/>
  <c r="E41" i="40"/>
  <c r="D41" i="40"/>
  <c r="C41" i="40"/>
  <c r="O40" i="40"/>
  <c r="O39" i="40"/>
  <c r="O38" i="40"/>
  <c r="O37" i="40"/>
  <c r="O36" i="40"/>
  <c r="O35" i="40"/>
  <c r="O34" i="40"/>
  <c r="O33" i="40"/>
  <c r="O32" i="40"/>
  <c r="O31" i="40"/>
  <c r="O30" i="40"/>
  <c r="F29" i="40"/>
  <c r="F41" i="40" s="1"/>
  <c r="O28" i="40"/>
  <c r="O27" i="40"/>
  <c r="O26" i="40"/>
  <c r="N25" i="40"/>
  <c r="M25" i="40"/>
  <c r="L25" i="40"/>
  <c r="K25" i="40"/>
  <c r="J25" i="40"/>
  <c r="I25" i="40"/>
  <c r="H25" i="40"/>
  <c r="G25" i="40"/>
  <c r="F25" i="40"/>
  <c r="E25" i="40"/>
  <c r="D25" i="40"/>
  <c r="O24" i="40"/>
  <c r="O23" i="40"/>
  <c r="O22" i="40"/>
  <c r="O21" i="40"/>
  <c r="O20" i="40"/>
  <c r="N19" i="40"/>
  <c r="M19" i="40"/>
  <c r="L19" i="40"/>
  <c r="K19" i="40"/>
  <c r="J19" i="40"/>
  <c r="I19" i="40"/>
  <c r="H19" i="40"/>
  <c r="G19" i="40"/>
  <c r="F19" i="40"/>
  <c r="E19" i="40"/>
  <c r="D19" i="40"/>
  <c r="C19" i="40"/>
  <c r="O18" i="40"/>
  <c r="O17" i="40"/>
  <c r="O16" i="40"/>
  <c r="O15" i="40"/>
  <c r="O14" i="40"/>
  <c r="O13" i="40"/>
  <c r="O12" i="40"/>
  <c r="O11" i="40"/>
  <c r="O9" i="40"/>
  <c r="O8" i="40"/>
  <c r="N37" i="36"/>
  <c r="M37" i="36"/>
  <c r="K37" i="36"/>
  <c r="J37" i="36"/>
  <c r="I37" i="36"/>
  <c r="H37" i="36"/>
  <c r="P36" i="36"/>
  <c r="P35" i="36"/>
  <c r="P34" i="36"/>
  <c r="P33" i="36"/>
  <c r="F32" i="36"/>
  <c r="F37" i="36" s="1"/>
  <c r="E32" i="36"/>
  <c r="E37" i="36" s="1"/>
  <c r="D32" i="36"/>
  <c r="P31" i="36"/>
  <c r="P30" i="36"/>
  <c r="P29" i="36"/>
  <c r="P28" i="36"/>
  <c r="P27" i="36"/>
  <c r="G26" i="36"/>
  <c r="P26" i="36" s="1"/>
  <c r="O37" i="36"/>
  <c r="L37" i="36"/>
  <c r="O22" i="36"/>
  <c r="N22" i="36"/>
  <c r="M22" i="36"/>
  <c r="L22" i="36"/>
  <c r="K22" i="36"/>
  <c r="H22" i="36"/>
  <c r="F22" i="36"/>
  <c r="E22" i="36"/>
  <c r="D22" i="36"/>
  <c r="J22" i="36"/>
  <c r="I22" i="36"/>
  <c r="G20" i="36"/>
  <c r="G22" i="36" s="1"/>
  <c r="P19" i="36"/>
  <c r="O16" i="36"/>
  <c r="N16" i="36"/>
  <c r="M16" i="36"/>
  <c r="L16" i="36"/>
  <c r="K16" i="36"/>
  <c r="J16" i="36"/>
  <c r="I16" i="36"/>
  <c r="H16" i="36"/>
  <c r="F16" i="36"/>
  <c r="E16" i="36"/>
  <c r="D16" i="36"/>
  <c r="P15" i="36"/>
  <c r="P14" i="36"/>
  <c r="P13" i="36"/>
  <c r="P12" i="36"/>
  <c r="P10" i="36"/>
  <c r="G9" i="36"/>
  <c r="G16" i="36" s="1"/>
  <c r="P8" i="36"/>
  <c r="P7" i="36"/>
  <c r="N47" i="38"/>
  <c r="M47" i="38"/>
  <c r="L47" i="38"/>
  <c r="K47" i="38"/>
  <c r="J47" i="38"/>
  <c r="I47" i="38"/>
  <c r="H47" i="38"/>
  <c r="G47" i="38"/>
  <c r="F47" i="38"/>
  <c r="E47" i="38"/>
  <c r="E33" i="38" s="1"/>
  <c r="E32" i="38" s="1"/>
  <c r="E37" i="38" s="1"/>
  <c r="D47" i="38"/>
  <c r="D33" i="38" s="1"/>
  <c r="D32" i="38" s="1"/>
  <c r="D37" i="38" s="1"/>
  <c r="C47" i="38"/>
  <c r="C33" i="38" s="1"/>
  <c r="C32" i="38" s="1"/>
  <c r="O38" i="38"/>
  <c r="O36" i="38"/>
  <c r="O35" i="38"/>
  <c r="O34" i="38"/>
  <c r="O31" i="38"/>
  <c r="O30" i="38"/>
  <c r="O29" i="38"/>
  <c r="O28" i="38"/>
  <c r="O27" i="38"/>
  <c r="O26" i="38"/>
  <c r="O24" i="38"/>
  <c r="O23" i="38"/>
  <c r="O22" i="38"/>
  <c r="N21" i="38"/>
  <c r="M21" i="38"/>
  <c r="L21" i="38"/>
  <c r="K21" i="38"/>
  <c r="J21" i="38"/>
  <c r="I21" i="38"/>
  <c r="H21" i="38"/>
  <c r="G21" i="38"/>
  <c r="F21" i="38"/>
  <c r="E21" i="38"/>
  <c r="D21" i="38"/>
  <c r="C21" i="38"/>
  <c r="O20" i="38"/>
  <c r="O19" i="38"/>
  <c r="O18" i="38"/>
  <c r="O17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O15" i="38"/>
  <c r="O14" i="38"/>
  <c r="O13" i="38"/>
  <c r="O12" i="38"/>
  <c r="O11" i="38"/>
  <c r="O10" i="38"/>
  <c r="O9" i="38"/>
  <c r="O8" i="38"/>
  <c r="O7" i="38"/>
  <c r="CF15" i="1"/>
  <c r="BJ23" i="3"/>
  <c r="BJ19" i="3"/>
  <c r="BJ18" i="3"/>
  <c r="BJ17" i="3"/>
  <c r="BJ16" i="3"/>
  <c r="CF13" i="1"/>
  <c r="CF29" i="1"/>
  <c r="BJ11" i="3"/>
  <c r="BJ43" i="3"/>
  <c r="BJ49" i="3"/>
  <c r="CE15" i="1"/>
  <c r="CE13" i="1"/>
  <c r="BI23" i="3"/>
  <c r="BI19" i="3"/>
  <c r="BI18" i="3"/>
  <c r="BI17" i="3"/>
  <c r="BI16" i="3"/>
  <c r="BI11" i="3"/>
  <c r="BI43" i="3"/>
  <c r="BI49" i="3"/>
  <c r="CE29" i="1"/>
  <c r="CD13" i="1"/>
  <c r="BH23" i="3"/>
  <c r="BH19" i="3"/>
  <c r="BH18" i="3"/>
  <c r="BH17" i="3"/>
  <c r="BH16" i="3"/>
  <c r="BH11" i="3"/>
  <c r="BH43" i="3"/>
  <c r="BH49" i="3"/>
  <c r="CD15" i="1"/>
  <c r="CD29" i="1"/>
  <c r="CC13" i="1"/>
  <c r="CC15" i="1"/>
  <c r="CC29" i="1"/>
  <c r="BG23" i="3"/>
  <c r="BG19" i="3"/>
  <c r="BG18" i="3"/>
  <c r="BG17" i="3"/>
  <c r="BG16" i="3"/>
  <c r="BG11" i="3"/>
  <c r="BG43" i="3"/>
  <c r="BG49" i="3"/>
  <c r="CB13" i="1"/>
  <c r="CB15" i="1"/>
  <c r="BF19" i="3"/>
  <c r="BF18" i="3"/>
  <c r="BF17" i="3"/>
  <c r="BF16" i="3"/>
  <c r="BF11" i="3"/>
  <c r="BF43" i="3"/>
  <c r="BF49" i="3"/>
  <c r="CB29" i="1"/>
  <c r="CA13" i="1"/>
  <c r="CA15" i="1"/>
  <c r="BE19" i="3"/>
  <c r="BE18" i="3"/>
  <c r="BE17" i="3"/>
  <c r="BE16" i="3"/>
  <c r="BE11" i="3"/>
  <c r="BE43" i="3"/>
  <c r="BE49" i="3"/>
  <c r="CA29" i="1"/>
  <c r="BZ13" i="1"/>
  <c r="BZ15" i="1"/>
  <c r="BD23" i="3"/>
  <c r="BD19" i="3"/>
  <c r="BD18" i="3"/>
  <c r="BD17" i="3"/>
  <c r="BD16" i="3"/>
  <c r="BD15" i="3"/>
  <c r="BD14" i="3"/>
  <c r="BD11" i="3"/>
  <c r="BD43" i="3"/>
  <c r="BD49" i="3"/>
  <c r="BZ29" i="1"/>
  <c r="BB43" i="3"/>
  <c r="BC43" i="3"/>
  <c r="BB49" i="3"/>
  <c r="BC49" i="3"/>
  <c r="BB11" i="3"/>
  <c r="BC11" i="3"/>
  <c r="BB25" i="3"/>
  <c r="BY15" i="1"/>
  <c r="BC23" i="3"/>
  <c r="BC19" i="3"/>
  <c r="BC18" i="3"/>
  <c r="BC17" i="3"/>
  <c r="BC16" i="3"/>
  <c r="BC15" i="3"/>
  <c r="BC14" i="3"/>
  <c r="BY13" i="1"/>
  <c r="BY29" i="1"/>
  <c r="BX29" i="1"/>
  <c r="BX15" i="1"/>
  <c r="BX13" i="1"/>
  <c r="BW15" i="1"/>
  <c r="BA23" i="3"/>
  <c r="BA19" i="3"/>
  <c r="BA18" i="3"/>
  <c r="BA17" i="3"/>
  <c r="BA16" i="3"/>
  <c r="BA15" i="3"/>
  <c r="BA14" i="3"/>
  <c r="BA11" i="3"/>
  <c r="BA43" i="3"/>
  <c r="BA49" i="3"/>
  <c r="BW13" i="1"/>
  <c r="BW29" i="1"/>
  <c r="BV15" i="1"/>
  <c r="AZ23" i="3"/>
  <c r="AZ19" i="3"/>
  <c r="AZ18" i="3"/>
  <c r="AZ17" i="3"/>
  <c r="AZ16" i="3"/>
  <c r="AZ15" i="3"/>
  <c r="AZ14" i="3"/>
  <c r="BV13" i="1"/>
  <c r="BV29" i="1"/>
  <c r="AZ11" i="3"/>
  <c r="AZ43" i="3"/>
  <c r="AZ49" i="3"/>
  <c r="BU29" i="1"/>
  <c r="BU15" i="1"/>
  <c r="BU13" i="1"/>
  <c r="AY49" i="3"/>
  <c r="AY43" i="3"/>
  <c r="AY23" i="3"/>
  <c r="AY21" i="3"/>
  <c r="AY19" i="3"/>
  <c r="AY18" i="3"/>
  <c r="AY17" i="3"/>
  <c r="AY16" i="3"/>
  <c r="AY15" i="3"/>
  <c r="AY14" i="3"/>
  <c r="AY11" i="3"/>
  <c r="B12" i="47"/>
  <c r="B11" i="47"/>
  <c r="B10" i="47"/>
  <c r="F10" i="47"/>
  <c r="F4" i="47"/>
  <c r="AX49" i="3"/>
  <c r="AX43" i="3"/>
  <c r="AX23" i="3"/>
  <c r="AX21" i="3"/>
  <c r="AX19" i="3"/>
  <c r="AX18" i="3"/>
  <c r="AX17" i="3"/>
  <c r="AX16" i="3"/>
  <c r="AX15" i="3"/>
  <c r="AX14" i="3"/>
  <c r="AX11" i="3"/>
  <c r="BT29" i="1"/>
  <c r="BT15" i="1"/>
  <c r="BT13" i="1"/>
  <c r="AC73" i="45"/>
  <c r="AD73" i="45" s="1"/>
  <c r="H1" i="45"/>
  <c r="G64" i="45"/>
  <c r="H64" i="45" s="1"/>
  <c r="I64" i="45" s="1"/>
  <c r="K64" i="45"/>
  <c r="L64" i="45" s="1"/>
  <c r="M64" i="45" s="1"/>
  <c r="N64" i="45" s="1"/>
  <c r="O64" i="45" s="1"/>
  <c r="P64" i="45" s="1"/>
  <c r="Q64" i="45" s="1"/>
  <c r="R64" i="45" s="1"/>
  <c r="F65" i="45"/>
  <c r="R65" i="45" s="1"/>
  <c r="G82" i="45"/>
  <c r="H82" i="45" s="1"/>
  <c r="I82" i="45" s="1"/>
  <c r="K82" i="45"/>
  <c r="L82" i="45" s="1"/>
  <c r="M82" i="45" s="1"/>
  <c r="N82" i="45" s="1"/>
  <c r="O82" i="45" s="1"/>
  <c r="P82" i="45" s="1"/>
  <c r="Q82" i="45" s="1"/>
  <c r="R82" i="45" s="1"/>
  <c r="H32" i="45"/>
  <c r="I36" i="45" s="1"/>
  <c r="H42" i="45"/>
  <c r="G42" i="45"/>
  <c r="F42" i="45"/>
  <c r="H41" i="45"/>
  <c r="G41" i="45"/>
  <c r="F41" i="45"/>
  <c r="H40" i="45"/>
  <c r="G40" i="45"/>
  <c r="F40" i="45"/>
  <c r="H39" i="45"/>
  <c r="G39" i="45"/>
  <c r="G38" i="45"/>
  <c r="H36" i="45"/>
  <c r="G36" i="45"/>
  <c r="F18" i="45"/>
  <c r="J18" i="45" s="1"/>
  <c r="F19" i="45"/>
  <c r="J19" i="45" s="1"/>
  <c r="H52" i="45"/>
  <c r="G12" i="45"/>
  <c r="G52" i="45"/>
  <c r="F12" i="45"/>
  <c r="H12" i="45"/>
  <c r="F25" i="45"/>
  <c r="J25" i="45" s="1"/>
  <c r="G6" i="45"/>
  <c r="H6" i="45"/>
  <c r="F20" i="45"/>
  <c r="J20" i="45" s="1"/>
  <c r="I58" i="45"/>
  <c r="F39" i="45"/>
  <c r="G35" i="45"/>
  <c r="F23" i="45"/>
  <c r="J23" i="45" s="1"/>
  <c r="F34" i="45"/>
  <c r="F49" i="45" s="1"/>
  <c r="J49" i="45" s="1"/>
  <c r="F36" i="45"/>
  <c r="R3" i="45"/>
  <c r="T65" i="45" s="1"/>
  <c r="H58" i="45"/>
  <c r="H35" i="45"/>
  <c r="I52" i="45"/>
  <c r="H38" i="45"/>
  <c r="G58" i="45"/>
  <c r="F35" i="45"/>
  <c r="F6" i="45"/>
  <c r="F22" i="45"/>
  <c r="J22" i="45" s="1"/>
  <c r="F24" i="45"/>
  <c r="J24" i="45" s="1"/>
  <c r="F26" i="45"/>
  <c r="J26" i="45" s="1"/>
  <c r="F38" i="45"/>
  <c r="BS15" i="1"/>
  <c r="AW23" i="3"/>
  <c r="AW19" i="3"/>
  <c r="AW18" i="3"/>
  <c r="AW17" i="3"/>
  <c r="AW16" i="3"/>
  <c r="AW15" i="3"/>
  <c r="AW14" i="3"/>
  <c r="AW11" i="3"/>
  <c r="AW43" i="3"/>
  <c r="AW49" i="3"/>
  <c r="BS13" i="1"/>
  <c r="BS29" i="1"/>
  <c r="BR15" i="1"/>
  <c r="AV23" i="3"/>
  <c r="AV19" i="3"/>
  <c r="AV18" i="3"/>
  <c r="AV17" i="3"/>
  <c r="AV16" i="3"/>
  <c r="BR13" i="1"/>
  <c r="BR29" i="1"/>
  <c r="AV11" i="3"/>
  <c r="AV43" i="3"/>
  <c r="AV49" i="3"/>
  <c r="BQ15" i="1"/>
  <c r="BQ13" i="1"/>
  <c r="AU49" i="3"/>
  <c r="AU43" i="3"/>
  <c r="AU23" i="3"/>
  <c r="AU21" i="3"/>
  <c r="AU19" i="3"/>
  <c r="AU18" i="3"/>
  <c r="AU17" i="3"/>
  <c r="AU16" i="3"/>
  <c r="AU11" i="3"/>
  <c r="BQ29" i="1"/>
  <c r="BP15" i="1"/>
  <c r="AT23" i="3"/>
  <c r="AT21" i="3"/>
  <c r="AT19" i="3"/>
  <c r="AT18" i="3"/>
  <c r="AT17" i="3"/>
  <c r="AT16" i="3"/>
  <c r="AT11" i="3"/>
  <c r="AT43" i="3"/>
  <c r="AT49" i="3"/>
  <c r="BP13" i="1"/>
  <c r="BP29" i="1"/>
  <c r="BO15" i="1"/>
  <c r="AS23" i="3"/>
  <c r="AS21" i="3"/>
  <c r="AS19" i="3"/>
  <c r="AS18" i="3"/>
  <c r="AS17" i="3"/>
  <c r="AS16" i="3"/>
  <c r="AS11" i="3"/>
  <c r="AS43" i="3"/>
  <c r="AS49" i="3"/>
  <c r="BO13" i="1"/>
  <c r="BO29" i="1"/>
  <c r="BN15" i="1"/>
  <c r="AR23" i="3"/>
  <c r="AR21" i="3"/>
  <c r="AR19" i="3"/>
  <c r="AR18" i="3"/>
  <c r="AR17" i="3"/>
  <c r="AR16" i="3"/>
  <c r="BN13" i="1"/>
  <c r="BN29" i="1"/>
  <c r="AR11" i="3"/>
  <c r="AR43" i="3"/>
  <c r="AR49" i="3"/>
  <c r="AQ23" i="3"/>
  <c r="AQ19" i="3"/>
  <c r="AQ18" i="3"/>
  <c r="AQ17" i="3"/>
  <c r="AQ16" i="3"/>
  <c r="BM13" i="1"/>
  <c r="BM15" i="1"/>
  <c r="BM29" i="1"/>
  <c r="AQ11" i="3"/>
  <c r="AQ43" i="3"/>
  <c r="AQ49" i="3"/>
  <c r="BL13" i="1"/>
  <c r="BL15" i="1"/>
  <c r="BL29" i="1"/>
  <c r="AP49" i="3"/>
  <c r="AP43" i="3"/>
  <c r="AP23" i="3"/>
  <c r="AP21" i="3"/>
  <c r="AP19" i="3"/>
  <c r="AP18" i="3"/>
  <c r="AP17" i="3"/>
  <c r="AP16" i="3"/>
  <c r="AP11" i="3"/>
  <c r="AO23" i="3"/>
  <c r="AO21" i="3"/>
  <c r="AO19" i="3"/>
  <c r="AO18" i="3"/>
  <c r="AO17" i="3"/>
  <c r="AO16" i="3"/>
  <c r="AO11" i="3"/>
  <c r="AO43" i="3"/>
  <c r="AO49" i="3"/>
  <c r="BK13" i="1"/>
  <c r="BK15" i="1"/>
  <c r="BK29" i="1"/>
  <c r="AN23" i="3"/>
  <c r="AN21" i="3"/>
  <c r="AN19" i="3"/>
  <c r="AN18" i="3"/>
  <c r="AN17" i="3"/>
  <c r="AN16" i="3"/>
  <c r="AN11" i="3"/>
  <c r="AN43" i="3"/>
  <c r="AN49" i="3"/>
  <c r="BJ13" i="1"/>
  <c r="BJ15" i="1"/>
  <c r="BJ29" i="1"/>
  <c r="BI15" i="1"/>
  <c r="AM23" i="3"/>
  <c r="AM19" i="3"/>
  <c r="AM18" i="3"/>
  <c r="AM17" i="3"/>
  <c r="AM16" i="3"/>
  <c r="BI13" i="1"/>
  <c r="BI29" i="1"/>
  <c r="AM11" i="3"/>
  <c r="AM43" i="3"/>
  <c r="AM49" i="3"/>
  <c r="BH13" i="1"/>
  <c r="AL23" i="3"/>
  <c r="AL24" i="3"/>
  <c r="AL19" i="3"/>
  <c r="AL18" i="3"/>
  <c r="AL17" i="3"/>
  <c r="AL16" i="3"/>
  <c r="AL11" i="3"/>
  <c r="AL43" i="3"/>
  <c r="AL49" i="3"/>
  <c r="BH15" i="1"/>
  <c r="BH29" i="1"/>
  <c r="BG15" i="1"/>
  <c r="AK23" i="3"/>
  <c r="AK19" i="3"/>
  <c r="AK18" i="3"/>
  <c r="AK17" i="3"/>
  <c r="AK16" i="3"/>
  <c r="AK11" i="3"/>
  <c r="AK43" i="3"/>
  <c r="AK49" i="3"/>
  <c r="BG13" i="1"/>
  <c r="BG29" i="1"/>
  <c r="BF15" i="1"/>
  <c r="BF13" i="1"/>
  <c r="AJ23" i="3"/>
  <c r="AJ19" i="3"/>
  <c r="AJ18" i="3"/>
  <c r="AJ17" i="3"/>
  <c r="AJ16" i="3"/>
  <c r="AJ11" i="3"/>
  <c r="AJ43" i="3"/>
  <c r="AJ49" i="3"/>
  <c r="BF29" i="1"/>
  <c r="BE15" i="1"/>
  <c r="AI11" i="3"/>
  <c r="AI25" i="3"/>
  <c r="AI43" i="3"/>
  <c r="AI49" i="3"/>
  <c r="BE13" i="1"/>
  <c r="BE29" i="1"/>
  <c r="BD13" i="1"/>
  <c r="BD15" i="1"/>
  <c r="AH19" i="3"/>
  <c r="AH18" i="3"/>
  <c r="AH17" i="3"/>
  <c r="AH16" i="3"/>
  <c r="AH11" i="3"/>
  <c r="AH43" i="3"/>
  <c r="AH49" i="3"/>
  <c r="BD29" i="1"/>
  <c r="BC13" i="1"/>
  <c r="BC15" i="1"/>
  <c r="AG23" i="3"/>
  <c r="AG21" i="3"/>
  <c r="AG19" i="3"/>
  <c r="AG18" i="3"/>
  <c r="AG17" i="3"/>
  <c r="AG16" i="3"/>
  <c r="AG11" i="3"/>
  <c r="AG43" i="3"/>
  <c r="AG49" i="3"/>
  <c r="BC29" i="1"/>
  <c r="BB29" i="1"/>
  <c r="BB15" i="1"/>
  <c r="BB13" i="1"/>
  <c r="AF49" i="3"/>
  <c r="AF43" i="3"/>
  <c r="AF23" i="3"/>
  <c r="AF21" i="3"/>
  <c r="AF19" i="3"/>
  <c r="AF18" i="3"/>
  <c r="AF17" i="3"/>
  <c r="AF16" i="3"/>
  <c r="AF11" i="3"/>
  <c r="AE49" i="3"/>
  <c r="AE43" i="3"/>
  <c r="AE25" i="3"/>
  <c r="AE11" i="3"/>
  <c r="BA29" i="1"/>
  <c r="BA15" i="1"/>
  <c r="BA13" i="1"/>
  <c r="AD49" i="3"/>
  <c r="AD43" i="3"/>
  <c r="AD25" i="3"/>
  <c r="AD11" i="3"/>
  <c r="AZ29" i="1"/>
  <c r="AZ15" i="1"/>
  <c r="AZ13" i="1"/>
  <c r="AY29" i="1"/>
  <c r="AY15" i="1"/>
  <c r="AY13" i="1"/>
  <c r="AC49" i="3"/>
  <c r="AC43" i="3"/>
  <c r="AC25" i="3"/>
  <c r="AC11" i="3"/>
  <c r="AX15" i="1"/>
  <c r="AB11" i="3"/>
  <c r="AB25" i="3"/>
  <c r="AB43" i="3"/>
  <c r="AB49" i="3"/>
  <c r="AX13" i="1"/>
  <c r="AX29" i="1"/>
  <c r="AV29" i="1"/>
  <c r="AW29" i="1"/>
  <c r="AW15" i="1"/>
  <c r="AW13" i="1"/>
  <c r="AA49" i="3"/>
  <c r="AA43" i="3"/>
  <c r="AA25" i="3"/>
  <c r="AA11" i="3"/>
  <c r="F67" i="45"/>
  <c r="F85" i="45" s="1"/>
  <c r="R85" i="45" s="1"/>
  <c r="H67" i="45"/>
  <c r="H85" i="45" s="1"/>
  <c r="G72" i="45"/>
  <c r="G90" i="45" s="1"/>
  <c r="G67" i="45"/>
  <c r="G85" i="45" s="1"/>
  <c r="F70" i="45"/>
  <c r="F88" i="45" s="1"/>
  <c r="F94" i="45" s="1"/>
  <c r="H72" i="45"/>
  <c r="H90" i="45" s="1"/>
  <c r="F72" i="45"/>
  <c r="F90" i="45" s="1"/>
  <c r="R90" i="45" s="1"/>
  <c r="G70" i="45"/>
  <c r="G88" i="45" s="1"/>
  <c r="G94" i="45" s="1"/>
  <c r="H71" i="45"/>
  <c r="H89" i="45" s="1"/>
  <c r="F68" i="45"/>
  <c r="F86" i="45" s="1"/>
  <c r="R86" i="45" s="1"/>
  <c r="G66" i="45"/>
  <c r="G69" i="45" s="1"/>
  <c r="G68" i="45"/>
  <c r="G86" i="45" s="1"/>
  <c r="H70" i="45"/>
  <c r="H88" i="45" s="1"/>
  <c r="H94" i="45" s="1"/>
  <c r="F73" i="45"/>
  <c r="F91" i="45" s="1"/>
  <c r="R91" i="45" s="1"/>
  <c r="F75" i="45"/>
  <c r="F93" i="45" s="1"/>
  <c r="R93" i="45" s="1"/>
  <c r="H66" i="45"/>
  <c r="H69" i="45" s="1"/>
  <c r="G73" i="45"/>
  <c r="G91" i="45" s="1"/>
  <c r="H75" i="45"/>
  <c r="H93" i="45" s="1"/>
  <c r="G71" i="45"/>
  <c r="G89" i="45" s="1"/>
  <c r="F66" i="45"/>
  <c r="F69" i="45" s="1"/>
  <c r="F71" i="45"/>
  <c r="F89" i="45" s="1"/>
  <c r="R89" i="45" s="1"/>
  <c r="H73" i="45"/>
  <c r="H91" i="45" s="1"/>
  <c r="N67" i="45"/>
  <c r="N85" i="45" s="1"/>
  <c r="K70" i="45"/>
  <c r="K88" i="45" s="1"/>
  <c r="K94" i="45" s="1"/>
  <c r="I73" i="45"/>
  <c r="I91" i="45" s="1"/>
  <c r="Q73" i="45"/>
  <c r="Q91" i="45" s="1"/>
  <c r="P71" i="45"/>
  <c r="P89" i="45" s="1"/>
  <c r="M68" i="45"/>
  <c r="M86" i="45" s="1"/>
  <c r="O67" i="45"/>
  <c r="O85" i="45" s="1"/>
  <c r="O68" i="45"/>
  <c r="O86" i="45" s="1"/>
  <c r="L70" i="45"/>
  <c r="L88" i="45" s="1"/>
  <c r="L94" i="45" s="1"/>
  <c r="J73" i="45"/>
  <c r="J91" i="45" s="1"/>
  <c r="N70" i="45"/>
  <c r="N88" i="45" s="1"/>
  <c r="N94" i="45" s="1"/>
  <c r="Q71" i="45"/>
  <c r="Q89" i="45" s="1"/>
  <c r="L72" i="45"/>
  <c r="L90" i="45" s="1"/>
  <c r="P67" i="45"/>
  <c r="P85" i="45" s="1"/>
  <c r="P68" i="45"/>
  <c r="P86" i="45" s="1"/>
  <c r="D5" i="47"/>
  <c r="D6" i="47" s="1"/>
  <c r="I71" i="45"/>
  <c r="I89" i="45" s="1"/>
  <c r="K73" i="45"/>
  <c r="K91" i="45" s="1"/>
  <c r="O70" i="45"/>
  <c r="O88" i="45" s="1"/>
  <c r="O94" i="45" s="1"/>
  <c r="M72" i="45"/>
  <c r="M90" i="45" s="1"/>
  <c r="I67" i="45"/>
  <c r="I85" i="45" s="1"/>
  <c r="Q67" i="45"/>
  <c r="Q85" i="45" s="1"/>
  <c r="L71" i="45"/>
  <c r="L89" i="45" s="1"/>
  <c r="L73" i="45"/>
  <c r="L91" i="45" s="1"/>
  <c r="P70" i="45"/>
  <c r="P88" i="45" s="1"/>
  <c r="P94" i="45" s="1"/>
  <c r="N72" i="45"/>
  <c r="N90" i="45" s="1"/>
  <c r="J67" i="45"/>
  <c r="J85" i="45" s="1"/>
  <c r="D11" i="47"/>
  <c r="D12" i="47" s="1"/>
  <c r="I72" i="45"/>
  <c r="I90" i="45" s="1"/>
  <c r="M73" i="45"/>
  <c r="M91" i="45" s="1"/>
  <c r="K67" i="45"/>
  <c r="K85" i="45" s="1"/>
  <c r="J72" i="45"/>
  <c r="J90" i="45" s="1"/>
  <c r="N73" i="45"/>
  <c r="N91" i="45" s="1"/>
  <c r="N68" i="45"/>
  <c r="N86" i="45" s="1"/>
  <c r="M71" i="45"/>
  <c r="M89" i="45" s="1"/>
  <c r="P72" i="45"/>
  <c r="P90" i="45" s="1"/>
  <c r="L67" i="45"/>
  <c r="L85" i="45" s="1"/>
  <c r="J68" i="45"/>
  <c r="J86" i="45" s="1"/>
  <c r="I70" i="45"/>
  <c r="I88" i="45" s="1"/>
  <c r="I94" i="45" s="1"/>
  <c r="K72" i="45"/>
  <c r="K90" i="45" s="1"/>
  <c r="O73" i="45"/>
  <c r="O91" i="45" s="1"/>
  <c r="Q68" i="45"/>
  <c r="Q86" i="45" s="1"/>
  <c r="N71" i="45"/>
  <c r="N89" i="45" s="1"/>
  <c r="Q72" i="45"/>
  <c r="Q90" i="45" s="1"/>
  <c r="M67" i="45"/>
  <c r="M85" i="45" s="1"/>
  <c r="L68" i="45"/>
  <c r="L86" i="45" s="1"/>
  <c r="J70" i="45"/>
  <c r="J76" i="45" s="1"/>
  <c r="P73" i="45"/>
  <c r="P91" i="45" s="1"/>
  <c r="O71" i="45"/>
  <c r="O89" i="45" s="1"/>
  <c r="M70" i="45"/>
  <c r="M88" i="45" s="1"/>
  <c r="M94" i="45" s="1"/>
  <c r="Q70" i="45"/>
  <c r="Q88" i="45" s="1"/>
  <c r="Q94" i="45" s="1"/>
  <c r="O72" i="45"/>
  <c r="O90" i="45" s="1"/>
  <c r="C5" i="47"/>
  <c r="C6" i="47" s="1"/>
  <c r="F6" i="47" s="1"/>
  <c r="C11" i="47"/>
  <c r="F11" i="47" s="1"/>
  <c r="E11" i="47"/>
  <c r="E12" i="47" s="1"/>
  <c r="I66" i="45"/>
  <c r="I84" i="45" s="1"/>
  <c r="I87" i="45" s="1"/>
  <c r="AC71" i="45"/>
  <c r="AD71" i="45" s="1"/>
  <c r="AC74" i="45"/>
  <c r="AD74" i="45" s="1"/>
  <c r="F74" i="45"/>
  <c r="F92" i="45" s="1"/>
  <c r="R92" i="45" s="1"/>
  <c r="H68" i="45"/>
  <c r="H86" i="45" s="1"/>
  <c r="AC72" i="45"/>
  <c r="AD72" i="45" s="1"/>
  <c r="H74" i="45"/>
  <c r="H92" i="45" s="1"/>
  <c r="AC70" i="45"/>
  <c r="AD70" i="45" s="1"/>
  <c r="AD76" i="45" s="1"/>
  <c r="AC67" i="45"/>
  <c r="AD67" i="45" s="1"/>
  <c r="G75" i="45"/>
  <c r="G93" i="45" s="1"/>
  <c r="K68" i="45"/>
  <c r="K86" i="45" s="1"/>
  <c r="K71" i="45"/>
  <c r="K89" i="45" s="1"/>
  <c r="Z66" i="45"/>
  <c r="AA66" i="45" s="1"/>
  <c r="AA69" i="45" s="1"/>
  <c r="W70" i="45"/>
  <c r="X70" i="45" s="1"/>
  <c r="X76" i="45" s="1"/>
  <c r="Z73" i="45"/>
  <c r="AA73" i="45" s="1"/>
  <c r="W72" i="45"/>
  <c r="X72" i="45" s="1"/>
  <c r="Z70" i="45"/>
  <c r="AA70" i="45" s="1"/>
  <c r="AA76" i="45" s="1"/>
  <c r="Z72" i="45"/>
  <c r="AA72" i="45" s="1"/>
  <c r="W73" i="45"/>
  <c r="X73" i="45" s="1"/>
  <c r="AC66" i="45"/>
  <c r="AD66" i="45" s="1"/>
  <c r="AD69" i="45" s="1"/>
  <c r="G74" i="45"/>
  <c r="G92" i="45" s="1"/>
  <c r="W71" i="45"/>
  <c r="X71" i="45" s="1"/>
  <c r="AC78" i="45"/>
  <c r="AV15" i="1"/>
  <c r="AV13" i="1"/>
  <c r="Z11" i="3"/>
  <c r="Z25" i="3"/>
  <c r="Z43" i="3"/>
  <c r="Z49" i="3"/>
  <c r="AU15" i="1"/>
  <c r="AU13" i="1"/>
  <c r="Y11" i="3"/>
  <c r="Y25" i="3"/>
  <c r="Y43" i="3"/>
  <c r="Y49" i="3"/>
  <c r="AU29" i="1"/>
  <c r="X49" i="3"/>
  <c r="X43" i="3"/>
  <c r="X25" i="3"/>
  <c r="X11" i="3"/>
  <c r="AT29" i="1"/>
  <c r="AT15" i="1"/>
  <c r="AT13" i="1"/>
  <c r="AS29" i="1"/>
  <c r="W49" i="3"/>
  <c r="W43" i="3"/>
  <c r="W25" i="3"/>
  <c r="W11" i="3"/>
  <c r="AS13" i="1"/>
  <c r="AS15" i="1"/>
  <c r="V49" i="3"/>
  <c r="V43" i="3"/>
  <c r="V25" i="3"/>
  <c r="V11" i="3"/>
  <c r="AR29" i="1"/>
  <c r="AR15" i="1"/>
  <c r="AR13" i="1"/>
  <c r="G71" i="7"/>
  <c r="G70" i="7"/>
  <c r="G66" i="7"/>
  <c r="G65" i="7"/>
  <c r="G63" i="7"/>
  <c r="G77" i="7" s="1"/>
  <c r="G61" i="7"/>
  <c r="G60" i="7"/>
  <c r="AQ15" i="1"/>
  <c r="AQ13" i="1"/>
  <c r="U49" i="3"/>
  <c r="U50" i="3" s="1"/>
  <c r="U43" i="3"/>
  <c r="U44" i="3" s="1"/>
  <c r="U25" i="3"/>
  <c r="U26" i="3" s="1"/>
  <c r="U11" i="3"/>
  <c r="U12" i="3" s="1"/>
  <c r="AQ29" i="1"/>
  <c r="AP15" i="1"/>
  <c r="T11" i="3"/>
  <c r="T25" i="3"/>
  <c r="T43" i="3"/>
  <c r="T49" i="3"/>
  <c r="AP13" i="1"/>
  <c r="AP29" i="1"/>
  <c r="J71" i="45"/>
  <c r="J89" i="45" s="1"/>
  <c r="Z71" i="45"/>
  <c r="AA71" i="45" s="1"/>
  <c r="AO15" i="1"/>
  <c r="E5" i="47"/>
  <c r="E6" i="47" s="1"/>
  <c r="AO13" i="1"/>
  <c r="S23" i="3"/>
  <c r="S21" i="3"/>
  <c r="S19" i="3"/>
  <c r="S18" i="3"/>
  <c r="S17" i="3"/>
  <c r="S16" i="3"/>
  <c r="S11" i="3"/>
  <c r="S43" i="3"/>
  <c r="S49" i="3"/>
  <c r="AO29" i="1"/>
  <c r="AN15" i="1"/>
  <c r="AN13" i="1"/>
  <c r="R49" i="3"/>
  <c r="Q49" i="3"/>
  <c r="AN29" i="1"/>
  <c r="R11" i="3"/>
  <c r="R25" i="3"/>
  <c r="R43" i="3"/>
  <c r="AM15" i="1"/>
  <c r="Q25" i="3"/>
  <c r="AM13" i="1"/>
  <c r="AM29" i="1"/>
  <c r="Q11" i="3"/>
  <c r="Q43" i="3"/>
  <c r="AL15" i="1"/>
  <c r="AL13" i="1"/>
  <c r="P11" i="3"/>
  <c r="P25" i="3"/>
  <c r="P43" i="3"/>
  <c r="P49" i="3"/>
  <c r="AL29" i="1"/>
  <c r="AJ13" i="1"/>
  <c r="AK13" i="1"/>
  <c r="AK15" i="1"/>
  <c r="O11" i="3"/>
  <c r="O25" i="3"/>
  <c r="O43" i="3"/>
  <c r="O49" i="3"/>
  <c r="AK29" i="1"/>
  <c r="AJ15" i="1"/>
  <c r="AJ29" i="1"/>
  <c r="N1" i="3"/>
  <c r="N49" i="3"/>
  <c r="N43" i="3"/>
  <c r="N25" i="3"/>
  <c r="N11" i="3"/>
  <c r="AJ3" i="1"/>
  <c r="AK3" i="1" s="1"/>
  <c r="AL3" i="1" s="1"/>
  <c r="AM3" i="1" s="1"/>
  <c r="AN3" i="1" s="1"/>
  <c r="AO3" i="1" s="1"/>
  <c r="AP3" i="1" s="1"/>
  <c r="AQ3" i="1" s="1"/>
  <c r="AI13" i="1"/>
  <c r="AG15" i="1"/>
  <c r="AH15" i="1"/>
  <c r="D22" i="2"/>
  <c r="D33" i="2"/>
  <c r="F14" i="2" s="1"/>
  <c r="D32" i="2"/>
  <c r="F13" i="2" s="1"/>
  <c r="D31" i="2"/>
  <c r="L27" i="3"/>
  <c r="L43" i="3" s="1"/>
  <c r="M5" i="3"/>
  <c r="M11" i="3" s="1"/>
  <c r="L5" i="3"/>
  <c r="L11" i="3" s="1"/>
  <c r="AI29" i="1"/>
  <c r="M25" i="3"/>
  <c r="M43" i="3"/>
  <c r="M49" i="3"/>
  <c r="AH13" i="1"/>
  <c r="L25" i="3"/>
  <c r="L49" i="3"/>
  <c r="AH29" i="1"/>
  <c r="K25" i="3"/>
  <c r="AG13" i="1"/>
  <c r="K11" i="3"/>
  <c r="K43" i="3"/>
  <c r="K49" i="3"/>
  <c r="AG29" i="1"/>
  <c r="AF13" i="1"/>
  <c r="J11" i="3"/>
  <c r="J25" i="3"/>
  <c r="J43" i="3"/>
  <c r="J49" i="3"/>
  <c r="AF29" i="1"/>
  <c r="AE13" i="1"/>
  <c r="I11" i="3"/>
  <c r="I25" i="3"/>
  <c r="I43" i="3"/>
  <c r="I49" i="3"/>
  <c r="AE29" i="1"/>
  <c r="AD13" i="1"/>
  <c r="H11" i="3"/>
  <c r="H25" i="3"/>
  <c r="H43" i="3"/>
  <c r="H49" i="3"/>
  <c r="AD29" i="1"/>
  <c r="AC13" i="1"/>
  <c r="G11" i="3"/>
  <c r="G25" i="3"/>
  <c r="G43" i="3"/>
  <c r="G49" i="3"/>
  <c r="AC29" i="1"/>
  <c r="F49" i="3"/>
  <c r="AB13" i="1"/>
  <c r="AB29" i="1"/>
  <c r="F11" i="3"/>
  <c r="F25" i="3"/>
  <c r="F43" i="3"/>
  <c r="AA13" i="1"/>
  <c r="AA29" i="1"/>
  <c r="E49" i="3"/>
  <c r="E43" i="3"/>
  <c r="E25" i="3"/>
  <c r="E11" i="3"/>
  <c r="Z13" i="1"/>
  <c r="Y13" i="1"/>
  <c r="D49" i="3"/>
  <c r="D43" i="3"/>
  <c r="D25" i="3"/>
  <c r="D11" i="3"/>
  <c r="Z29" i="1"/>
  <c r="B28" i="2"/>
  <c r="B37" i="2" s="1"/>
  <c r="C43" i="3"/>
  <c r="C25" i="3"/>
  <c r="C11" i="3"/>
  <c r="Y29" i="1"/>
  <c r="Y11" i="1"/>
  <c r="X13" i="1"/>
  <c r="X11" i="1"/>
  <c r="W13" i="1"/>
  <c r="W11" i="1"/>
  <c r="V13" i="1"/>
  <c r="U11" i="1"/>
  <c r="U13" i="1"/>
  <c r="V11" i="1"/>
  <c r="T13" i="1"/>
  <c r="T11" i="1"/>
  <c r="S13" i="1"/>
  <c r="S11" i="1"/>
  <c r="X29" i="1"/>
  <c r="W29" i="1"/>
  <c r="V29" i="1"/>
  <c r="U29" i="1"/>
  <c r="T29" i="1"/>
  <c r="S29" i="1"/>
  <c r="R29" i="1"/>
  <c r="R13" i="1"/>
  <c r="R11" i="1"/>
  <c r="W3" i="1"/>
  <c r="X3" i="1" s="1"/>
  <c r="Y3" i="1" s="1"/>
  <c r="S3" i="1"/>
  <c r="T3" i="1" s="1"/>
  <c r="U3" i="1" s="1"/>
  <c r="Q21" i="1"/>
  <c r="P21" i="1"/>
  <c r="O21" i="1"/>
  <c r="N21" i="1"/>
  <c r="M21" i="1"/>
  <c r="Q29" i="1"/>
  <c r="Q11" i="1"/>
  <c r="P11" i="1"/>
  <c r="O11" i="1"/>
  <c r="N11" i="1"/>
  <c r="M11" i="1"/>
  <c r="Q13" i="1"/>
  <c r="P13" i="1"/>
  <c r="O13" i="1"/>
  <c r="N13" i="1"/>
  <c r="M13" i="1"/>
  <c r="N3" i="1"/>
  <c r="P29" i="1"/>
  <c r="O29" i="1"/>
  <c r="N29" i="1"/>
  <c r="M29" i="1"/>
  <c r="L29" i="1"/>
  <c r="K11" i="1"/>
  <c r="L19" i="1"/>
  <c r="L11" i="1"/>
  <c r="L21" i="1"/>
  <c r="K21" i="1"/>
  <c r="K19" i="1"/>
  <c r="L13" i="1"/>
  <c r="K29" i="1"/>
  <c r="K13" i="1"/>
  <c r="J19" i="1"/>
  <c r="H80" i="45"/>
  <c r="H62" i="45" s="1"/>
  <c r="J29" i="1"/>
  <c r="I75" i="45"/>
  <c r="I93" i="45" s="1"/>
  <c r="I68" i="45"/>
  <c r="J11" i="1"/>
  <c r="Z67" i="45"/>
  <c r="AA67" i="45" s="1"/>
  <c r="L75" i="45"/>
  <c r="L93" i="45" s="1"/>
  <c r="J75" i="45"/>
  <c r="J93" i="45" s="1"/>
  <c r="I74" i="45"/>
  <c r="I92" i="45" s="1"/>
  <c r="W67" i="45"/>
  <c r="X67" i="45" s="1"/>
  <c r="N74" i="45"/>
  <c r="N92" i="45" s="1"/>
  <c r="M74" i="45"/>
  <c r="M92" i="45" s="1"/>
  <c r="Q74" i="45"/>
  <c r="Q92" i="45" s="1"/>
  <c r="J13" i="1"/>
  <c r="M75" i="45"/>
  <c r="M93" i="45" s="1"/>
  <c r="N75" i="45"/>
  <c r="N93" i="45" s="1"/>
  <c r="Q75" i="45"/>
  <c r="Q93" i="45" s="1"/>
  <c r="P75" i="45"/>
  <c r="P93" i="45" s="1"/>
  <c r="P74" i="45"/>
  <c r="P92" i="45" s="1"/>
  <c r="L74" i="45"/>
  <c r="L92" i="45" s="1"/>
  <c r="O75" i="45"/>
  <c r="O93" i="45" s="1"/>
  <c r="J74" i="45"/>
  <c r="J92" i="45" s="1"/>
  <c r="K74" i="45"/>
  <c r="K92" i="45" s="1"/>
  <c r="O74" i="45"/>
  <c r="O92" i="45" s="1"/>
  <c r="W74" i="45"/>
  <c r="X74" i="45" s="1"/>
  <c r="I13" i="1"/>
  <c r="I11" i="1"/>
  <c r="I19" i="1"/>
  <c r="K75" i="45"/>
  <c r="K93" i="45" s="1"/>
  <c r="Z74" i="45"/>
  <c r="AA74" i="45" s="1"/>
  <c r="J66" i="45"/>
  <c r="J84" i="45" s="1"/>
  <c r="J87" i="45" s="1"/>
  <c r="H13" i="1"/>
  <c r="H11" i="1"/>
  <c r="H19" i="1"/>
  <c r="H17" i="1"/>
  <c r="I17" i="1" s="1"/>
  <c r="J17" i="1" s="1"/>
  <c r="K17" i="1" s="1"/>
  <c r="L17" i="1" s="1"/>
  <c r="Z78" i="45"/>
  <c r="G19" i="1"/>
  <c r="G17" i="1"/>
  <c r="G13" i="1"/>
  <c r="G11" i="1"/>
  <c r="K66" i="45"/>
  <c r="K69" i="45" s="1"/>
  <c r="E13" i="1"/>
  <c r="D13" i="1"/>
  <c r="F19" i="1"/>
  <c r="E11" i="1"/>
  <c r="D11" i="1"/>
  <c r="L66" i="45"/>
  <c r="L69" i="45" s="1"/>
  <c r="F13" i="1"/>
  <c r="F11" i="1"/>
  <c r="M66" i="45"/>
  <c r="M84" i="45" s="1"/>
  <c r="M87" i="45" s="1"/>
  <c r="AL14" i="1"/>
  <c r="N66" i="45"/>
  <c r="N84" i="45" s="1"/>
  <c r="N87" i="45" s="1"/>
  <c r="O66" i="45"/>
  <c r="O69" i="45" s="1"/>
  <c r="P66" i="45"/>
  <c r="P84" i="45" s="1"/>
  <c r="P87" i="45" s="1"/>
  <c r="Q66" i="45"/>
  <c r="Q84" i="45" s="1"/>
  <c r="Q87" i="45" s="1"/>
  <c r="W66" i="45"/>
  <c r="X66" i="45" s="1"/>
  <c r="X69" i="45" s="1"/>
  <c r="W78" i="45"/>
  <c r="Q36" i="45"/>
  <c r="K36" i="45"/>
  <c r="N40" i="45"/>
  <c r="J41" i="45"/>
  <c r="N42" i="45"/>
  <c r="K41" i="45"/>
  <c r="O42" i="45"/>
  <c r="M36" i="45"/>
  <c r="L39" i="45"/>
  <c r="P40" i="45"/>
  <c r="L41" i="45"/>
  <c r="P42" i="45"/>
  <c r="K39" i="45"/>
  <c r="M39" i="45"/>
  <c r="Q40" i="45"/>
  <c r="M41" i="45"/>
  <c r="Q42" i="45"/>
  <c r="O36" i="45"/>
  <c r="P36" i="45"/>
  <c r="N39" i="45"/>
  <c r="J40" i="45"/>
  <c r="N41" i="45"/>
  <c r="J42" i="45"/>
  <c r="O40" i="45"/>
  <c r="O39" i="45"/>
  <c r="K40" i="45"/>
  <c r="O41" i="45"/>
  <c r="K42" i="45"/>
  <c r="P39" i="45"/>
  <c r="L40" i="45"/>
  <c r="P41" i="45"/>
  <c r="L42" i="45"/>
  <c r="L36" i="45"/>
  <c r="J36" i="45"/>
  <c r="Q39" i="45"/>
  <c r="M40" i="45"/>
  <c r="Q41" i="45"/>
  <c r="M42" i="45"/>
  <c r="J39" i="45"/>
  <c r="Q6" i="45"/>
  <c r="Q35" i="45"/>
  <c r="I41" i="45"/>
  <c r="R10" i="45"/>
  <c r="T73" i="45" s="1"/>
  <c r="K12" i="45"/>
  <c r="K38" i="45"/>
  <c r="N35" i="45"/>
  <c r="I38" i="45"/>
  <c r="R7" i="45"/>
  <c r="T70" i="45" s="1"/>
  <c r="N38" i="45"/>
  <c r="N12" i="45"/>
  <c r="I6" i="45"/>
  <c r="I35" i="45"/>
  <c r="R4" i="45"/>
  <c r="T66" i="45" s="1"/>
  <c r="L38" i="45"/>
  <c r="L12" i="45"/>
  <c r="O35" i="45"/>
  <c r="O6" i="45"/>
  <c r="M35" i="45"/>
  <c r="M6" i="45"/>
  <c r="P12" i="45"/>
  <c r="P38" i="45"/>
  <c r="O38" i="45"/>
  <c r="O12" i="45"/>
  <c r="J35" i="45"/>
  <c r="J6" i="45"/>
  <c r="N36" i="45"/>
  <c r="P35" i="45"/>
  <c r="P6" i="45"/>
  <c r="I40" i="45"/>
  <c r="R9" i="45"/>
  <c r="T72" i="45" s="1"/>
  <c r="L35" i="45"/>
  <c r="L6" i="45"/>
  <c r="K35" i="45"/>
  <c r="K6" i="45"/>
  <c r="M38" i="45"/>
  <c r="M12" i="45"/>
  <c r="R5" i="45"/>
  <c r="T67" i="45" s="1"/>
  <c r="J38" i="45"/>
  <c r="J12" i="45"/>
  <c r="Q38" i="45"/>
  <c r="Q12" i="45"/>
  <c r="I42" i="45"/>
  <c r="R11" i="45"/>
  <c r="T74" i="45" s="1"/>
  <c r="N6" i="45"/>
  <c r="I39" i="45"/>
  <c r="R8" i="45"/>
  <c r="T71" i="45" s="1"/>
  <c r="I12" i="45"/>
  <c r="H21" i="45"/>
  <c r="I21" i="45"/>
  <c r="H27" i="45"/>
  <c r="I27" i="45"/>
  <c r="G27" i="45"/>
  <c r="G21" i="45"/>
  <c r="D27" i="1" l="1"/>
  <c r="D29" i="1" s="1"/>
  <c r="D30" i="1" s="1"/>
  <c r="C43" i="40"/>
  <c r="C46" i="40" s="1"/>
  <c r="D45" i="40" s="1"/>
  <c r="M76" i="45"/>
  <c r="H76" i="45"/>
  <c r="H77" i="45" s="1"/>
  <c r="I76" i="45"/>
  <c r="I69" i="45"/>
  <c r="O76" i="45"/>
  <c r="O77" i="45" s="1"/>
  <c r="K76" i="45"/>
  <c r="K77" i="45" s="1"/>
  <c r="K37" i="45"/>
  <c r="R68" i="45"/>
  <c r="R66" i="45"/>
  <c r="R69" i="45" s="1"/>
  <c r="M95" i="45"/>
  <c r="N95" i="45"/>
  <c r="L43" i="40"/>
  <c r="Q76" i="45"/>
  <c r="F39" i="36"/>
  <c r="H39" i="36"/>
  <c r="R67" i="45"/>
  <c r="R74" i="45"/>
  <c r="I43" i="40"/>
  <c r="F9" i="6"/>
  <c r="G9" i="6" s="1"/>
  <c r="N76" i="45"/>
  <c r="I13" i="45"/>
  <c r="G84" i="45"/>
  <c r="G87" i="45" s="1"/>
  <c r="G95" i="45" s="1"/>
  <c r="R34" i="45"/>
  <c r="K39" i="36"/>
  <c r="L37" i="45"/>
  <c r="D43" i="40"/>
  <c r="M43" i="40"/>
  <c r="J88" i="45"/>
  <c r="J94" i="45" s="1"/>
  <c r="J95" i="45" s="1"/>
  <c r="E39" i="36"/>
  <c r="O39" i="36"/>
  <c r="F13" i="45"/>
  <c r="F14" i="45" s="1"/>
  <c r="G3" i="45" s="1"/>
  <c r="G59" i="45"/>
  <c r="J43" i="40"/>
  <c r="R70" i="45"/>
  <c r="R76" i="45" s="1"/>
  <c r="H37" i="45"/>
  <c r="G75" i="7"/>
  <c r="R38" i="45"/>
  <c r="P69" i="45"/>
  <c r="H59" i="45"/>
  <c r="F43" i="45"/>
  <c r="F76" i="45"/>
  <c r="F77" i="45" s="1"/>
  <c r="R77" i="45" s="1"/>
  <c r="R78" i="45" s="1"/>
  <c r="F83" i="45"/>
  <c r="R83" i="45" s="1"/>
  <c r="DH43" i="3"/>
  <c r="R75" i="45"/>
  <c r="R88" i="45"/>
  <c r="R94" i="45" s="1"/>
  <c r="F37" i="45"/>
  <c r="O16" i="38"/>
  <c r="O21" i="38"/>
  <c r="P95" i="45"/>
  <c r="Q13" i="45"/>
  <c r="N69" i="45"/>
  <c r="P76" i="45"/>
  <c r="L76" i="45"/>
  <c r="L77" i="45" s="1"/>
  <c r="R72" i="45"/>
  <c r="U72" i="45" s="1"/>
  <c r="K84" i="45"/>
  <c r="K87" i="45" s="1"/>
  <c r="K95" i="45" s="1"/>
  <c r="D39" i="38"/>
  <c r="N13" i="45"/>
  <c r="X78" i="45"/>
  <c r="L13" i="45"/>
  <c r="Q95" i="45"/>
  <c r="J69" i="45"/>
  <c r="J77" i="45" s="1"/>
  <c r="P20" i="36"/>
  <c r="P22" i="36" s="1"/>
  <c r="G43" i="40"/>
  <c r="G28" i="45"/>
  <c r="O13" i="45"/>
  <c r="Q37" i="45"/>
  <c r="J37" i="45"/>
  <c r="O37" i="45"/>
  <c r="C12" i="47"/>
  <c r="F12" i="47" s="1"/>
  <c r="L39" i="36"/>
  <c r="P32" i="36"/>
  <c r="I59" i="45"/>
  <c r="G13" i="45"/>
  <c r="F57" i="45"/>
  <c r="J57" i="45" s="1"/>
  <c r="F21" i="45"/>
  <c r="J21" i="45" s="1"/>
  <c r="F55" i="45"/>
  <c r="J55" i="45" s="1"/>
  <c r="U14" i="6"/>
  <c r="F14" i="6" s="1"/>
  <c r="G14" i="6" s="1"/>
  <c r="E39" i="38"/>
  <c r="H43" i="40"/>
  <c r="M37" i="45"/>
  <c r="K43" i="40"/>
  <c r="R6" i="45"/>
  <c r="J43" i="45"/>
  <c r="G76" i="45"/>
  <c r="G77" i="45" s="1"/>
  <c r="D37" i="36"/>
  <c r="D39" i="36" s="1"/>
  <c r="D42" i="36" s="1"/>
  <c r="E41" i="36" s="1"/>
  <c r="H28" i="45"/>
  <c r="M69" i="45"/>
  <c r="H43" i="45"/>
  <c r="N39" i="36"/>
  <c r="G72" i="7"/>
  <c r="R73" i="45"/>
  <c r="U73" i="45" s="1"/>
  <c r="F51" i="45"/>
  <c r="J51" i="45" s="1"/>
  <c r="F56" i="45"/>
  <c r="J56" i="45" s="1"/>
  <c r="J13" i="45"/>
  <c r="H84" i="45"/>
  <c r="H87" i="45" s="1"/>
  <c r="H95" i="45" s="1"/>
  <c r="H13" i="45"/>
  <c r="O29" i="40"/>
  <c r="R42" i="45"/>
  <c r="I86" i="45"/>
  <c r="N37" i="45"/>
  <c r="F84" i="45"/>
  <c r="G43" i="45"/>
  <c r="M43" i="45"/>
  <c r="AA78" i="45"/>
  <c r="J27" i="45"/>
  <c r="K13" i="45"/>
  <c r="K43" i="45"/>
  <c r="BA27" i="1"/>
  <c r="BA30" i="1" s="1"/>
  <c r="F54" i="45"/>
  <c r="J54" i="45" s="1"/>
  <c r="J39" i="36"/>
  <c r="I39" i="36"/>
  <c r="O25" i="40"/>
  <c r="O41" i="40"/>
  <c r="R12" i="45"/>
  <c r="G67" i="7"/>
  <c r="I95" i="45"/>
  <c r="G37" i="45"/>
  <c r="L84" i="45"/>
  <c r="L87" i="45" s="1"/>
  <c r="L95" i="45" s="1"/>
  <c r="T69" i="45"/>
  <c r="M13" i="45"/>
  <c r="O19" i="40"/>
  <c r="M39" i="36"/>
  <c r="AD78" i="45"/>
  <c r="P9" i="36"/>
  <c r="P16" i="36" s="1"/>
  <c r="E43" i="40"/>
  <c r="I37" i="45"/>
  <c r="N43" i="45"/>
  <c r="F27" i="45"/>
  <c r="F43" i="40"/>
  <c r="N43" i="40"/>
  <c r="I28" i="45"/>
  <c r="P13" i="45"/>
  <c r="F5" i="47"/>
  <c r="G74" i="7"/>
  <c r="P43" i="45"/>
  <c r="I43" i="45"/>
  <c r="R39" i="45"/>
  <c r="O43" i="45"/>
  <c r="P37" i="45"/>
  <c r="R41" i="45"/>
  <c r="R40" i="45"/>
  <c r="R71" i="45"/>
  <c r="U71" i="45" s="1"/>
  <c r="F53" i="45"/>
  <c r="J53" i="45" s="1"/>
  <c r="T76" i="45"/>
  <c r="O32" i="38"/>
  <c r="C37" i="38"/>
  <c r="C39" i="38" s="1"/>
  <c r="C42" i="38" s="1"/>
  <c r="D41" i="38" s="1"/>
  <c r="Q69" i="45"/>
  <c r="O84" i="45"/>
  <c r="O87" i="45" s="1"/>
  <c r="O95" i="45" s="1"/>
  <c r="S27" i="1"/>
  <c r="S28" i="1" s="1"/>
  <c r="W27" i="1"/>
  <c r="W28" i="1" s="1"/>
  <c r="G62" i="7"/>
  <c r="F50" i="45"/>
  <c r="L43" i="45"/>
  <c r="F12" i="6"/>
  <c r="Q43" i="45"/>
  <c r="R35" i="45"/>
  <c r="R36" i="45"/>
  <c r="E9" i="6"/>
  <c r="B47" i="36"/>
  <c r="G25" i="36" s="1"/>
  <c r="G37" i="36" s="1"/>
  <c r="G39" i="36" s="1"/>
  <c r="V27" i="1"/>
  <c r="V28" i="1" s="1"/>
  <c r="X27" i="1"/>
  <c r="X28" i="1" s="1"/>
  <c r="Y27" i="1"/>
  <c r="Y30" i="1" s="1"/>
  <c r="EU25" i="3"/>
  <c r="EU3" i="3" s="1"/>
  <c r="F25" i="38"/>
  <c r="O25" i="38" s="1"/>
  <c r="ER3" i="3"/>
  <c r="EP25" i="3"/>
  <c r="EP3" i="3" s="1"/>
  <c r="CZ3" i="3"/>
  <c r="CJ25" i="3"/>
  <c r="CJ3" i="3" s="1"/>
  <c r="DZ25" i="3"/>
  <c r="DZ3" i="3" s="1"/>
  <c r="R27" i="1"/>
  <c r="R28" i="1" s="1"/>
  <c r="CG27" i="1"/>
  <c r="CG30" i="1" s="1"/>
  <c r="T27" i="1"/>
  <c r="T30" i="1" s="1"/>
  <c r="CE25" i="3"/>
  <c r="CE3" i="3" s="1"/>
  <c r="ET25" i="3"/>
  <c r="ET3" i="3" s="1"/>
  <c r="ED25" i="3"/>
  <c r="ED3" i="3" s="1"/>
  <c r="DX43" i="3"/>
  <c r="CY25" i="3"/>
  <c r="CY3" i="3" s="1"/>
  <c r="DY43" i="3"/>
  <c r="CD25" i="3"/>
  <c r="CD3" i="3" s="1"/>
  <c r="M3" i="3"/>
  <c r="M51" i="3" s="1"/>
  <c r="S25" i="3"/>
  <c r="S3" i="3" s="1"/>
  <c r="S51" i="3" s="1"/>
  <c r="E3" i="3"/>
  <c r="E51" i="3" s="1"/>
  <c r="BG25" i="3"/>
  <c r="BG3" i="3" s="1"/>
  <c r="BD25" i="3"/>
  <c r="BD3" i="3" s="1"/>
  <c r="CS25" i="3"/>
  <c r="CS3" i="3" s="1"/>
  <c r="DL25" i="3"/>
  <c r="DL3" i="3" s="1"/>
  <c r="DX25" i="3"/>
  <c r="J3" i="3"/>
  <c r="J51" i="3" s="1"/>
  <c r="DF25" i="3"/>
  <c r="DF3" i="3" s="1"/>
  <c r="F3" i="3"/>
  <c r="F51" i="3" s="1"/>
  <c r="BJ25" i="3"/>
  <c r="BJ3" i="3" s="1"/>
  <c r="AG25" i="3"/>
  <c r="AG3" i="3" s="1"/>
  <c r="CR25" i="3"/>
  <c r="CR3" i="3" s="1"/>
  <c r="DI25" i="3"/>
  <c r="DI3" i="3" s="1"/>
  <c r="H3" i="3"/>
  <c r="H51" i="3" s="1"/>
  <c r="AQ25" i="3"/>
  <c r="AQ3" i="3" s="1"/>
  <c r="BP25" i="3"/>
  <c r="BP3" i="3" s="1"/>
  <c r="BS25" i="3"/>
  <c r="BS3" i="3" s="1"/>
  <c r="BV25" i="3"/>
  <c r="BV3" i="3" s="1"/>
  <c r="DS3" i="3"/>
  <c r="N3" i="3"/>
  <c r="N51" i="3" s="1"/>
  <c r="W3" i="3"/>
  <c r="W51" i="3" s="1"/>
  <c r="CF25" i="3"/>
  <c r="CF3" i="3" s="1"/>
  <c r="CL25" i="3"/>
  <c r="CL3" i="3" s="1"/>
  <c r="CQ25" i="3"/>
  <c r="CQ3" i="3" s="1"/>
  <c r="DV25" i="3"/>
  <c r="DV3" i="3" s="1"/>
  <c r="AM25" i="3"/>
  <c r="AM3" i="3" s="1"/>
  <c r="DT25" i="3"/>
  <c r="DT3" i="3" s="1"/>
  <c r="DB25" i="3"/>
  <c r="DB3" i="3" s="1"/>
  <c r="EC25" i="3"/>
  <c r="EC3" i="3" s="1"/>
  <c r="BX25" i="3"/>
  <c r="BX3" i="3" s="1"/>
  <c r="CV25" i="3"/>
  <c r="CV3" i="3" s="1"/>
  <c r="EH25" i="3"/>
  <c r="EH3" i="3" s="1"/>
  <c r="EO25" i="3"/>
  <c r="EO3" i="3" s="1"/>
  <c r="AB3" i="3"/>
  <c r="AB51" i="3" s="1"/>
  <c r="BM25" i="3"/>
  <c r="BM3" i="3" s="1"/>
  <c r="CB25" i="3"/>
  <c r="CB3" i="3" s="1"/>
  <c r="DQ25" i="3"/>
  <c r="DQ3" i="3" s="1"/>
  <c r="CG25" i="3"/>
  <c r="CG3" i="3" s="1"/>
  <c r="AC3" i="3"/>
  <c r="AC51" i="3" s="1"/>
  <c r="AF25" i="3"/>
  <c r="AF3" i="3" s="1"/>
  <c r="BI25" i="3"/>
  <c r="BI3" i="3" s="1"/>
  <c r="EB25" i="3"/>
  <c r="EB3" i="3" s="1"/>
  <c r="EI25" i="3"/>
  <c r="EI3" i="3" s="1"/>
  <c r="D3" i="3"/>
  <c r="D51" i="3" s="1"/>
  <c r="G3" i="3"/>
  <c r="G51" i="3" s="1"/>
  <c r="BQ25" i="3"/>
  <c r="BQ3" i="3" s="1"/>
  <c r="EQ25" i="3"/>
  <c r="EQ3" i="3" s="1"/>
  <c r="I3" i="3"/>
  <c r="I51" i="3" s="1"/>
  <c r="EG25" i="3"/>
  <c r="EG3" i="3" s="1"/>
  <c r="EE25" i="3"/>
  <c r="EE3" i="3" s="1"/>
  <c r="AA3" i="3"/>
  <c r="AA51" i="3" s="1"/>
  <c r="CC25" i="3"/>
  <c r="CC3" i="3" s="1"/>
  <c r="DJ25" i="3"/>
  <c r="DJ3" i="3" s="1"/>
  <c r="AN25" i="3"/>
  <c r="AN3" i="3" s="1"/>
  <c r="AN51" i="3" s="1"/>
  <c r="BL25" i="3"/>
  <c r="BL3" i="3" s="1"/>
  <c r="CK25" i="3"/>
  <c r="CK3" i="3" s="1"/>
  <c r="DG25" i="3"/>
  <c r="DG3" i="3" s="1"/>
  <c r="DW25" i="3"/>
  <c r="DW3" i="3" s="1"/>
  <c r="DE25" i="3"/>
  <c r="DE3" i="3" s="1"/>
  <c r="U3" i="3"/>
  <c r="U4" i="3" s="1"/>
  <c r="U52" i="3" s="1"/>
  <c r="BO25" i="3"/>
  <c r="BO3" i="3" s="1"/>
  <c r="DY25" i="3"/>
  <c r="AS25" i="3"/>
  <c r="AS3" i="3" s="1"/>
  <c r="DC25" i="3"/>
  <c r="DC3" i="3" s="1"/>
  <c r="DR3" i="3"/>
  <c r="CW25" i="3"/>
  <c r="CW3" i="3" s="1"/>
  <c r="X3" i="3"/>
  <c r="X51" i="3" s="1"/>
  <c r="AK25" i="3"/>
  <c r="AK3" i="3" s="1"/>
  <c r="P3" i="3"/>
  <c r="P51" i="3" s="1"/>
  <c r="AE3" i="3"/>
  <c r="AE51" i="3" s="1"/>
  <c r="BC25" i="3"/>
  <c r="BC3" i="3" s="1"/>
  <c r="BE25" i="3"/>
  <c r="BE3" i="3" s="1"/>
  <c r="BH25" i="3"/>
  <c r="BH3" i="3" s="1"/>
  <c r="BR25" i="3"/>
  <c r="BR3" i="3" s="1"/>
  <c r="CN25" i="3"/>
  <c r="CN3" i="3" s="1"/>
  <c r="AV25" i="3"/>
  <c r="AV3" i="3" s="1"/>
  <c r="EF25" i="3"/>
  <c r="EF3" i="3" s="1"/>
  <c r="CI25" i="3"/>
  <c r="CI3" i="3" s="1"/>
  <c r="DN25" i="3"/>
  <c r="DN3" i="3" s="1"/>
  <c r="BU25" i="3"/>
  <c r="BU3" i="3" s="1"/>
  <c r="AH25" i="3"/>
  <c r="AH3" i="3" s="1"/>
  <c r="AH51" i="3" s="1"/>
  <c r="DP25" i="3"/>
  <c r="DP3" i="3" s="1"/>
  <c r="EM25" i="3"/>
  <c r="EM3" i="3" s="1"/>
  <c r="Y3" i="3"/>
  <c r="Y51" i="3" s="1"/>
  <c r="AZ25" i="3"/>
  <c r="AZ3" i="3" s="1"/>
  <c r="DA25" i="3"/>
  <c r="DA3" i="3" s="1"/>
  <c r="BB3" i="3"/>
  <c r="K3" i="3"/>
  <c r="K51" i="3" s="1"/>
  <c r="BF25" i="3"/>
  <c r="BF3" i="3" s="1"/>
  <c r="DH25" i="3"/>
  <c r="Q3" i="3"/>
  <c r="Q51" i="3" s="1"/>
  <c r="V3" i="3"/>
  <c r="V51" i="3" s="1"/>
  <c r="AW25" i="3"/>
  <c r="AW3" i="3" s="1"/>
  <c r="R3" i="3"/>
  <c r="R51" i="3" s="1"/>
  <c r="AI3" i="3"/>
  <c r="AI51" i="3" s="1"/>
  <c r="AT25" i="3"/>
  <c r="AT3" i="3" s="1"/>
  <c r="BK25" i="3"/>
  <c r="BK3" i="3" s="1"/>
  <c r="BK4" i="3" s="1"/>
  <c r="CT25" i="3"/>
  <c r="CT3" i="3" s="1"/>
  <c r="BY25" i="3"/>
  <c r="BY3" i="3" s="1"/>
  <c r="DD25" i="3"/>
  <c r="DD3" i="3" s="1"/>
  <c r="AL25" i="3"/>
  <c r="AL3" i="3" s="1"/>
  <c r="AO25" i="3"/>
  <c r="AO3" i="3" s="1"/>
  <c r="CA25" i="3"/>
  <c r="CA3" i="3" s="1"/>
  <c r="DU25" i="3"/>
  <c r="DU3" i="3" s="1"/>
  <c r="C3" i="3"/>
  <c r="C51" i="3" s="1"/>
  <c r="EL25" i="3"/>
  <c r="EL3" i="3" s="1"/>
  <c r="EN25" i="3"/>
  <c r="EN3" i="3" s="1"/>
  <c r="BA25" i="3"/>
  <c r="BA3" i="3" s="1"/>
  <c r="CX25" i="3"/>
  <c r="CX3" i="3" s="1"/>
  <c r="ES25" i="3"/>
  <c r="ES3" i="3" s="1"/>
  <c r="AY25" i="3"/>
  <c r="AY3" i="3" s="1"/>
  <c r="BN25" i="3"/>
  <c r="BN3" i="3" s="1"/>
  <c r="Z3" i="3"/>
  <c r="Z51" i="3" s="1"/>
  <c r="AR25" i="3"/>
  <c r="AR3" i="3" s="1"/>
  <c r="AU25" i="3"/>
  <c r="AU3" i="3" s="1"/>
  <c r="DM25" i="3"/>
  <c r="DM3" i="3" s="1"/>
  <c r="CU25" i="3"/>
  <c r="CU3" i="3" s="1"/>
  <c r="EA25" i="3"/>
  <c r="EA3" i="3" s="1"/>
  <c r="EK25" i="3"/>
  <c r="EK3" i="3" s="1"/>
  <c r="AX25" i="3"/>
  <c r="AX3" i="3" s="1"/>
  <c r="AJ25" i="3"/>
  <c r="AP25" i="3"/>
  <c r="AP3" i="3" s="1"/>
  <c r="DK25" i="3"/>
  <c r="DK3" i="3" s="1"/>
  <c r="BW25" i="3"/>
  <c r="BW3" i="3" s="1"/>
  <c r="CH25" i="3"/>
  <c r="CH3" i="3" s="1"/>
  <c r="CM25" i="3"/>
  <c r="CM3" i="3" s="1"/>
  <c r="EJ25" i="3"/>
  <c r="EJ3" i="3" s="1"/>
  <c r="O3" i="3"/>
  <c r="O51" i="3" s="1"/>
  <c r="CO25" i="3"/>
  <c r="CO3" i="3" s="1"/>
  <c r="O1" i="3"/>
  <c r="P1" i="3" s="1"/>
  <c r="Q1" i="3" s="1"/>
  <c r="BT25" i="3"/>
  <c r="BT3" i="3" s="1"/>
  <c r="BZ25" i="3"/>
  <c r="BZ3" i="3" s="1"/>
  <c r="CP25" i="3"/>
  <c r="CP3" i="3" s="1"/>
  <c r="DO25" i="3"/>
  <c r="DO3" i="3" s="1"/>
  <c r="L3" i="3"/>
  <c r="L51" i="3" s="1"/>
  <c r="T3" i="3"/>
  <c r="T51" i="3" s="1"/>
  <c r="AD3" i="3"/>
  <c r="AD51" i="3" s="1"/>
  <c r="U27" i="1"/>
  <c r="U30" i="1" s="1"/>
  <c r="F27" i="1"/>
  <c r="F29" i="1" s="1"/>
  <c r="F30" i="1" s="1"/>
  <c r="L27" i="1"/>
  <c r="L30" i="1" s="1"/>
  <c r="M27" i="1"/>
  <c r="M30" i="1" s="1"/>
  <c r="N27" i="1"/>
  <c r="N30" i="1" s="1"/>
  <c r="K27" i="1"/>
  <c r="K30" i="1" s="1"/>
  <c r="J27" i="1"/>
  <c r="J30" i="1" s="1"/>
  <c r="O27" i="1"/>
  <c r="O30" i="1" s="1"/>
  <c r="P27" i="1"/>
  <c r="P30" i="1" s="1"/>
  <c r="E27" i="1"/>
  <c r="E29" i="1" s="1"/>
  <c r="E30" i="1" s="1"/>
  <c r="Q27" i="1"/>
  <c r="Q30" i="1" s="1"/>
  <c r="G27" i="1"/>
  <c r="G29" i="1" s="1"/>
  <c r="AR3" i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I27" i="1"/>
  <c r="H27" i="1"/>
  <c r="O3" i="1"/>
  <c r="M77" i="45" l="1"/>
  <c r="D46" i="40"/>
  <c r="E45" i="40" s="1"/>
  <c r="E46" i="40" s="1"/>
  <c r="F45" i="40" s="1"/>
  <c r="F46" i="40" s="1"/>
  <c r="G45" i="40" s="1"/>
  <c r="G46" i="40" s="1"/>
  <c r="H45" i="40" s="1"/>
  <c r="H46" i="40" s="1"/>
  <c r="I45" i="40" s="1"/>
  <c r="I46" i="40" s="1"/>
  <c r="J45" i="40" s="1"/>
  <c r="J46" i="40" s="1"/>
  <c r="K45" i="40" s="1"/>
  <c r="K46" i="40" s="1"/>
  <c r="L45" i="40" s="1"/>
  <c r="L46" i="40" s="1"/>
  <c r="M45" i="40" s="1"/>
  <c r="M46" i="40" s="1"/>
  <c r="N45" i="40" s="1"/>
  <c r="N46" i="40" s="1"/>
  <c r="I77" i="45"/>
  <c r="E42" i="36"/>
  <c r="F41" i="36" s="1"/>
  <c r="F42" i="36" s="1"/>
  <c r="G41" i="36" s="1"/>
  <c r="G42" i="36" s="1"/>
  <c r="H41" i="36" s="1"/>
  <c r="H42" i="36" s="1"/>
  <c r="I41" i="36" s="1"/>
  <c r="I42" i="36" s="1"/>
  <c r="J41" i="36" s="1"/>
  <c r="J42" i="36" s="1"/>
  <c r="K41" i="36" s="1"/>
  <c r="K42" i="36" s="1"/>
  <c r="L41" i="36" s="1"/>
  <c r="L42" i="36" s="1"/>
  <c r="M41" i="36" s="1"/>
  <c r="M42" i="36" s="1"/>
  <c r="N41" i="36" s="1"/>
  <c r="N42" i="36" s="1"/>
  <c r="O41" i="36" s="1"/>
  <c r="O42" i="36" s="1"/>
  <c r="G14" i="45"/>
  <c r="H3" i="45" s="1"/>
  <c r="H14" i="45" s="1"/>
  <c r="I3" i="45" s="1"/>
  <c r="I14" i="45" s="1"/>
  <c r="J3" i="45" s="1"/>
  <c r="J14" i="45" s="1"/>
  <c r="K3" i="45" s="1"/>
  <c r="K14" i="45" s="1"/>
  <c r="L3" i="45" s="1"/>
  <c r="L14" i="45" s="1"/>
  <c r="M3" i="45" s="1"/>
  <c r="M14" i="45" s="1"/>
  <c r="N3" i="45" s="1"/>
  <c r="N14" i="45" s="1"/>
  <c r="O3" i="45" s="1"/>
  <c r="O14" i="45" s="1"/>
  <c r="P3" i="45" s="1"/>
  <c r="P14" i="45" s="1"/>
  <c r="Q3" i="45" s="1"/>
  <c r="Q14" i="45" s="1"/>
  <c r="U67" i="45"/>
  <c r="K44" i="45"/>
  <c r="N77" i="45"/>
  <c r="L44" i="45"/>
  <c r="D42" i="38"/>
  <c r="E41" i="38" s="1"/>
  <c r="E42" i="38" s="1"/>
  <c r="F41" i="38" s="1"/>
  <c r="U66" i="45"/>
  <c r="U69" i="45" s="1"/>
  <c r="J46" i="36"/>
  <c r="J47" i="36" s="1"/>
  <c r="J44" i="45"/>
  <c r="Q77" i="45"/>
  <c r="P77" i="45"/>
  <c r="U74" i="45"/>
  <c r="I44" i="45"/>
  <c r="L46" i="36"/>
  <c r="L47" i="36" s="1"/>
  <c r="U70" i="45"/>
  <c r="U76" i="45" s="1"/>
  <c r="G76" i="7"/>
  <c r="G78" i="7" s="1"/>
  <c r="F78" i="45"/>
  <c r="G65" i="45" s="1"/>
  <c r="G78" i="45" s="1"/>
  <c r="H65" i="45" s="1"/>
  <c r="H78" i="45" s="1"/>
  <c r="I65" i="45" s="1"/>
  <c r="F28" i="45"/>
  <c r="J28" i="45" s="1"/>
  <c r="J29" i="45" s="1"/>
  <c r="F44" i="45"/>
  <c r="F45" i="45" s="1"/>
  <c r="G34" i="45" s="1"/>
  <c r="H44" i="45"/>
  <c r="DH3" i="3"/>
  <c r="Q44" i="45"/>
  <c r="J58" i="45"/>
  <c r="DY3" i="3"/>
  <c r="P44" i="45"/>
  <c r="F58" i="45"/>
  <c r="Y28" i="1"/>
  <c r="B49" i="38"/>
  <c r="I49" i="38" s="1"/>
  <c r="I33" i="38" s="1"/>
  <c r="I37" i="38" s="1"/>
  <c r="I39" i="38" s="1"/>
  <c r="F37" i="38"/>
  <c r="F39" i="38" s="1"/>
  <c r="O44" i="45"/>
  <c r="BA28" i="1"/>
  <c r="R37" i="45"/>
  <c r="O43" i="40"/>
  <c r="T78" i="45"/>
  <c r="G44" i="45"/>
  <c r="M44" i="45"/>
  <c r="R13" i="45"/>
  <c r="R14" i="45" s="1"/>
  <c r="V30" i="1"/>
  <c r="N44" i="45"/>
  <c r="F87" i="45"/>
  <c r="F95" i="45" s="1"/>
  <c r="F96" i="45" s="1"/>
  <c r="G83" i="45" s="1"/>
  <c r="G96" i="45" s="1"/>
  <c r="H83" i="45" s="1"/>
  <c r="H96" i="45" s="1"/>
  <c r="I83" i="45" s="1"/>
  <c r="I96" i="45" s="1"/>
  <c r="J83" i="45" s="1"/>
  <c r="J96" i="45" s="1"/>
  <c r="K83" i="45" s="1"/>
  <c r="K96" i="45" s="1"/>
  <c r="L83" i="45" s="1"/>
  <c r="L96" i="45" s="1"/>
  <c r="M83" i="45" s="1"/>
  <c r="M96" i="45" s="1"/>
  <c r="N83" i="45" s="1"/>
  <c r="N96" i="45" s="1"/>
  <c r="O83" i="45" s="1"/>
  <c r="O96" i="45" s="1"/>
  <c r="P83" i="45" s="1"/>
  <c r="P96" i="45" s="1"/>
  <c r="Q83" i="45" s="1"/>
  <c r="Q96" i="45" s="1"/>
  <c r="R84" i="45"/>
  <c r="R87" i="45" s="1"/>
  <c r="K46" i="36"/>
  <c r="K47" i="36" s="1"/>
  <c r="M46" i="36"/>
  <c r="M47" i="36" s="1"/>
  <c r="N46" i="36"/>
  <c r="N47" i="36" s="1"/>
  <c r="O46" i="36"/>
  <c r="O47" i="36" s="1"/>
  <c r="P25" i="36"/>
  <c r="P37" i="36" s="1"/>
  <c r="P39" i="36" s="1"/>
  <c r="R43" i="45"/>
  <c r="X30" i="1"/>
  <c r="R30" i="1"/>
  <c r="W30" i="1"/>
  <c r="S30" i="1"/>
  <c r="U28" i="1"/>
  <c r="T28" i="1"/>
  <c r="F52" i="45"/>
  <c r="J50" i="45"/>
  <c r="DX3" i="3"/>
  <c r="CG28" i="1"/>
  <c r="AG51" i="3"/>
  <c r="AM51" i="3"/>
  <c r="U51" i="3"/>
  <c r="AF51" i="3"/>
  <c r="BK26" i="3"/>
  <c r="AJ3" i="3"/>
  <c r="AJ51" i="3" s="1"/>
  <c r="AO51" i="3"/>
  <c r="AL51" i="3"/>
  <c r="AK51" i="3"/>
  <c r="R1" i="3"/>
  <c r="N28" i="1"/>
  <c r="E28" i="1"/>
  <c r="P28" i="1"/>
  <c r="J28" i="1"/>
  <c r="D28" i="1"/>
  <c r="O28" i="1"/>
  <c r="L28" i="1"/>
  <c r="M28" i="1"/>
  <c r="F28" i="1"/>
  <c r="G30" i="1"/>
  <c r="G28" i="1"/>
  <c r="K28" i="1"/>
  <c r="Q28" i="1"/>
  <c r="I28" i="1"/>
  <c r="H28" i="1"/>
  <c r="H29" i="1"/>
  <c r="H30" i="1" s="1"/>
  <c r="I29" i="1"/>
  <c r="I30" i="1" s="1"/>
  <c r="P3" i="1"/>
  <c r="BD3" i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I78" i="45" l="1"/>
  <c r="J65" i="45" s="1"/>
  <c r="J78" i="45" s="1"/>
  <c r="K65" i="45" s="1"/>
  <c r="K78" i="45" s="1"/>
  <c r="L65" i="45" s="1"/>
  <c r="L78" i="45" s="1"/>
  <c r="M65" i="45" s="1"/>
  <c r="M78" i="45" s="1"/>
  <c r="N65" i="45" s="1"/>
  <c r="N78" i="45" s="1"/>
  <c r="O65" i="45" s="1"/>
  <c r="O78" i="45" s="1"/>
  <c r="P65" i="45" s="1"/>
  <c r="P78" i="45" s="1"/>
  <c r="Q65" i="45" s="1"/>
  <c r="Q78" i="45" s="1"/>
  <c r="F42" i="38"/>
  <c r="G41" i="38" s="1"/>
  <c r="U78" i="45"/>
  <c r="F29" i="45"/>
  <c r="G18" i="45" s="1"/>
  <c r="G29" i="45" s="1"/>
  <c r="H18" i="45" s="1"/>
  <c r="H29" i="45" s="1"/>
  <c r="I18" i="45" s="1"/>
  <c r="I29" i="45" s="1"/>
  <c r="F49" i="38"/>
  <c r="L49" i="38"/>
  <c r="L33" i="38" s="1"/>
  <c r="L37" i="38" s="1"/>
  <c r="L39" i="38" s="1"/>
  <c r="J49" i="38"/>
  <c r="J33" i="38" s="1"/>
  <c r="J37" i="38" s="1"/>
  <c r="J39" i="38" s="1"/>
  <c r="G49" i="38"/>
  <c r="G33" i="38" s="1"/>
  <c r="G37" i="38" s="1"/>
  <c r="G39" i="38" s="1"/>
  <c r="N49" i="38"/>
  <c r="N33" i="38" s="1"/>
  <c r="N37" i="38" s="1"/>
  <c r="N39" i="38" s="1"/>
  <c r="H49" i="38"/>
  <c r="H33" i="38" s="1"/>
  <c r="H37" i="38" s="1"/>
  <c r="H39" i="38" s="1"/>
  <c r="K49" i="38"/>
  <c r="K33" i="38" s="1"/>
  <c r="K37" i="38" s="1"/>
  <c r="K39" i="38" s="1"/>
  <c r="M49" i="38"/>
  <c r="M33" i="38" s="1"/>
  <c r="M37" i="38" s="1"/>
  <c r="M39" i="38" s="1"/>
  <c r="G45" i="45"/>
  <c r="H34" i="45" s="1"/>
  <c r="H45" i="45" s="1"/>
  <c r="I34" i="45" s="1"/>
  <c r="I45" i="45" s="1"/>
  <c r="J34" i="45" s="1"/>
  <c r="J45" i="45" s="1"/>
  <c r="K34" i="45" s="1"/>
  <c r="K45" i="45" s="1"/>
  <c r="L34" i="45" s="1"/>
  <c r="L45" i="45" s="1"/>
  <c r="M34" i="45" s="1"/>
  <c r="M45" i="45" s="1"/>
  <c r="N34" i="45" s="1"/>
  <c r="N45" i="45" s="1"/>
  <c r="O34" i="45" s="1"/>
  <c r="O45" i="45" s="1"/>
  <c r="P34" i="45" s="1"/>
  <c r="P45" i="45" s="1"/>
  <c r="Q34" i="45" s="1"/>
  <c r="Q45" i="45" s="1"/>
  <c r="R44" i="45"/>
  <c r="R45" i="45" s="1"/>
  <c r="R95" i="45"/>
  <c r="R96" i="45" s="1"/>
  <c r="J52" i="45"/>
  <c r="F59" i="45"/>
  <c r="S1" i="3"/>
  <c r="FU3" i="1"/>
  <c r="FV3" i="1" s="1"/>
  <c r="FW3" i="1" s="1"/>
  <c r="Q3" i="1"/>
  <c r="O37" i="38" l="1"/>
  <c r="O33" i="38"/>
  <c r="J59" i="45"/>
  <c r="J60" i="45" s="1"/>
  <c r="F60" i="45"/>
  <c r="G49" i="45" s="1"/>
  <c r="G60" i="45" s="1"/>
  <c r="H49" i="45" s="1"/>
  <c r="H60" i="45" s="1"/>
  <c r="I49" i="45" s="1"/>
  <c r="I60" i="45" s="1"/>
  <c r="T1" i="3"/>
  <c r="FX3" i="1"/>
  <c r="O39" i="38"/>
  <c r="G42" i="38"/>
  <c r="H41" i="38" s="1"/>
  <c r="H42" i="38" s="1"/>
  <c r="I41" i="38" s="1"/>
  <c r="I42" i="38" s="1"/>
  <c r="J41" i="38" s="1"/>
  <c r="J42" i="38" s="1"/>
  <c r="K41" i="38" s="1"/>
  <c r="K42" i="38" s="1"/>
  <c r="L41" i="38" s="1"/>
  <c r="L42" i="38" s="1"/>
  <c r="M41" i="38" s="1"/>
  <c r="M42" i="38" s="1"/>
  <c r="N41" i="38" s="1"/>
  <c r="N42" i="38" s="1"/>
  <c r="U1" i="3" l="1"/>
  <c r="FY3" i="1"/>
  <c r="V1" i="3" l="1"/>
  <c r="FZ3" i="1"/>
  <c r="W1" i="3" l="1"/>
  <c r="GA3" i="1"/>
  <c r="X1" i="3" l="1"/>
  <c r="GB3" i="1"/>
  <c r="Y1" i="3" l="1"/>
  <c r="GC3" i="1"/>
  <c r="Z1" i="3" l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GD3" i="1"/>
  <c r="CA1" i="3" l="1"/>
  <c r="CB1" i="3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E3" i="1"/>
  <c r="GB1" i="3" l="1"/>
  <c r="GF3" i="1"/>
  <c r="GG3" i="1" l="1"/>
  <c r="GC1" i="3"/>
  <c r="GH3" i="1" l="1"/>
  <c r="GI3" i="1" s="1"/>
  <c r="GJ3" i="1" s="1"/>
  <c r="GD1" i="3"/>
  <c r="GE1" i="3" l="1"/>
  <c r="GK3" i="1"/>
  <c r="GF1" i="3" l="1"/>
  <c r="GL3" i="1"/>
  <c r="GG1" i="3" l="1"/>
  <c r="GM3" i="1"/>
  <c r="GH1" i="3" l="1"/>
  <c r="GN3" i="1"/>
  <c r="J37" i="2" l="1"/>
  <c r="F37" i="2"/>
  <c r="R37" i="2"/>
  <c r="O28" i="2"/>
  <c r="K28" i="2"/>
  <c r="SF11" i="1"/>
  <c r="RG11" i="1"/>
  <c r="G46" i="2"/>
  <c r="G48" i="2" s="1"/>
  <c r="H46" i="2"/>
  <c r="H48" i="2" s="1"/>
  <c r="F46" i="2"/>
  <c r="F48" i="2" s="1"/>
  <c r="IJ11" i="1"/>
  <c r="IJ27" i="1" s="1"/>
  <c r="IJ30" i="1" s="1"/>
  <c r="IK11" i="1"/>
  <c r="IK27" i="1" s="1"/>
  <c r="IK30" i="1" s="1"/>
  <c r="G19" i="2"/>
  <c r="H28" i="2"/>
  <c r="L28" i="2"/>
  <c r="I19" i="2"/>
  <c r="F19" i="2"/>
  <c r="J19" i="2"/>
  <c r="J28" i="2"/>
  <c r="G28" i="2"/>
  <c r="F28" i="2"/>
  <c r="H19" i="2"/>
  <c r="AQ11" i="1"/>
  <c r="I37" i="2"/>
  <c r="M37" i="2"/>
  <c r="H37" i="2"/>
  <c r="O37" i="2"/>
  <c r="K37" i="2"/>
  <c r="P37" i="2"/>
  <c r="N28" i="2"/>
  <c r="L37" i="2"/>
  <c r="G37" i="2"/>
  <c r="I28" i="2"/>
  <c r="M28" i="2"/>
  <c r="Q37" i="2"/>
  <c r="N37" i="2"/>
  <c r="E37" i="2"/>
  <c r="GO3" i="1"/>
  <c r="D28" i="2" l="1"/>
  <c r="F7" i="2" s="1"/>
  <c r="D5" i="60" s="1"/>
  <c r="D37" i="2"/>
  <c r="G7" i="2" s="1"/>
  <c r="E5" i="60" s="1"/>
  <c r="AQ27" i="1"/>
  <c r="AQ30" i="1" s="1"/>
  <c r="GP3" i="1"/>
  <c r="AQ28" i="1" l="1"/>
  <c r="GQ3" i="1"/>
  <c r="GR3" i="1" l="1"/>
  <c r="GS3" i="1" l="1"/>
  <c r="GT3" i="1" l="1"/>
  <c r="GU3" i="1" l="1"/>
  <c r="GV3" i="1" l="1"/>
  <c r="GW3" i="1" l="1"/>
  <c r="GX3" i="1" l="1"/>
  <c r="GY3" i="1" l="1"/>
  <c r="GZ3" i="1" l="1"/>
  <c r="HA3" i="1" l="1"/>
  <c r="HB3" i="1" l="1"/>
  <c r="HC3" i="1" l="1"/>
  <c r="HD3" i="1" l="1"/>
  <c r="YH2" i="3" s="1"/>
  <c r="YH26" i="3" l="1"/>
  <c r="YH12" i="3"/>
  <c r="YH44" i="3"/>
  <c r="YH50" i="3"/>
  <c r="YH4" i="3"/>
  <c r="ZD11" i="1" s="1"/>
  <c r="YM11" i="1"/>
  <c r="R65" i="59"/>
  <c r="R66" i="59"/>
  <c r="XT11" i="1"/>
  <c r="WV2" i="3"/>
  <c r="WT2" i="3"/>
  <c r="WU2" i="3"/>
  <c r="WR2" i="3"/>
  <c r="WR26" i="3" s="1"/>
  <c r="E57" i="2"/>
  <c r="D57" i="2" s="1"/>
  <c r="WS2" i="3"/>
  <c r="VV44" i="3"/>
  <c r="VV12" i="3"/>
  <c r="VV26" i="3"/>
  <c r="VV50" i="3"/>
  <c r="VV4" i="3"/>
  <c r="R56" i="59"/>
  <c r="O57" i="59" s="1"/>
  <c r="VJ11" i="1"/>
  <c r="TZ2" i="3"/>
  <c r="TZ26" i="3" s="1"/>
  <c r="UE2" i="3"/>
  <c r="UA2" i="3"/>
  <c r="UB2" i="3"/>
  <c r="UC2" i="3"/>
  <c r="UD2" i="3"/>
  <c r="TF2" i="3"/>
  <c r="TE2" i="3"/>
  <c r="TE50" i="3" s="1"/>
  <c r="TE11" i="1"/>
  <c r="RG2" i="3"/>
  <c r="R51" i="59"/>
  <c r="QQ2" i="3"/>
  <c r="QR2" i="3"/>
  <c r="QH2" i="3"/>
  <c r="E56" i="2"/>
  <c r="D56" i="2" s="1"/>
  <c r="NU2" i="3"/>
  <c r="NU4" i="3" s="1"/>
  <c r="R42" i="59"/>
  <c r="R40" i="59"/>
  <c r="S40" i="59" s="1"/>
  <c r="R39" i="59"/>
  <c r="R41" i="59"/>
  <c r="R37" i="59"/>
  <c r="R38" i="59"/>
  <c r="LE2" i="3"/>
  <c r="KW2" i="3"/>
  <c r="KW26" i="3" s="1"/>
  <c r="KU2" i="3"/>
  <c r="KU12" i="3" s="1"/>
  <c r="KV2" i="3"/>
  <c r="KS2" i="3"/>
  <c r="KJ2" i="3"/>
  <c r="R32" i="59"/>
  <c r="R29" i="59"/>
  <c r="R30" i="59"/>
  <c r="R28" i="59"/>
  <c r="R27" i="59"/>
  <c r="O29" i="59" s="1"/>
  <c r="JS2" i="3"/>
  <c r="R26" i="59"/>
  <c r="R25" i="59"/>
  <c r="O26" i="59" s="1"/>
  <c r="R22" i="59"/>
  <c r="S22" i="59" s="1"/>
  <c r="R21" i="59"/>
  <c r="IY2" i="3"/>
  <c r="HT2" i="3"/>
  <c r="HT12" i="3" s="1"/>
  <c r="R17" i="59"/>
  <c r="R15" i="59"/>
  <c r="HU2" i="3"/>
  <c r="R11" i="59"/>
  <c r="R12" i="59"/>
  <c r="R13" i="59"/>
  <c r="R10" i="59"/>
  <c r="HS2" i="3"/>
  <c r="HR2" i="3"/>
  <c r="HL2" i="3"/>
  <c r="HL12" i="3" s="1"/>
  <c r="HM2" i="3"/>
  <c r="HK2" i="3"/>
  <c r="HJ2" i="3"/>
  <c r="HI2" i="3"/>
  <c r="HH2" i="3"/>
  <c r="HG2" i="3"/>
  <c r="HF2" i="3"/>
  <c r="HF26" i="3" s="1"/>
  <c r="E3" i="2"/>
  <c r="E4" i="2"/>
  <c r="E53" i="2" s="1"/>
  <c r="HE2" i="3"/>
  <c r="HD2" i="3"/>
  <c r="HA2" i="3"/>
  <c r="HA12" i="3" s="1"/>
  <c r="HC2" i="3"/>
  <c r="HB2" i="3"/>
  <c r="GZ2" i="3"/>
  <c r="GX2" i="3"/>
  <c r="GY2" i="3"/>
  <c r="GS2" i="3"/>
  <c r="GW2" i="3"/>
  <c r="GU2" i="3"/>
  <c r="GT2" i="3"/>
  <c r="GR2" i="3"/>
  <c r="GV2" i="3"/>
  <c r="GQ2" i="3"/>
  <c r="GP2" i="3"/>
  <c r="GO2" i="3"/>
  <c r="GM2" i="3"/>
  <c r="GN2" i="3"/>
  <c r="GK2" i="3"/>
  <c r="GL2" i="3"/>
  <c r="GJ2" i="3"/>
  <c r="GI2" i="3"/>
  <c r="GA2" i="3"/>
  <c r="GB2" i="3"/>
  <c r="GC2" i="3"/>
  <c r="GD2" i="3"/>
  <c r="GE2" i="3"/>
  <c r="GF2" i="3"/>
  <c r="GG2" i="3"/>
  <c r="GH2" i="3"/>
  <c r="CZ2" i="3"/>
  <c r="DZ2" i="3"/>
  <c r="BA2" i="3"/>
  <c r="FU2" i="3"/>
  <c r="CJ2" i="3"/>
  <c r="DB2" i="3"/>
  <c r="X2" i="3"/>
  <c r="CV2" i="3"/>
  <c r="DA2" i="3"/>
  <c r="EA2" i="3"/>
  <c r="FQ2" i="3"/>
  <c r="BZ2" i="3"/>
  <c r="BF2" i="3"/>
  <c r="AI2" i="3"/>
  <c r="AF2" i="3"/>
  <c r="V2" i="3"/>
  <c r="CU2" i="3"/>
  <c r="FF2" i="3"/>
  <c r="G2" i="3"/>
  <c r="E2" i="2"/>
  <c r="EU2" i="3"/>
  <c r="FD2" i="3"/>
  <c r="EL2" i="3"/>
  <c r="DL2" i="3"/>
  <c r="BU2" i="3"/>
  <c r="EI2" i="3"/>
  <c r="L2" i="3"/>
  <c r="FN2" i="3"/>
  <c r="EW2" i="3"/>
  <c r="AM2" i="3"/>
  <c r="AC2" i="3"/>
  <c r="CW2" i="3"/>
  <c r="AD2" i="3"/>
  <c r="CX2" i="3"/>
  <c r="AE2" i="3"/>
  <c r="FV2" i="3"/>
  <c r="BL2" i="3"/>
  <c r="FS2" i="3"/>
  <c r="BC2" i="3"/>
  <c r="EF2" i="3"/>
  <c r="DJ2" i="3"/>
  <c r="BG2" i="3"/>
  <c r="EN2" i="3"/>
  <c r="DI2" i="3"/>
  <c r="AQ2" i="3"/>
  <c r="W2" i="3"/>
  <c r="BH2" i="3"/>
  <c r="BR2" i="3"/>
  <c r="BD2" i="3"/>
  <c r="DG2" i="3"/>
  <c r="FA2" i="3"/>
  <c r="FZ2" i="3"/>
  <c r="DM2" i="3"/>
  <c r="CN2" i="3"/>
  <c r="AG2" i="3"/>
  <c r="CF2" i="3"/>
  <c r="S2" i="3"/>
  <c r="AJ2" i="3"/>
  <c r="EP2" i="3"/>
  <c r="CG2" i="3"/>
  <c r="BV2" i="3"/>
  <c r="AB2" i="3"/>
  <c r="FG2" i="3"/>
  <c r="DW2" i="3"/>
  <c r="AH2" i="3"/>
  <c r="AU2" i="3"/>
  <c r="DX2" i="3"/>
  <c r="AP2" i="3"/>
  <c r="AV2" i="3"/>
  <c r="AN2" i="3"/>
  <c r="AA2" i="3"/>
  <c r="M2" i="3"/>
  <c r="AZ2" i="3"/>
  <c r="DV2" i="3"/>
  <c r="BI2" i="3"/>
  <c r="FO2" i="3"/>
  <c r="Z2" i="3"/>
  <c r="AR2" i="3"/>
  <c r="DY2" i="3"/>
  <c r="ER2" i="3"/>
  <c r="Y2" i="3"/>
  <c r="BS2" i="3"/>
  <c r="FH2" i="3"/>
  <c r="H2" i="3"/>
  <c r="DP2" i="3"/>
  <c r="E2" i="3"/>
  <c r="CD2" i="3"/>
  <c r="AL2" i="3"/>
  <c r="AW2" i="3"/>
  <c r="CA2" i="3"/>
  <c r="EY2" i="3"/>
  <c r="EX2" i="3"/>
  <c r="C2" i="3"/>
  <c r="CY2" i="3"/>
  <c r="DF2" i="3"/>
  <c r="DR2" i="3"/>
  <c r="CB2" i="3"/>
  <c r="BN2" i="3"/>
  <c r="FY2" i="3"/>
  <c r="AT2" i="3"/>
  <c r="BO2" i="3"/>
  <c r="DT2" i="3"/>
  <c r="FE2" i="3"/>
  <c r="FR2" i="3"/>
  <c r="AS2" i="3"/>
  <c r="T2" i="3"/>
  <c r="N2" i="3"/>
  <c r="R2" i="3"/>
  <c r="FC2" i="3"/>
  <c r="F2" i="3"/>
  <c r="CR2" i="3"/>
  <c r="CS2" i="3"/>
  <c r="FB2" i="3"/>
  <c r="BB2" i="3"/>
  <c r="ED2" i="3"/>
  <c r="AX2" i="3"/>
  <c r="CT2" i="3"/>
  <c r="BP2" i="3"/>
  <c r="DE2" i="3"/>
  <c r="BY2" i="3"/>
  <c r="FX2" i="3"/>
  <c r="O2" i="3"/>
  <c r="DD2" i="3"/>
  <c r="EV2" i="3"/>
  <c r="EB2" i="3"/>
  <c r="EO2" i="3"/>
  <c r="FI2" i="3"/>
  <c r="DS2" i="3"/>
  <c r="CI2" i="3"/>
  <c r="EH2" i="3"/>
  <c r="I2" i="3"/>
  <c r="BJ2" i="3"/>
  <c r="FP2" i="3"/>
  <c r="ES2" i="3"/>
  <c r="D2" i="3"/>
  <c r="EZ2" i="3"/>
  <c r="FM2" i="3"/>
  <c r="ET2" i="3"/>
  <c r="EC2" i="3"/>
  <c r="BW2" i="3"/>
  <c r="DN2" i="3"/>
  <c r="CE2" i="3"/>
  <c r="DH2" i="3"/>
  <c r="CO2" i="3"/>
  <c r="DQ2" i="3"/>
  <c r="CQ2" i="3"/>
  <c r="EE2" i="3"/>
  <c r="FW2" i="3"/>
  <c r="CM2" i="3"/>
  <c r="FL2" i="3"/>
  <c r="CH2" i="3"/>
  <c r="Q2" i="3"/>
  <c r="BQ2" i="3"/>
  <c r="BM2" i="3"/>
  <c r="DU2" i="3"/>
  <c r="FK2" i="3"/>
  <c r="AK2" i="3"/>
  <c r="CK2" i="3"/>
  <c r="EJ2" i="3"/>
  <c r="K2" i="3"/>
  <c r="BE2" i="3"/>
  <c r="J2" i="3"/>
  <c r="AY2" i="3"/>
  <c r="CL2" i="3"/>
  <c r="CP2" i="3"/>
  <c r="BT2" i="3"/>
  <c r="P2" i="3"/>
  <c r="AO2" i="3"/>
  <c r="EK2" i="3"/>
  <c r="EQ2" i="3"/>
  <c r="BX2" i="3"/>
  <c r="CC2" i="3"/>
  <c r="FJ2" i="3"/>
  <c r="EM2" i="3"/>
  <c r="DO2" i="3"/>
  <c r="DK2" i="3"/>
  <c r="EG2" i="3"/>
  <c r="DC2" i="3"/>
  <c r="FT2" i="3"/>
  <c r="F8" i="2" l="1"/>
  <c r="F23" i="105"/>
  <c r="F52" i="2"/>
  <c r="F41" i="2"/>
  <c r="G51" i="2"/>
  <c r="D51" i="2" s="1"/>
  <c r="H8" i="2" s="1"/>
  <c r="F53" i="2"/>
  <c r="G41" i="2"/>
  <c r="G53" i="2"/>
  <c r="S66" i="59"/>
  <c r="S65" i="59"/>
  <c r="O66" i="59"/>
  <c r="Q66" i="59" s="1"/>
  <c r="G55" i="2"/>
  <c r="F66" i="59"/>
  <c r="L65" i="59"/>
  <c r="F65" i="59"/>
  <c r="L66" i="59"/>
  <c r="H53" i="2"/>
  <c r="WU26" i="3"/>
  <c r="WU44" i="3"/>
  <c r="WU12" i="3"/>
  <c r="WU50" i="3"/>
  <c r="WU4" i="3"/>
  <c r="WT44" i="3"/>
  <c r="WT26" i="3"/>
  <c r="WT50" i="3"/>
  <c r="WT12" i="3"/>
  <c r="WT4" i="3"/>
  <c r="WV44" i="3"/>
  <c r="WV26" i="3"/>
  <c r="WV12" i="3"/>
  <c r="WV50" i="3"/>
  <c r="WV4" i="3"/>
  <c r="F58" i="2"/>
  <c r="D58" i="2" s="1"/>
  <c r="WR4" i="3"/>
  <c r="WR12" i="3"/>
  <c r="WR50" i="3"/>
  <c r="WR44" i="3"/>
  <c r="WS12" i="3"/>
  <c r="WS50" i="3"/>
  <c r="WS26" i="3"/>
  <c r="WS44" i="3"/>
  <c r="WS4" i="3"/>
  <c r="L41" i="2"/>
  <c r="G43" i="2"/>
  <c r="E52" i="2"/>
  <c r="E55" i="2"/>
  <c r="WR11" i="1"/>
  <c r="F56" i="59"/>
  <c r="E42" i="2"/>
  <c r="D42" i="2" s="1"/>
  <c r="L56" i="59"/>
  <c r="I57" i="59" s="1"/>
  <c r="S56" i="59"/>
  <c r="R38" i="2"/>
  <c r="H43" i="2"/>
  <c r="F25" i="2"/>
  <c r="E25" i="2"/>
  <c r="E43" i="2"/>
  <c r="TZ4" i="3"/>
  <c r="TZ12" i="3"/>
  <c r="TZ50" i="3"/>
  <c r="TZ44" i="3"/>
  <c r="UD44" i="3"/>
  <c r="UD26" i="3"/>
  <c r="UD50" i="3"/>
  <c r="UD12" i="3"/>
  <c r="UD4" i="3"/>
  <c r="UC12" i="3"/>
  <c r="UC44" i="3"/>
  <c r="UC26" i="3"/>
  <c r="UC50" i="3"/>
  <c r="UC4" i="3"/>
  <c r="UB12" i="3"/>
  <c r="UB44" i="3"/>
  <c r="UB50" i="3"/>
  <c r="UB26" i="3"/>
  <c r="UB4" i="3"/>
  <c r="UA26" i="3"/>
  <c r="UA12" i="3"/>
  <c r="UA44" i="3"/>
  <c r="UA50" i="3"/>
  <c r="UA4" i="3"/>
  <c r="UE12" i="3"/>
  <c r="UE26" i="3"/>
  <c r="UE44" i="3"/>
  <c r="UE50" i="3"/>
  <c r="UE4" i="3"/>
  <c r="I25" i="2"/>
  <c r="TF12" i="3"/>
  <c r="TF26" i="3"/>
  <c r="TF44" i="3"/>
  <c r="TF50" i="3"/>
  <c r="TF4" i="3"/>
  <c r="G9" i="2"/>
  <c r="TE44" i="3"/>
  <c r="TE12" i="3"/>
  <c r="TE26" i="3"/>
  <c r="O29" i="2"/>
  <c r="F20" i="2"/>
  <c r="I20" i="2"/>
  <c r="G20" i="2"/>
  <c r="L43" i="2"/>
  <c r="O52" i="59"/>
  <c r="S51" i="59"/>
  <c r="RG26" i="3"/>
  <c r="RG44" i="3"/>
  <c r="RG50" i="3"/>
  <c r="RG12" i="3"/>
  <c r="RG4" i="3"/>
  <c r="L51" i="59"/>
  <c r="QH12" i="3"/>
  <c r="QH26" i="3"/>
  <c r="QH44" i="3"/>
  <c r="QH50" i="3"/>
  <c r="QH4" i="3"/>
  <c r="H55" i="2"/>
  <c r="F55" i="2"/>
  <c r="NU26" i="3"/>
  <c r="NU50" i="3"/>
  <c r="NU44" i="3"/>
  <c r="NU12" i="3"/>
  <c r="S42" i="59"/>
  <c r="O43" i="59"/>
  <c r="L42" i="59"/>
  <c r="F42" i="59"/>
  <c r="C43" i="59" s="1"/>
  <c r="S41" i="59"/>
  <c r="O42" i="59"/>
  <c r="Q42" i="59" s="1"/>
  <c r="S39" i="59"/>
  <c r="O41" i="59"/>
  <c r="F41" i="59"/>
  <c r="C42" i="59" s="1"/>
  <c r="L40" i="59"/>
  <c r="L41" i="59"/>
  <c r="F40" i="59"/>
  <c r="F39" i="59"/>
  <c r="L39" i="59"/>
  <c r="S38" i="59"/>
  <c r="O40" i="59"/>
  <c r="S37" i="59"/>
  <c r="O39" i="59"/>
  <c r="I24" i="2"/>
  <c r="LE12" i="3"/>
  <c r="LE26" i="3"/>
  <c r="LE44" i="3"/>
  <c r="LE50" i="3"/>
  <c r="LE4" i="3"/>
  <c r="L37" i="59"/>
  <c r="F38" i="59"/>
  <c r="C39" i="59" s="1"/>
  <c r="F37" i="59"/>
  <c r="L38" i="59"/>
  <c r="KW50" i="3"/>
  <c r="KW44" i="3"/>
  <c r="KW12" i="3"/>
  <c r="KW4" i="3"/>
  <c r="KU4" i="3"/>
  <c r="KU44" i="3"/>
  <c r="KU50" i="3"/>
  <c r="KU26" i="3"/>
  <c r="KV4" i="3"/>
  <c r="KV50" i="3"/>
  <c r="KV12" i="3"/>
  <c r="KV26" i="3"/>
  <c r="KV44" i="3"/>
  <c r="S32" i="59"/>
  <c r="O34" i="59"/>
  <c r="KJ12" i="3"/>
  <c r="KJ44" i="3"/>
  <c r="KJ26" i="3"/>
  <c r="KJ50" i="3"/>
  <c r="KJ4" i="3"/>
  <c r="KS26" i="3"/>
  <c r="KS50" i="3"/>
  <c r="KS12" i="3"/>
  <c r="KS44" i="3"/>
  <c r="KS4" i="3"/>
  <c r="L32" i="59"/>
  <c r="F32" i="59"/>
  <c r="S30" i="59"/>
  <c r="O32" i="59"/>
  <c r="O30" i="59"/>
  <c r="S28" i="59"/>
  <c r="O31" i="59"/>
  <c r="S29" i="59"/>
  <c r="F28" i="59"/>
  <c r="F29" i="59"/>
  <c r="F30" i="59"/>
  <c r="S26" i="59"/>
  <c r="O28" i="59"/>
  <c r="L29" i="59"/>
  <c r="K29" i="59" s="1"/>
  <c r="JS26" i="3"/>
  <c r="JS12" i="3"/>
  <c r="JS4" i="3"/>
  <c r="JS50" i="3"/>
  <c r="JS44" i="3"/>
  <c r="L26" i="59"/>
  <c r="F26" i="59"/>
  <c r="S25" i="59"/>
  <c r="O27" i="59"/>
  <c r="L25" i="59"/>
  <c r="I26" i="59" s="1"/>
  <c r="F25" i="59"/>
  <c r="C26" i="59" s="1"/>
  <c r="O22" i="59"/>
  <c r="S21" i="59"/>
  <c r="L21" i="59"/>
  <c r="I22" i="59" s="1"/>
  <c r="F22" i="59"/>
  <c r="L22" i="59"/>
  <c r="M22" i="59" s="1"/>
  <c r="F21" i="59"/>
  <c r="C22" i="59" s="1"/>
  <c r="IY12" i="3"/>
  <c r="IY26" i="3"/>
  <c r="IY44" i="3"/>
  <c r="IY50" i="3"/>
  <c r="IY4" i="3"/>
  <c r="JU11" i="1" s="1"/>
  <c r="HT4" i="3"/>
  <c r="HT50" i="3"/>
  <c r="HT44" i="3"/>
  <c r="HT26" i="3"/>
  <c r="O13" i="59"/>
  <c r="P13" i="59" s="1"/>
  <c r="C5" i="58" s="1"/>
  <c r="S12" i="59"/>
  <c r="O11" i="59"/>
  <c r="Q11" i="59" s="1"/>
  <c r="S10" i="59"/>
  <c r="S13" i="59"/>
  <c r="O14" i="59"/>
  <c r="S11" i="59"/>
  <c r="O12" i="59"/>
  <c r="HU26" i="3"/>
  <c r="HU4" i="3"/>
  <c r="HU50" i="3"/>
  <c r="HU12" i="3"/>
  <c r="HU44" i="3"/>
  <c r="O16" i="59"/>
  <c r="S15" i="59"/>
  <c r="S17" i="59"/>
  <c r="O18" i="59"/>
  <c r="L17" i="59"/>
  <c r="F17" i="59"/>
  <c r="F15" i="59"/>
  <c r="L15" i="59"/>
  <c r="F12" i="59"/>
  <c r="L12" i="59"/>
  <c r="F11" i="59"/>
  <c r="G11" i="59" s="1"/>
  <c r="L11" i="59"/>
  <c r="M11" i="59" s="1"/>
  <c r="F8" i="59"/>
  <c r="L10" i="59"/>
  <c r="F13" i="59"/>
  <c r="F10" i="59"/>
  <c r="L13" i="59"/>
  <c r="M13" i="59" s="1"/>
  <c r="HR26" i="3"/>
  <c r="HR44" i="3"/>
  <c r="HR50" i="3"/>
  <c r="HR12" i="3"/>
  <c r="HR4" i="3"/>
  <c r="HS26" i="3"/>
  <c r="HS12" i="3"/>
  <c r="HS44" i="3"/>
  <c r="HS50" i="3"/>
  <c r="HS4" i="3"/>
  <c r="HL26" i="3"/>
  <c r="HL50" i="3"/>
  <c r="HL4" i="3"/>
  <c r="HL44" i="3"/>
  <c r="HM12" i="3"/>
  <c r="HM50" i="3"/>
  <c r="HM26" i="3"/>
  <c r="HM44" i="3"/>
  <c r="HM4" i="3"/>
  <c r="HJ4" i="3"/>
  <c r="HJ44" i="3"/>
  <c r="HJ12" i="3"/>
  <c r="HJ26" i="3"/>
  <c r="HJ50" i="3"/>
  <c r="HK26" i="3"/>
  <c r="HK44" i="3"/>
  <c r="HK12" i="3"/>
  <c r="HK50" i="3"/>
  <c r="HK4" i="3"/>
  <c r="HH26" i="3"/>
  <c r="HH44" i="3"/>
  <c r="HH12" i="3"/>
  <c r="HH50" i="3"/>
  <c r="HH4" i="3"/>
  <c r="HI12" i="3"/>
  <c r="HI50" i="3"/>
  <c r="HI26" i="3"/>
  <c r="HI44" i="3"/>
  <c r="HI4" i="3"/>
  <c r="M5" i="57"/>
  <c r="F33" i="54"/>
  <c r="G33" i="54" s="1"/>
  <c r="M7" i="57"/>
  <c r="G21" i="57" s="1"/>
  <c r="F35" i="54"/>
  <c r="M6" i="57"/>
  <c r="G20" i="57" s="1"/>
  <c r="F34" i="54"/>
  <c r="G34" i="54" s="1"/>
  <c r="HG12" i="3"/>
  <c r="HG44" i="3"/>
  <c r="HG50" i="3"/>
  <c r="HG26" i="3"/>
  <c r="HG4" i="3"/>
  <c r="K28" i="58"/>
  <c r="K9" i="58"/>
  <c r="K22" i="58"/>
  <c r="K27" i="58"/>
  <c r="K31" i="58"/>
  <c r="K7" i="58"/>
  <c r="K8" i="58"/>
  <c r="K23" i="58"/>
  <c r="K18" i="58"/>
  <c r="K10" i="58"/>
  <c r="K20" i="58"/>
  <c r="K29" i="58"/>
  <c r="K26" i="58"/>
  <c r="K14" i="58"/>
  <c r="H25" i="58"/>
  <c r="H15" i="58"/>
  <c r="H16" i="58"/>
  <c r="H13" i="58"/>
  <c r="E30" i="58"/>
  <c r="E8" i="58"/>
  <c r="E13" i="58"/>
  <c r="E17" i="58"/>
  <c r="E12" i="58"/>
  <c r="H28" i="58"/>
  <c r="H30" i="58"/>
  <c r="H18" i="58"/>
  <c r="H27" i="58"/>
  <c r="H26" i="58"/>
  <c r="H10" i="58"/>
  <c r="H19" i="58"/>
  <c r="K11" i="58"/>
  <c r="H17" i="58"/>
  <c r="E7" i="58"/>
  <c r="E20" i="58"/>
  <c r="E27" i="58"/>
  <c r="H20" i="58"/>
  <c r="E22" i="58"/>
  <c r="H9" i="58"/>
  <c r="E26" i="58"/>
  <c r="K25" i="58"/>
  <c r="H21" i="58"/>
  <c r="K17" i="58"/>
  <c r="E19" i="58"/>
  <c r="H29" i="58"/>
  <c r="E21" i="58"/>
  <c r="H8" i="58"/>
  <c r="H7" i="58"/>
  <c r="K16" i="58"/>
  <c r="E29" i="58"/>
  <c r="H14" i="58"/>
  <c r="E31" i="58"/>
  <c r="H12" i="58"/>
  <c r="E18" i="58"/>
  <c r="K12" i="58"/>
  <c r="K19" i="58"/>
  <c r="E28" i="58"/>
  <c r="H24" i="58"/>
  <c r="E10" i="58"/>
  <c r="K24" i="58"/>
  <c r="H11" i="58"/>
  <c r="E9" i="58"/>
  <c r="K30" i="58"/>
  <c r="E24" i="58"/>
  <c r="E25" i="58"/>
  <c r="K13" i="58"/>
  <c r="K15" i="58"/>
  <c r="H31" i="58"/>
  <c r="HF4" i="3"/>
  <c r="HF12" i="3"/>
  <c r="HF50" i="3"/>
  <c r="HF44" i="3"/>
  <c r="HD12" i="3"/>
  <c r="HD4" i="3"/>
  <c r="HD44" i="3"/>
  <c r="HD26" i="3"/>
  <c r="HD50" i="3"/>
  <c r="HE12" i="3"/>
  <c r="HE50" i="3"/>
  <c r="HE26" i="3"/>
  <c r="HE44" i="3"/>
  <c r="HE4" i="3"/>
  <c r="HA4" i="3"/>
  <c r="HA44" i="3"/>
  <c r="HA50" i="3"/>
  <c r="HA26" i="3"/>
  <c r="HB26" i="3"/>
  <c r="HB12" i="3"/>
  <c r="HB44" i="3"/>
  <c r="HB50" i="3"/>
  <c r="HB4" i="3"/>
  <c r="HC26" i="3"/>
  <c r="HC44" i="3"/>
  <c r="HC4" i="3"/>
  <c r="HC50" i="3"/>
  <c r="HC12" i="3"/>
  <c r="GY26" i="3"/>
  <c r="GY44" i="3"/>
  <c r="GY12" i="3"/>
  <c r="GY50" i="3"/>
  <c r="GY4" i="3"/>
  <c r="GX12" i="3"/>
  <c r="GX44" i="3"/>
  <c r="GX26" i="3"/>
  <c r="GX50" i="3"/>
  <c r="GX4" i="3"/>
  <c r="GZ12" i="3"/>
  <c r="GZ50" i="3"/>
  <c r="GZ26" i="3"/>
  <c r="GZ44" i="3"/>
  <c r="GZ4" i="3"/>
  <c r="GV50" i="3"/>
  <c r="GV12" i="3"/>
  <c r="GV26" i="3"/>
  <c r="GV44" i="3"/>
  <c r="GV4" i="3"/>
  <c r="GR12" i="3"/>
  <c r="GR26" i="3"/>
  <c r="GR44" i="3"/>
  <c r="GR50" i="3"/>
  <c r="GR4" i="3"/>
  <c r="GT26" i="3"/>
  <c r="GT50" i="3"/>
  <c r="GT44" i="3"/>
  <c r="GT12" i="3"/>
  <c r="GT4" i="3"/>
  <c r="GU12" i="3"/>
  <c r="GU26" i="3"/>
  <c r="GU44" i="3"/>
  <c r="GU50" i="3"/>
  <c r="GU4" i="3"/>
  <c r="GW50" i="3"/>
  <c r="GW12" i="3"/>
  <c r="GW26" i="3"/>
  <c r="GW44" i="3"/>
  <c r="GW4" i="3"/>
  <c r="GS12" i="3"/>
  <c r="GS44" i="3"/>
  <c r="GS26" i="3"/>
  <c r="GS50" i="3"/>
  <c r="GS4" i="3"/>
  <c r="GP26" i="3"/>
  <c r="GP50" i="3"/>
  <c r="GP12" i="3"/>
  <c r="GP44" i="3"/>
  <c r="GP4" i="3"/>
  <c r="GQ12" i="3"/>
  <c r="GQ26" i="3"/>
  <c r="GQ50" i="3"/>
  <c r="GQ44" i="3"/>
  <c r="GQ4" i="3"/>
  <c r="GL50" i="3"/>
  <c r="GL26" i="3"/>
  <c r="GL44" i="3"/>
  <c r="GL12" i="3"/>
  <c r="GL4" i="3"/>
  <c r="GK12" i="3"/>
  <c r="GK26" i="3"/>
  <c r="GK44" i="3"/>
  <c r="GN44" i="3"/>
  <c r="GN12" i="3"/>
  <c r="GN26" i="3"/>
  <c r="GN50" i="3"/>
  <c r="GN4" i="3"/>
  <c r="GM44" i="3"/>
  <c r="GM12" i="3"/>
  <c r="GM26" i="3"/>
  <c r="GM50" i="3"/>
  <c r="GM4" i="3"/>
  <c r="GO12" i="3"/>
  <c r="GO26" i="3"/>
  <c r="GO44" i="3"/>
  <c r="GO50" i="3"/>
  <c r="GO4" i="3"/>
  <c r="F9" i="2"/>
  <c r="D7" i="60" s="1"/>
  <c r="F4" i="3"/>
  <c r="AB11" i="1" s="1"/>
  <c r="F44" i="3"/>
  <c r="F50" i="3"/>
  <c r="F12" i="3"/>
  <c r="F26" i="3"/>
  <c r="AR50" i="3"/>
  <c r="AR4" i="3"/>
  <c r="BN11" i="1" s="1"/>
  <c r="AR12" i="3"/>
  <c r="AR26" i="3"/>
  <c r="AR44" i="3"/>
  <c r="BH4" i="3"/>
  <c r="CD11" i="1" s="1"/>
  <c r="BH44" i="3"/>
  <c r="BH50" i="3"/>
  <c r="BH26" i="3"/>
  <c r="BH12" i="3"/>
  <c r="CU4" i="3"/>
  <c r="DQ11" i="1" s="1"/>
  <c r="CU50" i="3"/>
  <c r="CU44" i="3"/>
  <c r="CU12" i="3"/>
  <c r="CU26" i="3"/>
  <c r="G12" i="3"/>
  <c r="G4" i="3"/>
  <c r="AC11" i="1" s="1"/>
  <c r="G50" i="3"/>
  <c r="G26" i="3"/>
  <c r="G44" i="3"/>
  <c r="BZ26" i="3"/>
  <c r="BZ44" i="3"/>
  <c r="BZ4" i="3"/>
  <c r="CV11" i="1" s="1"/>
  <c r="BZ50" i="3"/>
  <c r="BZ12" i="3"/>
  <c r="EZ26" i="3"/>
  <c r="EZ12" i="3"/>
  <c r="EZ4" i="3"/>
  <c r="FV11" i="1" s="1"/>
  <c r="EZ44" i="3"/>
  <c r="EZ50" i="3"/>
  <c r="FR26" i="3"/>
  <c r="FR12" i="3"/>
  <c r="FR44" i="3"/>
  <c r="FR50" i="3"/>
  <c r="FR4" i="3"/>
  <c r="GN11" i="1" s="1"/>
  <c r="M26" i="3"/>
  <c r="M4" i="3"/>
  <c r="AI11" i="1" s="1"/>
  <c r="M12" i="3"/>
  <c r="M50" i="3"/>
  <c r="M44" i="3"/>
  <c r="DJ26" i="3"/>
  <c r="DJ12" i="3"/>
  <c r="DJ44" i="3"/>
  <c r="DJ50" i="3"/>
  <c r="DJ4" i="3"/>
  <c r="EF11" i="1" s="1"/>
  <c r="FQ12" i="3"/>
  <c r="FQ50" i="3"/>
  <c r="FQ4" i="3"/>
  <c r="GM11" i="1" s="1"/>
  <c r="FQ26" i="3"/>
  <c r="FQ44" i="3"/>
  <c r="BB12" i="3"/>
  <c r="BB44" i="3"/>
  <c r="BB26" i="3"/>
  <c r="BB50" i="3"/>
  <c r="BB4" i="3"/>
  <c r="BX11" i="1" s="1"/>
  <c r="FF4" i="3"/>
  <c r="GB11" i="1" s="1"/>
  <c r="FF12" i="3"/>
  <c r="FF44" i="3"/>
  <c r="FF26" i="3"/>
  <c r="FF50" i="3"/>
  <c r="BX50" i="3"/>
  <c r="BX12" i="3"/>
  <c r="BX44" i="3"/>
  <c r="BX26" i="3"/>
  <c r="BX4" i="3"/>
  <c r="CT11" i="1" s="1"/>
  <c r="FM4" i="3"/>
  <c r="GI11" i="1" s="1"/>
  <c r="FM26" i="3"/>
  <c r="FM50" i="3"/>
  <c r="FM12" i="3"/>
  <c r="FM44" i="3"/>
  <c r="AO50" i="3"/>
  <c r="AO26" i="3"/>
  <c r="AO44" i="3"/>
  <c r="AO4" i="3"/>
  <c r="BK11" i="1" s="1"/>
  <c r="AO12" i="3"/>
  <c r="P50" i="3"/>
  <c r="P44" i="3"/>
  <c r="P26" i="3"/>
  <c r="P4" i="3"/>
  <c r="AL11" i="1" s="1"/>
  <c r="P12" i="3"/>
  <c r="D12" i="3"/>
  <c r="D26" i="3"/>
  <c r="D4" i="3"/>
  <c r="Z11" i="1" s="1"/>
  <c r="D50" i="3"/>
  <c r="D44" i="3"/>
  <c r="FE12" i="3"/>
  <c r="FE4" i="3"/>
  <c r="GA11" i="1" s="1"/>
  <c r="FE44" i="3"/>
  <c r="FE50" i="3"/>
  <c r="FE26" i="3"/>
  <c r="AA26" i="3"/>
  <c r="AA4" i="3"/>
  <c r="AW11" i="1" s="1"/>
  <c r="AA12" i="3"/>
  <c r="AA50" i="3"/>
  <c r="AA44" i="3"/>
  <c r="EF12" i="3"/>
  <c r="EF26" i="3"/>
  <c r="EF4" i="3"/>
  <c r="FB11" i="1" s="1"/>
  <c r="EF50" i="3"/>
  <c r="EF44" i="3"/>
  <c r="EA26" i="3"/>
  <c r="EA12" i="3"/>
  <c r="EA4" i="3"/>
  <c r="EW11" i="1" s="1"/>
  <c r="EA50" i="3"/>
  <c r="EA44" i="3"/>
  <c r="BC44" i="3"/>
  <c r="BC26" i="3"/>
  <c r="BC12" i="3"/>
  <c r="BC4" i="3"/>
  <c r="BY11" i="1" s="1"/>
  <c r="BC50" i="3"/>
  <c r="DA12" i="3"/>
  <c r="DA26" i="3"/>
  <c r="DA50" i="3"/>
  <c r="DA4" i="3"/>
  <c r="DW11" i="1" s="1"/>
  <c r="DA44" i="3"/>
  <c r="DG26" i="3"/>
  <c r="DG12" i="3"/>
  <c r="DG4" i="3"/>
  <c r="EC11" i="1" s="1"/>
  <c r="DG50" i="3"/>
  <c r="DG44" i="3"/>
  <c r="FC4" i="3"/>
  <c r="FY11" i="1" s="1"/>
  <c r="FC44" i="3"/>
  <c r="FC26" i="3"/>
  <c r="FC12" i="3"/>
  <c r="FC50" i="3"/>
  <c r="DI44" i="3"/>
  <c r="DI26" i="3"/>
  <c r="DI12" i="3"/>
  <c r="DI4" i="3"/>
  <c r="EE11" i="1" s="1"/>
  <c r="DI50" i="3"/>
  <c r="BT50" i="3"/>
  <c r="BT12" i="3"/>
  <c r="BT44" i="3"/>
  <c r="BT26" i="3"/>
  <c r="BT4" i="3"/>
  <c r="CP11" i="1" s="1"/>
  <c r="BO44" i="3"/>
  <c r="BO12" i="3"/>
  <c r="BO4" i="3"/>
  <c r="CK11" i="1" s="1"/>
  <c r="BO50" i="3"/>
  <c r="BO26" i="3"/>
  <c r="AV50" i="3"/>
  <c r="AV26" i="3"/>
  <c r="AV44" i="3"/>
  <c r="AV12" i="3"/>
  <c r="AV4" i="3"/>
  <c r="BR11" i="1" s="1"/>
  <c r="CV12" i="3"/>
  <c r="CV50" i="3"/>
  <c r="CV26" i="3"/>
  <c r="CV44" i="3"/>
  <c r="CV4" i="3"/>
  <c r="DR11" i="1" s="1"/>
  <c r="FH12" i="3"/>
  <c r="FH50" i="3"/>
  <c r="FH4" i="3"/>
  <c r="GD11" i="1" s="1"/>
  <c r="FH26" i="3"/>
  <c r="FH44" i="3"/>
  <c r="DK44" i="3"/>
  <c r="DK50" i="3"/>
  <c r="DK4" i="3"/>
  <c r="EG11" i="1" s="1"/>
  <c r="DK26" i="3"/>
  <c r="DK12" i="3"/>
  <c r="FJ4" i="3"/>
  <c r="GF11" i="1" s="1"/>
  <c r="FJ26" i="3"/>
  <c r="FJ44" i="3"/>
  <c r="FJ50" i="3"/>
  <c r="FJ12" i="3"/>
  <c r="AT44" i="3"/>
  <c r="AT4" i="3"/>
  <c r="BP11" i="1" s="1"/>
  <c r="AT50" i="3"/>
  <c r="AT12" i="3"/>
  <c r="AT26" i="3"/>
  <c r="AP12" i="3"/>
  <c r="AP44" i="3"/>
  <c r="AP50" i="3"/>
  <c r="AP26" i="3"/>
  <c r="AP4" i="3"/>
  <c r="BL11" i="1" s="1"/>
  <c r="FS4" i="3"/>
  <c r="GO11" i="1" s="1"/>
  <c r="FS50" i="3"/>
  <c r="FS44" i="3"/>
  <c r="FS26" i="3"/>
  <c r="FS12" i="3"/>
  <c r="X4" i="3"/>
  <c r="AT11" i="1" s="1"/>
  <c r="X50" i="3"/>
  <c r="X44" i="3"/>
  <c r="X26" i="3"/>
  <c r="X12" i="3"/>
  <c r="DQ26" i="3"/>
  <c r="DQ12" i="3"/>
  <c r="DQ4" i="3"/>
  <c r="EM11" i="1" s="1"/>
  <c r="DQ44" i="3"/>
  <c r="DQ50" i="3"/>
  <c r="EM4" i="3"/>
  <c r="FI11" i="1" s="1"/>
  <c r="EM26" i="3"/>
  <c r="EM12" i="3"/>
  <c r="EM50" i="3"/>
  <c r="EM44" i="3"/>
  <c r="N44" i="3"/>
  <c r="N26" i="3"/>
  <c r="N50" i="3"/>
  <c r="N12" i="3"/>
  <c r="N4" i="3"/>
  <c r="AJ11" i="1" s="1"/>
  <c r="AS44" i="3"/>
  <c r="AS4" i="3"/>
  <c r="BO11" i="1" s="1"/>
  <c r="AS50" i="3"/>
  <c r="AS12" i="3"/>
  <c r="AS26" i="3"/>
  <c r="CL4" i="3"/>
  <c r="DH11" i="1" s="1"/>
  <c r="CL50" i="3"/>
  <c r="CL26" i="3"/>
  <c r="CL44" i="3"/>
  <c r="CL12" i="3"/>
  <c r="AY4" i="3"/>
  <c r="BU11" i="1" s="1"/>
  <c r="AY26" i="3"/>
  <c r="AY44" i="3"/>
  <c r="AY50" i="3"/>
  <c r="AY12" i="3"/>
  <c r="I50" i="3"/>
  <c r="I12" i="3"/>
  <c r="I44" i="3"/>
  <c r="I4" i="3"/>
  <c r="AE11" i="1" s="1"/>
  <c r="I26" i="3"/>
  <c r="FY44" i="3"/>
  <c r="FY26" i="3"/>
  <c r="FY50" i="3"/>
  <c r="FY12" i="3"/>
  <c r="FY4" i="3"/>
  <c r="GU11" i="1" s="1"/>
  <c r="DX12" i="3"/>
  <c r="DX44" i="3"/>
  <c r="DX50" i="3"/>
  <c r="DX4" i="3"/>
  <c r="ET11" i="1" s="1"/>
  <c r="DX26" i="3"/>
  <c r="BL26" i="3"/>
  <c r="BL44" i="3"/>
  <c r="BL50" i="3"/>
  <c r="BL4" i="3"/>
  <c r="CH11" i="1" s="1"/>
  <c r="BL12" i="3"/>
  <c r="DB50" i="3"/>
  <c r="DB44" i="3"/>
  <c r="DB4" i="3"/>
  <c r="DX11" i="1" s="1"/>
  <c r="DB26" i="3"/>
  <c r="DB12" i="3"/>
  <c r="EU44" i="3"/>
  <c r="EU26" i="3"/>
  <c r="EU12" i="3"/>
  <c r="EU50" i="3"/>
  <c r="EU4" i="3"/>
  <c r="FQ11" i="1" s="1"/>
  <c r="DH26" i="3"/>
  <c r="DH12" i="3"/>
  <c r="DH4" i="3"/>
  <c r="ED11" i="1" s="1"/>
  <c r="DH50" i="3"/>
  <c r="DH44" i="3"/>
  <c r="AQ4" i="3"/>
  <c r="BM11" i="1" s="1"/>
  <c r="AQ50" i="3"/>
  <c r="AQ12" i="3"/>
  <c r="AQ44" i="3"/>
  <c r="AQ26" i="3"/>
  <c r="AZ4" i="3"/>
  <c r="BV11" i="1" s="1"/>
  <c r="AZ26" i="3"/>
  <c r="AZ12" i="3"/>
  <c r="AZ50" i="3"/>
  <c r="AZ44" i="3"/>
  <c r="BJ12" i="3"/>
  <c r="BJ44" i="3"/>
  <c r="BJ26" i="3"/>
  <c r="BJ4" i="3"/>
  <c r="CF11" i="1" s="1"/>
  <c r="BJ50" i="3"/>
  <c r="J12" i="3"/>
  <c r="J26" i="3"/>
  <c r="J44" i="3"/>
  <c r="J4" i="3"/>
  <c r="AF11" i="1" s="1"/>
  <c r="J50" i="3"/>
  <c r="EH50" i="3"/>
  <c r="EH4" i="3"/>
  <c r="FD11" i="1" s="1"/>
  <c r="EH26" i="3"/>
  <c r="EH12" i="3"/>
  <c r="EH44" i="3"/>
  <c r="BN4" i="3"/>
  <c r="CJ11" i="1" s="1"/>
  <c r="BN26" i="3"/>
  <c r="BN12" i="3"/>
  <c r="BN50" i="3"/>
  <c r="BN44" i="3"/>
  <c r="AU50" i="3"/>
  <c r="AU44" i="3"/>
  <c r="AU4" i="3"/>
  <c r="BQ11" i="1" s="1"/>
  <c r="AU12" i="3"/>
  <c r="AU26" i="3"/>
  <c r="CJ44" i="3"/>
  <c r="CJ26" i="3"/>
  <c r="CJ12" i="3"/>
  <c r="CJ4" i="3"/>
  <c r="DF11" i="1" s="1"/>
  <c r="CJ50" i="3"/>
  <c r="G12" i="2"/>
  <c r="D6" i="60"/>
  <c r="J29" i="2"/>
  <c r="I29" i="2"/>
  <c r="F38" i="2"/>
  <c r="K29" i="2"/>
  <c r="E8" i="2"/>
  <c r="H29" i="2"/>
  <c r="K38" i="2"/>
  <c r="G38" i="2"/>
  <c r="E29" i="2"/>
  <c r="I38" i="2"/>
  <c r="Q38" i="2"/>
  <c r="F29" i="2"/>
  <c r="L29" i="2"/>
  <c r="E38" i="2"/>
  <c r="P38" i="2"/>
  <c r="L38" i="2"/>
  <c r="H20" i="2"/>
  <c r="J20" i="2"/>
  <c r="H38" i="2"/>
  <c r="M29" i="2"/>
  <c r="N38" i="2"/>
  <c r="G29" i="2"/>
  <c r="J38" i="2"/>
  <c r="F12" i="2"/>
  <c r="F16" i="2" s="1"/>
  <c r="M38" i="2"/>
  <c r="N29" i="2"/>
  <c r="O38" i="2"/>
  <c r="Z12" i="3"/>
  <c r="Z26" i="3"/>
  <c r="Z44" i="3"/>
  <c r="Z50" i="3"/>
  <c r="Z4" i="3"/>
  <c r="AV11" i="1" s="1"/>
  <c r="AI4" i="3"/>
  <c r="BE11" i="1" s="1"/>
  <c r="AI26" i="3"/>
  <c r="AI50" i="3"/>
  <c r="AI44" i="3"/>
  <c r="AI12" i="3"/>
  <c r="ES26" i="3"/>
  <c r="ES50" i="3"/>
  <c r="ES4" i="3"/>
  <c r="FO11" i="1" s="1"/>
  <c r="ES44" i="3"/>
  <c r="ES12" i="3"/>
  <c r="AH44" i="3"/>
  <c r="AH12" i="3"/>
  <c r="AH50" i="3"/>
  <c r="AH4" i="3"/>
  <c r="BD11" i="1" s="1"/>
  <c r="AH26" i="3"/>
  <c r="FV12" i="3"/>
  <c r="FV4" i="3"/>
  <c r="GR11" i="1" s="1"/>
  <c r="FV50" i="3"/>
  <c r="FV26" i="3"/>
  <c r="FV44" i="3"/>
  <c r="FU12" i="3"/>
  <c r="FU50" i="3"/>
  <c r="FU44" i="3"/>
  <c r="FU26" i="3"/>
  <c r="FU4" i="3"/>
  <c r="GQ11" i="1" s="1"/>
  <c r="BS26" i="3"/>
  <c r="BS12" i="3"/>
  <c r="BS44" i="3"/>
  <c r="BS50" i="3"/>
  <c r="BS4" i="3"/>
  <c r="CO11" i="1" s="1"/>
  <c r="CR12" i="3"/>
  <c r="CR44" i="3"/>
  <c r="CR4" i="3"/>
  <c r="DN11" i="1" s="1"/>
  <c r="CR50" i="3"/>
  <c r="CR26" i="3"/>
  <c r="R26" i="3"/>
  <c r="R4" i="3"/>
  <c r="AN11" i="1" s="1"/>
  <c r="R50" i="3"/>
  <c r="R12" i="3"/>
  <c r="R44" i="3"/>
  <c r="BF4" i="3"/>
  <c r="CB11" i="1" s="1"/>
  <c r="BF44" i="3"/>
  <c r="BF50" i="3"/>
  <c r="BF26" i="3"/>
  <c r="BF12" i="3"/>
  <c r="CB12" i="3"/>
  <c r="CB50" i="3"/>
  <c r="CB26" i="3"/>
  <c r="CB44" i="3"/>
  <c r="CB4" i="3"/>
  <c r="CX11" i="1" s="1"/>
  <c r="K50" i="3"/>
  <c r="K12" i="3"/>
  <c r="K4" i="3"/>
  <c r="AG11" i="1" s="1"/>
  <c r="K26" i="3"/>
  <c r="K44" i="3"/>
  <c r="DS4" i="3"/>
  <c r="EO11" i="1" s="1"/>
  <c r="DS26" i="3"/>
  <c r="DS50" i="3"/>
  <c r="DS12" i="3"/>
  <c r="DS44" i="3"/>
  <c r="DR4" i="3"/>
  <c r="EN11" i="1" s="1"/>
  <c r="DR50" i="3"/>
  <c r="DR12" i="3"/>
  <c r="DR44" i="3"/>
  <c r="DR26" i="3"/>
  <c r="DW44" i="3"/>
  <c r="DW12" i="3"/>
  <c r="DW50" i="3"/>
  <c r="DW4" i="3"/>
  <c r="ES11" i="1" s="1"/>
  <c r="DW26" i="3"/>
  <c r="AE12" i="3"/>
  <c r="AE4" i="3"/>
  <c r="AE50" i="3"/>
  <c r="AE26" i="3"/>
  <c r="AE44" i="3"/>
  <c r="BA12" i="3"/>
  <c r="BA4" i="3"/>
  <c r="BW11" i="1" s="1"/>
  <c r="BA44" i="3"/>
  <c r="BA26" i="3"/>
  <c r="BA50" i="3"/>
  <c r="FZ12" i="3"/>
  <c r="FZ50" i="3"/>
  <c r="FZ44" i="3"/>
  <c r="FZ26" i="3"/>
  <c r="FZ4" i="3"/>
  <c r="GV11" i="1" s="1"/>
  <c r="ER50" i="3"/>
  <c r="ER12" i="3"/>
  <c r="ER4" i="3"/>
  <c r="FN11" i="1" s="1"/>
  <c r="ER44" i="3"/>
  <c r="ER26" i="3"/>
  <c r="V50" i="3"/>
  <c r="V26" i="3"/>
  <c r="V44" i="3"/>
  <c r="V12" i="3"/>
  <c r="V4" i="3"/>
  <c r="AR11" i="1" s="1"/>
  <c r="DV50" i="3"/>
  <c r="DV44" i="3"/>
  <c r="DV4" i="3"/>
  <c r="ER11" i="1" s="1"/>
  <c r="DV26" i="3"/>
  <c r="DV12" i="3"/>
  <c r="BE50" i="3"/>
  <c r="BE4" i="3"/>
  <c r="CA11" i="1" s="1"/>
  <c r="BE12" i="3"/>
  <c r="BE26" i="3"/>
  <c r="BE44" i="3"/>
  <c r="FI26" i="3"/>
  <c r="FI12" i="3"/>
  <c r="FI50" i="3"/>
  <c r="FI44" i="3"/>
  <c r="FI4" i="3"/>
  <c r="GE11" i="1" s="1"/>
  <c r="DF50" i="3"/>
  <c r="DF12" i="3"/>
  <c r="DF26" i="3"/>
  <c r="DF44" i="3"/>
  <c r="DF4" i="3"/>
  <c r="EB11" i="1" s="1"/>
  <c r="CX44" i="3"/>
  <c r="CX50" i="3"/>
  <c r="CX12" i="3"/>
  <c r="CX4" i="3"/>
  <c r="DT11" i="1" s="1"/>
  <c r="CX26" i="3"/>
  <c r="DZ50" i="3"/>
  <c r="DZ12" i="3"/>
  <c r="DZ4" i="3"/>
  <c r="EV11" i="1" s="1"/>
  <c r="DZ26" i="3"/>
  <c r="DZ44" i="3"/>
  <c r="Y4" i="3"/>
  <c r="AU11" i="1" s="1"/>
  <c r="Y44" i="3"/>
  <c r="Y12" i="3"/>
  <c r="Y50" i="3"/>
  <c r="Y26" i="3"/>
  <c r="DN44" i="3"/>
  <c r="DN50" i="3"/>
  <c r="DN26" i="3"/>
  <c r="DN12" i="3"/>
  <c r="DN4" i="3"/>
  <c r="EJ11" i="1" s="1"/>
  <c r="BI50" i="3"/>
  <c r="BI26" i="3"/>
  <c r="BI4" i="3"/>
  <c r="CE11" i="1" s="1"/>
  <c r="BI44" i="3"/>
  <c r="BI12" i="3"/>
  <c r="BG4" i="3"/>
  <c r="CC11" i="1" s="1"/>
  <c r="BG50" i="3"/>
  <c r="BG26" i="3"/>
  <c r="BG44" i="3"/>
  <c r="BG12" i="3"/>
  <c r="EJ44" i="3"/>
  <c r="EJ50" i="3"/>
  <c r="EJ12" i="3"/>
  <c r="EJ4" i="3"/>
  <c r="FF11" i="1" s="1"/>
  <c r="EJ26" i="3"/>
  <c r="CK26" i="3"/>
  <c r="CK12" i="3"/>
  <c r="CK4" i="3"/>
  <c r="DG11" i="1" s="1"/>
  <c r="CK50" i="3"/>
  <c r="CK44" i="3"/>
  <c r="EO44" i="3"/>
  <c r="EO50" i="3"/>
  <c r="EO12" i="3"/>
  <c r="EO26" i="3"/>
  <c r="EO4" i="3"/>
  <c r="FK11" i="1" s="1"/>
  <c r="CY44" i="3"/>
  <c r="CY50" i="3"/>
  <c r="CY4" i="3"/>
  <c r="DU11" i="1" s="1"/>
  <c r="CY26" i="3"/>
  <c r="CY12" i="3"/>
  <c r="FG4" i="3"/>
  <c r="GC11" i="1" s="1"/>
  <c r="FG26" i="3"/>
  <c r="FG44" i="3"/>
  <c r="FG50" i="3"/>
  <c r="FG12" i="3"/>
  <c r="AD50" i="3"/>
  <c r="AD44" i="3"/>
  <c r="AD26" i="3"/>
  <c r="AD12" i="3"/>
  <c r="AD4" i="3"/>
  <c r="AZ11" i="1" s="1"/>
  <c r="CZ12" i="3"/>
  <c r="CZ50" i="3"/>
  <c r="CZ4" i="3"/>
  <c r="DV11" i="1" s="1"/>
  <c r="CZ26" i="3"/>
  <c r="CZ44" i="3"/>
  <c r="ED44" i="3"/>
  <c r="ED26" i="3"/>
  <c r="ED12" i="3"/>
  <c r="ED50" i="3"/>
  <c r="ED4" i="3"/>
  <c r="EZ11" i="1" s="1"/>
  <c r="CS50" i="3"/>
  <c r="CS26" i="3"/>
  <c r="CS12" i="3"/>
  <c r="CS4" i="3"/>
  <c r="DO11" i="1" s="1"/>
  <c r="CS44" i="3"/>
  <c r="W12" i="3"/>
  <c r="W50" i="3"/>
  <c r="W4" i="3"/>
  <c r="AS11" i="1" s="1"/>
  <c r="W44" i="3"/>
  <c r="W26" i="3"/>
  <c r="C12" i="3"/>
  <c r="C4" i="3"/>
  <c r="C44" i="3"/>
  <c r="C26" i="3"/>
  <c r="C50" i="3"/>
  <c r="AB50" i="3"/>
  <c r="AB44" i="3"/>
  <c r="AB26" i="3"/>
  <c r="AB4" i="3"/>
  <c r="AX11" i="1" s="1"/>
  <c r="AB12" i="3"/>
  <c r="CW12" i="3"/>
  <c r="CW50" i="3"/>
  <c r="CW4" i="3"/>
  <c r="DS11" i="1" s="1"/>
  <c r="CW26" i="3"/>
  <c r="CW44" i="3"/>
  <c r="GH12" i="3"/>
  <c r="GH44" i="3"/>
  <c r="GH26" i="3"/>
  <c r="GH50" i="3"/>
  <c r="GH4" i="3"/>
  <c r="HD11" i="1" s="1"/>
  <c r="DC50" i="3"/>
  <c r="DC44" i="3"/>
  <c r="DC26" i="3"/>
  <c r="DC12" i="3"/>
  <c r="DC4" i="3"/>
  <c r="DY11" i="1" s="1"/>
  <c r="BD26" i="3"/>
  <c r="BD44" i="3"/>
  <c r="BD50" i="3"/>
  <c r="BD4" i="3"/>
  <c r="BZ11" i="1" s="1"/>
  <c r="BD12" i="3"/>
  <c r="CC12" i="3"/>
  <c r="CC50" i="3"/>
  <c r="CC26" i="3"/>
  <c r="CC44" i="3"/>
  <c r="CC4" i="3"/>
  <c r="CY11" i="1" s="1"/>
  <c r="ET26" i="3"/>
  <c r="ET12" i="3"/>
  <c r="ET50" i="3"/>
  <c r="ET44" i="3"/>
  <c r="ET4" i="3"/>
  <c r="FP11" i="1" s="1"/>
  <c r="FP44" i="3"/>
  <c r="FP50" i="3"/>
  <c r="FP12" i="3"/>
  <c r="FP26" i="3"/>
  <c r="FP4" i="3"/>
  <c r="GL11" i="1" s="1"/>
  <c r="EB4" i="3"/>
  <c r="EX11" i="1" s="1"/>
  <c r="EB44" i="3"/>
  <c r="EB12" i="3"/>
  <c r="EB26" i="3"/>
  <c r="EB50" i="3"/>
  <c r="FK26" i="3"/>
  <c r="FK4" i="3"/>
  <c r="GG11" i="1" s="1"/>
  <c r="FK44" i="3"/>
  <c r="FK12" i="3"/>
  <c r="FK50" i="3"/>
  <c r="EV4" i="3"/>
  <c r="FR11" i="1" s="1"/>
  <c r="EV26" i="3"/>
  <c r="EV12" i="3"/>
  <c r="EV50" i="3"/>
  <c r="EV44" i="3"/>
  <c r="EX26" i="3"/>
  <c r="EX4" i="3"/>
  <c r="FT11" i="1" s="1"/>
  <c r="EX12" i="3"/>
  <c r="EX44" i="3"/>
  <c r="EX50" i="3"/>
  <c r="BV50" i="3"/>
  <c r="BV4" i="3"/>
  <c r="CR11" i="1" s="1"/>
  <c r="BV44" i="3"/>
  <c r="BV12" i="3"/>
  <c r="BV26" i="3"/>
  <c r="AC4" i="3"/>
  <c r="AY11" i="1" s="1"/>
  <c r="AC44" i="3"/>
  <c r="AC50" i="3"/>
  <c r="AC26" i="3"/>
  <c r="AC12" i="3"/>
  <c r="GG12" i="3"/>
  <c r="GG44" i="3"/>
  <c r="GG50" i="3"/>
  <c r="GG4" i="3"/>
  <c r="HC11" i="1" s="1"/>
  <c r="GG26" i="3"/>
  <c r="FT4" i="3"/>
  <c r="GP11" i="1" s="1"/>
  <c r="FT44" i="3"/>
  <c r="FT26" i="3"/>
  <c r="FT50" i="3"/>
  <c r="FT12" i="3"/>
  <c r="FB4" i="3"/>
  <c r="FX11" i="1" s="1"/>
  <c r="FB26" i="3"/>
  <c r="FB12" i="3"/>
  <c r="FB50" i="3"/>
  <c r="FB44" i="3"/>
  <c r="CE12" i="3"/>
  <c r="CE26" i="3"/>
  <c r="CE50" i="3"/>
  <c r="CE4" i="3"/>
  <c r="DA11" i="1" s="1"/>
  <c r="CE44" i="3"/>
  <c r="EC26" i="3"/>
  <c r="EC12" i="3"/>
  <c r="EC44" i="3"/>
  <c r="EC50" i="3"/>
  <c r="EC4" i="3"/>
  <c r="EY11" i="1" s="1"/>
  <c r="EK12" i="3"/>
  <c r="EK44" i="3"/>
  <c r="EK4" i="3"/>
  <c r="FG11" i="1" s="1"/>
  <c r="EK26" i="3"/>
  <c r="EK50" i="3"/>
  <c r="CI12" i="3"/>
  <c r="CI50" i="3"/>
  <c r="CI44" i="3"/>
  <c r="CI26" i="3"/>
  <c r="CI4" i="3"/>
  <c r="DE11" i="1" s="1"/>
  <c r="AK4" i="3"/>
  <c r="BG11" i="1" s="1"/>
  <c r="AK50" i="3"/>
  <c r="AK12" i="3"/>
  <c r="AK44" i="3"/>
  <c r="AK26" i="3"/>
  <c r="DU4" i="3"/>
  <c r="EQ11" i="1" s="1"/>
  <c r="DU26" i="3"/>
  <c r="DU44" i="3"/>
  <c r="DU12" i="3"/>
  <c r="DU50" i="3"/>
  <c r="DD44" i="3"/>
  <c r="DD12" i="3"/>
  <c r="DD4" i="3"/>
  <c r="DZ11" i="1" s="1"/>
  <c r="DD50" i="3"/>
  <c r="DD26" i="3"/>
  <c r="EY50" i="3"/>
  <c r="EY26" i="3"/>
  <c r="EY12" i="3"/>
  <c r="EY44" i="3"/>
  <c r="EY4" i="3"/>
  <c r="FU11" i="1" s="1"/>
  <c r="CG4" i="3"/>
  <c r="DC11" i="1" s="1"/>
  <c r="CG12" i="3"/>
  <c r="CG44" i="3"/>
  <c r="CG50" i="3"/>
  <c r="CG26" i="3"/>
  <c r="AM44" i="3"/>
  <c r="AM50" i="3"/>
  <c r="AM12" i="3"/>
  <c r="AM26" i="3"/>
  <c r="AM4" i="3"/>
  <c r="BI11" i="1" s="1"/>
  <c r="GF44" i="3"/>
  <c r="GF50" i="3"/>
  <c r="GF26" i="3"/>
  <c r="GF12" i="3"/>
  <c r="GF4" i="3"/>
  <c r="HB11" i="1" s="1"/>
  <c r="FD50" i="3"/>
  <c r="FD44" i="3"/>
  <c r="FD26" i="3"/>
  <c r="FD12" i="3"/>
  <c r="FD4" i="3"/>
  <c r="FZ11" i="1" s="1"/>
  <c r="CA44" i="3"/>
  <c r="CA12" i="3"/>
  <c r="CA50" i="3"/>
  <c r="CA4" i="3"/>
  <c r="CW11" i="1" s="1"/>
  <c r="CA26" i="3"/>
  <c r="EP50" i="3"/>
  <c r="EP26" i="3"/>
  <c r="EP44" i="3"/>
  <c r="EP4" i="3"/>
  <c r="FL11" i="1" s="1"/>
  <c r="EP12" i="3"/>
  <c r="EW4" i="3"/>
  <c r="FS11" i="1" s="1"/>
  <c r="EW50" i="3"/>
  <c r="EW44" i="3"/>
  <c r="EW26" i="3"/>
  <c r="EW12" i="3"/>
  <c r="GE50" i="3"/>
  <c r="GE44" i="3"/>
  <c r="GE4" i="3"/>
  <c r="HA11" i="1" s="1"/>
  <c r="GE12" i="3"/>
  <c r="GE26" i="3"/>
  <c r="FX12" i="3"/>
  <c r="FX44" i="3"/>
  <c r="FX26" i="3"/>
  <c r="FX50" i="3"/>
  <c r="FX4" i="3"/>
  <c r="GT11" i="1" s="1"/>
  <c r="AW50" i="3"/>
  <c r="AW4" i="3"/>
  <c r="BS11" i="1" s="1"/>
  <c r="AW12" i="3"/>
  <c r="AW44" i="3"/>
  <c r="AW26" i="3"/>
  <c r="AJ26" i="3"/>
  <c r="AJ44" i="3"/>
  <c r="AJ4" i="3"/>
  <c r="BF11" i="1" s="1"/>
  <c r="AJ12" i="3"/>
  <c r="AJ50" i="3"/>
  <c r="FN12" i="3"/>
  <c r="FN50" i="3"/>
  <c r="FN44" i="3"/>
  <c r="FN26" i="3"/>
  <c r="FN4" i="3"/>
  <c r="GJ11" i="1" s="1"/>
  <c r="GD26" i="3"/>
  <c r="GD44" i="3"/>
  <c r="GD50" i="3"/>
  <c r="GD12" i="3"/>
  <c r="GD4" i="3"/>
  <c r="GZ11" i="1" s="1"/>
  <c r="EE12" i="3"/>
  <c r="EE50" i="3"/>
  <c r="EE4" i="3"/>
  <c r="FA11" i="1" s="1"/>
  <c r="EE26" i="3"/>
  <c r="EE44" i="3"/>
  <c r="EG50" i="3"/>
  <c r="EG4" i="3"/>
  <c r="FC11" i="1" s="1"/>
  <c r="EG26" i="3"/>
  <c r="EG44" i="3"/>
  <c r="EG12" i="3"/>
  <c r="DY26" i="3"/>
  <c r="DY4" i="3"/>
  <c r="EU11" i="1" s="1"/>
  <c r="DY12" i="3"/>
  <c r="DY44" i="3"/>
  <c r="DY50" i="3"/>
  <c r="AF12" i="3"/>
  <c r="AF50" i="3"/>
  <c r="AF44" i="3"/>
  <c r="AF26" i="3"/>
  <c r="AF4" i="3"/>
  <c r="BB11" i="1" s="1"/>
  <c r="EQ50" i="3"/>
  <c r="EQ4" i="3"/>
  <c r="FM11" i="1" s="1"/>
  <c r="EQ12" i="3"/>
  <c r="EQ44" i="3"/>
  <c r="EQ26" i="3"/>
  <c r="AN26" i="3"/>
  <c r="AN44" i="3"/>
  <c r="AN12" i="3"/>
  <c r="AN4" i="3"/>
  <c r="BJ11" i="1" s="1"/>
  <c r="AN50" i="3"/>
  <c r="O44" i="3"/>
  <c r="O50" i="3"/>
  <c r="O4" i="3"/>
  <c r="AK11" i="1" s="1"/>
  <c r="O26" i="3"/>
  <c r="O12" i="3"/>
  <c r="Q12" i="3"/>
  <c r="Q4" i="3"/>
  <c r="AM11" i="1" s="1"/>
  <c r="Q44" i="3"/>
  <c r="Q26" i="3"/>
  <c r="Q50" i="3"/>
  <c r="BY26" i="3"/>
  <c r="BY50" i="3"/>
  <c r="BY44" i="3"/>
  <c r="BY12" i="3"/>
  <c r="BY4" i="3"/>
  <c r="CU11" i="1" s="1"/>
  <c r="AL26" i="3"/>
  <c r="AL12" i="3"/>
  <c r="AL4" i="3"/>
  <c r="BH11" i="1" s="1"/>
  <c r="AL44" i="3"/>
  <c r="AL50" i="3"/>
  <c r="S26" i="3"/>
  <c r="S12" i="3"/>
  <c r="S50" i="3"/>
  <c r="S4" i="3"/>
  <c r="AO11" i="1" s="1"/>
  <c r="S44" i="3"/>
  <c r="L4" i="3"/>
  <c r="AH11" i="1" s="1"/>
  <c r="L26" i="3"/>
  <c r="L50" i="3"/>
  <c r="L12" i="3"/>
  <c r="L44" i="3"/>
  <c r="GC50" i="3"/>
  <c r="GC12" i="3"/>
  <c r="GC44" i="3"/>
  <c r="GC4" i="3"/>
  <c r="GY11" i="1" s="1"/>
  <c r="GC26" i="3"/>
  <c r="CQ4" i="3"/>
  <c r="DM11" i="1" s="1"/>
  <c r="CQ12" i="3"/>
  <c r="CQ44" i="3"/>
  <c r="CQ26" i="3"/>
  <c r="CQ50" i="3"/>
  <c r="DO4" i="3"/>
  <c r="EK11" i="1" s="1"/>
  <c r="DO44" i="3"/>
  <c r="DO26" i="3"/>
  <c r="DO50" i="3"/>
  <c r="DO12" i="3"/>
  <c r="CH50" i="3"/>
  <c r="CH4" i="3"/>
  <c r="DD11" i="1" s="1"/>
  <c r="CH26" i="3"/>
  <c r="CH12" i="3"/>
  <c r="CH44" i="3"/>
  <c r="DE12" i="3"/>
  <c r="DE44" i="3"/>
  <c r="DE4" i="3"/>
  <c r="EA11" i="1" s="1"/>
  <c r="DE26" i="3"/>
  <c r="DE50" i="3"/>
  <c r="CD50" i="3"/>
  <c r="CD26" i="3"/>
  <c r="CD44" i="3"/>
  <c r="CD12" i="3"/>
  <c r="CD4" i="3"/>
  <c r="CZ11" i="1" s="1"/>
  <c r="CF12" i="3"/>
  <c r="CF4" i="3"/>
  <c r="DB11" i="1" s="1"/>
  <c r="CF26" i="3"/>
  <c r="CF50" i="3"/>
  <c r="CF44" i="3"/>
  <c r="EI12" i="3"/>
  <c r="EI26" i="3"/>
  <c r="EI50" i="3"/>
  <c r="EI44" i="3"/>
  <c r="EI4" i="3"/>
  <c r="FE11" i="1" s="1"/>
  <c r="GB50" i="3"/>
  <c r="GB26" i="3"/>
  <c r="GB12" i="3"/>
  <c r="GB4" i="3"/>
  <c r="GX11" i="1" s="1"/>
  <c r="GB44" i="3"/>
  <c r="FA44" i="3"/>
  <c r="FA4" i="3"/>
  <c r="FW11" i="1" s="1"/>
  <c r="FA26" i="3"/>
  <c r="FA12" i="3"/>
  <c r="FA50" i="3"/>
  <c r="BR4" i="3"/>
  <c r="CN11" i="1" s="1"/>
  <c r="BR44" i="3"/>
  <c r="BR50" i="3"/>
  <c r="BR26" i="3"/>
  <c r="BR12" i="3"/>
  <c r="FO50" i="3"/>
  <c r="FO26" i="3"/>
  <c r="FO4" i="3"/>
  <c r="GK11" i="1" s="1"/>
  <c r="FO44" i="3"/>
  <c r="FO12" i="3"/>
  <c r="EN44" i="3"/>
  <c r="EN50" i="3"/>
  <c r="EN12" i="3"/>
  <c r="EN26" i="3"/>
  <c r="EN4" i="3"/>
  <c r="FJ11" i="1" s="1"/>
  <c r="CP12" i="3"/>
  <c r="CP50" i="3"/>
  <c r="CP44" i="3"/>
  <c r="CP26" i="3"/>
  <c r="CP4" i="3"/>
  <c r="DL11" i="1" s="1"/>
  <c r="BM12" i="3"/>
  <c r="BM4" i="3"/>
  <c r="CI11" i="1" s="1"/>
  <c r="BM50" i="3"/>
  <c r="BM26" i="3"/>
  <c r="BM44" i="3"/>
  <c r="FL26" i="3"/>
  <c r="FL44" i="3"/>
  <c r="FL50" i="3"/>
  <c r="FL12" i="3"/>
  <c r="FL4" i="3"/>
  <c r="GH11" i="1" s="1"/>
  <c r="BP12" i="3"/>
  <c r="BP4" i="3"/>
  <c r="CL11" i="1" s="1"/>
  <c r="BP44" i="3"/>
  <c r="BP50" i="3"/>
  <c r="BP26" i="3"/>
  <c r="E44" i="3"/>
  <c r="E26" i="3"/>
  <c r="E4" i="3"/>
  <c r="AA11" i="1" s="1"/>
  <c r="E50" i="3"/>
  <c r="E12" i="3"/>
  <c r="AG26" i="3"/>
  <c r="AG50" i="3"/>
  <c r="AG12" i="3"/>
  <c r="AG44" i="3"/>
  <c r="AG4" i="3"/>
  <c r="BC11" i="1" s="1"/>
  <c r="BU44" i="3"/>
  <c r="BU50" i="3"/>
  <c r="BU26" i="3"/>
  <c r="BU4" i="3"/>
  <c r="CQ11" i="1" s="1"/>
  <c r="BU12" i="3"/>
  <c r="GA50" i="3"/>
  <c r="GA12" i="3"/>
  <c r="GA44" i="3"/>
  <c r="GA26" i="3"/>
  <c r="GA4" i="3"/>
  <c r="GW11" i="1" s="1"/>
  <c r="CO26" i="3"/>
  <c r="CO12" i="3"/>
  <c r="CO50" i="3"/>
  <c r="CO44" i="3"/>
  <c r="CO4" i="3"/>
  <c r="DK11" i="1" s="1"/>
  <c r="BW50" i="3"/>
  <c r="BW4" i="3"/>
  <c r="CS11" i="1" s="1"/>
  <c r="BW44" i="3"/>
  <c r="BW12" i="3"/>
  <c r="BW26" i="3"/>
  <c r="T26" i="3"/>
  <c r="T12" i="3"/>
  <c r="T50" i="3"/>
  <c r="T4" i="3"/>
  <c r="AP11" i="1" s="1"/>
  <c r="T44" i="3"/>
  <c r="DT50" i="3"/>
  <c r="DT26" i="3"/>
  <c r="DT4" i="3"/>
  <c r="EP11" i="1" s="1"/>
  <c r="DT44" i="3"/>
  <c r="DT12" i="3"/>
  <c r="BQ50" i="3"/>
  <c r="BQ44" i="3"/>
  <c r="BQ4" i="3"/>
  <c r="CM11" i="1" s="1"/>
  <c r="BQ12" i="3"/>
  <c r="BQ26" i="3"/>
  <c r="CM12" i="3"/>
  <c r="CM50" i="3"/>
  <c r="CM44" i="3"/>
  <c r="CM26" i="3"/>
  <c r="CM4" i="3"/>
  <c r="DI11" i="1" s="1"/>
  <c r="CT50" i="3"/>
  <c r="CT4" i="3"/>
  <c r="DP11" i="1" s="1"/>
  <c r="CT12" i="3"/>
  <c r="CT44" i="3"/>
  <c r="CT26" i="3"/>
  <c r="DP4" i="3"/>
  <c r="EL11" i="1" s="1"/>
  <c r="DP50" i="3"/>
  <c r="DP26" i="3"/>
  <c r="DP12" i="3"/>
  <c r="DP44" i="3"/>
  <c r="CN50" i="3"/>
  <c r="CN12" i="3"/>
  <c r="CN4" i="3"/>
  <c r="DJ11" i="1" s="1"/>
  <c r="CN26" i="3"/>
  <c r="CN44" i="3"/>
  <c r="DL50" i="3"/>
  <c r="DL26" i="3"/>
  <c r="DL4" i="3"/>
  <c r="EH11" i="1" s="1"/>
  <c r="DL12" i="3"/>
  <c r="DL44" i="3"/>
  <c r="GI50" i="3"/>
  <c r="GI12" i="3"/>
  <c r="GI26" i="3"/>
  <c r="GI44" i="3"/>
  <c r="GI4" i="3"/>
  <c r="HE11" i="1" s="1"/>
  <c r="FW12" i="3"/>
  <c r="FW26" i="3"/>
  <c r="FW4" i="3"/>
  <c r="GS11" i="1" s="1"/>
  <c r="FW44" i="3"/>
  <c r="FW50" i="3"/>
  <c r="AX26" i="3"/>
  <c r="AX50" i="3"/>
  <c r="AX12" i="3"/>
  <c r="AX4" i="3"/>
  <c r="BT11" i="1" s="1"/>
  <c r="AX44" i="3"/>
  <c r="H12" i="3"/>
  <c r="H50" i="3"/>
  <c r="H26" i="3"/>
  <c r="H44" i="3"/>
  <c r="H4" i="3"/>
  <c r="AD11" i="1" s="1"/>
  <c r="DM4" i="3"/>
  <c r="EI11" i="1" s="1"/>
  <c r="DM12" i="3"/>
  <c r="DM44" i="3"/>
  <c r="DM26" i="3"/>
  <c r="DM50" i="3"/>
  <c r="EL12" i="3"/>
  <c r="EL44" i="3"/>
  <c r="EL50" i="3"/>
  <c r="EL26" i="3"/>
  <c r="EL4" i="3"/>
  <c r="FH11" i="1" s="1"/>
  <c r="GJ26" i="3"/>
  <c r="GJ12" i="3"/>
  <c r="GJ44" i="3"/>
  <c r="GJ4" i="3"/>
  <c r="HF11" i="1" s="1"/>
  <c r="GJ50" i="3"/>
  <c r="I35" i="105" l="1"/>
  <c r="H35" i="105"/>
  <c r="M33" i="105"/>
  <c r="I33" i="105"/>
  <c r="H33" i="105"/>
  <c r="H30" i="105"/>
  <c r="L27" i="105"/>
  <c r="D35" i="105"/>
  <c r="M26" i="105"/>
  <c r="E36" i="105"/>
  <c r="L33" i="105"/>
  <c r="H32" i="105"/>
  <c r="D33" i="105"/>
  <c r="E33" i="105"/>
  <c r="J30" i="105"/>
  <c r="L26" i="105"/>
  <c r="I36" i="105"/>
  <c r="H26" i="105"/>
  <c r="H27" i="105"/>
  <c r="D30" i="105"/>
  <c r="I30" i="105"/>
  <c r="M27" i="105"/>
  <c r="L30" i="105"/>
  <c r="D36" i="105"/>
  <c r="H36" i="105"/>
  <c r="I32" i="105"/>
  <c r="M29" i="105"/>
  <c r="N30" i="105"/>
  <c r="H28" i="105"/>
  <c r="J33" i="105"/>
  <c r="N26" i="105"/>
  <c r="J32" i="105"/>
  <c r="J35" i="105"/>
  <c r="M30" i="105"/>
  <c r="D32" i="105"/>
  <c r="I37" i="105"/>
  <c r="I34" i="105"/>
  <c r="N33" i="105"/>
  <c r="E35" i="105"/>
  <c r="I26" i="105"/>
  <c r="H29" i="105"/>
  <c r="N27" i="105"/>
  <c r="D27" i="105"/>
  <c r="M32" i="105"/>
  <c r="M28" i="105"/>
  <c r="M43" i="105" s="1"/>
  <c r="H37" i="105"/>
  <c r="L32" i="105"/>
  <c r="D26" i="105"/>
  <c r="L28" i="105"/>
  <c r="M31" i="105"/>
  <c r="H34" i="105"/>
  <c r="J27" i="105"/>
  <c r="I27" i="105"/>
  <c r="J36" i="105"/>
  <c r="I29" i="105"/>
  <c r="L29" i="105"/>
  <c r="L34" i="105"/>
  <c r="F32" i="105"/>
  <c r="I28" i="105"/>
  <c r="N29" i="105"/>
  <c r="H40" i="105"/>
  <c r="H31" i="105"/>
  <c r="J29" i="105"/>
  <c r="L31" i="105"/>
  <c r="E26" i="105"/>
  <c r="F27" i="105"/>
  <c r="D28" i="105"/>
  <c r="D29" i="105"/>
  <c r="J34" i="105"/>
  <c r="N32" i="105"/>
  <c r="D37" i="105"/>
  <c r="E32" i="105"/>
  <c r="J37" i="105"/>
  <c r="M34" i="105"/>
  <c r="F33" i="105"/>
  <c r="E27" i="105"/>
  <c r="M40" i="105"/>
  <c r="F36" i="105"/>
  <c r="I31" i="105"/>
  <c r="E29" i="105"/>
  <c r="E30" i="105"/>
  <c r="J26" i="105"/>
  <c r="F35" i="105"/>
  <c r="E37" i="105"/>
  <c r="F30" i="105"/>
  <c r="N28" i="105"/>
  <c r="F37" i="105"/>
  <c r="F29" i="105"/>
  <c r="J31" i="105"/>
  <c r="E31" i="105"/>
  <c r="F26" i="105"/>
  <c r="D31" i="105"/>
  <c r="I40" i="105"/>
  <c r="N31" i="105"/>
  <c r="L40" i="105"/>
  <c r="L43" i="105" s="1"/>
  <c r="N34" i="105"/>
  <c r="D34" i="105"/>
  <c r="E28" i="105"/>
  <c r="E34" i="105"/>
  <c r="J28" i="105"/>
  <c r="F34" i="105"/>
  <c r="F28" i="105"/>
  <c r="D40" i="105"/>
  <c r="F31" i="105"/>
  <c r="J40" i="105"/>
  <c r="J43" i="105" s="1"/>
  <c r="E40" i="105"/>
  <c r="N40" i="105"/>
  <c r="F40" i="105"/>
  <c r="D41" i="2"/>
  <c r="G13" i="2" s="1"/>
  <c r="M66" i="59"/>
  <c r="C66" i="59"/>
  <c r="E66" i="59" s="1"/>
  <c r="G65" i="59"/>
  <c r="M65" i="59"/>
  <c r="I66" i="59"/>
  <c r="K66" i="59" s="1"/>
  <c r="G66" i="59"/>
  <c r="G56" i="59"/>
  <c r="C57" i="59"/>
  <c r="M56" i="59"/>
  <c r="D29" i="2"/>
  <c r="D38" i="2"/>
  <c r="D43" i="2"/>
  <c r="G10" i="2" s="1"/>
  <c r="G15" i="2" s="1"/>
  <c r="C6" i="60"/>
  <c r="I52" i="59"/>
  <c r="M51" i="59"/>
  <c r="M42" i="59"/>
  <c r="I43" i="59"/>
  <c r="M41" i="59"/>
  <c r="I42" i="59"/>
  <c r="G42" i="59"/>
  <c r="E42" i="59"/>
  <c r="D53" i="2"/>
  <c r="H10" i="2" s="1"/>
  <c r="D52" i="2"/>
  <c r="H9" i="2" s="1"/>
  <c r="M39" i="59"/>
  <c r="I40" i="59"/>
  <c r="E39" i="59"/>
  <c r="C40" i="59"/>
  <c r="E40" i="59" s="1"/>
  <c r="G39" i="59"/>
  <c r="M38" i="59"/>
  <c r="I39" i="59"/>
  <c r="G40" i="59"/>
  <c r="C41" i="59"/>
  <c r="E41" i="59" s="1"/>
  <c r="M40" i="59"/>
  <c r="I41" i="59"/>
  <c r="G41" i="59"/>
  <c r="D55" i="2"/>
  <c r="C38" i="59"/>
  <c r="E38" i="59" s="1"/>
  <c r="G37" i="59"/>
  <c r="G38" i="59"/>
  <c r="M37" i="59"/>
  <c r="I38" i="59"/>
  <c r="LR11" i="1"/>
  <c r="D24" i="2"/>
  <c r="E14" i="2" s="1"/>
  <c r="D25" i="2"/>
  <c r="E10" i="2" s="1"/>
  <c r="C33" i="59"/>
  <c r="G32" i="59"/>
  <c r="I33" i="59"/>
  <c r="M32" i="59"/>
  <c r="G30" i="59"/>
  <c r="C31" i="59"/>
  <c r="C30" i="59"/>
  <c r="E30" i="59" s="1"/>
  <c r="G29" i="59"/>
  <c r="E28" i="59"/>
  <c r="G28" i="59"/>
  <c r="C29" i="59"/>
  <c r="E29" i="59" s="1"/>
  <c r="M29" i="59"/>
  <c r="I30" i="59"/>
  <c r="E26" i="59"/>
  <c r="G26" i="59"/>
  <c r="I27" i="59"/>
  <c r="M26" i="59"/>
  <c r="C27" i="59"/>
  <c r="G25" i="59"/>
  <c r="M25" i="59"/>
  <c r="G22" i="59"/>
  <c r="K22" i="59"/>
  <c r="M21" i="59"/>
  <c r="E22" i="59"/>
  <c r="G21" i="59"/>
  <c r="G17" i="59"/>
  <c r="C18" i="59"/>
  <c r="M17" i="59"/>
  <c r="I18" i="59"/>
  <c r="M15" i="59"/>
  <c r="I16" i="59"/>
  <c r="G15" i="59"/>
  <c r="C16" i="59"/>
  <c r="C11" i="59"/>
  <c r="E11" i="59" s="1"/>
  <c r="G10" i="59"/>
  <c r="C14" i="59"/>
  <c r="G13" i="59"/>
  <c r="I11" i="59"/>
  <c r="K11" i="59" s="1"/>
  <c r="M10" i="59"/>
  <c r="C9" i="59"/>
  <c r="G8" i="59"/>
  <c r="I13" i="59"/>
  <c r="K13" i="59" s="1"/>
  <c r="M12" i="59"/>
  <c r="C13" i="59"/>
  <c r="G12" i="59"/>
  <c r="I14" i="59"/>
  <c r="I12" i="59"/>
  <c r="K12" i="59" s="1"/>
  <c r="C12" i="59"/>
  <c r="D9" i="60"/>
  <c r="D15" i="60" s="1"/>
  <c r="ID11" i="1"/>
  <c r="L24" i="58"/>
  <c r="I20" i="57"/>
  <c r="K20" i="57"/>
  <c r="H8" i="57"/>
  <c r="K8" i="57" s="1"/>
  <c r="K21" i="57"/>
  <c r="H7" i="57"/>
  <c r="K7" i="57" s="1"/>
  <c r="D22" i="57"/>
  <c r="E22" i="57" s="1"/>
  <c r="D21" i="57"/>
  <c r="L21" i="57"/>
  <c r="H21" i="57"/>
  <c r="E21" i="57"/>
  <c r="I21" i="57"/>
  <c r="F21" i="57"/>
  <c r="J21" i="57"/>
  <c r="J20" i="57"/>
  <c r="L20" i="57"/>
  <c r="H20" i="57"/>
  <c r="D20" i="57"/>
  <c r="E20" i="57"/>
  <c r="F36" i="54"/>
  <c r="G36" i="54" s="1"/>
  <c r="G35" i="54"/>
  <c r="C20" i="57"/>
  <c r="H6" i="57"/>
  <c r="K6" i="57" s="1"/>
  <c r="F19" i="57"/>
  <c r="I19" i="57"/>
  <c r="J19" i="57"/>
  <c r="L19" i="57"/>
  <c r="D19" i="57"/>
  <c r="E19" i="57"/>
  <c r="K19" i="57"/>
  <c r="H19" i="57"/>
  <c r="C19" i="57"/>
  <c r="K5" i="57"/>
  <c r="L18" i="58"/>
  <c r="L8" i="58"/>
  <c r="L30" i="58"/>
  <c r="L21" i="58"/>
  <c r="L28" i="58"/>
  <c r="L16" i="58"/>
  <c r="L23" i="58"/>
  <c r="L13" i="58"/>
  <c r="L26" i="58"/>
  <c r="L27" i="58"/>
  <c r="L25" i="58"/>
  <c r="L14" i="58"/>
  <c r="L11" i="58"/>
  <c r="L10" i="58"/>
  <c r="L7" i="58"/>
  <c r="L22" i="58"/>
  <c r="L12" i="58"/>
  <c r="L19" i="58"/>
  <c r="L17" i="58"/>
  <c r="L15" i="58"/>
  <c r="L29" i="58"/>
  <c r="L9" i="58"/>
  <c r="L20" i="58"/>
  <c r="L31" i="58"/>
  <c r="K5" i="58"/>
  <c r="K4" i="58"/>
  <c r="F6" i="59"/>
  <c r="G6" i="59" s="1"/>
  <c r="F11" i="2"/>
  <c r="E52" i="3"/>
  <c r="AE52" i="3"/>
  <c r="AO52" i="3"/>
  <c r="M52" i="3"/>
  <c r="AB52" i="3"/>
  <c r="H52" i="3"/>
  <c r="AM52" i="3"/>
  <c r="HF27" i="1"/>
  <c r="HF30" i="1" s="1"/>
  <c r="R52" i="3"/>
  <c r="AI52" i="3"/>
  <c r="X52" i="3"/>
  <c r="N52" i="3"/>
  <c r="AJ52" i="3"/>
  <c r="DC27" i="1"/>
  <c r="DC30" i="1" s="1"/>
  <c r="FY27" i="1"/>
  <c r="FY30" i="1" s="1"/>
  <c r="GD27" i="1"/>
  <c r="GD30" i="1" s="1"/>
  <c r="FJ27" i="1"/>
  <c r="FJ30" i="1" s="1"/>
  <c r="BJ27" i="1"/>
  <c r="BJ30" i="1" s="1"/>
  <c r="DU27" i="1"/>
  <c r="DU30" i="1" s="1"/>
  <c r="ED27" i="1"/>
  <c r="ED30" i="1" s="1"/>
  <c r="GB27" i="1"/>
  <c r="GB30" i="1" s="1"/>
  <c r="FS27" i="1"/>
  <c r="FS30" i="1" s="1"/>
  <c r="CV27" i="1"/>
  <c r="CV30" i="1" s="1"/>
  <c r="BC27" i="1"/>
  <c r="BC30" i="1" s="1"/>
  <c r="L52" i="3"/>
  <c r="GJ27" i="1"/>
  <c r="GJ30" i="1" s="1"/>
  <c r="DA27" i="1"/>
  <c r="DA30" i="1" s="1"/>
  <c r="FT27" i="1"/>
  <c r="FT30" i="1" s="1"/>
  <c r="AS27" i="1"/>
  <c r="AS30" i="1" s="1"/>
  <c r="ER27" i="1"/>
  <c r="ER30" i="1" s="1"/>
  <c r="DR27" i="1"/>
  <c r="DR30" i="1" s="1"/>
  <c r="EC27" i="1"/>
  <c r="EC30" i="1" s="1"/>
  <c r="AE27" i="1"/>
  <c r="AE30" i="1" s="1"/>
  <c r="C52" i="3"/>
  <c r="AN52" i="3"/>
  <c r="FK27" i="1"/>
  <c r="FK30" i="1" s="1"/>
  <c r="Y52" i="3"/>
  <c r="DN27" i="1"/>
  <c r="DN30" i="1" s="1"/>
  <c r="BE27" i="1"/>
  <c r="BE30" i="1" s="1"/>
  <c r="FQ27" i="1"/>
  <c r="FQ30" i="1" s="1"/>
  <c r="AT27" i="1"/>
  <c r="AT30" i="1" s="1"/>
  <c r="AG52" i="3"/>
  <c r="W52" i="3"/>
  <c r="AV27" i="1"/>
  <c r="AV30" i="1" s="1"/>
  <c r="CJ27" i="1"/>
  <c r="CJ30" i="1" s="1"/>
  <c r="CA27" i="1"/>
  <c r="CA30" i="1" s="1"/>
  <c r="AU27" i="1"/>
  <c r="AU30" i="1" s="1"/>
  <c r="GK27" i="1"/>
  <c r="GK30" i="1" s="1"/>
  <c r="AO27" i="1"/>
  <c r="AO30" i="1" s="1"/>
  <c r="FM27" i="1"/>
  <c r="FM30" i="1" s="1"/>
  <c r="DY27" i="1"/>
  <c r="DY30" i="1" s="1"/>
  <c r="EN27" i="1"/>
  <c r="EN30" i="1" s="1"/>
  <c r="BR27" i="1"/>
  <c r="BR30" i="1" s="1"/>
  <c r="D52" i="3"/>
  <c r="AC27" i="1"/>
  <c r="AC30" i="1" s="1"/>
  <c r="DO27" i="1"/>
  <c r="DO30" i="1" s="1"/>
  <c r="EV27" i="1"/>
  <c r="EV30" i="1" s="1"/>
  <c r="Z52" i="3"/>
  <c r="FD27" i="1"/>
  <c r="FD30" i="1" s="1"/>
  <c r="GO27" i="1"/>
  <c r="GO30" i="1" s="1"/>
  <c r="P52" i="3"/>
  <c r="GM27" i="1"/>
  <c r="GM30" i="1" s="1"/>
  <c r="G52" i="3"/>
  <c r="AA27" i="1"/>
  <c r="AA30" i="1" s="1"/>
  <c r="S52" i="3"/>
  <c r="BB27" i="1"/>
  <c r="BB30" i="1" s="1"/>
  <c r="BF27" i="1"/>
  <c r="BF30" i="1" s="1"/>
  <c r="BL27" i="1"/>
  <c r="BL30" i="1" s="1"/>
  <c r="AL27" i="1"/>
  <c r="AL30" i="1" s="1"/>
  <c r="GA27" i="1"/>
  <c r="GA30" i="1" s="1"/>
  <c r="CQ27" i="1"/>
  <c r="CQ30" i="1" s="1"/>
  <c r="CZ27" i="1"/>
  <c r="CZ30" i="1" s="1"/>
  <c r="DG27" i="1"/>
  <c r="DG30" i="1" s="1"/>
  <c r="CK27" i="1"/>
  <c r="CK30" i="1" s="1"/>
  <c r="BK27" i="1"/>
  <c r="BK30" i="1" s="1"/>
  <c r="GY27" i="1"/>
  <c r="GY30" i="1" s="1"/>
  <c r="DZ27" i="1"/>
  <c r="DZ30" i="1" s="1"/>
  <c r="FZ27" i="1"/>
  <c r="FZ30" i="1" s="1"/>
  <c r="FN27" i="1"/>
  <c r="FN30" i="1" s="1"/>
  <c r="FF27" i="1"/>
  <c r="FF30" i="1" s="1"/>
  <c r="J52" i="3"/>
  <c r="BS27" i="1"/>
  <c r="BS30" i="1" s="1"/>
  <c r="GP27" i="1"/>
  <c r="GP30" i="1" s="1"/>
  <c r="GV27" i="1"/>
  <c r="GV30" i="1" s="1"/>
  <c r="AG27" i="1"/>
  <c r="AG30" i="1" s="1"/>
  <c r="GZ27" i="1"/>
  <c r="GZ30" i="1" s="1"/>
  <c r="AF27" i="1"/>
  <c r="AF30" i="1" s="1"/>
  <c r="DQ27" i="1"/>
  <c r="DQ30" i="1" s="1"/>
  <c r="CL27" i="1"/>
  <c r="CL30" i="1" s="1"/>
  <c r="HB27" i="1"/>
  <c r="HB30" i="1" s="1"/>
  <c r="AK52" i="3"/>
  <c r="DD27" i="1"/>
  <c r="DD30" i="1" s="1"/>
  <c r="CU27" i="1"/>
  <c r="CU30" i="1" s="1"/>
  <c r="K52" i="3"/>
  <c r="CF27" i="1"/>
  <c r="CF30" i="1" s="1"/>
  <c r="AJ27" i="1"/>
  <c r="AJ30" i="1" s="1"/>
  <c r="ES27" i="1"/>
  <c r="ES30" i="1" s="1"/>
  <c r="AR27" i="1"/>
  <c r="AR30" i="1" s="1"/>
  <c r="AP27" i="1"/>
  <c r="AP30" i="1" s="1"/>
  <c r="EU27" i="1"/>
  <c r="EU30" i="1" s="1"/>
  <c r="DV27" i="1"/>
  <c r="DV30" i="1" s="1"/>
  <c r="EB27" i="1"/>
  <c r="EB30" i="1" s="1"/>
  <c r="BP27" i="1"/>
  <c r="BP30" i="1" s="1"/>
  <c r="CP27" i="1"/>
  <c r="CP30" i="1" s="1"/>
  <c r="EW27" i="1"/>
  <c r="EW30" i="1" s="1"/>
  <c r="GC27" i="1"/>
  <c r="GC30" i="1" s="1"/>
  <c r="BZ27" i="1"/>
  <c r="BZ30" i="1" s="1"/>
  <c r="FR27" i="1"/>
  <c r="FR30" i="1" s="1"/>
  <c r="EQ27" i="1"/>
  <c r="EQ30" i="1" s="1"/>
  <c r="GH27" i="1"/>
  <c r="GH30" i="1" s="1"/>
  <c r="FW27" i="1"/>
  <c r="FW30" i="1" s="1"/>
  <c r="DE27" i="1"/>
  <c r="DE30" i="1" s="1"/>
  <c r="EX27" i="1"/>
  <c r="EX30" i="1" s="1"/>
  <c r="CX27" i="1"/>
  <c r="CX30" i="1" s="1"/>
  <c r="CD27" i="1"/>
  <c r="CD30" i="1" s="1"/>
  <c r="AH27" i="1"/>
  <c r="AH30" i="1" s="1"/>
  <c r="FH27" i="1"/>
  <c r="FH30" i="1" s="1"/>
  <c r="EF27" i="1"/>
  <c r="EF30" i="1" s="1"/>
  <c r="T52" i="3"/>
  <c r="AL52" i="3"/>
  <c r="BG27" i="1"/>
  <c r="BG30" i="1" s="1"/>
  <c r="DK27" i="1"/>
  <c r="DK30" i="1" s="1"/>
  <c r="DS27" i="1"/>
  <c r="DS30" i="1" s="1"/>
  <c r="GR27" i="1"/>
  <c r="GR30" i="1" s="1"/>
  <c r="ET27" i="1"/>
  <c r="ET30" i="1" s="1"/>
  <c r="AI27" i="1"/>
  <c r="AI30" i="1" s="1"/>
  <c r="GS27" i="1"/>
  <c r="GS30" i="1" s="1"/>
  <c r="DB27" i="1"/>
  <c r="DB30" i="1" s="1"/>
  <c r="DX27" i="1"/>
  <c r="DX30" i="1" s="1"/>
  <c r="BH27" i="1"/>
  <c r="BH30" i="1" s="1"/>
  <c r="GT27" i="1"/>
  <c r="GT30" i="1" s="1"/>
  <c r="AD27" i="1"/>
  <c r="AD30" i="1" s="1"/>
  <c r="EL27" i="1"/>
  <c r="EL30" i="1" s="1"/>
  <c r="BI27" i="1"/>
  <c r="BI30" i="1" s="1"/>
  <c r="AZ27" i="1"/>
  <c r="AZ30" i="1" s="1"/>
  <c r="BM27" i="1"/>
  <c r="BM30" i="1" s="1"/>
  <c r="EP27" i="1"/>
  <c r="EP30" i="1" s="1"/>
  <c r="V52" i="3"/>
  <c r="GQ27" i="1"/>
  <c r="GQ30" i="1" s="1"/>
  <c r="DJ27" i="1"/>
  <c r="DJ30" i="1" s="1"/>
  <c r="AF52" i="3"/>
  <c r="CS27" i="1"/>
  <c r="CS30" i="1" s="1"/>
  <c r="HC27" i="1"/>
  <c r="HC30" i="1" s="1"/>
  <c r="GL27" i="1"/>
  <c r="GL30" i="1" s="1"/>
  <c r="GX27" i="1"/>
  <c r="GX30" i="1" s="1"/>
  <c r="AC52" i="3"/>
  <c r="AD52" i="3"/>
  <c r="GN27" i="1"/>
  <c r="GN30" i="1" s="1"/>
  <c r="BQ27" i="1"/>
  <c r="BQ30" i="1" s="1"/>
  <c r="BX27" i="1"/>
  <c r="BX30" i="1" s="1"/>
  <c r="EH27" i="1"/>
  <c r="EH30" i="1" s="1"/>
  <c r="BY27" i="1"/>
  <c r="BY30" i="1" s="1"/>
  <c r="CN27" i="1"/>
  <c r="CN30" i="1" s="1"/>
  <c r="CC27" i="1"/>
  <c r="CC30" i="1" s="1"/>
  <c r="GE27" i="1"/>
  <c r="GE30" i="1" s="1"/>
  <c r="BD27" i="1"/>
  <c r="BD30" i="1" s="1"/>
  <c r="DF27" i="1"/>
  <c r="DF30" i="1" s="1"/>
  <c r="FB27" i="1"/>
  <c r="FB30" i="1" s="1"/>
  <c r="GI27" i="1"/>
  <c r="GI30" i="1" s="1"/>
  <c r="BN27" i="1"/>
  <c r="BN30" i="1" s="1"/>
  <c r="CY27" i="1"/>
  <c r="CY30" i="1" s="1"/>
  <c r="FL27" i="1"/>
  <c r="FL30" i="1" s="1"/>
  <c r="CW27" i="1"/>
  <c r="CW30" i="1" s="1"/>
  <c r="FX27" i="1"/>
  <c r="FX30" i="1" s="1"/>
  <c r="DT27" i="1"/>
  <c r="DT30" i="1" s="1"/>
  <c r="CH27" i="1"/>
  <c r="CH30" i="1" s="1"/>
  <c r="AX27" i="1"/>
  <c r="AX30" i="1" s="1"/>
  <c r="BW27" i="1"/>
  <c r="BW30" i="1" s="1"/>
  <c r="GU27" i="1"/>
  <c r="GU30" i="1" s="1"/>
  <c r="GF27" i="1"/>
  <c r="GF30" i="1" s="1"/>
  <c r="EE27" i="1"/>
  <c r="EE30" i="1" s="1"/>
  <c r="CT27" i="1"/>
  <c r="CT30" i="1" s="1"/>
  <c r="FU27" i="1"/>
  <c r="FU30" i="1" s="1"/>
  <c r="BU27" i="1"/>
  <c r="BU30" i="1" s="1"/>
  <c r="EA27" i="1"/>
  <c r="EA30" i="1" s="1"/>
  <c r="FC27" i="1"/>
  <c r="FC30" i="1" s="1"/>
  <c r="GW27" i="1"/>
  <c r="GW30" i="1" s="1"/>
  <c r="AM27" i="1"/>
  <c r="AM30" i="1" s="1"/>
  <c r="HA27" i="1"/>
  <c r="HA30" i="1" s="1"/>
  <c r="FP27" i="1"/>
  <c r="FP30" i="1" s="1"/>
  <c r="AH52" i="3"/>
  <c r="BV27" i="1"/>
  <c r="BV30" i="1" s="1"/>
  <c r="CR27" i="1"/>
  <c r="CR30" i="1" s="1"/>
  <c r="AN27" i="1"/>
  <c r="AN30" i="1" s="1"/>
  <c r="Z27" i="1"/>
  <c r="Z30" i="1" s="1"/>
  <c r="DH27" i="1"/>
  <c r="DH30" i="1" s="1"/>
  <c r="HD27" i="1"/>
  <c r="HD30" i="1" s="1"/>
  <c r="EI27" i="1"/>
  <c r="EI30" i="1" s="1"/>
  <c r="BT27" i="1"/>
  <c r="BT30" i="1" s="1"/>
  <c r="FE27" i="1"/>
  <c r="FE30" i="1" s="1"/>
  <c r="Q52" i="3"/>
  <c r="FG27" i="1"/>
  <c r="FG30" i="1" s="1"/>
  <c r="AY27" i="1"/>
  <c r="AY30" i="1" s="1"/>
  <c r="CE27" i="1"/>
  <c r="CE30" i="1" s="1"/>
  <c r="FI27" i="1"/>
  <c r="FI30" i="1" s="1"/>
  <c r="F52" i="3"/>
  <c r="CM27" i="1"/>
  <c r="CM30" i="1" s="1"/>
  <c r="CO27" i="1"/>
  <c r="CO30" i="1" s="1"/>
  <c r="EK27" i="1"/>
  <c r="EK30" i="1" s="1"/>
  <c r="CI27" i="1"/>
  <c r="CI30" i="1" s="1"/>
  <c r="DI27" i="1"/>
  <c r="DI30" i="1" s="1"/>
  <c r="FA27" i="1"/>
  <c r="FA30" i="1" s="1"/>
  <c r="EG27" i="1"/>
  <c r="EG30" i="1" s="1"/>
  <c r="HE27" i="1"/>
  <c r="HE30" i="1" s="1"/>
  <c r="EZ27" i="1"/>
  <c r="EZ30" i="1" s="1"/>
  <c r="GG27" i="1"/>
  <c r="GG30" i="1" s="1"/>
  <c r="BO27" i="1"/>
  <c r="BO30" i="1" s="1"/>
  <c r="DP27" i="1"/>
  <c r="DP30" i="1" s="1"/>
  <c r="O52" i="3"/>
  <c r="DL27" i="1"/>
  <c r="DL30" i="1" s="1"/>
  <c r="DM27" i="1"/>
  <c r="DM30" i="1" s="1"/>
  <c r="CB27" i="1"/>
  <c r="CB30" i="1" s="1"/>
  <c r="AA52" i="3"/>
  <c r="I52" i="3"/>
  <c r="DW27" i="1"/>
  <c r="DW30" i="1" s="1"/>
  <c r="EO27" i="1"/>
  <c r="EO30" i="1" s="1"/>
  <c r="AK27" i="1"/>
  <c r="AK30" i="1" s="1"/>
  <c r="EY27" i="1"/>
  <c r="EY30" i="1" s="1"/>
  <c r="EJ27" i="1"/>
  <c r="EJ30" i="1" s="1"/>
  <c r="FO27" i="1"/>
  <c r="FO30" i="1" s="1"/>
  <c r="EM27" i="1"/>
  <c r="EM30" i="1" s="1"/>
  <c r="AW27" i="1"/>
  <c r="AW30" i="1" s="1"/>
  <c r="FV27" i="1"/>
  <c r="FV30" i="1" s="1"/>
  <c r="AB27" i="1"/>
  <c r="AB30" i="1" s="1"/>
  <c r="M39" i="105" l="1"/>
  <c r="N39" i="105"/>
  <c r="N42" i="105" s="1"/>
  <c r="J38" i="105"/>
  <c r="J41" i="105" s="1"/>
  <c r="M38" i="105"/>
  <c r="O38" i="105" s="1"/>
  <c r="F43" i="105"/>
  <c r="D38" i="105"/>
  <c r="D41" i="105" s="1"/>
  <c r="N43" i="105"/>
  <c r="I43" i="105"/>
  <c r="E43" i="105"/>
  <c r="M42" i="105"/>
  <c r="O39" i="105"/>
  <c r="M41" i="105"/>
  <c r="D43" i="105"/>
  <c r="F38" i="105"/>
  <c r="F41" i="105" s="1"/>
  <c r="D39" i="105"/>
  <c r="D42" i="105" s="1"/>
  <c r="N38" i="105"/>
  <c r="N41" i="105" s="1"/>
  <c r="H39" i="105"/>
  <c r="H42" i="105" s="1"/>
  <c r="L39" i="105"/>
  <c r="L42" i="105" s="1"/>
  <c r="F39" i="105"/>
  <c r="F42" i="105" s="1"/>
  <c r="E38" i="105"/>
  <c r="E41" i="105" s="1"/>
  <c r="I39" i="105"/>
  <c r="I42" i="105"/>
  <c r="H38" i="105"/>
  <c r="H41" i="105" s="1"/>
  <c r="E39" i="105"/>
  <c r="E42" i="105" s="1"/>
  <c r="J39" i="105"/>
  <c r="J42" i="105" s="1"/>
  <c r="I38" i="105"/>
  <c r="K38" i="105" s="1"/>
  <c r="L38" i="105"/>
  <c r="L41" i="105"/>
  <c r="H43" i="105"/>
  <c r="G8" i="2"/>
  <c r="E6" i="60" s="1"/>
  <c r="R63" i="59"/>
  <c r="O64" i="59" s="1"/>
  <c r="R62" i="59"/>
  <c r="R60" i="59"/>
  <c r="R61" i="59"/>
  <c r="O62" i="59" s="1"/>
  <c r="R59" i="59"/>
  <c r="O60" i="59" s="1"/>
  <c r="R57" i="59"/>
  <c r="O58" i="59" s="1"/>
  <c r="R55" i="59"/>
  <c r="F8" i="60"/>
  <c r="D10" i="2"/>
  <c r="D15" i="2" s="1"/>
  <c r="ZD23" i="1" s="1"/>
  <c r="E7" i="60"/>
  <c r="E8" i="60"/>
  <c r="E15" i="2"/>
  <c r="C8" i="60"/>
  <c r="E9" i="2"/>
  <c r="D9" i="2" s="1"/>
  <c r="D14" i="2" s="1"/>
  <c r="ZD19" i="1" s="1"/>
  <c r="F7" i="60"/>
  <c r="H14" i="2"/>
  <c r="C7" i="59"/>
  <c r="H15" i="2"/>
  <c r="F7" i="59"/>
  <c r="I8" i="57"/>
  <c r="L8" i="57" s="1"/>
  <c r="G37" i="54"/>
  <c r="D23" i="57"/>
  <c r="F5" i="59"/>
  <c r="G5" i="59" s="1"/>
  <c r="F22" i="57"/>
  <c r="G22" i="57" s="1"/>
  <c r="E23" i="57"/>
  <c r="GD28" i="1"/>
  <c r="GA28" i="1"/>
  <c r="AL28" i="1"/>
  <c r="DC28" i="1"/>
  <c r="CF28" i="1"/>
  <c r="HF28" i="1"/>
  <c r="CN28" i="1"/>
  <c r="Z28" i="1"/>
  <c r="FB28" i="1"/>
  <c r="FN28" i="1"/>
  <c r="GR28" i="1"/>
  <c r="BI28" i="1"/>
  <c r="BJ28" i="1"/>
  <c r="AN28" i="1"/>
  <c r="BF28" i="1"/>
  <c r="DU28" i="1"/>
  <c r="FK28" i="1"/>
  <c r="EX28" i="1"/>
  <c r="BO28" i="1"/>
  <c r="CC28" i="1"/>
  <c r="CB28" i="1"/>
  <c r="FJ28" i="1"/>
  <c r="EZ28" i="1"/>
  <c r="CY28" i="1"/>
  <c r="DZ28" i="1"/>
  <c r="EY28" i="1"/>
  <c r="EG28" i="1"/>
  <c r="EA28" i="1"/>
  <c r="BQ28" i="1"/>
  <c r="GE28" i="1"/>
  <c r="AB28" i="1"/>
  <c r="CM28" i="1"/>
  <c r="GL28" i="1"/>
  <c r="FF28" i="1"/>
  <c r="EL28" i="1"/>
  <c r="FV28" i="1"/>
  <c r="EJ28" i="1"/>
  <c r="FI28" i="1"/>
  <c r="EC28" i="1"/>
  <c r="BP28" i="1"/>
  <c r="ED28" i="1"/>
  <c r="CV28" i="1"/>
  <c r="GF28" i="1"/>
  <c r="FD28" i="1"/>
  <c r="FE28" i="1"/>
  <c r="CX28" i="1"/>
  <c r="GQ28" i="1"/>
  <c r="BM28" i="1"/>
  <c r="FW28" i="1"/>
  <c r="GZ28" i="1"/>
  <c r="AJ28" i="1"/>
  <c r="BD28" i="1"/>
  <c r="BZ28" i="1"/>
  <c r="GP28" i="1"/>
  <c r="EE28" i="1"/>
  <c r="BR28" i="1"/>
  <c r="BK28" i="1"/>
  <c r="DY28" i="1"/>
  <c r="DL28" i="1"/>
  <c r="BL28" i="1"/>
  <c r="AV28" i="1"/>
  <c r="FY28" i="1"/>
  <c r="CR28" i="1"/>
  <c r="EM28" i="1"/>
  <c r="CO28" i="1"/>
  <c r="AI28" i="1"/>
  <c r="DV28" i="1"/>
  <c r="FH28" i="1"/>
  <c r="CQ28" i="1"/>
  <c r="BC28" i="1"/>
  <c r="AA28" i="1"/>
  <c r="DX28" i="1"/>
  <c r="AW28" i="1"/>
  <c r="CT28" i="1"/>
  <c r="AE28" i="1"/>
  <c r="FG28" i="1"/>
  <c r="GU28" i="1"/>
  <c r="GX28" i="1"/>
  <c r="AZ28" i="1"/>
  <c r="GK28" i="1"/>
  <c r="AF28" i="1"/>
  <c r="FS28" i="1"/>
  <c r="DB28" i="1"/>
  <c r="BE28" i="1"/>
  <c r="EI28" i="1"/>
  <c r="FX28" i="1"/>
  <c r="CS28" i="1"/>
  <c r="ES28" i="1"/>
  <c r="DO28" i="1"/>
  <c r="DI28" i="1"/>
  <c r="DJ28" i="1"/>
  <c r="EN28" i="1"/>
  <c r="BX28" i="1"/>
  <c r="BH28" i="1"/>
  <c r="FR28" i="1"/>
  <c r="FM28" i="1"/>
  <c r="CA28" i="1"/>
  <c r="AT28" i="1"/>
  <c r="AR28" i="1"/>
  <c r="GI28" i="1"/>
  <c r="FZ28" i="1"/>
  <c r="DF28" i="1"/>
  <c r="GY28" i="1"/>
  <c r="DH28" i="1"/>
  <c r="AK28" i="1"/>
  <c r="BU28" i="1"/>
  <c r="CU28" i="1"/>
  <c r="DG28" i="1"/>
  <c r="DE28" i="1"/>
  <c r="EO28" i="1"/>
  <c r="FU28" i="1"/>
  <c r="DD28" i="1"/>
  <c r="CZ28" i="1"/>
  <c r="DM28" i="1"/>
  <c r="CE28" i="1"/>
  <c r="EP28" i="1"/>
  <c r="EF28" i="1"/>
  <c r="EU28" i="1"/>
  <c r="BS28" i="1"/>
  <c r="AU28" i="1"/>
  <c r="AS28" i="1"/>
  <c r="AH28" i="1"/>
  <c r="CJ28" i="1"/>
  <c r="GJ28" i="1"/>
  <c r="GG28" i="1"/>
  <c r="BT28" i="1"/>
  <c r="GO28" i="1"/>
  <c r="HE28" i="1"/>
  <c r="HD28" i="1"/>
  <c r="GT28" i="1"/>
  <c r="EV28" i="1"/>
  <c r="FQ28" i="1"/>
  <c r="CH28" i="1"/>
  <c r="GN28" i="1"/>
  <c r="GH28" i="1"/>
  <c r="FO28" i="1"/>
  <c r="FA28" i="1"/>
  <c r="DT28" i="1"/>
  <c r="EQ28" i="1"/>
  <c r="AC28" i="1"/>
  <c r="DN28" i="1"/>
  <c r="EK28" i="1"/>
  <c r="FL28" i="1"/>
  <c r="ET28" i="1"/>
  <c r="AM28" i="1"/>
  <c r="GW28" i="1"/>
  <c r="EB28" i="1"/>
  <c r="GV28" i="1"/>
  <c r="AO28" i="1"/>
  <c r="DR28" i="1"/>
  <c r="FT28" i="1"/>
  <c r="GS28" i="1"/>
  <c r="DP28" i="1"/>
  <c r="AY28" i="1"/>
  <c r="FC28" i="1"/>
  <c r="BN28" i="1"/>
  <c r="HC28" i="1"/>
  <c r="GM28" i="1"/>
  <c r="DA28" i="1"/>
  <c r="DS28" i="1"/>
  <c r="GC28" i="1"/>
  <c r="HB28" i="1"/>
  <c r="CK28" i="1"/>
  <c r="DK28" i="1"/>
  <c r="EW28" i="1"/>
  <c r="CL28" i="1"/>
  <c r="BG28" i="1"/>
  <c r="CP28" i="1"/>
  <c r="DQ28" i="1"/>
  <c r="GB28" i="1"/>
  <c r="BW28" i="1"/>
  <c r="BY28" i="1"/>
  <c r="CI28" i="1"/>
  <c r="AX28" i="1"/>
  <c r="EH28" i="1"/>
  <c r="AG28" i="1"/>
  <c r="DW28" i="1"/>
  <c r="BV28" i="1"/>
  <c r="AD28" i="1"/>
  <c r="CD28" i="1"/>
  <c r="AP28" i="1"/>
  <c r="FP28" i="1"/>
  <c r="HA28" i="1"/>
  <c r="CW28" i="1"/>
  <c r="BB28" i="1"/>
  <c r="ER28" i="1"/>
  <c r="I41" i="105" l="1"/>
  <c r="G38" i="105"/>
  <c r="K39" i="105"/>
  <c r="G39" i="105"/>
  <c r="YM19" i="1"/>
  <c r="YM23" i="1"/>
  <c r="D8" i="2"/>
  <c r="D13" i="2" s="1"/>
  <c r="ZD15" i="1" s="1"/>
  <c r="XT23" i="1"/>
  <c r="XT19" i="1"/>
  <c r="F64" i="59"/>
  <c r="C65" i="59" s="1"/>
  <c r="E65" i="59" s="1"/>
  <c r="L64" i="59"/>
  <c r="I65" i="59" s="1"/>
  <c r="K65" i="59" s="1"/>
  <c r="R64" i="59"/>
  <c r="O65" i="59" s="1"/>
  <c r="Q65" i="59" s="1"/>
  <c r="S62" i="59"/>
  <c r="O63" i="59"/>
  <c r="Q63" i="59" s="1"/>
  <c r="S63" i="59"/>
  <c r="F63" i="59"/>
  <c r="C64" i="59" s="1"/>
  <c r="Q62" i="59"/>
  <c r="Q60" i="59"/>
  <c r="F62" i="59"/>
  <c r="L62" i="59"/>
  <c r="S61" i="59"/>
  <c r="S60" i="59"/>
  <c r="O61" i="59"/>
  <c r="Q61" i="59" s="1"/>
  <c r="F60" i="59"/>
  <c r="F61" i="59"/>
  <c r="C62" i="59" s="1"/>
  <c r="L60" i="59"/>
  <c r="I61" i="59" s="1"/>
  <c r="L61" i="59"/>
  <c r="I62" i="59" s="1"/>
  <c r="S59" i="59"/>
  <c r="L59" i="59"/>
  <c r="I60" i="59" s="1"/>
  <c r="F59" i="59"/>
  <c r="C60" i="59" s="1"/>
  <c r="WR19" i="1"/>
  <c r="L58" i="59" s="1"/>
  <c r="I59" i="59" s="1"/>
  <c r="F58" i="59"/>
  <c r="C59" i="59" s="1"/>
  <c r="Q57" i="59"/>
  <c r="S57" i="59"/>
  <c r="L57" i="59"/>
  <c r="I58" i="59" s="1"/>
  <c r="F57" i="59"/>
  <c r="C58" i="59" s="1"/>
  <c r="S55" i="59"/>
  <c r="O56" i="59"/>
  <c r="Q56" i="59" s="1"/>
  <c r="L55" i="59"/>
  <c r="F55" i="59"/>
  <c r="VJ19" i="1"/>
  <c r="VJ23" i="1"/>
  <c r="G16" i="2"/>
  <c r="G11" i="2"/>
  <c r="B8" i="60"/>
  <c r="E9" i="60"/>
  <c r="E15" i="60" s="1"/>
  <c r="F53" i="59"/>
  <c r="L53" i="59"/>
  <c r="I54" i="59" s="1"/>
  <c r="L52" i="59"/>
  <c r="F52" i="59"/>
  <c r="F51" i="59"/>
  <c r="C52" i="59" s="1"/>
  <c r="F50" i="59"/>
  <c r="C51" i="59" s="1"/>
  <c r="L50" i="59"/>
  <c r="I51" i="59" s="1"/>
  <c r="K51" i="59" s="1"/>
  <c r="RG19" i="1"/>
  <c r="F49" i="59"/>
  <c r="C50" i="59" s="1"/>
  <c r="L49" i="59"/>
  <c r="I50" i="59" s="1"/>
  <c r="F48" i="59"/>
  <c r="L48" i="59"/>
  <c r="L47" i="59"/>
  <c r="I48" i="59" s="1"/>
  <c r="F47" i="59"/>
  <c r="C48" i="59" s="1"/>
  <c r="F46" i="59"/>
  <c r="C47" i="59" s="1"/>
  <c r="L46" i="59"/>
  <c r="I47" i="59" s="1"/>
  <c r="F44" i="59"/>
  <c r="F45" i="59"/>
  <c r="C46" i="59" s="1"/>
  <c r="L44" i="59"/>
  <c r="L45" i="59"/>
  <c r="I46" i="59" s="1"/>
  <c r="L43" i="59"/>
  <c r="F43" i="59"/>
  <c r="C44" i="59" s="1"/>
  <c r="C7" i="60"/>
  <c r="F36" i="59"/>
  <c r="L36" i="59"/>
  <c r="L35" i="59"/>
  <c r="F35" i="59"/>
  <c r="L33" i="59"/>
  <c r="L34" i="59"/>
  <c r="F33" i="59"/>
  <c r="F34" i="59"/>
  <c r="L30" i="59"/>
  <c r="L31" i="59"/>
  <c r="I32" i="59" s="1"/>
  <c r="F31" i="59"/>
  <c r="C32" i="59" s="1"/>
  <c r="E32" i="59" s="1"/>
  <c r="L27" i="59"/>
  <c r="K27" i="59" s="1"/>
  <c r="F27" i="59"/>
  <c r="JU19" i="1"/>
  <c r="L24" i="59" s="1"/>
  <c r="L23" i="59"/>
  <c r="F23" i="59"/>
  <c r="F19" i="59"/>
  <c r="F20" i="59"/>
  <c r="L19" i="59"/>
  <c r="L20" i="59"/>
  <c r="L18" i="59"/>
  <c r="F18" i="59"/>
  <c r="C19" i="59" s="1"/>
  <c r="L16" i="59"/>
  <c r="F16" i="59"/>
  <c r="C8" i="59"/>
  <c r="G7" i="59"/>
  <c r="E7" i="59"/>
  <c r="F14" i="59"/>
  <c r="L14" i="59"/>
  <c r="L9" i="59"/>
  <c r="F9" i="59"/>
  <c r="G9" i="59" s="1"/>
  <c r="L7" i="59"/>
  <c r="L6" i="59"/>
  <c r="E5" i="59"/>
  <c r="C6" i="59"/>
  <c r="E6" i="59" s="1"/>
  <c r="L5" i="59"/>
  <c r="M5" i="59" s="1"/>
  <c r="H22" i="57"/>
  <c r="GK49" i="3"/>
  <c r="ZD27" i="1" l="1"/>
  <c r="ZD30" i="1" s="1"/>
  <c r="YM15" i="1"/>
  <c r="WR15" i="1"/>
  <c r="R58" i="59" s="1"/>
  <c r="O59" i="59" s="1"/>
  <c r="Q59" i="59" s="1"/>
  <c r="XT15" i="1"/>
  <c r="XT27" i="1" s="1"/>
  <c r="XT30" i="1" s="1"/>
  <c r="VJ15" i="1"/>
  <c r="VJ27" i="1" s="1"/>
  <c r="Q64" i="59"/>
  <c r="S64" i="59"/>
  <c r="M64" i="59"/>
  <c r="E64" i="59"/>
  <c r="G64" i="59"/>
  <c r="L63" i="59"/>
  <c r="I64" i="59" s="1"/>
  <c r="K64" i="59" s="1"/>
  <c r="G63" i="59"/>
  <c r="M62" i="59"/>
  <c r="I63" i="59"/>
  <c r="G62" i="59"/>
  <c r="C63" i="59"/>
  <c r="E63" i="59" s="1"/>
  <c r="E62" i="59"/>
  <c r="K62" i="59"/>
  <c r="E60" i="59"/>
  <c r="M61" i="59"/>
  <c r="K61" i="59"/>
  <c r="G61" i="59"/>
  <c r="G60" i="59"/>
  <c r="C61" i="59"/>
  <c r="E61" i="59" s="1"/>
  <c r="M60" i="59"/>
  <c r="K60" i="59"/>
  <c r="M59" i="59"/>
  <c r="K59" i="59"/>
  <c r="E59" i="59"/>
  <c r="G59" i="59"/>
  <c r="K58" i="59"/>
  <c r="M58" i="59"/>
  <c r="E58" i="59"/>
  <c r="G58" i="59"/>
  <c r="G57" i="59"/>
  <c r="E57" i="59"/>
  <c r="M57" i="59"/>
  <c r="K57" i="59"/>
  <c r="M55" i="59"/>
  <c r="I56" i="59"/>
  <c r="K56" i="59" s="1"/>
  <c r="G55" i="59"/>
  <c r="C56" i="59"/>
  <c r="E56" i="59" s="1"/>
  <c r="RG23" i="1"/>
  <c r="JU23" i="1"/>
  <c r="F24" i="59" s="1"/>
  <c r="C25" i="59" s="1"/>
  <c r="E25" i="59" s="1"/>
  <c r="SF19" i="1"/>
  <c r="G6" i="57"/>
  <c r="J6" i="57" s="1"/>
  <c r="TE19" i="1"/>
  <c r="G7" i="57"/>
  <c r="D7" i="57" s="1"/>
  <c r="F7" i="57" s="1"/>
  <c r="C14" i="57" s="1"/>
  <c r="M14" i="57" s="1"/>
  <c r="L54" i="59"/>
  <c r="G53" i="59"/>
  <c r="C54" i="59"/>
  <c r="TE23" i="1"/>
  <c r="F54" i="59"/>
  <c r="C55" i="59" s="1"/>
  <c r="E55" i="59" s="1"/>
  <c r="SF23" i="1"/>
  <c r="K52" i="59"/>
  <c r="I53" i="59"/>
  <c r="K53" i="59" s="1"/>
  <c r="G52" i="59"/>
  <c r="C53" i="59"/>
  <c r="E53" i="59" s="1"/>
  <c r="M53" i="59"/>
  <c r="M52" i="59"/>
  <c r="E52" i="59"/>
  <c r="E51" i="59"/>
  <c r="G51" i="59"/>
  <c r="M50" i="59"/>
  <c r="K50" i="59"/>
  <c r="E50" i="59"/>
  <c r="G50" i="59"/>
  <c r="M48" i="59"/>
  <c r="I49" i="59"/>
  <c r="K49" i="59" s="1"/>
  <c r="M49" i="59"/>
  <c r="G48" i="59"/>
  <c r="C49" i="59"/>
  <c r="E49" i="59" s="1"/>
  <c r="G49" i="59"/>
  <c r="K48" i="59"/>
  <c r="E48" i="59"/>
  <c r="M47" i="59"/>
  <c r="K47" i="59"/>
  <c r="G47" i="59"/>
  <c r="E47" i="59"/>
  <c r="K46" i="59"/>
  <c r="M46" i="59"/>
  <c r="E46" i="59"/>
  <c r="G46" i="59"/>
  <c r="E44" i="59"/>
  <c r="M45" i="59"/>
  <c r="M44" i="59"/>
  <c r="I45" i="59"/>
  <c r="K45" i="59" s="1"/>
  <c r="G45" i="59"/>
  <c r="G44" i="59"/>
  <c r="C45" i="59"/>
  <c r="E45" i="59" s="1"/>
  <c r="M43" i="59"/>
  <c r="K43" i="59"/>
  <c r="I44" i="59"/>
  <c r="K44" i="59" s="1"/>
  <c r="E43" i="59"/>
  <c r="G43" i="59"/>
  <c r="M36" i="59"/>
  <c r="I37" i="59"/>
  <c r="G36" i="59"/>
  <c r="C37" i="59"/>
  <c r="E37" i="59" s="1"/>
  <c r="B7" i="60"/>
  <c r="G35" i="59"/>
  <c r="C36" i="59"/>
  <c r="E36" i="59" s="1"/>
  <c r="M35" i="59"/>
  <c r="I36" i="59"/>
  <c r="G34" i="59"/>
  <c r="C35" i="59"/>
  <c r="E35" i="59" s="1"/>
  <c r="M34" i="59"/>
  <c r="I35" i="59"/>
  <c r="G33" i="59"/>
  <c r="C34" i="59"/>
  <c r="M33" i="59"/>
  <c r="I34" i="59"/>
  <c r="E33" i="59"/>
  <c r="G31" i="59"/>
  <c r="E31" i="59"/>
  <c r="M31" i="59"/>
  <c r="M30" i="59"/>
  <c r="K30" i="59"/>
  <c r="I31" i="59"/>
  <c r="K31" i="59" s="1"/>
  <c r="E27" i="59"/>
  <c r="G27" i="59"/>
  <c r="M27" i="59"/>
  <c r="I21" i="59"/>
  <c r="K21" i="59" s="1"/>
  <c r="I23" i="59"/>
  <c r="C21" i="59"/>
  <c r="E21" i="59" s="1"/>
  <c r="C23" i="59"/>
  <c r="E23" i="59" s="1"/>
  <c r="C24" i="59"/>
  <c r="M24" i="59"/>
  <c r="I25" i="59"/>
  <c r="K25" i="59" s="1"/>
  <c r="G23" i="59"/>
  <c r="M23" i="59"/>
  <c r="I24" i="59"/>
  <c r="K24" i="59" s="1"/>
  <c r="M20" i="59"/>
  <c r="G20" i="59"/>
  <c r="M19" i="59"/>
  <c r="I20" i="59"/>
  <c r="G19" i="59"/>
  <c r="C20" i="59"/>
  <c r="M18" i="59"/>
  <c r="I19" i="59"/>
  <c r="K19" i="59" s="1"/>
  <c r="G18" i="59"/>
  <c r="E18" i="59"/>
  <c r="G16" i="59"/>
  <c r="C17" i="59"/>
  <c r="M16" i="59"/>
  <c r="I17" i="59"/>
  <c r="I7" i="59"/>
  <c r="K7" i="59" s="1"/>
  <c r="M6" i="59"/>
  <c r="I10" i="59"/>
  <c r="M9" i="59"/>
  <c r="I9" i="59"/>
  <c r="K9" i="59" s="1"/>
  <c r="M7" i="59"/>
  <c r="K14" i="59"/>
  <c r="I15" i="59"/>
  <c r="M14" i="59"/>
  <c r="C15" i="59"/>
  <c r="G14" i="59"/>
  <c r="C10" i="59"/>
  <c r="E10" i="59" s="1"/>
  <c r="F6" i="60"/>
  <c r="R7" i="59"/>
  <c r="II30" i="1"/>
  <c r="IG30" i="1"/>
  <c r="R6" i="59"/>
  <c r="K5" i="59"/>
  <c r="I6" i="59"/>
  <c r="K6" i="59" s="1"/>
  <c r="IE27" i="1"/>
  <c r="IE30" i="1" s="1"/>
  <c r="R5" i="59"/>
  <c r="S5" i="59" s="1"/>
  <c r="I22" i="57"/>
  <c r="H23" i="57"/>
  <c r="GK50" i="3"/>
  <c r="GK3" i="3"/>
  <c r="H13" i="2"/>
  <c r="ZD28" i="1" l="1"/>
  <c r="YM27" i="1"/>
  <c r="WR27" i="1"/>
  <c r="WR30" i="1" s="1"/>
  <c r="S58" i="59"/>
  <c r="Q58" i="59"/>
  <c r="XT28" i="1"/>
  <c r="M63" i="59"/>
  <c r="K63" i="59"/>
  <c r="M54" i="59"/>
  <c r="I55" i="59"/>
  <c r="K55" i="59" s="1"/>
  <c r="VJ30" i="1"/>
  <c r="VJ28" i="1"/>
  <c r="I7" i="57"/>
  <c r="L7" i="57" s="1"/>
  <c r="J7" i="57"/>
  <c r="E24" i="59"/>
  <c r="G24" i="59"/>
  <c r="I6" i="57"/>
  <c r="L6" i="57" s="1"/>
  <c r="C21" i="57"/>
  <c r="C23" i="57" s="1"/>
  <c r="D6" i="57"/>
  <c r="F6" i="57" s="1"/>
  <c r="F13" i="57" s="1"/>
  <c r="F20" i="57" s="1"/>
  <c r="F23" i="57" s="1"/>
  <c r="R54" i="59"/>
  <c r="K54" i="59"/>
  <c r="G54" i="59"/>
  <c r="E54" i="59"/>
  <c r="TE15" i="1"/>
  <c r="SF15" i="1"/>
  <c r="SF27" i="1" s="1"/>
  <c r="SF30" i="1" s="1"/>
  <c r="R53" i="59"/>
  <c r="O54" i="59" s="1"/>
  <c r="R52" i="59"/>
  <c r="R50" i="59"/>
  <c r="O51" i="59" s="1"/>
  <c r="Q51" i="59" s="1"/>
  <c r="RG15" i="1"/>
  <c r="RG27" i="1" s="1"/>
  <c r="R49" i="59"/>
  <c r="O50" i="59" s="1"/>
  <c r="R48" i="59"/>
  <c r="R47" i="59"/>
  <c r="O48" i="59" s="1"/>
  <c r="R46" i="59"/>
  <c r="O47" i="59" s="1"/>
  <c r="R44" i="59"/>
  <c r="R45" i="59"/>
  <c r="O46" i="59" s="1"/>
  <c r="R43" i="59"/>
  <c r="O44" i="59" s="1"/>
  <c r="LS27" i="1"/>
  <c r="LS30" i="1" s="1"/>
  <c r="LQ30" i="1"/>
  <c r="R36" i="59"/>
  <c r="R35" i="59"/>
  <c r="R33" i="59"/>
  <c r="R34" i="59"/>
  <c r="R31" i="59"/>
  <c r="S27" i="59"/>
  <c r="JU15" i="1"/>
  <c r="R24" i="59" s="1"/>
  <c r="R23" i="59"/>
  <c r="R19" i="59"/>
  <c r="R20" i="59"/>
  <c r="O21" i="59" s="1"/>
  <c r="R18" i="59"/>
  <c r="R16" i="59"/>
  <c r="O7" i="59"/>
  <c r="Q7" i="59" s="1"/>
  <c r="S6" i="59"/>
  <c r="O9" i="59"/>
  <c r="S7" i="59"/>
  <c r="R14" i="59"/>
  <c r="R9" i="59"/>
  <c r="S9" i="59" s="1"/>
  <c r="B6" i="60"/>
  <c r="IH30" i="1"/>
  <c r="IH28" i="1"/>
  <c r="IG28" i="1"/>
  <c r="ID27" i="1"/>
  <c r="ID30" i="1" s="1"/>
  <c r="IF27" i="1"/>
  <c r="IF30" i="1" s="1"/>
  <c r="Q5" i="59"/>
  <c r="O6" i="59"/>
  <c r="Q6" i="59" s="1"/>
  <c r="IE28" i="1"/>
  <c r="J22" i="57"/>
  <c r="I23" i="57"/>
  <c r="E3" i="58"/>
  <c r="L3" i="58" s="1"/>
  <c r="G5" i="57"/>
  <c r="HZ30" i="1"/>
  <c r="HU30" i="1"/>
  <c r="HS27" i="1"/>
  <c r="HS30" i="1" s="1"/>
  <c r="HR30" i="1"/>
  <c r="HP27" i="1"/>
  <c r="HP30" i="1" s="1"/>
  <c r="HN27" i="1"/>
  <c r="HN30" i="1" s="1"/>
  <c r="HL27" i="1"/>
  <c r="HL30" i="1" s="1"/>
  <c r="HJ27" i="1"/>
  <c r="HJ30" i="1" s="1"/>
  <c r="HH27" i="1"/>
  <c r="HH30" i="1" s="1"/>
  <c r="GK4" i="3"/>
  <c r="HG11" i="1" s="1"/>
  <c r="HG27" i="1" s="1"/>
  <c r="YM30" i="1" l="1"/>
  <c r="YM28" i="1"/>
  <c r="WR28" i="1"/>
  <c r="S54" i="59"/>
  <c r="O55" i="59"/>
  <c r="Q55" i="59" s="1"/>
  <c r="M21" i="57"/>
  <c r="M13" i="57"/>
  <c r="Q54" i="59"/>
  <c r="TE27" i="1"/>
  <c r="TE30" i="1" s="1"/>
  <c r="Q52" i="59"/>
  <c r="O53" i="59"/>
  <c r="Q53" i="59" s="1"/>
  <c r="S53" i="59"/>
  <c r="SF28" i="1"/>
  <c r="S52" i="59"/>
  <c r="Q50" i="59"/>
  <c r="S50" i="59"/>
  <c r="RG30" i="1"/>
  <c r="RG28" i="1"/>
  <c r="S48" i="59"/>
  <c r="O49" i="59"/>
  <c r="Q49" i="59" s="1"/>
  <c r="S49" i="59"/>
  <c r="Q48" i="59"/>
  <c r="S47" i="59"/>
  <c r="Q47" i="59"/>
  <c r="S46" i="59"/>
  <c r="Q46" i="59"/>
  <c r="S45" i="59"/>
  <c r="S44" i="59"/>
  <c r="O45" i="59"/>
  <c r="Q45" i="59" s="1"/>
  <c r="Q44" i="59"/>
  <c r="Q43" i="59"/>
  <c r="S43" i="59"/>
  <c r="S35" i="59"/>
  <c r="O37" i="59"/>
  <c r="S36" i="59"/>
  <c r="O38" i="59"/>
  <c r="LS28" i="1"/>
  <c r="LR27" i="1"/>
  <c r="LR30" i="1" s="1"/>
  <c r="S34" i="59"/>
  <c r="O36" i="59"/>
  <c r="S33" i="59"/>
  <c r="O35" i="59"/>
  <c r="S31" i="59"/>
  <c r="O33" i="59"/>
  <c r="S24" i="59"/>
  <c r="O25" i="59"/>
  <c r="JU27" i="1"/>
  <c r="JU30" i="1" s="1"/>
  <c r="S23" i="59"/>
  <c r="O24" i="59"/>
  <c r="S20" i="59"/>
  <c r="O23" i="59"/>
  <c r="S19" i="59"/>
  <c r="O20" i="59"/>
  <c r="S18" i="59"/>
  <c r="O19" i="59"/>
  <c r="S16" i="59"/>
  <c r="O17" i="59"/>
  <c r="O15" i="59"/>
  <c r="S14" i="59"/>
  <c r="O10" i="59"/>
  <c r="Q10" i="59" s="1"/>
  <c r="ID28" i="1"/>
  <c r="IF28" i="1"/>
  <c r="M20" i="57"/>
  <c r="K22" i="57"/>
  <c r="J23" i="57"/>
  <c r="IC27" i="1"/>
  <c r="IC30" i="1" s="1"/>
  <c r="IB27" i="1"/>
  <c r="IB30" i="1" s="1"/>
  <c r="H5" i="58"/>
  <c r="H4" i="58"/>
  <c r="J5" i="57"/>
  <c r="I5" i="57"/>
  <c r="L5" i="57" s="1"/>
  <c r="L9" i="57" s="1"/>
  <c r="IA30" i="1"/>
  <c r="HY30" i="1"/>
  <c r="HX30" i="1"/>
  <c r="HT30" i="1"/>
  <c r="HS28" i="1"/>
  <c r="HR28" i="1"/>
  <c r="HQ30" i="1"/>
  <c r="HP28" i="1"/>
  <c r="HO27" i="1"/>
  <c r="HO30" i="1" s="1"/>
  <c r="HN28" i="1"/>
  <c r="HM27" i="1"/>
  <c r="HM30" i="1" s="1"/>
  <c r="HL28" i="1"/>
  <c r="HK27" i="1"/>
  <c r="HK30" i="1" s="1"/>
  <c r="HJ28" i="1"/>
  <c r="HI27" i="1"/>
  <c r="HI30" i="1" s="1"/>
  <c r="HG30" i="1"/>
  <c r="HG28" i="1"/>
  <c r="HH28" i="1"/>
  <c r="TE28" i="1" l="1"/>
  <c r="LR28" i="1"/>
  <c r="JU28" i="1"/>
  <c r="L22" i="57"/>
  <c r="K23" i="57"/>
  <c r="IC28" i="1"/>
  <c r="IB28" i="1"/>
  <c r="HQ28" i="1"/>
  <c r="HO28" i="1"/>
  <c r="HM28" i="1"/>
  <c r="HK28" i="1"/>
  <c r="HI28" i="1"/>
  <c r="D5" i="57"/>
  <c r="L23" i="57" l="1"/>
  <c r="M22" i="57"/>
  <c r="F5" i="57"/>
  <c r="G12" i="57" s="1"/>
  <c r="E5" i="58"/>
  <c r="L5" i="58" s="1"/>
  <c r="E4" i="58"/>
  <c r="L4" i="58" s="1"/>
  <c r="M12" i="57" l="1"/>
  <c r="G19" i="57"/>
  <c r="M19" i="57" l="1"/>
  <c r="M23" i="57" s="1"/>
  <c r="G23" i="57"/>
  <c r="TE3" i="3" l="1"/>
  <c r="TE4" i="3" s="1"/>
  <c r="E19" i="2" l="1"/>
  <c r="D19" i="2" s="1"/>
  <c r="E7" i="2" s="1"/>
  <c r="E11" i="2" l="1"/>
  <c r="E12" i="2"/>
  <c r="E16" i="2" s="1"/>
  <c r="C5" i="60"/>
  <c r="E20" i="2"/>
  <c r="D20" i="2" s="1"/>
  <c r="C9" i="60" l="1"/>
  <c r="C15" i="60" l="1"/>
  <c r="E46" i="2"/>
  <c r="D46" i="2" s="1"/>
  <c r="D48" i="2" s="1"/>
  <c r="H7" i="2" s="1"/>
  <c r="F5" i="60" l="1"/>
  <c r="D7" i="2"/>
  <c r="D12" i="2" s="1"/>
  <c r="H12" i="2"/>
  <c r="H16" i="2" s="1"/>
  <c r="H11" i="2"/>
  <c r="D11" i="2" s="1"/>
  <c r="D16" i="2" s="1"/>
  <c r="E48" i="2"/>
  <c r="D17" i="2" l="1"/>
  <c r="F9" i="60"/>
  <c r="B5" i="60"/>
  <c r="B9" i="60" l="1"/>
  <c r="B15" i="60" s="1"/>
  <c r="F15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Surface</author>
    <author>Щербин Артур</author>
  </authors>
  <commentList>
    <comment ref="J1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User: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APK DON cash</t>
        </r>
      </text>
    </comment>
    <comment ref="F19" authorId="1" shapeId="0" xr:uid="{00000000-0006-0000-0000-000002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F23" authorId="1" shapeId="0" xr:uid="{00000000-0006-0000-0000-000003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TS23" authorId="2" shapeId="0" xr:uid="{00000000-0006-0000-0000-000004000000}">
      <text>
        <r>
          <rPr>
            <b/>
            <sz val="9"/>
            <color indexed="81"/>
            <rFont val="Tahoma"/>
            <family val="2"/>
            <charset val="204"/>
          </rPr>
          <t>Щербин Артур:</t>
        </r>
        <r>
          <rPr>
            <sz val="9"/>
            <color indexed="81"/>
            <rFont val="Tahoma"/>
            <family val="2"/>
            <charset val="204"/>
          </rPr>
          <t xml:space="preserve">
From 31.05 it was CNY 330k less than stated for CPF Trading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Щербин Артур</author>
    <author>Anuwat</author>
  </authors>
  <commentList>
    <comment ref="PZ15" authorId="0" shapeId="0" xr:uid="{00000000-0006-0000-0200-000001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new loan 200 M. RUB from Severnaya</t>
        </r>
      </text>
    </comment>
    <comment ref="HC16" authorId="1" shapeId="0" xr:uid="{00000000-0006-0000-0200-000002000000}">
      <text>
        <r>
          <rPr>
            <b/>
            <sz val="9"/>
            <color rgb="FF000000"/>
            <rFont val="Tahoma"/>
            <family val="2"/>
          </rPr>
          <t>Anuwat: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STL repayment</t>
        </r>
      </text>
    </comment>
    <comment ref="PY27" authorId="0" shapeId="0" xr:uid="{00000000-0006-0000-0200-000003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600 M.RUB new loan from Severnaya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26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GPB WC200
</t>
        </r>
      </text>
    </comment>
  </commentList>
</comments>
</file>

<file path=xl/sharedStrings.xml><?xml version="1.0" encoding="utf-8"?>
<sst xmlns="http://schemas.openxmlformats.org/spreadsheetml/2006/main" count="2884" uniqueCount="733">
  <si>
    <t>Deposit Rate</t>
  </si>
  <si>
    <t>Exchange Rate</t>
  </si>
  <si>
    <t xml:space="preserve">Key Rate </t>
  </si>
  <si>
    <t>Start</t>
  </si>
  <si>
    <t>Duedate</t>
  </si>
  <si>
    <t>Overnight / Saving</t>
  </si>
  <si>
    <t xml:space="preserve">Time Deposit </t>
  </si>
  <si>
    <t>Time Deposit Rate</t>
  </si>
  <si>
    <t xml:space="preserve">2. USD </t>
  </si>
  <si>
    <t>RUB/USD</t>
  </si>
  <si>
    <t>RUB/EUR</t>
  </si>
  <si>
    <t>Total Cash on Hands in USD Currency</t>
  </si>
  <si>
    <t>Average Deposit Rate</t>
  </si>
  <si>
    <t>1. Ruble 
(Equivalent  to USD)</t>
  </si>
  <si>
    <t>Total</t>
  </si>
  <si>
    <t>Russia Group - Daily Financial Report</t>
  </si>
  <si>
    <t>Cash on Hand (million)</t>
  </si>
  <si>
    <t>*7-8/3/22 เป็นวันหยุดราชการ</t>
  </si>
  <si>
    <t>Promissory note  (Equivalent  to USD)</t>
  </si>
  <si>
    <t>Total Cash and Promissory note
 (Equivalent  to USD)</t>
  </si>
  <si>
    <t>Exchange</t>
  </si>
  <si>
    <t>CPFO</t>
  </si>
  <si>
    <t>CPFA</t>
  </si>
  <si>
    <t>CPFF</t>
  </si>
  <si>
    <t>CPFSP</t>
  </si>
  <si>
    <t>CPFR</t>
  </si>
  <si>
    <t>CPFC</t>
  </si>
  <si>
    <t>APK DON Group</t>
  </si>
  <si>
    <t>Agro-Sojuz</t>
  </si>
  <si>
    <t>Mjaso-Sojuz</t>
  </si>
  <si>
    <t>Agro-Oskol</t>
  </si>
  <si>
    <t>APK Don</t>
  </si>
  <si>
    <t>RBPI Group</t>
  </si>
  <si>
    <t>PPP</t>
  </si>
  <si>
    <t>PPP2</t>
  </si>
  <si>
    <t>NNPP</t>
  </si>
  <si>
    <t>NNPP2</t>
  </si>
  <si>
    <t>Kornevo</t>
  </si>
  <si>
    <t>Rechnoe</t>
  </si>
  <si>
    <t>FC</t>
  </si>
  <si>
    <t>MC</t>
  </si>
  <si>
    <t>RBPI</t>
  </si>
  <si>
    <t>Finagro</t>
  </si>
  <si>
    <t>S&amp;W</t>
  </si>
  <si>
    <t>Ruble / USD</t>
  </si>
  <si>
    <t>(Equivalent  to M.USD)</t>
  </si>
  <si>
    <t>M.RUB</t>
  </si>
  <si>
    <t>CPFO Group</t>
  </si>
  <si>
    <t>Overnight / Saving account</t>
  </si>
  <si>
    <t>Donskoy 
Bekon</t>
  </si>
  <si>
    <t>Alekseevskiy
Kombikormovy Zavod</t>
  </si>
  <si>
    <t>Alekseevsky
Bekon</t>
  </si>
  <si>
    <t>Agro
Ostrogorzhsk</t>
  </si>
  <si>
    <t>MPK
Belgorod</t>
  </si>
  <si>
    <t>Chochol
Trostjanka</t>
  </si>
  <si>
    <t>RBPI 
Elite Seeds</t>
  </si>
  <si>
    <t>RBPI
 Voronezh</t>
  </si>
  <si>
    <t>Partner West</t>
  </si>
  <si>
    <t>APK DON</t>
  </si>
  <si>
    <t>Severnaya</t>
  </si>
  <si>
    <t>Woyskovitsy</t>
  </si>
  <si>
    <t>Partner 
East</t>
  </si>
  <si>
    <t xml:space="preserve">  Total CPFO Group (M.RUB)</t>
  </si>
  <si>
    <t xml:space="preserve">                                     (M.USD)</t>
  </si>
  <si>
    <t xml:space="preserve">  Total RUSSIA          (M.RUB)</t>
  </si>
  <si>
    <t xml:space="preserve">  Total APK DON       (M.RUB)</t>
  </si>
  <si>
    <t xml:space="preserve">  Total RBPI Group  (M.RUB)</t>
  </si>
  <si>
    <t xml:space="preserve">  Total S&amp;W              (M.RUB)</t>
  </si>
  <si>
    <t>M.USD</t>
  </si>
  <si>
    <t>Unit</t>
  </si>
  <si>
    <t xml:space="preserve">  - USD</t>
  </si>
  <si>
    <t xml:space="preserve">  - Ruble (Equivalent To USD)</t>
  </si>
  <si>
    <t xml:space="preserve">  - EUR  (Equivalent To USD)</t>
  </si>
  <si>
    <t xml:space="preserve">   Total Ruble</t>
  </si>
  <si>
    <t xml:space="preserve">  - USD  (Equivalent To RUB)</t>
  </si>
  <si>
    <t xml:space="preserve">  - EUR  (Equivalent To RUB)</t>
  </si>
  <si>
    <t>Total (Equivalent to RUB)</t>
  </si>
  <si>
    <t>Total (Equivalent to USD)</t>
  </si>
  <si>
    <t xml:space="preserve">  - Ruble</t>
  </si>
  <si>
    <t xml:space="preserve">  - Ruble  (Equivalent To USD)</t>
  </si>
  <si>
    <t>Ruble / EUR</t>
  </si>
  <si>
    <t>CPF RUSSIA Cash in bank report</t>
  </si>
  <si>
    <t>Amount 
(RUB million)</t>
  </si>
  <si>
    <t>Test</t>
  </si>
  <si>
    <t>Rate from CBR</t>
  </si>
  <si>
    <t>The Central Bank of Russian Federation | Bank of Russia (cbr.ru)</t>
  </si>
  <si>
    <t>Company</t>
  </si>
  <si>
    <t>Description</t>
  </si>
  <si>
    <t>Bank</t>
  </si>
  <si>
    <t>Preferable rate</t>
  </si>
  <si>
    <t>Credit</t>
  </si>
  <si>
    <t>Loan</t>
  </si>
  <si>
    <t>Available credit</t>
  </si>
  <si>
    <t>Interest rate</t>
  </si>
  <si>
    <t>Potential rate</t>
  </si>
  <si>
    <t>Condition</t>
  </si>
  <si>
    <t>STL</t>
  </si>
  <si>
    <t>Fixed</t>
  </si>
  <si>
    <t>Subsidy</t>
  </si>
  <si>
    <t>Available</t>
  </si>
  <si>
    <t>SBER</t>
  </si>
  <si>
    <t>LTL</t>
  </si>
  <si>
    <t>SW</t>
  </si>
  <si>
    <t>GPB</t>
  </si>
  <si>
    <t>Non Fixed</t>
  </si>
  <si>
    <t>SUM RUSSIA</t>
  </si>
  <si>
    <t>Table 2</t>
  </si>
  <si>
    <t>CPF Ryazan</t>
  </si>
  <si>
    <t>RSHB</t>
  </si>
  <si>
    <t>CPF RUSSIA Loan report</t>
  </si>
  <si>
    <t>Unit : M.Ruble</t>
  </si>
  <si>
    <t>Total Loan</t>
  </si>
  <si>
    <t>Rate</t>
  </si>
  <si>
    <t>SUM</t>
  </si>
  <si>
    <t>RUSSIA</t>
  </si>
  <si>
    <t>Exchange rate</t>
  </si>
  <si>
    <t xml:space="preserve"> Ruble / USD</t>
  </si>
  <si>
    <t>Unit : M.USD</t>
  </si>
  <si>
    <t xml:space="preserve">Detail of Time Deposit </t>
  </si>
  <si>
    <t xml:space="preserve">3. EUR 
</t>
  </si>
  <si>
    <t>(Equivalent  to USD)</t>
  </si>
  <si>
    <t>CPF RUSSIA CPFI loan Cash flow report</t>
  </si>
  <si>
    <t>Unit : M.RUB</t>
  </si>
  <si>
    <t>Budget</t>
  </si>
  <si>
    <t>Paid</t>
  </si>
  <si>
    <t>Wk.15</t>
  </si>
  <si>
    <t>Wk.16</t>
  </si>
  <si>
    <t>Wk.17</t>
  </si>
  <si>
    <t>Wk.18</t>
  </si>
  <si>
    <t>Wk.19</t>
  </si>
  <si>
    <t>Wk.20</t>
  </si>
  <si>
    <t>Wk.21</t>
  </si>
  <si>
    <t>Wk.22</t>
  </si>
  <si>
    <t>Wk.23</t>
  </si>
  <si>
    <t>Wk.24</t>
  </si>
  <si>
    <t>Wk.25</t>
  </si>
  <si>
    <t>Wk.26</t>
  </si>
  <si>
    <t>CPFO ( Received loan 21,341,870.08 USD at 12.04.2022 )</t>
  </si>
  <si>
    <t>To finish construct Ryazan farm</t>
  </si>
  <si>
    <t>Renovation Klemovo farm</t>
  </si>
  <si>
    <t>Cropping &amp; Feed mill</t>
  </si>
  <si>
    <t xml:space="preserve">  Total</t>
  </si>
  <si>
    <t>RBPI ( Received loan 26,076,103.86 USD at 13.04.2022 )</t>
  </si>
  <si>
    <t>Construct NNPP-3</t>
  </si>
  <si>
    <t>Construct NNPP-4</t>
  </si>
  <si>
    <t>Lender</t>
  </si>
  <si>
    <t>Borrower</t>
  </si>
  <si>
    <t>Term</t>
  </si>
  <si>
    <t>Agreement</t>
  </si>
  <si>
    <t>Date of agreement</t>
  </si>
  <si>
    <t>Balance ,mln</t>
  </si>
  <si>
    <t>Currency</t>
  </si>
  <si>
    <t>LT</t>
  </si>
  <si>
    <t>nn</t>
  </si>
  <si>
    <t>31.03.2016</t>
  </si>
  <si>
    <t>EUR</t>
  </si>
  <si>
    <t>25.06.2019</t>
  </si>
  <si>
    <t>RUR</t>
  </si>
  <si>
    <t xml:space="preserve">Management Company </t>
  </si>
  <si>
    <t>2018-RUB-08</t>
  </si>
  <si>
    <t>20.08.2018</t>
  </si>
  <si>
    <t>2019-RUB-12</t>
  </si>
  <si>
    <t>06.12.2019</t>
  </si>
  <si>
    <t>2019-RUB-12-01</t>
  </si>
  <si>
    <t>11.12.2019</t>
  </si>
  <si>
    <t xml:space="preserve">PPP </t>
  </si>
  <si>
    <t>2008-30m-euro</t>
  </si>
  <si>
    <t>26.03.2008</t>
  </si>
  <si>
    <t>13.08.2018</t>
  </si>
  <si>
    <t>2016-200m-RUB</t>
  </si>
  <si>
    <t>ПСП-УК-2021</t>
  </si>
  <si>
    <t xml:space="preserve">ПСП-УК-2021-08 </t>
  </si>
  <si>
    <t>PPP-2</t>
  </si>
  <si>
    <t>ПСП-ПСП-2-2018</t>
  </si>
  <si>
    <t xml:space="preserve">ПСП-2 N 000001 </t>
  </si>
  <si>
    <t>ПСП-2 N 000002</t>
  </si>
  <si>
    <t>ПСП-2 N 000003</t>
  </si>
  <si>
    <t>ПСП-2 N 000004</t>
  </si>
  <si>
    <t>ПСП-2 N 000006</t>
  </si>
  <si>
    <t>ПСП-2 N 000008</t>
  </si>
  <si>
    <t>ПСП-2 N 000009</t>
  </si>
  <si>
    <t>NNPP-2</t>
  </si>
  <si>
    <t>ПСП-ННПП2-2018</t>
  </si>
  <si>
    <t>ПСП-Речное-2021-09</t>
  </si>
  <si>
    <t>вексель РЕ 000001</t>
  </si>
  <si>
    <t>вексель РЕ 000002</t>
  </si>
  <si>
    <t>вексель РЕ 000003</t>
  </si>
  <si>
    <t>вексель РЕ 000004</t>
  </si>
  <si>
    <t>вексель РЕ 000005</t>
  </si>
  <si>
    <t>вексель РЕ 000006</t>
  </si>
  <si>
    <t>вексель РЕ 000007</t>
  </si>
  <si>
    <t>вексель РЕ 000008</t>
  </si>
  <si>
    <t>вексель РЕ 000009</t>
  </si>
  <si>
    <t>вексель РЕ 000010</t>
  </si>
  <si>
    <t>вексель РЕ 000011</t>
  </si>
  <si>
    <t>ПСП-Речное-2021-08</t>
  </si>
  <si>
    <t>2021-100RUB-03</t>
  </si>
  <si>
    <t>RBPI Partner West</t>
  </si>
  <si>
    <t>ПСП-РБПИ-2020</t>
  </si>
  <si>
    <t>RBPI Elite Seeds</t>
  </si>
  <si>
    <t xml:space="preserve">ПСП-ЭС-2020 </t>
  </si>
  <si>
    <t>ННПП-УК-02-2018</t>
  </si>
  <si>
    <t xml:space="preserve">ННПП-УК-2020 </t>
  </si>
  <si>
    <t>ПСП-2 N 000005</t>
  </si>
  <si>
    <t>ПСП-2 N 000007</t>
  </si>
  <si>
    <t>2018-01</t>
  </si>
  <si>
    <t>ННПП-ННПП2-2018-02</t>
  </si>
  <si>
    <t>ННПП-ННПП2-2021-01</t>
  </si>
  <si>
    <t>ННПП2-УК-2016-06</t>
  </si>
  <si>
    <t>ННПП2-УК-08-2017</t>
  </si>
  <si>
    <t>ННПП2-УК-01-2018</t>
  </si>
  <si>
    <t>SEVERNAYA</t>
  </si>
  <si>
    <t>CPFT</t>
  </si>
  <si>
    <t>ST</t>
  </si>
  <si>
    <t>Договор займа № 3 от 08.04.21 (до 31.12.22)</t>
  </si>
  <si>
    <t>Договор займа № 4 от 12.10.21 (до 31.12.23)</t>
  </si>
  <si>
    <t>Договор займа № 5/СПФТ от 01.02.22 (до 31.12.23)</t>
  </si>
  <si>
    <t>Договор займа №6 от 14.07.2017</t>
  </si>
  <si>
    <t>14.07.2017</t>
  </si>
  <si>
    <t>Договор займа №3 от 15.08.2017 (500 млн)</t>
  </si>
  <si>
    <t>15.08.2017</t>
  </si>
  <si>
    <t>Договор займа №3 от 10.03.2017 г. (500 000 000)</t>
  </si>
  <si>
    <t>10.03.2017</t>
  </si>
  <si>
    <t>Договор займа №7 от 02.11.2017г (50 млн)</t>
  </si>
  <si>
    <t>02.11.2017</t>
  </si>
  <si>
    <t>Short-term loans</t>
  </si>
  <si>
    <t>Long-term loans</t>
  </si>
  <si>
    <t>Group</t>
  </si>
  <si>
    <t>Act. received</t>
  </si>
  <si>
    <t>Own cash</t>
  </si>
  <si>
    <t>Loan
Balance</t>
  </si>
  <si>
    <t>Cash on hand</t>
  </si>
  <si>
    <t>In</t>
  </si>
  <si>
    <t>Cash from Operating</t>
  </si>
  <si>
    <t>Total Cash In</t>
  </si>
  <si>
    <t>Out</t>
  </si>
  <si>
    <t>Operating expenses</t>
  </si>
  <si>
    <t>Investment</t>
  </si>
  <si>
    <t>Raw Material</t>
  </si>
  <si>
    <t>Purchase breeder</t>
  </si>
  <si>
    <t xml:space="preserve"> Total Cash out</t>
  </si>
  <si>
    <t>Summary Cash from Operating</t>
  </si>
  <si>
    <t>(2)+(3)</t>
  </si>
  <si>
    <t>Net Cash Balance</t>
  </si>
  <si>
    <t>(1)+(2)+(3)</t>
  </si>
  <si>
    <t>Q1</t>
  </si>
  <si>
    <t>Q2</t>
  </si>
  <si>
    <t>Q3</t>
  </si>
  <si>
    <t>Q4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</si>
  <si>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</si>
  <si>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</si>
  <si>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</si>
  <si>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</si>
  <si>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</si>
  <si>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</si>
  <si>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</si>
  <si>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</si>
  <si>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</si>
  <si>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</si>
  <si>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</si>
  <si>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</si>
  <si>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Currency: TRUB</t>
  </si>
  <si>
    <t>1.000 RUB</t>
  </si>
  <si>
    <t>CASH FLOWS</t>
  </si>
  <si>
    <t xml:space="preserve">May </t>
  </si>
  <si>
    <t>Operating activities</t>
  </si>
  <si>
    <t>Sales</t>
  </si>
  <si>
    <t>Subsidies</t>
  </si>
  <si>
    <t>Production payables</t>
  </si>
  <si>
    <t>Grain purchase</t>
  </si>
  <si>
    <t>VAT</t>
  </si>
  <si>
    <t>Purchasing Pigs</t>
  </si>
  <si>
    <t>Receivables</t>
  </si>
  <si>
    <t>Taxes</t>
  </si>
  <si>
    <t>Net cash flows from operating activities</t>
  </si>
  <si>
    <t>Investing activities</t>
  </si>
  <si>
    <t>Construction</t>
  </si>
  <si>
    <t>Net cash flows used in investing activities</t>
  </si>
  <si>
    <t>Financing activities</t>
  </si>
  <si>
    <t>Repayment of ST borrowings</t>
  </si>
  <si>
    <t>Proceeds from new shares</t>
  </si>
  <si>
    <t>Cash deposits</t>
  </si>
  <si>
    <t>Interest paid</t>
  </si>
  <si>
    <t>Proceeds from subsidies</t>
  </si>
  <si>
    <t>Dividend tax</t>
  </si>
  <si>
    <t>Dividend</t>
  </si>
  <si>
    <t>Net cash flows from financing activities</t>
  </si>
  <si>
    <t>Net change in cash</t>
  </si>
  <si>
    <t xml:space="preserve"> </t>
  </si>
  <si>
    <t>Cash at the beginning</t>
  </si>
  <si>
    <t>Previous</t>
  </si>
  <si>
    <t>CASH AT THE END</t>
  </si>
  <si>
    <t>CONSOLIDATED Budget 2022 RBPI GROUP</t>
  </si>
  <si>
    <t>TOTAL</t>
  </si>
  <si>
    <t>Purchasing pigs</t>
  </si>
  <si>
    <t>Investments</t>
  </si>
  <si>
    <t>Proceeds from borrowings ST</t>
  </si>
  <si>
    <t xml:space="preserve">Repayment of LT borrowings </t>
  </si>
  <si>
    <t xml:space="preserve">Repayment of ST borrowings </t>
  </si>
  <si>
    <t>Invest to BZG 70% shares (slaughterhouse)</t>
  </si>
  <si>
    <t>Dividend tax (PPP and NNPP)</t>
  </si>
  <si>
    <t>Cash at the end</t>
  </si>
  <si>
    <t>CONSOLIDATED Budget 2022 APK DON</t>
  </si>
  <si>
    <t>Sales pig production</t>
  </si>
  <si>
    <t>Sales crop production</t>
  </si>
  <si>
    <t>Intercompany payables</t>
  </si>
  <si>
    <t>Profit tax</t>
  </si>
  <si>
    <t>Proceeds from LT borrowings</t>
  </si>
  <si>
    <t>Proceeds from borrowings, short term</t>
  </si>
  <si>
    <t>Proceeds from borrowings, Group RBPI</t>
  </si>
  <si>
    <t>Repayment of LT borrowings</t>
  </si>
  <si>
    <t>Repayment of borrowings, Group MC/PPP</t>
  </si>
  <si>
    <t>Interest and royalty paid, Group</t>
  </si>
  <si>
    <t>Dividend paid to RBPI</t>
  </si>
  <si>
    <t>Dividend paid to PPP</t>
  </si>
  <si>
    <t>Interest income, Group</t>
  </si>
  <si>
    <t>Debt: PPP-NNPP 2020</t>
  </si>
  <si>
    <t xml:space="preserve">     %: PPP-NNPP 2020</t>
  </si>
  <si>
    <t>Debt: PPP bill 1</t>
  </si>
  <si>
    <t xml:space="preserve">     %: PPP bill 1</t>
  </si>
  <si>
    <t>Debt: RBPI bill 2</t>
  </si>
  <si>
    <t xml:space="preserve">     %: RBPI bill 2</t>
  </si>
  <si>
    <t>Debt: PPP bill 3</t>
  </si>
  <si>
    <t xml:space="preserve">      %: PPP bill 3</t>
  </si>
  <si>
    <t>Debt: PPP bill 4</t>
  </si>
  <si>
    <t xml:space="preserve">      %: PPP bill 4</t>
  </si>
  <si>
    <t>Debt: PPP bill 5</t>
  </si>
  <si>
    <t xml:space="preserve">      %: PPP bill 5</t>
  </si>
  <si>
    <t>Debt: PPP bill 6</t>
  </si>
  <si>
    <t xml:space="preserve">      %: PPP bill 6</t>
  </si>
  <si>
    <t>Debt: PPP bill 7</t>
  </si>
  <si>
    <t xml:space="preserve">      %: PPP bill 7</t>
  </si>
  <si>
    <t>Debt: PPP bill 8</t>
  </si>
  <si>
    <t xml:space="preserve">      %: PPP bill 8</t>
  </si>
  <si>
    <t>Debt: PPP bill 9</t>
  </si>
  <si>
    <t xml:space="preserve">      %: PPP bill 9</t>
  </si>
  <si>
    <t>Debt: PPP bill 10</t>
  </si>
  <si>
    <t xml:space="preserve">      %: PPP bill 10</t>
  </si>
  <si>
    <t>Debt: PPP bill 11</t>
  </si>
  <si>
    <t xml:space="preserve">      %: PPP bill 11</t>
  </si>
  <si>
    <t>Debt: PPP bill 12</t>
  </si>
  <si>
    <t xml:space="preserve">      %: PPP bill 12</t>
  </si>
  <si>
    <t>Debt: PPP bill 13</t>
  </si>
  <si>
    <t xml:space="preserve">      %: PPP bill 13</t>
  </si>
  <si>
    <t>Debt: PPP bill 14</t>
  </si>
  <si>
    <t xml:space="preserve">      %: PPP bill 14</t>
  </si>
  <si>
    <t>Debt: PPP bill 15</t>
  </si>
  <si>
    <t xml:space="preserve">      %: PPP bill 15</t>
  </si>
  <si>
    <t>Debt: PPP bill 16</t>
  </si>
  <si>
    <t xml:space="preserve">      %: PPP bill 16</t>
  </si>
  <si>
    <t>Debt: PPP bill 17</t>
  </si>
  <si>
    <t xml:space="preserve">      %: PPP bill 17</t>
  </si>
  <si>
    <t>LT loan for purchase</t>
  </si>
  <si>
    <t>Repayment after 2021….</t>
  </si>
  <si>
    <t>2022 Year</t>
  </si>
  <si>
    <t>ST loan</t>
  </si>
  <si>
    <t>2023 Year</t>
  </si>
  <si>
    <t>use own cash</t>
  </si>
  <si>
    <t>Interest paid - S&amp;W,Stesha, CPFI</t>
  </si>
  <si>
    <t>I/C Loan</t>
  </si>
  <si>
    <t>Bank Loan</t>
  </si>
  <si>
    <t>Repay - Bank loan</t>
  </si>
  <si>
    <t>Repay - I/C loan</t>
  </si>
  <si>
    <t>Total Cash from Operating</t>
  </si>
  <si>
    <t>VAT receivables 31/12</t>
  </si>
  <si>
    <t>*2-3 May Russia holiday</t>
  </si>
  <si>
    <t>* Since 4 May key rate 14%</t>
  </si>
  <si>
    <t>Budget 2022: CPFO GROUP</t>
  </si>
  <si>
    <t>Investments (cropping)</t>
  </si>
  <si>
    <t>Proceeds I/C Loan</t>
  </si>
  <si>
    <t>Proceeds from Bank</t>
  </si>
  <si>
    <t>Repayment of LT (GPB)</t>
  </si>
  <si>
    <t>Interest paid - Bank</t>
  </si>
  <si>
    <t>charter capital edition</t>
  </si>
  <si>
    <t>GPB - CPFR</t>
  </si>
  <si>
    <t>CPFI - CPFO</t>
  </si>
  <si>
    <t>Proceeds from I/C Loan</t>
  </si>
  <si>
    <t>CPF RUSSIA Intercompany Loan report</t>
  </si>
  <si>
    <t>ACT</t>
  </si>
  <si>
    <t>EST</t>
  </si>
  <si>
    <t>*9-10 May Russia holiday</t>
  </si>
  <si>
    <t>as of 30-04-2022</t>
  </si>
  <si>
    <t>* Since 27 May key rate 11%</t>
  </si>
  <si>
    <t>Sales others</t>
  </si>
  <si>
    <t>Forex</t>
  </si>
  <si>
    <t>Diff</t>
  </si>
  <si>
    <t>Repay Loan + Interest</t>
  </si>
  <si>
    <t>Updated 07.06.2022 Excluding CPFI loan</t>
  </si>
  <si>
    <t>Updated 07.06.2022 Including CPFI loan</t>
  </si>
  <si>
    <t>As at 05.04.2022 Excluding CPFI loan</t>
  </si>
  <si>
    <t>As at 05.04.2022 Including CPFI loan</t>
  </si>
  <si>
    <t>04</t>
  </si>
  <si>
    <t>06</t>
  </si>
  <si>
    <t>05.04.22</t>
  </si>
  <si>
    <t>1. Cash from Operating เพิ่มขึ้น 433 m.rub</t>
  </si>
  <si>
    <t>2. Investment สูงขึ้น 1,460m.rub</t>
  </si>
  <si>
    <t>1. Cash from Operating ลดลง 1,075 m.rub</t>
  </si>
  <si>
    <t>2. Operating expenses สูงขึ้น 874 m.rub</t>
  </si>
  <si>
    <t>1. Bank loan ลดลง 311m.rub</t>
  </si>
  <si>
    <t xml:space="preserve">    จาก APK DON ปรับปรุงฟาร์ม</t>
  </si>
  <si>
    <t xml:space="preserve">    จากปริมาณขายหมู APK DONเพิ่มขึ้น</t>
  </si>
  <si>
    <t xml:space="preserve">   300m.rub</t>
  </si>
  <si>
    <t xml:space="preserve">   เนื่องจากยังไม่สามารถกู้เงินจากธนาคารได้</t>
  </si>
  <si>
    <t>3. ซื้อวัตถุดิบลดลง 2,637m.rub</t>
  </si>
  <si>
    <t>3. ซื้อวัตถุดิบลดลง 903m.rub</t>
  </si>
  <si>
    <t xml:space="preserve">    จากประมาณการราคาขายลดลงตามเกิดจริง </t>
  </si>
  <si>
    <t xml:space="preserve">    จากเดิมอ้างอิงตามงปม.</t>
  </si>
  <si>
    <t xml:space="preserve">     จากต้นทุนอาหารสัตว์ และราคานำเข้าไข่ฟัก</t>
  </si>
  <si>
    <t xml:space="preserve">     ,ลูกไก่พันธุ์สูงขึ้น</t>
  </si>
  <si>
    <t xml:space="preserve">    ตามกระแสเงินสดที่ลดลง</t>
  </si>
  <si>
    <t>เม.ย.</t>
  </si>
  <si>
    <t>พ.ค.</t>
  </si>
  <si>
    <t>ผลต่าง</t>
  </si>
  <si>
    <t>รวม</t>
  </si>
  <si>
    <t>หน่วย : ล้านรูเบิ้ล</t>
  </si>
  <si>
    <t>มี.ค.</t>
  </si>
  <si>
    <t>Investment (CPFO &amp; RBPI Farm)</t>
  </si>
  <si>
    <t>ประมาณการ : 14.03.2022</t>
  </si>
  <si>
    <t>เกิดจริง : Updated 07.06.2022</t>
  </si>
  <si>
    <t>* 13 Jun 
Russia holiday</t>
  </si>
  <si>
    <t>* Since 14 June 
key rate 9.5%</t>
  </si>
  <si>
    <t>* Since 25 May key rate 8%</t>
  </si>
  <si>
    <t>Criteria</t>
  </si>
  <si>
    <t>Net Operational Income</t>
  </si>
  <si>
    <t>Correction on prior year income</t>
  </si>
  <si>
    <t>Allowance for Bad Debt</t>
  </si>
  <si>
    <t>Provision for retirement fund</t>
  </si>
  <si>
    <t>Income Tax payable</t>
  </si>
  <si>
    <t>Accumulated Depreciation</t>
  </si>
  <si>
    <t>Cash in (out) from operation</t>
  </si>
  <si>
    <t xml:space="preserve">Payable </t>
  </si>
  <si>
    <t>Current Account</t>
  </si>
  <si>
    <t>Dividend Payable</t>
  </si>
  <si>
    <t>Other current and None Current liabilities</t>
  </si>
  <si>
    <t>Cash in (out) from liabilities</t>
  </si>
  <si>
    <t>Accounts receivable &amp; checks on hand-trade</t>
  </si>
  <si>
    <t>Short-term Loan Receivable</t>
  </si>
  <si>
    <t>Inventories</t>
  </si>
  <si>
    <t>Other Current and None Current Assets</t>
  </si>
  <si>
    <t>Cash out ( in ) from current assets</t>
  </si>
  <si>
    <t>Property , plant and equipment</t>
  </si>
  <si>
    <t>Other Assets</t>
  </si>
  <si>
    <t>Cash out ( in ) from investing</t>
  </si>
  <si>
    <t>Financial Institutions</t>
  </si>
  <si>
    <t>Short-term Loans</t>
  </si>
  <si>
    <t>Legal reserves</t>
  </si>
  <si>
    <t>Share capital increase in cash</t>
  </si>
  <si>
    <t>Cash in (out) from financing</t>
  </si>
  <si>
    <t>Net Cash in (out)</t>
  </si>
  <si>
    <t>Cash on Hand at the beginning</t>
  </si>
  <si>
    <t>Cash In (out) this month</t>
  </si>
  <si>
    <t>Cash on Hand at the end</t>
  </si>
  <si>
    <t>Check -&gt;</t>
  </si>
  <si>
    <t>July</t>
  </si>
  <si>
    <t>Severnaya &amp; Woyskovitsy</t>
  </si>
  <si>
    <t>Wk.27</t>
  </si>
  <si>
    <t>Wk.28</t>
  </si>
  <si>
    <t>Wk.29</t>
  </si>
  <si>
    <t>Wk.30</t>
  </si>
  <si>
    <t>Wk.31</t>
  </si>
  <si>
    <t>RBPI AS</t>
  </si>
  <si>
    <t>Agro Soyuz</t>
  </si>
  <si>
    <t>Myaso Soyuz</t>
  </si>
  <si>
    <t>CPFO group</t>
  </si>
  <si>
    <t>RBPI group</t>
  </si>
  <si>
    <t xml:space="preserve">4. CNY
</t>
  </si>
  <si>
    <t xml:space="preserve">  - CNY  (Equivalent To USD)</t>
  </si>
  <si>
    <t>Detail of TimeCNY Deposit</t>
  </si>
  <si>
    <t>Amount (CNY million)</t>
  </si>
  <si>
    <t>RUB/CNY</t>
  </si>
  <si>
    <t>Ruble /CNY</t>
  </si>
  <si>
    <t>รายการ</t>
  </si>
  <si>
    <t>เที่ยวละ</t>
  </si>
  <si>
    <t>รวมปริมาณที่ต้องการซื้อ
ปี 2023</t>
  </si>
  <si>
    <t>@EUR</t>
  </si>
  <si>
    <t>ประมาณการ
M.EUR</t>
  </si>
  <si>
    <t>แลกเงิน
เพื่อสำรอง
M.EUR</t>
  </si>
  <si>
    <t>ลูกไก่พันธุ์</t>
  </si>
  <si>
    <t>ตัว</t>
  </si>
  <si>
    <t>ไข่ฟัก</t>
  </si>
  <si>
    <t>ฟอง</t>
  </si>
  <si>
    <t>เงินกู้ยืม CPFI</t>
  </si>
  <si>
    <t>Minimum cash</t>
  </si>
  <si>
    <t>Free cash flow</t>
  </si>
  <si>
    <t>Monthly Cash Flow Report</t>
  </si>
  <si>
    <t>JSC Poultry Parent Stock Production Woyskovitsy</t>
  </si>
  <si>
    <t>JSC Poultry Production Severnaya</t>
  </si>
  <si>
    <t>USD</t>
  </si>
  <si>
    <t>CNY</t>
  </si>
  <si>
    <t>March</t>
  </si>
  <si>
    <t>April</t>
  </si>
  <si>
    <t>Target</t>
  </si>
  <si>
    <t>On hand</t>
  </si>
  <si>
    <t>Equivalent to M.USD</t>
  </si>
  <si>
    <t>Hard currency</t>
  </si>
  <si>
    <t>Unit : Million</t>
  </si>
  <si>
    <t>Equivalent to M.RUB</t>
  </si>
  <si>
    <t>Needed</t>
  </si>
  <si>
    <t>Month</t>
  </si>
  <si>
    <t>Amount</t>
  </si>
  <si>
    <t>Date</t>
  </si>
  <si>
    <t>Total Amount</t>
  </si>
  <si>
    <t>Daily Hard currency exchange report.</t>
  </si>
  <si>
    <t>Mln</t>
  </si>
  <si>
    <t>* buying rate</t>
  </si>
  <si>
    <r>
      <t>Rate</t>
    </r>
    <r>
      <rPr>
        <b/>
        <sz val="11"/>
        <color rgb="FFFF0000"/>
        <rFont val="Arial"/>
        <family val="2"/>
        <charset val="204"/>
      </rPr>
      <t>*</t>
    </r>
  </si>
  <si>
    <t>June</t>
  </si>
  <si>
    <t>August</t>
  </si>
  <si>
    <t>September</t>
  </si>
  <si>
    <t>October</t>
  </si>
  <si>
    <t>November</t>
  </si>
  <si>
    <t>December</t>
  </si>
  <si>
    <t>M.CNY</t>
  </si>
  <si>
    <t>Spare parts + Premix</t>
  </si>
  <si>
    <t>หน่วย ล้าน</t>
  </si>
  <si>
    <t>รูเบิ้ล ต่อ 1</t>
  </si>
  <si>
    <t>แลกสกุลเงิน</t>
  </si>
  <si>
    <t>เงินสดคงเหลือ</t>
  </si>
  <si>
    <t>ซื้อ Soybean meal และ Premix</t>
  </si>
  <si>
    <t>สกุลUSD</t>
  </si>
  <si>
    <t>สกุล CNY</t>
  </si>
  <si>
    <t>สกุลEUR</t>
  </si>
  <si>
    <t>M.EUR</t>
  </si>
  <si>
    <t>CNYสำรอง</t>
  </si>
  <si>
    <t>สำรองเดือนละ 5ล้าน CNY เมย.-ธค.</t>
  </si>
  <si>
    <t>Overnight deposit</t>
  </si>
  <si>
    <t>CNY สำรอง</t>
  </si>
  <si>
    <t>Revised 06/03/2023</t>
  </si>
  <si>
    <t>ต้องการแลกเงินเพิ่ม</t>
  </si>
  <si>
    <t>แผนการซื้อสกุลเงิน Hard currency (หน่วย : ล้าน)</t>
  </si>
  <si>
    <t>ประมาณเงินรูเบิ้ลที่ต้องใช้แลก  (หน่วย : ล้านรูเบิ้ล)</t>
  </si>
  <si>
    <t>Ruble / CNY</t>
  </si>
  <si>
    <t>For illustrative purpose</t>
  </si>
  <si>
    <t>beginning cash</t>
  </si>
  <si>
    <t>purchase</t>
  </si>
  <si>
    <t>spend</t>
  </si>
  <si>
    <t>ending cash</t>
  </si>
  <si>
    <t>to purchase</t>
  </si>
  <si>
    <t>date</t>
  </si>
  <si>
    <t>target:</t>
  </si>
  <si>
    <t>Cash in bank</t>
  </si>
  <si>
    <t>Total RUSSIA</t>
  </si>
  <si>
    <t>Cash balance as end of year 2023</t>
  </si>
  <si>
    <t>Total Cash on hand (1)</t>
  </si>
  <si>
    <t>Cash from operating 
 excluding Revolving loan , Repay loan  (2)</t>
  </si>
  <si>
    <t>Due date 2023</t>
  </si>
  <si>
    <t xml:space="preserve"> - Short tem loan*</t>
  </si>
  <si>
    <t xml:space="preserve"> - Long term loan</t>
  </si>
  <si>
    <t>Total repayment due 2023   (3)</t>
  </si>
  <si>
    <t>Balance (1) + (2) - (3)</t>
  </si>
  <si>
    <t>*STL excluded CPFI loan repayment</t>
  </si>
  <si>
    <t>Wk.32</t>
  </si>
  <si>
    <t>Wk.33</t>
  </si>
  <si>
    <t>Wk.34</t>
  </si>
  <si>
    <t>Wk.35</t>
  </si>
  <si>
    <t>Wk.36</t>
  </si>
  <si>
    <t>As of 10 / 04 / 2022</t>
  </si>
  <si>
    <t xml:space="preserve">  - CNY  (Equivalent To RUB)</t>
  </si>
  <si>
    <t>Stesha</t>
  </si>
  <si>
    <t>Unit : Ruble</t>
  </si>
  <si>
    <t>Other current  liabilities</t>
  </si>
  <si>
    <t>Accounts receivable</t>
  </si>
  <si>
    <t>Unit : M.Rub</t>
  </si>
  <si>
    <t>Non Subsidy</t>
  </si>
  <si>
    <t>* M&amp;A loan</t>
  </si>
  <si>
    <t>Agreement 
Date</t>
  </si>
  <si>
    <t>Due Date</t>
  </si>
  <si>
    <t>No</t>
  </si>
  <si>
    <t>Yes</t>
  </si>
  <si>
    <t>Russia</t>
  </si>
  <si>
    <t>Detail of TimeUSD Deposit</t>
  </si>
  <si>
    <t>Amount (USD million)</t>
  </si>
  <si>
    <t>MC RBPI Group</t>
  </si>
  <si>
    <t>Finagro ApS</t>
  </si>
  <si>
    <t>RBPI Partner East</t>
  </si>
  <si>
    <t>RBPI Voronezh</t>
  </si>
  <si>
    <t>Alekseevsky Bekon</t>
  </si>
  <si>
    <t>Donskoy Bekon</t>
  </si>
  <si>
    <t>Agro-Ostrogorzhsk</t>
  </si>
  <si>
    <t>Alekseevskiy Kombikormovy Zavod</t>
  </si>
  <si>
    <t>MPK Belgorod</t>
  </si>
  <si>
    <t>Total Existing Loan</t>
  </si>
  <si>
    <t>CPF RUSSIA Intercompany loan</t>
  </si>
  <si>
    <t>APK</t>
  </si>
  <si>
    <t>Modern 
solutions</t>
  </si>
  <si>
    <t>RBPI TH</t>
  </si>
  <si>
    <t>Detail of TimeEUR Deposit</t>
  </si>
  <si>
    <t>Amount (EUR million)</t>
  </si>
  <si>
    <t>Float</t>
  </si>
  <si>
    <t>Fix</t>
  </si>
  <si>
    <t>Sub/ Non sub</t>
  </si>
  <si>
    <t>SPB</t>
  </si>
  <si>
    <t>Stesha ,LLC.</t>
  </si>
  <si>
    <t>Amount: Ruble</t>
  </si>
  <si>
    <t>Unappropriated retained earnings</t>
  </si>
  <si>
    <t>Income Dividend from S&amp;W</t>
  </si>
  <si>
    <t>Interest rate
Approved memo</t>
  </si>
  <si>
    <t>VTB</t>
  </si>
  <si>
    <t>CPFI</t>
  </si>
  <si>
    <t>CPF PLC</t>
  </si>
  <si>
    <t>Sberbank  130B014TY2LZMF ( DB  )</t>
  </si>
  <si>
    <t>Sberbank  550COOOZK12LZMF  ( Kornevo  )</t>
  </si>
  <si>
    <t>Bank SPb  7500-22-020286/25 ( PPP  )</t>
  </si>
  <si>
    <t>Bank SPb  7500-24-018253/4  ( NNPP  )</t>
  </si>
  <si>
    <t>Bank SPb  7500-22-020286/22 ( PPP  )</t>
  </si>
  <si>
    <t>Bank SPb  7500-22-020286/26  ( PPP  )</t>
  </si>
  <si>
    <t>Gasprombank  0124-031 ( PPP-2  )</t>
  </si>
  <si>
    <t>Bank SPb  7500-22-020286/24  ( PPP  )</t>
  </si>
  <si>
    <t>Bank SPb  7500-22-020286/27 ( PPP )</t>
  </si>
  <si>
    <t>Bank SPb  7500-24-018253/3 ( NNPP  )</t>
  </si>
  <si>
    <t>Sberbank  550С010922LZMF  ( Kornevo  )</t>
  </si>
  <si>
    <t>Bank SPb  7500-22-020286/28 ( PPP  )</t>
  </si>
  <si>
    <t>Sberbank  550С00YFH2LZMF  ( Kornevo  )</t>
  </si>
  <si>
    <t>Gasprombank  0124-034 ( PPP-2  )</t>
  </si>
  <si>
    <t>Bank SPb  7500-24-018253/1  ( NNPP  )</t>
  </si>
  <si>
    <t>Bank SPb  7500-22-020286/21  ( PPP  )</t>
  </si>
  <si>
    <t>Sberbank  130C00ZY92LZMF ( AO  )</t>
  </si>
  <si>
    <t>Sberbank  130C00ZOB2LZMF ( AB  )</t>
  </si>
  <si>
    <t>Gasprombank  0124-023  ( PPP-2  )</t>
  </si>
  <si>
    <t>Sberbank  130C00ZGI2LZMF ( Oskol  )</t>
  </si>
  <si>
    <t>Gasprombank  0124-025  ( PPP-2  )</t>
  </si>
  <si>
    <t>Bank SPb  7500-24-018253/2 ( NNPP  )</t>
  </si>
  <si>
    <t>Sberbank  130C011JG2LZMF ( AB  )</t>
  </si>
  <si>
    <t>Gasprombank  0124-033 ( PPP-2  )</t>
  </si>
  <si>
    <t>Bank SPb  7500-24-018253/6 ( NNPP )</t>
  </si>
  <si>
    <t>Bank SPb  7500-24-018253/5 ( NNPP )</t>
  </si>
  <si>
    <t>Sberbank    601521249 ( RBPI Voronezh  )</t>
  </si>
  <si>
    <t>Sberbank    601521222 ( RBPI Voronezh  )</t>
  </si>
  <si>
    <t>VTB BANK   15/18  ( NNPP-2  )</t>
  </si>
  <si>
    <t>Bank SPb  7500-24-003260  ( PPP  )</t>
  </si>
  <si>
    <t>Bank SPb  7500-22-020286/14  ( PPP  )</t>
  </si>
  <si>
    <t>Gasprombank  0117-053   ( PPP-2  )</t>
  </si>
  <si>
    <t>Gasprombank  0118-046   ( PPP-2  )</t>
  </si>
  <si>
    <t>Gasprombank  0118-045  ( PPP-2  )</t>
  </si>
  <si>
    <t>Bank SPb  7500-22-020286/19 ( PPP  )</t>
  </si>
  <si>
    <t>Bank SPb  7500-22-020286/15 ( PPP )</t>
  </si>
  <si>
    <t>Bank SPb  7500-22-020286/4 ( PPP  )</t>
  </si>
  <si>
    <t>Bank SPb  7500-22-020286/11  ( PPP  )</t>
  </si>
  <si>
    <t>Bank SPb  7500-23-042170 ( PPP  )</t>
  </si>
  <si>
    <t>Bank SPb  7500-22-003340  ( PPP  )</t>
  </si>
  <si>
    <t>Gasprombank  0118-066 ( Rechnoe   )</t>
  </si>
  <si>
    <t>Gasprombank  0121-014  ( NNPP  )</t>
  </si>
  <si>
    <t>Gasprombank  0121-015  ( NNPP  )</t>
  </si>
  <si>
    <t>Gasprombank  0121-018  ( PPP  )</t>
  </si>
  <si>
    <t>Bank SPb  7500-22-020286/23  ( PPP  )</t>
  </si>
  <si>
    <t>Sberbank   550B00FYXMF  ( NNPP  )</t>
  </si>
  <si>
    <t>Sberbank  130B015SN2LZMF ( AB  )</t>
  </si>
  <si>
    <t>Sberbank  130B015II2LZMF ( AO  )</t>
  </si>
  <si>
    <t>Sberbank  130B015WWMF ( Oskol  )</t>
  </si>
  <si>
    <t>Sberbank  130B015Q02LZMF ( AB  )</t>
  </si>
  <si>
    <t>Bank SPb  7500-22-020286/29 ( PPP )</t>
  </si>
  <si>
    <t>Bank SPb   7500-22-020286/30 ( PPP  )</t>
  </si>
  <si>
    <t>CPF RUSSIA repayment 2025</t>
  </si>
  <si>
    <t>Total
2025</t>
  </si>
  <si>
    <t>26 M.EURO</t>
  </si>
  <si>
    <t>Monthly Cash Flow Report 2025</t>
  </si>
  <si>
    <t>Bank SPb  7500-25-000001-1  ( Kornevo  )</t>
  </si>
  <si>
    <t>Sberbank 130B017BN2LZMF ( AKZ  )</t>
  </si>
  <si>
    <t>Sberbank 130B016UA2LZMF ( AKZ  )</t>
  </si>
  <si>
    <t>Sberbank  130B016AT2LZMF ( DB  )</t>
  </si>
  <si>
    <t>Gasprombank  0125-002 ( PPP-2  )</t>
  </si>
  <si>
    <t>VTB BANK   СВЛ/061225-069229 ( NNPP-2  )</t>
  </si>
  <si>
    <t>Sberbank 130B017BA2LZMF ( AKZ  )</t>
  </si>
  <si>
    <t>Bank SPb  7500-22-020286/31 ( PPP )</t>
  </si>
  <si>
    <t>In case no revolving STL</t>
  </si>
  <si>
    <t>Production rearing house project</t>
  </si>
  <si>
    <t>Sberbank  130B016F12LZMF ( AB  )</t>
  </si>
  <si>
    <t>Sberbank  130B016FM2LZMF ( AB  )</t>
  </si>
  <si>
    <t>Sberbank  130B018152LZMF ( DB  )</t>
  </si>
  <si>
    <t>Sberbank  130B017JKMF ( AO  )</t>
  </si>
  <si>
    <t>Sberbank  130B017IBMF ( AO  )</t>
  </si>
  <si>
    <t>Sberbank  130B017AYАСРМMF ( Oskol  )</t>
  </si>
  <si>
    <t>Sberbank  130B01763АСРМMF ( Oskol  )</t>
  </si>
  <si>
    <t>Sberbank  550B017PHАСРМMF ( NNPP  )</t>
  </si>
  <si>
    <t>Sberbank  130B013BZMF ( AKZ  )</t>
  </si>
  <si>
    <t>Sberbank  550B017B82LZMF ( NNPP  )</t>
  </si>
  <si>
    <t>Sberbank  130C00Z832LZMF ( AB  )</t>
  </si>
  <si>
    <t>Sberbank  130B016EZ2LZMF ( AB  )</t>
  </si>
  <si>
    <t>Sberbank  130C011H02LZMF ( AB  )</t>
  </si>
  <si>
    <t>Sberbank   130B013FZMF ( AKZ  )</t>
  </si>
  <si>
    <t>Sberbank   130C010142LZMF ( Oskol  )</t>
  </si>
  <si>
    <t>Sberbank  130B0132S2LZMF ( Oskol  )</t>
  </si>
  <si>
    <t>Sberbank 130B016BF2LZMF ( DB  )</t>
  </si>
  <si>
    <t>Bank SPb  7500-22-020286/34 ( PPP  )</t>
  </si>
  <si>
    <t>Sberbank  130B013H0MF ( AKZ  )</t>
  </si>
  <si>
    <t>Gasprombank  0125-004 ( PPP-2  )</t>
  </si>
  <si>
    <t>Bank SPb  7500-22-020286/33 ( PPP  )</t>
  </si>
  <si>
    <t>Bank SPb  7500-22-020286/32 ( PPP )</t>
  </si>
  <si>
    <t>Bank SPb  7500-22-020286/36 ( PPP )</t>
  </si>
  <si>
    <t>Bank SPb  7500-22-020286/37 ( PPP )</t>
  </si>
  <si>
    <t>Bank SPb  7500-22-020286/35 ( PPP )</t>
  </si>
  <si>
    <t>Wait RBPI revise</t>
  </si>
  <si>
    <t>Modern Solutions</t>
  </si>
  <si>
    <t>Chochol-Trostjanka</t>
  </si>
  <si>
    <t>Sberbank  130B018CKАСРМMF ( AB  )</t>
  </si>
  <si>
    <t>Bank SPb  7500-24-018253/7 ( NNPP )</t>
  </si>
  <si>
    <t>Sberbank 550B018WIАСРМMF ( NNPP )</t>
  </si>
  <si>
    <t>VTB BANK   СВЛ/061225-163942 ( NNPP-2  )</t>
  </si>
  <si>
    <t>Sberbank  130B01882MF ( AKZ  )</t>
  </si>
  <si>
    <t>Int.</t>
  </si>
  <si>
    <t>Row Labels</t>
  </si>
  <si>
    <t>Grand Total</t>
  </si>
  <si>
    <t>Count of Loan</t>
  </si>
  <si>
    <t>(Multiple Items)</t>
  </si>
  <si>
    <t>Bank SPb  7500-22-020286/38 ( PPP )</t>
  </si>
  <si>
    <t>Bank SPb  7500-22-020286/39 ( PPP )</t>
  </si>
  <si>
    <t>Bank SPb  7500-22-020286/40 ( PPP )</t>
  </si>
  <si>
    <t>Bank SPb  7500-22-020286/3  ( PPP  )</t>
  </si>
  <si>
    <t>Ruble/THB</t>
  </si>
  <si>
    <t>yes</t>
  </si>
  <si>
    <t>no</t>
  </si>
  <si>
    <t>Sberbank  130B018FGMF ( AKZ  )</t>
  </si>
  <si>
    <t>Sberbank  130B018LHMF ( AKZ  )</t>
  </si>
  <si>
    <t>Sberbank  130B01A532LZMF ( DB  )</t>
  </si>
  <si>
    <t>Bank SPb  7500-22-020286/41 ( PPP  )</t>
  </si>
  <si>
    <t>Bank SPb  7500-22-020286/42 ( PPP  )</t>
  </si>
  <si>
    <t>Sberbank  130B019CBАСРМMF ( AB  )</t>
  </si>
  <si>
    <t>VTB BANK   СВЛ/061225-271696 ( NNPP )</t>
  </si>
  <si>
    <t>Sberbank  130B013FZMF ( AKZ  )</t>
  </si>
  <si>
    <t>Sberbank  130C010142LZMF ( Oskol  )</t>
  </si>
  <si>
    <t>Gasprombank  0125-007 ( PPP-2  )</t>
  </si>
  <si>
    <t>VTB BANK   СНЛ/061225-294400 ( NNPP-2  )</t>
  </si>
  <si>
    <t>Bank SPb  7500-22-020286/44 ( PPP )</t>
  </si>
  <si>
    <t>Bank SPb  7500-22-020286/43 ( PPP  )</t>
  </si>
  <si>
    <t>Bank SPb  7500-22-020286/30 ( PPP  )</t>
  </si>
  <si>
    <t>Total
Jul - Dec</t>
  </si>
  <si>
    <t>241.5 M.BHT</t>
  </si>
  <si>
    <t>as of 31-07-2025</t>
  </si>
  <si>
    <t>Sberbank  130B01BIM2LZMF  ( AB  )</t>
  </si>
  <si>
    <t>Sberbank 550B01AY5MF ( NNPP )</t>
  </si>
  <si>
    <t>Bank SPb  7500-22-020286/45  ( PPP  )</t>
  </si>
  <si>
    <t>Sberbank  550B00FYXMF  ( NNPP  )</t>
  </si>
  <si>
    <t>RBPI+APK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</si>
</sst>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฿&quot;#,##0;\-&quot;฿&quot;#,##0"/>
    <numFmt numFmtId="165" formatCode="_-* #,##0_-;\-* #,##0_-;_-* &quot;-&quot;_-;_-@_-"/>
    <numFmt numFmtId="166" formatCode="_-&quot;฿&quot;* #,##0.00_-;\-&quot;฿&quot;* #,##0.00_-;_-&quot;฿&quot;* &quot;-&quot;??_-;_-@_-"/>
    <numFmt numFmtId="167" formatCode="_-* #,##0.00_-;\-* #,##0.00_-;_-* &quot;-&quot;??_-;_-@_-"/>
    <numFmt numFmtId="168" formatCode="_-* #,##0.00\ _₽_-;\-* #,##0.00\ _₽_-;_-* &quot;-&quot;??\ _₽_-;_-@_-"/>
    <numFmt numFmtId="169" formatCode="_(* #,##0_);_(* \(#,##0\);_(* &quot;-&quot;??_);_(@_)"/>
    <numFmt numFmtId="170" formatCode="_(* #,##0.0_);_(* \(#,##0.0\);_(* &quot;-&quot;??_);_(@_)"/>
    <numFmt numFmtId="171" formatCode="_-* #,##0.00\ _р_._-;\-* #,##0.00\ _р_._-;_-* &quot;-&quot;??\ _р_._-;_-@_-"/>
    <numFmt numFmtId="172" formatCode="#,##0.0"/>
    <numFmt numFmtId="173" formatCode="dd\/mm\/yy"/>
    <numFmt numFmtId="174" formatCode="#,##0.0_);\(#,##0.0\)"/>
    <numFmt numFmtId="175" formatCode="_-* #,##0_-;\-* #,##0_-;_-* &quot;-&quot;??_-;_-@_-"/>
    <numFmt numFmtId="176" formatCode="dd\.mm\.yyyy;@"/>
    <numFmt numFmtId="177" formatCode="_-* #,##0.00_р_._-;\-* #,##0.00_р_._-;_-* &quot;-&quot;??_р_._-;_-@_-"/>
    <numFmt numFmtId="178" formatCode="_(* #,##0_);_(* \(#,##0\);_(* &quot;-&quot;???_);_(@_)"/>
    <numFmt numFmtId="179" formatCode="_-* #,##0_р_._-;\-* #,##0_р_._-;_-* &quot;-&quot;??_р_._-;_-@_-"/>
    <numFmt numFmtId="180" formatCode="_(* #,##0_);[Red]_(* \(#,##0\);_(* &quot;-&quot;??_);_(@_)"/>
    <numFmt numFmtId="181" formatCode="_(* #,##0,;[Red]_(* \(#,##0,\);_(* &quot;-&quot;??_);_(@_)"/>
    <numFmt numFmtId="182" formatCode="_(* #,##0.000_);_(* \(#,##0.000\);_(* &quot;-&quot;??_);_(@_)"/>
    <numFmt numFmtId="183" formatCode="_(* #,##0.0000000_);_(* \(#,##0.0000000\);_(* &quot;-&quot;??_);_(@_)"/>
    <numFmt numFmtId="184" formatCode="_-* #,##0.0\ _₽_-;\-* #,##0.0\ _₽_-;_-* &quot;-&quot;?\ _₽_-;_-@_-"/>
    <numFmt numFmtId="185" formatCode="0.0%"/>
    <numFmt numFmtId="186" formatCode="General_)"/>
    <numFmt numFmtId="187" formatCode="_ * #,##0_ ;_ * \-#,##0_ ;_ * &quot;-&quot;_ ;_ @_ "/>
    <numFmt numFmtId="188" formatCode="_ * #,##0.00_ ;_ * \-#,##0.00_ ;_ * &quot;-&quot;??_ ;_ @_ "/>
    <numFmt numFmtId="189" formatCode="\t&quot;$&quot;#,##0_);[Red]\(\t&quot;$&quot;#,##0\)"/>
    <numFmt numFmtId="190" formatCode="\t&quot;฿&quot;#,##0_);[Red]\(\t&quot;฿&quot;#,##0\)"/>
    <numFmt numFmtId="191" formatCode="_-* #,##0_р_._-;\-* #,##0_р_._-;_-* &quot;-&quot;_р_._-;_-@_-"/>
    <numFmt numFmtId="192" formatCode="_-* #,##0\ _T_L_-;\-* #,##0\ _T_L_-;_-* &quot;-&quot;\ _T_L_-;_-@_-"/>
    <numFmt numFmtId="193" formatCode="#,##0\ \ ;\(#,##0\)\ ;\—\ \ \ \ "/>
    <numFmt numFmtId="194" formatCode="0.00_)"/>
    <numFmt numFmtId="195" formatCode="#,##0.000"/>
    <numFmt numFmtId="196" formatCode="[$-1070000]d/m/yy;@"/>
    <numFmt numFmtId="197" formatCode="#,##0.000;[Red]\-#,##0.000"/>
    <numFmt numFmtId="198" formatCode="#,##0.00;[Red]\(#,##0.000\)"/>
    <numFmt numFmtId="199" formatCode="#,##0;[Red]\(#,##0\)"/>
    <numFmt numFmtId="200" formatCode="_(&quot;฿&quot;* #,##0.00_);_(&quot;฿&quot;* \(#,##0.00\);_(&quot;฿&quot;* &quot;-&quot;??_);_(@_)"/>
    <numFmt numFmtId="201" formatCode="#,##0.0000"/>
    <numFmt numFmtId="202" formatCode="dd\-mmm\-yy_)"/>
    <numFmt numFmtId="203" formatCode="#,##0.00\ &quot;F&quot;;\-#,##0.00\ &quot;F&quot;"/>
    <numFmt numFmtId="204" formatCode="\$#,##0\ ;\(\$#,##0\)"/>
    <numFmt numFmtId="205" formatCode="#,##0\ &quot; &quot;;\(#,##0\)\ ;&quot;—&quot;&quot; &quot;&quot; &quot;&quot; &quot;&quot; &quot;"/>
    <numFmt numFmtId="206" formatCode="#,##0.0000_);[Red]\(#,##0.0000\)"/>
    <numFmt numFmtId="207" formatCode="&quot;฿&quot;#,##0_);\(&quot;฿&quot;#,##0\)"/>
    <numFmt numFmtId="208" formatCode="&quot;\&quot;#,##0;[Red]&quot;\&quot;&quot;\&quot;\-#,##0"/>
    <numFmt numFmtId="209" formatCode="&quot;\&quot;#,##0.00;[Red]&quot;\&quot;\-#,##0.00"/>
    <numFmt numFmtId="210" formatCode="&quot;\&quot;#,##0;[Red]&quot;\&quot;\-#,##0"/>
    <numFmt numFmtId="211" formatCode="#,##0.00000_);\(#,##0.00000\)"/>
    <numFmt numFmtId="212" formatCode="&quot;$&quot;#,##0;[Red]\-&quot;$&quot;#,##0"/>
    <numFmt numFmtId="213" formatCode="_-* #,##0\ _р_._-;\-* #,##0\ _р_._-;_-* &quot;-&quot;??\ _р_._-;_-@_-"/>
    <numFmt numFmtId="214" formatCode="_-* #,##0.00000000000\ _р_._-;\-* #,##0.00000000000\ _р_._-;_-* &quot;-&quot;??\ _р_._-;_-@_-"/>
    <numFmt numFmtId="215" formatCode="#,##0_ ;\-#,##0\ "/>
    <numFmt numFmtId="216" formatCode="_-* #,##0.0\ _₽_-;\-* #,##0.0\ _₽_-;_-* &quot;-&quot;??\ _₽_-;_-@_-"/>
    <numFmt numFmtId="217" formatCode="dd\.mm\.yyyy"/>
    <numFmt numFmtId="218" formatCode="_-* #,##0.0\ _р_._-;\-* #,##0.0\ _р_._-;_-* &quot;-&quot;??\ _р_._-;_-@_-"/>
    <numFmt numFmtId="219" formatCode="#,##0.0;\-#,##0.0"/>
    <numFmt numFmtId="220" formatCode="0.0"/>
    <numFmt numFmtId="221" formatCode="mm/yyyy"/>
    <numFmt numFmtId="222" formatCode="_(* #,##0.0000_);_(* \(#,##0.0000\);_(* &quot;-&quot;??_);_(@_)"/>
    <numFmt numFmtId="223" formatCode="_ [$¥-804]* #,##0.00_ ;_ [$¥-804]* \-#,##0.00_ ;_ [$¥-804]* &quot;-&quot;??_ ;_ @_ "/>
    <numFmt numFmtId="224" formatCode="#,##0;[Red]#,##0"/>
    <numFmt numFmtId="225" formatCode="yyyy"/>
    <numFmt numFmtId="226" formatCode="_-* #,##0.000_-;\-* #,##0.000_-;_-* &quot;-&quot;??_-;_-@_-"/>
    <numFmt numFmtId="227" formatCode="#,##0.0000000000000"/>
    <numFmt numFmtId="228" formatCode="#,##0.00000000000000"/>
  </numFmts>
  <fonts count="36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CC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CC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i/>
      <sz val="11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4"/>
      <name val="Arial"/>
      <family val="2"/>
      <charset val="204"/>
    </font>
    <font>
      <b/>
      <sz val="10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rgb="FF0000FF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1"/>
      <color rgb="FF0000CC"/>
      <name val="Calibri"/>
      <family val="2"/>
      <charset val="204"/>
      <scheme val="minor"/>
    </font>
    <font>
      <i/>
      <sz val="11"/>
      <color rgb="FF0000CC"/>
      <name val="Calibri"/>
      <family val="2"/>
      <scheme val="minor"/>
    </font>
    <font>
      <b/>
      <sz val="18"/>
      <color theme="1"/>
      <name val="Arial"/>
      <family val="2"/>
    </font>
    <font>
      <sz val="14"/>
      <name val="BrowalliaUPC"/>
      <family val="2"/>
    </font>
    <font>
      <b/>
      <sz val="10"/>
      <name val="Tahoma"/>
      <family val="2"/>
      <charset val="204"/>
    </font>
    <font>
      <b/>
      <sz val="10"/>
      <name val="Tahoma"/>
      <family val="2"/>
    </font>
    <font>
      <sz val="14"/>
      <name val="Cordia New"/>
      <family val="2"/>
    </font>
    <font>
      <sz val="10"/>
      <name val="Tahoma"/>
      <family val="2"/>
      <charset val="222"/>
    </font>
    <font>
      <sz val="10"/>
      <name val="Tahoma"/>
      <family val="2"/>
      <charset val="204"/>
    </font>
    <font>
      <sz val="10"/>
      <name val="Arial"/>
      <family val="2"/>
      <charset val="222"/>
    </font>
    <font>
      <b/>
      <sz val="10"/>
      <name val="Tahoma"/>
      <family val="2"/>
      <charset val="222"/>
    </font>
    <font>
      <b/>
      <sz val="10"/>
      <name val="Arial"/>
      <family val="2"/>
      <charset val="222"/>
    </font>
    <font>
      <b/>
      <sz val="10"/>
      <name val="Arial"/>
      <family val="2"/>
      <charset val="204"/>
    </font>
    <font>
      <b/>
      <sz val="10"/>
      <name val="Angsana New"/>
      <family val="1"/>
      <charset val="222"/>
    </font>
    <font>
      <sz val="10"/>
      <name val="Angsana New"/>
      <family val="1"/>
      <charset val="222"/>
    </font>
    <font>
      <sz val="10"/>
      <name val="Angsana New"/>
      <family val="1"/>
      <charset val="204"/>
    </font>
    <font>
      <sz val="11"/>
      <color indexed="8"/>
      <name val="新細明體"/>
      <family val="1"/>
      <charset val="136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i/>
      <sz val="11"/>
      <name val="Arial"/>
      <family val="2"/>
    </font>
    <font>
      <b/>
      <sz val="11"/>
      <color rgb="FF002060"/>
      <name val="Arial"/>
      <family val="2"/>
    </font>
    <font>
      <sz val="1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i/>
      <sz val="11"/>
      <color rgb="FFFF00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i/>
      <sz val="8"/>
      <color theme="1"/>
      <name val="Calibri"/>
      <family val="2"/>
      <scheme val="minor"/>
    </font>
    <font>
      <i/>
      <sz val="8"/>
      <color theme="0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10"/>
      <name val="Calibri"/>
      <family val="2"/>
      <charset val="204"/>
      <scheme val="minor"/>
    </font>
    <font>
      <sz val="11"/>
      <color rgb="FF0033CC"/>
      <name val="Calibri"/>
      <family val="2"/>
      <charset val="204"/>
      <scheme val="minor"/>
    </font>
    <font>
      <sz val="11"/>
      <color rgb="FF003399"/>
      <name val="Calibri"/>
      <family val="2"/>
      <scheme val="minor"/>
    </font>
    <font>
      <sz val="11"/>
      <color rgb="FF00339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u/>
      <sz val="10"/>
      <name val="Calibri"/>
      <family val="2"/>
      <charset val="204"/>
      <scheme val="minor"/>
    </font>
    <font>
      <u val="singleAccounting"/>
      <sz val="10"/>
      <name val="Calibri"/>
      <family val="2"/>
      <charset val="204"/>
      <scheme val="minor"/>
    </font>
    <font>
      <b/>
      <sz val="10"/>
      <name val="Calibri"/>
      <family val="2"/>
      <scheme val="minor"/>
    </font>
    <font>
      <b/>
      <sz val="10"/>
      <name val="Calibri"/>
      <family val="2"/>
      <charset val="204"/>
      <scheme val="minor"/>
    </font>
    <font>
      <sz val="10"/>
      <color rgb="FF003399"/>
      <name val="Calibri"/>
      <family val="2"/>
      <charset val="204"/>
      <scheme val="minor"/>
    </font>
    <font>
      <b/>
      <sz val="10"/>
      <color rgb="FF003399"/>
      <name val="Calibri"/>
      <family val="2"/>
      <scheme val="minor"/>
    </font>
    <font>
      <b/>
      <sz val="14"/>
      <color theme="0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b/>
      <sz val="14"/>
      <color rgb="FF002060"/>
      <name val="Arial"/>
      <family val="2"/>
    </font>
    <font>
      <b/>
      <sz val="12"/>
      <name val="Arial"/>
      <family val="2"/>
    </font>
    <font>
      <b/>
      <i/>
      <sz val="11"/>
      <color theme="0"/>
      <name val="Arial"/>
      <family val="2"/>
    </font>
    <font>
      <sz val="11"/>
      <color theme="0"/>
      <name val="Calibri"/>
      <family val="2"/>
      <charset val="204"/>
      <scheme val="minor"/>
    </font>
    <font>
      <b/>
      <sz val="14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charset val="204"/>
      <scheme val="minor"/>
    </font>
    <font>
      <b/>
      <sz val="11"/>
      <color theme="0" tint="-0.34998626667073579"/>
      <name val="Calibri"/>
      <family val="2"/>
      <scheme val="minor"/>
    </font>
    <font>
      <b/>
      <sz val="9"/>
      <color indexed="81"/>
      <name val="Tahoma"/>
      <family val="2"/>
      <charset val="204"/>
    </font>
    <font>
      <b/>
      <i/>
      <sz val="18"/>
      <name val="Arial"/>
      <family val="2"/>
    </font>
    <font>
      <sz val="10"/>
      <name val="Arial"/>
      <family val="2"/>
    </font>
    <font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b/>
      <sz val="18"/>
      <color theme="3"/>
      <name val="Calibri Light"/>
      <family val="2"/>
      <charset val="162"/>
      <scheme val="major"/>
    </font>
    <font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indexed="8"/>
      <name val="Calibri"/>
      <family val="2"/>
      <charset val="204"/>
    </font>
    <font>
      <sz val="8"/>
      <name val="Calibri"/>
      <family val="2"/>
      <charset val="204"/>
      <scheme val="minor"/>
    </font>
    <font>
      <b/>
      <i/>
      <sz val="12"/>
      <name val="Arial"/>
      <family val="2"/>
    </font>
    <font>
      <b/>
      <sz val="12"/>
      <color rgb="FF002060"/>
      <name val="Arial"/>
      <family val="2"/>
    </font>
    <font>
      <b/>
      <sz val="14"/>
      <color rgb="FFC00000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14"/>
      <color rgb="FF002060"/>
      <name val="Arial"/>
      <family val="2"/>
    </font>
    <font>
      <b/>
      <sz val="16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rgb="FF0033CC"/>
      <name val="Arial"/>
      <family val="2"/>
    </font>
    <font>
      <sz val="9"/>
      <color rgb="FF0070C0"/>
      <name val="Arial"/>
      <family val="2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indexed="20"/>
      <name val="????"/>
      <family val="1"/>
      <charset val="222"/>
    </font>
    <font>
      <sz val="11"/>
      <color indexed="60"/>
      <name val="????"/>
      <family val="1"/>
      <charset val="222"/>
    </font>
    <font>
      <b/>
      <sz val="15"/>
      <color indexed="56"/>
      <name val="????"/>
      <family val="1"/>
      <charset val="136"/>
    </font>
    <font>
      <b/>
      <sz val="13"/>
      <color indexed="56"/>
      <name val="????"/>
      <family val="1"/>
      <charset val="136"/>
    </font>
    <font>
      <b/>
      <sz val="11"/>
      <color indexed="56"/>
      <name val="????"/>
      <family val="1"/>
      <charset val="136"/>
    </font>
    <font>
      <u/>
      <sz val="12"/>
      <color indexed="12"/>
      <name val="??"/>
      <family val="2"/>
      <charset val="134"/>
    </font>
    <font>
      <sz val="11"/>
      <color indexed="52"/>
      <name val="????"/>
      <family val="1"/>
      <charset val="222"/>
    </font>
    <font>
      <sz val="10"/>
      <name val="Helv"/>
      <family val="2"/>
      <charset val="222"/>
    </font>
    <font>
      <sz val="12"/>
      <color indexed="52"/>
      <name val="????"/>
      <family val="1"/>
      <charset val="136"/>
    </font>
    <font>
      <sz val="11"/>
      <color indexed="9"/>
      <name val="????"/>
      <family val="1"/>
      <charset val="222"/>
    </font>
    <font>
      <sz val="12"/>
      <name val="Times New Roman"/>
      <family val="1"/>
      <charset val="222"/>
    </font>
    <font>
      <sz val="12"/>
      <name val="??"/>
      <charset val="134"/>
    </font>
    <font>
      <sz val="12"/>
      <color indexed="9"/>
      <name val="????"/>
      <family val="1"/>
      <charset val="136"/>
    </font>
    <font>
      <sz val="10"/>
      <name val="Helv"/>
      <family val="2"/>
    </font>
    <font>
      <sz val="14"/>
      <name val="AngsanaUPC"/>
      <family val="1"/>
      <charset val="222"/>
    </font>
    <font>
      <sz val="14"/>
      <name val="AngsanaUPC"/>
      <family val="1"/>
    </font>
    <font>
      <sz val="12"/>
      <name val="Times New Roman"/>
      <family val="1"/>
    </font>
    <font>
      <sz val="14"/>
      <name val="Cordia New"/>
      <family val="2"/>
      <charset val="222"/>
    </font>
    <font>
      <sz val="11"/>
      <color indexed="8"/>
      <name val="????"/>
      <family val="1"/>
      <charset val="222"/>
    </font>
    <font>
      <sz val="12"/>
      <color indexed="8"/>
      <name val="????"/>
      <family val="1"/>
      <charset val="136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theme="1"/>
      <name val="Calibri"/>
      <family val="2"/>
      <charset val="222"/>
      <scheme val="minor"/>
    </font>
    <font>
      <sz val="11"/>
      <color indexed="8"/>
      <name val="Tahoma"/>
      <family val="2"/>
    </font>
    <font>
      <sz val="11"/>
      <color indexed="8"/>
      <name val="宋体"/>
      <charset val="134"/>
    </font>
    <font>
      <sz val="11"/>
      <color indexed="8"/>
      <name val="新細明體"/>
      <family val="1"/>
    </font>
    <font>
      <sz val="12"/>
      <color indexed="8"/>
      <name val="新細明體"/>
      <family val="1"/>
      <charset val="136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Tahoma"/>
      <family val="2"/>
    </font>
    <font>
      <sz val="11"/>
      <color indexed="9"/>
      <name val="宋体"/>
      <charset val="134"/>
    </font>
    <font>
      <sz val="11"/>
      <color indexed="9"/>
      <name val="新細明體"/>
      <family val="1"/>
    </font>
    <font>
      <sz val="12"/>
      <color indexed="9"/>
      <name val="新細明體"/>
      <family val="1"/>
      <charset val="136"/>
    </font>
    <font>
      <sz val="11"/>
      <color theme="0"/>
      <name val="Calibri"/>
      <family val="2"/>
      <charset val="222"/>
      <scheme val="minor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sz val="10"/>
      <name val="MS Sans Serif"/>
      <family val="2"/>
    </font>
    <font>
      <b/>
      <sz val="11"/>
      <color indexed="52"/>
      <name val="Calibri"/>
      <family val="2"/>
    </font>
    <font>
      <b/>
      <sz val="11"/>
      <color indexed="53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color indexed="8"/>
      <name val="Calibri"/>
      <family val="2"/>
      <charset val="222"/>
    </font>
    <font>
      <sz val="16"/>
      <name val="BrowalliaUPC"/>
      <family val="2"/>
      <charset val="222"/>
    </font>
    <font>
      <sz val="12"/>
      <name val="新細明體"/>
      <family val="1"/>
      <charset val="136"/>
    </font>
    <font>
      <sz val="16"/>
      <name val="BrowalliaUPC"/>
      <family val="2"/>
    </font>
    <font>
      <sz val="10"/>
      <color indexed="8"/>
      <name val="Arial"/>
      <family val="2"/>
      <charset val="222"/>
    </font>
    <font>
      <sz val="14"/>
      <color indexed="24"/>
      <name val="TharntipUPC"/>
      <family val="2"/>
      <charset val="222"/>
    </font>
    <font>
      <sz val="14"/>
      <color indexed="24"/>
      <name val="TharntipUPC"/>
      <charset val="222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2"/>
      <name val="Arial"/>
      <family val="2"/>
    </font>
    <font>
      <sz val="11"/>
      <name val="Times New Roman"/>
      <family val="1"/>
    </font>
    <font>
      <sz val="10"/>
      <name val="MS Sans Serif"/>
      <family val="2"/>
      <charset val="222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sz val="8"/>
      <name val="Arial"/>
      <family val="2"/>
      <charset val="222"/>
    </font>
    <font>
      <b/>
      <sz val="12"/>
      <name val="Arial"/>
      <family val="2"/>
      <charset val="222"/>
    </font>
    <font>
      <b/>
      <sz val="24"/>
      <color indexed="24"/>
      <name val="TharntipUPC"/>
      <charset val="222"/>
    </font>
    <font>
      <b/>
      <sz val="15"/>
      <color indexed="62"/>
      <name val="Tahoma"/>
      <family val="2"/>
      <charset val="222"/>
    </font>
    <font>
      <b/>
      <sz val="16"/>
      <color indexed="24"/>
      <name val="TharntipUPC"/>
      <charset val="222"/>
    </font>
    <font>
      <b/>
      <sz val="13"/>
      <color indexed="62"/>
      <name val="Tahoma"/>
      <family val="2"/>
      <charset val="222"/>
    </font>
    <font>
      <b/>
      <sz val="11"/>
      <color indexed="62"/>
      <name val="Calibri"/>
      <family val="2"/>
    </font>
    <font>
      <b/>
      <sz val="11"/>
      <color indexed="62"/>
      <name val="Tahoma"/>
      <family val="2"/>
      <charset val="222"/>
    </font>
    <font>
      <u/>
      <sz val="14"/>
      <color indexed="12"/>
      <name val="Cordia New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b/>
      <sz val="10"/>
      <name val="Book Antiqua"/>
      <family val="1"/>
    </font>
    <font>
      <b/>
      <sz val="10"/>
      <name val="Book Antiqua"/>
      <family val="1"/>
      <charset val="204"/>
    </font>
    <font>
      <sz val="10"/>
      <name val="Courier"/>
      <family val="3"/>
    </font>
    <font>
      <sz val="11"/>
      <color indexed="52"/>
      <name val="Calibri"/>
      <family val="2"/>
    </font>
    <font>
      <sz val="11"/>
      <color indexed="53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2"/>
    </font>
    <font>
      <b/>
      <i/>
      <sz val="16"/>
      <name val="Helv"/>
      <family val="2"/>
    </font>
    <font>
      <b/>
      <i/>
      <sz val="16"/>
      <name val="Helv"/>
      <charset val="222"/>
    </font>
    <font>
      <sz val="10"/>
      <color theme="1"/>
      <name val="Arial"/>
      <family val="2"/>
      <charset val="222"/>
    </font>
    <font>
      <sz val="11"/>
      <color theme="1"/>
      <name val="Calibri"/>
      <family val="2"/>
    </font>
    <font>
      <sz val="18"/>
      <name val="AngsanaUPC"/>
      <family val="1"/>
      <charset val="222"/>
    </font>
    <font>
      <sz val="10"/>
      <color theme="1"/>
      <name val="Tahoma"/>
      <family val="2"/>
      <charset val="222"/>
    </font>
    <font>
      <b/>
      <i/>
      <sz val="8"/>
      <name val="Book Antiqua"/>
      <family val="1"/>
    </font>
    <font>
      <b/>
      <sz val="14"/>
      <name val="EucrosiaUPC"/>
      <family val="1"/>
      <charset val="222"/>
    </font>
    <font>
      <sz val="10"/>
      <name val="Book Antiqua"/>
      <family val="1"/>
    </font>
    <font>
      <sz val="10"/>
      <name val="Book Antiqua"/>
      <family val="1"/>
      <charset val="22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12"/>
      <color indexed="8"/>
      <name val="Tahoma"/>
      <family val="2"/>
      <charset val="136"/>
    </font>
    <font>
      <sz val="10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4"/>
      <name val="Arial Narrow"/>
      <family val="2"/>
    </font>
    <font>
      <b/>
      <sz val="14"/>
      <name val="Arial Narrow"/>
      <family val="2"/>
      <charset val="204"/>
    </font>
    <font>
      <b/>
      <sz val="18"/>
      <color indexed="62"/>
      <name val="Cambria"/>
      <family val="2"/>
    </font>
    <font>
      <b/>
      <sz val="18"/>
      <color indexed="62"/>
      <name val="Tahoma"/>
      <family val="2"/>
      <charset val="222"/>
    </font>
    <font>
      <b/>
      <sz val="18"/>
      <color theme="3"/>
      <name val="Calibri Light"/>
      <family val="2"/>
      <charset val="204"/>
      <scheme val="major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0"/>
      <color indexed="8"/>
      <name val="Tahoma"/>
      <family val="2"/>
      <charset val="222"/>
    </font>
    <font>
      <u/>
      <sz val="14"/>
      <color indexed="12"/>
      <name val="AngsanaUPC"/>
      <family val="1"/>
      <charset val="222"/>
    </font>
    <font>
      <u/>
      <sz val="14"/>
      <color indexed="12"/>
      <name val="CordiaUPC"/>
      <family val="2"/>
    </font>
    <font>
      <u/>
      <sz val="14"/>
      <color indexed="12"/>
      <name val="CordiaUPC"/>
      <family val="2"/>
      <charset val="222"/>
    </font>
    <font>
      <u/>
      <sz val="14"/>
      <color indexed="12"/>
      <name val="AngsanaUPC"/>
      <family val="1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u/>
      <sz val="14"/>
      <color indexed="36"/>
      <name val="AngsanaUPC"/>
      <family val="1"/>
      <charset val="222"/>
    </font>
    <font>
      <u/>
      <sz val="14"/>
      <color indexed="36"/>
      <name val="AngsanaUPC"/>
      <family val="1"/>
    </font>
    <font>
      <sz val="12"/>
      <name val="นูลมรผ"/>
      <family val="2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2"/>
      <name val="冼极"/>
      <family val="2"/>
      <charset val="134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color indexed="60"/>
      <name val="新細明體"/>
      <family val="1"/>
      <charset val="136"/>
    </font>
    <font>
      <sz val="12"/>
      <name val="宋体"/>
      <charset val="134"/>
    </font>
    <font>
      <sz val="12"/>
      <name val="宋体"/>
      <charset val="134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20"/>
      <name val="Calibri"/>
      <family val="2"/>
    </font>
    <font>
      <sz val="11"/>
      <color indexed="17"/>
      <name val="新細明體"/>
      <family val="1"/>
    </font>
    <font>
      <sz val="12"/>
      <color indexed="17"/>
      <name val="Calibri"/>
      <family val="2"/>
    </font>
    <font>
      <sz val="11"/>
      <color indexed="17"/>
      <name val="宋体"/>
      <charset val="134"/>
    </font>
    <font>
      <sz val="11"/>
      <color rgb="FF006100"/>
      <name val="Calibri"/>
      <family val="1"/>
      <charset val="136"/>
      <scheme val="minor"/>
    </font>
    <font>
      <sz val="12"/>
      <color indexed="17"/>
      <name val="新細明體"/>
      <family val="1"/>
      <charset val="136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20"/>
      <name val="新細明體"/>
      <family val="1"/>
    </font>
    <font>
      <sz val="11"/>
      <color indexed="20"/>
      <name val="宋体"/>
      <charset val="134"/>
    </font>
    <font>
      <sz val="11"/>
      <color rgb="FF9C0006"/>
      <name val="Calibri"/>
      <family val="1"/>
      <charset val="136"/>
      <scheme val="minor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5"/>
      <color indexed="56"/>
      <name val="新細明體"/>
      <family val="1"/>
    </font>
    <font>
      <b/>
      <sz val="13"/>
      <color indexed="56"/>
      <name val="宋体"/>
      <charset val="134"/>
    </font>
    <font>
      <b/>
      <sz val="13"/>
      <color indexed="56"/>
      <name val="新細明體"/>
      <family val="1"/>
    </font>
    <font>
      <b/>
      <sz val="11"/>
      <color indexed="56"/>
      <name val="宋体"/>
      <charset val="134"/>
    </font>
    <font>
      <b/>
      <sz val="11"/>
      <color indexed="56"/>
      <name val="新細明體"/>
      <family val="1"/>
    </font>
    <font>
      <b/>
      <sz val="18"/>
      <color indexed="56"/>
      <name val="新細明體"/>
      <family val="1"/>
    </font>
    <font>
      <b/>
      <sz val="18"/>
      <color indexed="56"/>
      <name val="宋体"/>
      <charset val="134"/>
    </font>
    <font>
      <b/>
      <sz val="11"/>
      <color indexed="9"/>
      <name val="宋体"/>
      <charset val="134"/>
    </font>
    <font>
      <b/>
      <sz val="11"/>
      <color indexed="9"/>
      <name val="新細明體"/>
      <family val="1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b/>
      <sz val="11"/>
      <color indexed="8"/>
      <name val="宋体"/>
      <charset val="134"/>
    </font>
    <font>
      <b/>
      <sz val="11"/>
      <color indexed="8"/>
      <name val="新細明體"/>
      <family val="1"/>
    </font>
    <font>
      <u/>
      <sz val="12"/>
      <color indexed="36"/>
      <name val="冼极"/>
      <family val="2"/>
      <charset val="134"/>
    </font>
    <font>
      <u/>
      <sz val="12"/>
      <color indexed="36"/>
      <name val="冼极"/>
      <family val="3"/>
    </font>
    <font>
      <b/>
      <sz val="14"/>
      <name val="Times New Roman"/>
      <family val="1"/>
    </font>
    <font>
      <i/>
      <sz val="11"/>
      <color indexed="23"/>
      <name val="宋体"/>
      <charset val="134"/>
    </font>
    <font>
      <i/>
      <sz val="11"/>
      <color indexed="23"/>
      <name val="新細明體"/>
      <family val="1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indexed="10"/>
      <name val="宋体"/>
      <charset val="134"/>
    </font>
    <font>
      <sz val="11"/>
      <color indexed="10"/>
      <name val="新細明體"/>
      <family val="1"/>
    </font>
    <font>
      <b/>
      <sz val="11"/>
      <color indexed="52"/>
      <name val="宋体"/>
      <charset val="134"/>
    </font>
    <font>
      <b/>
      <sz val="11"/>
      <color indexed="52"/>
      <name val="新細明體"/>
      <family val="1"/>
    </font>
    <font>
      <sz val="12"/>
      <name val="Courier"/>
      <family val="3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1"/>
      <color indexed="62"/>
      <name val="宋体"/>
      <charset val="134"/>
    </font>
    <font>
      <sz val="11"/>
      <color indexed="62"/>
      <name val="新細明體"/>
      <family val="1"/>
    </font>
    <font>
      <b/>
      <sz val="11"/>
      <color indexed="63"/>
      <name val="宋体"/>
      <charset val="134"/>
    </font>
    <font>
      <b/>
      <sz val="11"/>
      <color indexed="63"/>
      <name val="新細明體"/>
      <family val="1"/>
    </font>
    <font>
      <sz val="11"/>
      <color indexed="60"/>
      <name val="宋体"/>
      <charset val="134"/>
    </font>
    <font>
      <sz val="11"/>
      <color indexed="60"/>
      <name val="新細明體"/>
      <family val="1"/>
    </font>
    <font>
      <sz val="12"/>
      <color indexed="52"/>
      <name val="新細明體"/>
      <family val="1"/>
      <charset val="136"/>
    </font>
    <font>
      <sz val="11"/>
      <color indexed="52"/>
      <name val="宋体"/>
      <charset val="134"/>
    </font>
    <font>
      <sz val="11"/>
      <color indexed="52"/>
      <name val="新細明體"/>
      <family val="1"/>
    </font>
    <font>
      <u/>
      <sz val="12"/>
      <color indexed="12"/>
      <name val="冼极"/>
      <family val="2"/>
      <charset val="134"/>
    </font>
    <font>
      <u/>
      <sz val="12"/>
      <color indexed="12"/>
      <name val="冼极"/>
      <family val="3"/>
    </font>
    <font>
      <sz val="10"/>
      <color rgb="FF0000FF"/>
      <name val="Arial"/>
      <family val="2"/>
      <charset val="204"/>
    </font>
    <font>
      <sz val="11"/>
      <color rgb="FF0000CC"/>
      <name val="Calibri"/>
      <family val="2"/>
      <scheme val="minor"/>
    </font>
    <font>
      <sz val="16"/>
      <color theme="1"/>
      <name val="CordiaUPC"/>
      <family val="2"/>
    </font>
    <font>
      <b/>
      <sz val="16"/>
      <color theme="1"/>
      <name val="CordiaUPC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rgb="FF0000CC"/>
      <name val="Arial"/>
      <family val="2"/>
    </font>
    <font>
      <b/>
      <sz val="14"/>
      <color rgb="FF0000CC"/>
      <name val="Arial"/>
      <family val="2"/>
    </font>
    <font>
      <b/>
      <sz val="11"/>
      <color rgb="FFFF0000"/>
      <name val="Arial"/>
      <family val="2"/>
      <charset val="204"/>
    </font>
    <font>
      <b/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i/>
      <sz val="16"/>
      <color theme="1"/>
      <name val="Arial"/>
      <family val="2"/>
    </font>
    <font>
      <sz val="14"/>
      <color theme="1"/>
      <name val="Arial"/>
      <family val="2"/>
    </font>
    <font>
      <sz val="14"/>
      <name val="Cordia New"/>
      <family val="2"/>
    </font>
    <font>
      <sz val="11"/>
      <color theme="9" tint="-0.249977111117893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sz val="14"/>
      <color rgb="FF0000CC"/>
      <name val="Arial"/>
      <family val="2"/>
    </font>
    <font>
      <sz val="9"/>
      <color indexed="81"/>
      <name val="Tahoma"/>
      <family val="2"/>
      <charset val="204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0"/>
      <color rgb="FF00B050"/>
      <name val="Arial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7030A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F0"/>
      <name val="Calibri"/>
      <family val="2"/>
      <charset val="204"/>
      <scheme val="minor"/>
    </font>
    <font>
      <b/>
      <sz val="12"/>
      <color theme="0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10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1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tted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ck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1895">
    <xf numFmtId="0" fontId="0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24" fillId="0" borderId="0"/>
    <xf numFmtId="171" fontId="2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27" fillId="0" borderId="0"/>
    <xf numFmtId="167" fontId="15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4" fillId="0" borderId="0"/>
    <xf numFmtId="43" fontId="13" fillId="0" borderId="0" applyFont="0" applyFill="0" applyBorder="0" applyAlignment="0" applyProtection="0"/>
    <xf numFmtId="0" fontId="13" fillId="0" borderId="0"/>
    <xf numFmtId="0" fontId="49" fillId="0" borderId="0"/>
    <xf numFmtId="0" fontId="52" fillId="0" borderId="0"/>
    <xf numFmtId="0" fontId="32" fillId="0" borderId="0"/>
    <xf numFmtId="165" fontId="62" fillId="0" borderId="0" applyFont="0" applyFill="0" applyBorder="0" applyAlignment="0" applyProtection="0">
      <alignment vertical="center"/>
    </xf>
    <xf numFmtId="0" fontId="14" fillId="0" borderId="0"/>
    <xf numFmtId="177" fontId="14" fillId="0" borderId="0" applyFont="0" applyFill="0" applyBorder="0" applyAlignment="0" applyProtection="0"/>
    <xf numFmtId="0" fontId="14" fillId="0" borderId="0"/>
    <xf numFmtId="0" fontId="14" fillId="0" borderId="0"/>
    <xf numFmtId="177" fontId="14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0" fontId="107" fillId="0" borderId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2" fillId="0" borderId="60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9" fontId="118" fillId="0" borderId="0" applyFont="0" applyFill="0" applyBorder="0" applyAlignment="0" applyProtection="0"/>
    <xf numFmtId="177" fontId="118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27" fillId="0" borderId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52" fillId="0" borderId="0"/>
    <xf numFmtId="43" fontId="1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44" fillId="49" borderId="0" applyNumberFormat="0" applyBorder="0" applyAlignment="0" applyProtection="0">
      <alignment vertical="center"/>
    </xf>
    <xf numFmtId="0" fontId="145" fillId="50" borderId="0" applyNumberFormat="0" applyBorder="0" applyAlignment="0" applyProtection="0">
      <alignment vertical="center"/>
    </xf>
    <xf numFmtId="0" fontId="146" fillId="0" borderId="84" applyNumberFormat="0" applyFill="0" applyAlignment="0" applyProtection="0">
      <alignment vertical="center"/>
    </xf>
    <xf numFmtId="0" fontId="147" fillId="0" borderId="85" applyNumberFormat="0" applyFill="0" applyAlignment="0" applyProtection="0">
      <alignment vertical="center"/>
    </xf>
    <xf numFmtId="0" fontId="148" fillId="0" borderId="86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top"/>
      <protection locked="0"/>
    </xf>
    <xf numFmtId="0" fontId="150" fillId="0" borderId="87" applyNumberFormat="0" applyFill="0" applyAlignment="0" applyProtection="0">
      <alignment vertical="center"/>
    </xf>
    <xf numFmtId="0" fontId="151" fillId="0" borderId="0"/>
    <xf numFmtId="0" fontId="152" fillId="0" borderId="87" applyNumberFormat="0" applyFill="0" applyAlignment="0" applyProtection="0">
      <alignment vertical="center"/>
    </xf>
    <xf numFmtId="0" fontId="153" fillId="51" borderId="0" applyNumberFormat="0" applyBorder="0" applyAlignment="0" applyProtection="0">
      <alignment vertical="center"/>
    </xf>
    <xf numFmtId="0" fontId="153" fillId="52" borderId="0" applyNumberFormat="0" applyBorder="0" applyAlignment="0" applyProtection="0">
      <alignment vertical="center"/>
    </xf>
    <xf numFmtId="0" fontId="153" fillId="53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56" borderId="0" applyNumberFormat="0" applyBorder="0" applyAlignment="0" applyProtection="0">
      <alignment vertical="center"/>
    </xf>
    <xf numFmtId="187" fontId="154" fillId="0" borderId="0" applyFont="0" applyFill="0" applyBorder="0" applyAlignment="0" applyProtection="0"/>
    <xf numFmtId="187" fontId="155" fillId="0" borderId="0" applyFont="0" applyFill="0" applyBorder="0" applyAlignment="0" applyProtection="0"/>
    <xf numFmtId="187" fontId="154" fillId="0" borderId="0" applyFont="0" applyFill="0" applyBorder="0" applyAlignment="0" applyProtection="0"/>
    <xf numFmtId="188" fontId="154" fillId="0" borderId="0" applyFont="0" applyFill="0" applyBorder="0" applyAlignment="0" applyProtection="0"/>
    <xf numFmtId="165" fontId="154" fillId="0" borderId="0" applyFont="0" applyFill="0" applyBorder="0" applyAlignment="0" applyProtection="0"/>
    <xf numFmtId="167" fontId="154" fillId="0" borderId="0" applyFont="0" applyFill="0" applyBorder="0" applyAlignment="0" applyProtection="0"/>
    <xf numFmtId="0" fontId="156" fillId="51" borderId="0" applyNumberFormat="0" applyBorder="0" applyAlignment="0" applyProtection="0">
      <alignment vertical="center"/>
    </xf>
    <xf numFmtId="0" fontId="156" fillId="52" borderId="0" applyNumberFormat="0" applyBorder="0" applyAlignment="0" applyProtection="0">
      <alignment vertical="center"/>
    </xf>
    <xf numFmtId="0" fontId="156" fillId="53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56" borderId="0" applyNumberFormat="0" applyBorder="0" applyAlignment="0" applyProtection="0">
      <alignment vertical="center"/>
    </xf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60" fillId="0" borderId="0"/>
    <xf numFmtId="0" fontId="32" fillId="0" borderId="0"/>
    <xf numFmtId="0" fontId="32" fillId="0" borderId="0"/>
    <xf numFmtId="0" fontId="160" fillId="0" borderId="0"/>
    <xf numFmtId="0" fontId="160" fillId="0" borderId="0"/>
    <xf numFmtId="0" fontId="5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0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160" fillId="0" borderId="0"/>
    <xf numFmtId="0" fontId="52" fillId="0" borderId="0"/>
    <xf numFmtId="0" fontId="162" fillId="57" borderId="0" applyNumberFormat="0" applyBorder="0" applyAlignment="0" applyProtection="0">
      <alignment vertical="center"/>
    </xf>
    <xf numFmtId="0" fontId="162" fillId="49" borderId="0" applyNumberFormat="0" applyBorder="0" applyAlignment="0" applyProtection="0">
      <alignment vertical="center"/>
    </xf>
    <xf numFmtId="0" fontId="162" fillId="58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0" borderId="0" applyNumberFormat="0" applyBorder="0" applyAlignment="0" applyProtection="0">
      <alignment vertical="center"/>
    </xf>
    <xf numFmtId="0" fontId="162" fillId="61" borderId="0" applyNumberFormat="0" applyBorder="0" applyAlignment="0" applyProtection="0">
      <alignment vertical="center"/>
    </xf>
    <xf numFmtId="0" fontId="163" fillId="57" borderId="0" applyNumberFormat="0" applyBorder="0" applyAlignment="0" applyProtection="0">
      <alignment vertical="center"/>
    </xf>
    <xf numFmtId="0" fontId="163" fillId="49" borderId="0" applyNumberFormat="0" applyBorder="0" applyAlignment="0" applyProtection="0">
      <alignment vertical="center"/>
    </xf>
    <xf numFmtId="0" fontId="163" fillId="58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0" borderId="0" applyNumberFormat="0" applyBorder="0" applyAlignment="0" applyProtection="0">
      <alignment vertical="center"/>
    </xf>
    <xf numFmtId="0" fontId="163" fillId="61" borderId="0" applyNumberFormat="0" applyBorder="0" applyAlignment="0" applyProtection="0">
      <alignment vertical="center"/>
    </xf>
    <xf numFmtId="0" fontId="164" fillId="62" borderId="0" applyNumberFormat="0" applyBorder="0" applyAlignment="0" applyProtection="0"/>
    <xf numFmtId="0" fontId="165" fillId="57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15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2" borderId="0" applyNumberFormat="0" applyBorder="0" applyAlignment="0" applyProtection="0"/>
    <xf numFmtId="0" fontId="164" fillId="64" borderId="0" applyNumberFormat="0" applyBorder="0" applyAlignment="0" applyProtection="0"/>
    <xf numFmtId="0" fontId="165" fillId="64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35" borderId="0" applyNumberFormat="0" applyBorder="0" applyAlignment="0" applyProtection="0"/>
    <xf numFmtId="0" fontId="164" fillId="62" borderId="0" applyNumberFormat="0" applyBorder="0" applyAlignment="0" applyProtection="0"/>
    <xf numFmtId="0" fontId="165" fillId="65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39" borderId="0" applyNumberFormat="0" applyBorder="0" applyAlignment="0" applyProtection="0"/>
    <xf numFmtId="0" fontId="164" fillId="60" borderId="0" applyNumberFormat="0" applyBorder="0" applyAlignment="0" applyProtection="0"/>
    <xf numFmtId="0" fontId="165" fillId="57" borderId="0" applyNumberFormat="0" applyBorder="0" applyAlignment="0" applyProtection="0"/>
    <xf numFmtId="0" fontId="165" fillId="60" borderId="0" applyNumberFormat="0" applyBorder="0" applyAlignment="0" applyProtection="0"/>
    <xf numFmtId="0" fontId="164" fillId="60" borderId="0" applyNumberFormat="0" applyBorder="0" applyAlignment="0" applyProtection="0"/>
    <xf numFmtId="0" fontId="10" fillId="42" borderId="0" applyNumberFormat="0" applyBorder="0" applyAlignment="0" applyProtection="0"/>
    <xf numFmtId="0" fontId="166" fillId="46" borderId="0" applyNumberFormat="0" applyBorder="0" applyAlignment="0" applyProtection="0"/>
    <xf numFmtId="0" fontId="165" fillId="49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46" borderId="0" applyNumberFormat="0" applyBorder="0" applyAlignment="0" applyProtection="0"/>
    <xf numFmtId="0" fontId="10" fillId="15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9" borderId="0" applyNumberFormat="0" applyBorder="0" applyAlignment="0" applyProtection="0"/>
    <xf numFmtId="0" fontId="10" fillId="42" borderId="0" applyNumberFormat="0" applyBorder="0" applyAlignment="0" applyProtection="0"/>
    <xf numFmtId="0" fontId="10" fillId="46" borderId="0" applyNumberFormat="0" applyBorder="0" applyAlignment="0" applyProtection="0"/>
    <xf numFmtId="0" fontId="165" fillId="62" borderId="0" applyNumberFormat="0" applyBorder="0" applyAlignment="0" applyProtection="0"/>
    <xf numFmtId="0" fontId="167" fillId="57" borderId="0" applyNumberFormat="0" applyBorder="0" applyAlignment="0" applyProtection="0"/>
    <xf numFmtId="0" fontId="165" fillId="62" borderId="0" applyNumberFormat="0" applyBorder="0" applyAlignment="0" applyProtection="0"/>
    <xf numFmtId="0" fontId="165" fillId="63" borderId="0" applyNumberFormat="0" applyBorder="0" applyAlignment="0" applyProtection="0"/>
    <xf numFmtId="0" fontId="167" fillId="49" borderId="0" applyNumberFormat="0" applyBorder="0" applyAlignment="0" applyProtection="0"/>
    <xf numFmtId="0" fontId="165" fillId="63" borderId="0" applyNumberFormat="0" applyBorder="0" applyAlignment="0" applyProtection="0"/>
    <xf numFmtId="0" fontId="165" fillId="64" borderId="0" applyNumberFormat="0" applyBorder="0" applyAlignment="0" applyProtection="0"/>
    <xf numFmtId="0" fontId="167" fillId="58" borderId="0" applyNumberFormat="0" applyBorder="0" applyAlignment="0" applyProtection="0"/>
    <xf numFmtId="0" fontId="165" fillId="64" borderId="0" applyNumberFormat="0" applyBorder="0" applyAlignment="0" applyProtection="0"/>
    <xf numFmtId="0" fontId="165" fillId="62" borderId="0" applyNumberFormat="0" applyBorder="0" applyAlignment="0" applyProtection="0"/>
    <xf numFmtId="0" fontId="167" fillId="59" borderId="0" applyNumberFormat="0" applyBorder="0" applyAlignment="0" applyProtection="0"/>
    <xf numFmtId="0" fontId="165" fillId="62" borderId="0" applyNumberFormat="0" applyBorder="0" applyAlignment="0" applyProtection="0"/>
    <xf numFmtId="0" fontId="165" fillId="60" borderId="0" applyNumberFormat="0" applyBorder="0" applyAlignment="0" applyProtection="0"/>
    <xf numFmtId="0" fontId="167" fillId="60" borderId="0" applyNumberFormat="0" applyBorder="0" applyAlignment="0" applyProtection="0"/>
    <xf numFmtId="0" fontId="165" fillId="60" borderId="0" applyNumberFormat="0" applyBorder="0" applyAlignment="0" applyProtection="0"/>
    <xf numFmtId="0" fontId="165" fillId="64" borderId="0" applyNumberFormat="0" applyBorder="0" applyAlignment="0" applyProtection="0"/>
    <xf numFmtId="0" fontId="167" fillId="62" borderId="0" applyNumberFormat="0" applyBorder="0" applyAlignment="0" applyProtection="0"/>
    <xf numFmtId="0" fontId="165" fillId="64" borderId="0" applyNumberFormat="0" applyBorder="0" applyAlignment="0" applyProtection="0"/>
    <xf numFmtId="0" fontId="168" fillId="57" borderId="0" applyNumberFormat="0" applyBorder="0" applyAlignment="0" applyProtection="0">
      <alignment vertical="center"/>
    </xf>
    <xf numFmtId="0" fontId="169" fillId="57" borderId="0" applyNumberFormat="0" applyBorder="0" applyAlignment="0" applyProtection="0">
      <alignment vertical="center"/>
    </xf>
    <xf numFmtId="0" fontId="168" fillId="49" borderId="0" applyNumberFormat="0" applyBorder="0" applyAlignment="0" applyProtection="0">
      <alignment vertical="center"/>
    </xf>
    <xf numFmtId="0" fontId="169" fillId="49" borderId="0" applyNumberFormat="0" applyBorder="0" applyAlignment="0" applyProtection="0">
      <alignment vertical="center"/>
    </xf>
    <xf numFmtId="0" fontId="168" fillId="58" borderId="0" applyNumberFormat="0" applyBorder="0" applyAlignment="0" applyProtection="0">
      <alignment vertical="center"/>
    </xf>
    <xf numFmtId="0" fontId="169" fillId="58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0" borderId="0" applyNumberFormat="0" applyBorder="0" applyAlignment="0" applyProtection="0">
      <alignment vertical="center"/>
    </xf>
    <xf numFmtId="0" fontId="169" fillId="60" borderId="0" applyNumberFormat="0" applyBorder="0" applyAlignment="0" applyProtection="0">
      <alignment vertical="center"/>
    </xf>
    <xf numFmtId="0" fontId="168" fillId="62" borderId="0" applyNumberFormat="0" applyBorder="0" applyAlignment="0" applyProtection="0">
      <alignment vertical="center"/>
    </xf>
    <xf numFmtId="0" fontId="169" fillId="62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3" borderId="0" applyNumberFormat="0" applyBorder="0" applyAlignment="0" applyProtection="0">
      <alignment vertical="center"/>
    </xf>
    <xf numFmtId="0" fontId="162" fillId="67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8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3" borderId="0" applyNumberFormat="0" applyBorder="0" applyAlignment="0" applyProtection="0">
      <alignment vertical="center"/>
    </xf>
    <xf numFmtId="0" fontId="163" fillId="67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8" borderId="0" applyNumberFormat="0" applyBorder="0" applyAlignment="0" applyProtection="0">
      <alignment vertical="center"/>
    </xf>
    <xf numFmtId="0" fontId="164" fillId="61" borderId="0" applyNumberFormat="0" applyBorder="0" applyAlignment="0" applyProtection="0"/>
    <xf numFmtId="0" fontId="165" fillId="69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29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3" borderId="0" applyNumberFormat="0" applyBorder="0" applyAlignment="0" applyProtection="0"/>
    <xf numFmtId="0" fontId="164" fillId="50" borderId="0" applyNumberFormat="0" applyBorder="0" applyAlignment="0" applyProtection="0"/>
    <xf numFmtId="0" fontId="165" fillId="53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36" borderId="0" applyNumberFormat="0" applyBorder="0" applyAlignment="0" applyProtection="0"/>
    <xf numFmtId="0" fontId="164" fillId="61" borderId="0" applyNumberFormat="0" applyBorder="0" applyAlignment="0" applyProtection="0"/>
    <xf numFmtId="0" fontId="165" fillId="61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40" borderId="0" applyNumberFormat="0" applyBorder="0" applyAlignment="0" applyProtection="0"/>
    <xf numFmtId="0" fontId="166" fillId="43" borderId="0" applyNumberFormat="0" applyBorder="0" applyAlignment="0" applyProtection="0"/>
    <xf numFmtId="0" fontId="165" fillId="69" borderId="0" applyNumberFormat="0" applyBorder="0" applyAlignment="0" applyProtection="0"/>
    <xf numFmtId="0" fontId="165" fillId="66" borderId="0" applyNumberFormat="0" applyBorder="0" applyAlignment="0" applyProtection="0"/>
    <xf numFmtId="0" fontId="164" fillId="66" borderId="0" applyNumberFormat="0" applyBorder="0" applyAlignment="0" applyProtection="0"/>
    <xf numFmtId="0" fontId="10" fillId="43" borderId="0" applyNumberFormat="0" applyBorder="0" applyAlignment="0" applyProtection="0"/>
    <xf numFmtId="0" fontId="164" fillId="50" borderId="0" applyNumberFormat="0" applyBorder="0" applyAlignment="0" applyProtection="0"/>
    <xf numFmtId="0" fontId="165" fillId="62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47" borderId="0" applyNumberFormat="0" applyBorder="0" applyAlignment="0" applyProtection="0"/>
    <xf numFmtId="0" fontId="10" fillId="29" borderId="0" applyNumberFormat="0" applyBorder="0" applyAlignment="0" applyProtection="0"/>
    <xf numFmtId="0" fontId="10" fillId="33" borderId="0" applyNumberFormat="0" applyBorder="0" applyAlignment="0" applyProtection="0"/>
    <xf numFmtId="0" fontId="10" fillId="36" borderId="0" applyNumberFormat="0" applyBorder="0" applyAlignment="0" applyProtection="0"/>
    <xf numFmtId="0" fontId="10" fillId="40" borderId="0" applyNumberFormat="0" applyBorder="0" applyAlignment="0" applyProtection="0"/>
    <xf numFmtId="0" fontId="10" fillId="43" borderId="0" applyNumberFormat="0" applyBorder="0" applyAlignment="0" applyProtection="0"/>
    <xf numFmtId="0" fontId="10" fillId="47" borderId="0" applyNumberFormat="0" applyBorder="0" applyAlignment="0" applyProtection="0"/>
    <xf numFmtId="0" fontId="165" fillId="61" borderId="0" applyNumberFormat="0" applyBorder="0" applyAlignment="0" applyProtection="0"/>
    <xf numFmtId="0" fontId="167" fillId="66" borderId="0" applyNumberFormat="0" applyBorder="0" applyAlignment="0" applyProtection="0"/>
    <xf numFmtId="0" fontId="165" fillId="61" borderId="0" applyNumberFormat="0" applyBorder="0" applyAlignment="0" applyProtection="0"/>
    <xf numFmtId="0" fontId="165" fillId="63" borderId="0" applyNumberFormat="0" applyBorder="0" applyAlignment="0" applyProtection="0"/>
    <xf numFmtId="0" fontId="167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50" borderId="0" applyNumberFormat="0" applyBorder="0" applyAlignment="0" applyProtection="0"/>
    <xf numFmtId="0" fontId="167" fillId="67" borderId="0" applyNumberFormat="0" applyBorder="0" applyAlignment="0" applyProtection="0"/>
    <xf numFmtId="0" fontId="165" fillId="50" borderId="0" applyNumberFormat="0" applyBorder="0" applyAlignment="0" applyProtection="0"/>
    <xf numFmtId="0" fontId="165" fillId="61" borderId="0" applyNumberFormat="0" applyBorder="0" applyAlignment="0" applyProtection="0"/>
    <xf numFmtId="0" fontId="167" fillId="59" borderId="0" applyNumberFormat="0" applyBorder="0" applyAlignment="0" applyProtection="0"/>
    <xf numFmtId="0" fontId="165" fillId="61" borderId="0" applyNumberFormat="0" applyBorder="0" applyAlignment="0" applyProtection="0"/>
    <xf numFmtId="0" fontId="165" fillId="66" borderId="0" applyNumberFormat="0" applyBorder="0" applyAlignment="0" applyProtection="0"/>
    <xf numFmtId="0" fontId="167" fillId="66" borderId="0" applyNumberFormat="0" applyBorder="0" applyAlignment="0" applyProtection="0"/>
    <xf numFmtId="0" fontId="165" fillId="66" borderId="0" applyNumberFormat="0" applyBorder="0" applyAlignment="0" applyProtection="0"/>
    <xf numFmtId="0" fontId="165" fillId="50" borderId="0" applyNumberFormat="0" applyBorder="0" applyAlignment="0" applyProtection="0"/>
    <xf numFmtId="0" fontId="167" fillId="68" borderId="0" applyNumberFormat="0" applyBorder="0" applyAlignment="0" applyProtection="0"/>
    <xf numFmtId="0" fontId="165" fillId="50" borderId="0" applyNumberFormat="0" applyBorder="0" applyAlignment="0" applyProtection="0"/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3" borderId="0" applyNumberFormat="0" applyBorder="0" applyAlignment="0" applyProtection="0">
      <alignment vertical="center"/>
    </xf>
    <xf numFmtId="0" fontId="169" fillId="63" borderId="0" applyNumberFormat="0" applyBorder="0" applyAlignment="0" applyProtection="0">
      <alignment vertical="center"/>
    </xf>
    <xf numFmtId="0" fontId="168" fillId="67" borderId="0" applyNumberFormat="0" applyBorder="0" applyAlignment="0" applyProtection="0">
      <alignment vertical="center"/>
    </xf>
    <xf numFmtId="0" fontId="169" fillId="67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8" borderId="0" applyNumberFormat="0" applyBorder="0" applyAlignment="0" applyProtection="0">
      <alignment vertical="center"/>
    </xf>
    <xf numFmtId="0" fontId="169" fillId="68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53" fillId="70" borderId="0" applyNumberFormat="0" applyBorder="0" applyAlignment="0" applyProtection="0">
      <alignment vertical="center"/>
    </xf>
    <xf numFmtId="0" fontId="153" fillId="63" borderId="0" applyNumberFormat="0" applyBorder="0" applyAlignment="0" applyProtection="0">
      <alignment vertical="center"/>
    </xf>
    <xf numFmtId="0" fontId="153" fillId="67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56" fillId="70" borderId="0" applyNumberFormat="0" applyBorder="0" applyAlignment="0" applyProtection="0">
      <alignment vertical="center"/>
    </xf>
    <xf numFmtId="0" fontId="156" fillId="63" borderId="0" applyNumberFormat="0" applyBorder="0" applyAlignment="0" applyProtection="0">
      <alignment vertical="center"/>
    </xf>
    <xf numFmtId="0" fontId="156" fillId="67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71" borderId="0" applyNumberFormat="0" applyBorder="0" applyAlignment="0" applyProtection="0">
      <alignment vertical="center"/>
    </xf>
    <xf numFmtId="0" fontId="171" fillId="55" borderId="0" applyNumberFormat="0" applyBorder="0" applyAlignment="0" applyProtection="0"/>
    <xf numFmtId="0" fontId="172" fillId="69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30" borderId="0" applyNumberFormat="0" applyBorder="0" applyAlignment="0" applyProtection="0"/>
    <xf numFmtId="0" fontId="171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34" borderId="0" applyNumberFormat="0" applyBorder="0" applyAlignment="0" applyProtection="0"/>
    <xf numFmtId="0" fontId="171" fillId="50" borderId="0" applyNumberFormat="0" applyBorder="0" applyAlignment="0" applyProtection="0"/>
    <xf numFmtId="0" fontId="172" fillId="53" borderId="0" applyNumberFormat="0" applyBorder="0" applyAlignment="0" applyProtection="0"/>
    <xf numFmtId="0" fontId="172" fillId="50" borderId="0" applyNumberFormat="0" applyBorder="0" applyAlignment="0" applyProtection="0"/>
    <xf numFmtId="0" fontId="171" fillId="50" borderId="0" applyNumberFormat="0" applyBorder="0" applyAlignment="0" applyProtection="0"/>
    <xf numFmtId="0" fontId="96" fillId="37" borderId="0" applyNumberFormat="0" applyBorder="0" applyAlignment="0" applyProtection="0"/>
    <xf numFmtId="0" fontId="171" fillId="61" borderId="0" applyNumberFormat="0" applyBorder="0" applyAlignment="0" applyProtection="0"/>
    <xf numFmtId="0" fontId="172" fillId="61" borderId="0" applyNumberFormat="0" applyBorder="0" applyAlignment="0" applyProtection="0"/>
    <xf numFmtId="0" fontId="172" fillId="61" borderId="0" applyNumberFormat="0" applyBorder="0" applyAlignment="0" applyProtection="0"/>
    <xf numFmtId="0" fontId="171" fillId="61" borderId="0" applyNumberFormat="0" applyBorder="0" applyAlignment="0" applyProtection="0"/>
    <xf numFmtId="0" fontId="96" fillId="41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44" borderId="0" applyNumberFormat="0" applyBorder="0" applyAlignment="0" applyProtection="0"/>
    <xf numFmtId="0" fontId="171" fillId="63" borderId="0" applyNumberFormat="0" applyBorder="0" applyAlignment="0" applyProtection="0"/>
    <xf numFmtId="0" fontId="172" fillId="62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48" borderId="0" applyNumberFormat="0" applyBorder="0" applyAlignment="0" applyProtection="0"/>
    <xf numFmtId="0" fontId="172" fillId="55" borderId="0" applyNumberFormat="0" applyBorder="0" applyAlignment="0" applyProtection="0"/>
    <xf numFmtId="0" fontId="173" fillId="70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50" borderId="0" applyNumberFormat="0" applyBorder="0" applyAlignment="0" applyProtection="0"/>
    <xf numFmtId="0" fontId="173" fillId="67" borderId="0" applyNumberFormat="0" applyBorder="0" applyAlignment="0" applyProtection="0"/>
    <xf numFmtId="0" fontId="172" fillId="50" borderId="0" applyNumberFormat="0" applyBorder="0" applyAlignment="0" applyProtection="0"/>
    <xf numFmtId="0" fontId="172" fillId="61" borderId="0" applyNumberFormat="0" applyBorder="0" applyAlignment="0" applyProtection="0"/>
    <xf numFmtId="0" fontId="173" fillId="54" borderId="0" applyNumberFormat="0" applyBorder="0" applyAlignment="0" applyProtection="0"/>
    <xf numFmtId="0" fontId="172" fillId="61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71" borderId="0" applyNumberFormat="0" applyBorder="0" applyAlignment="0" applyProtection="0"/>
    <xf numFmtId="0" fontId="172" fillId="63" borderId="0" applyNumberFormat="0" applyBorder="0" applyAlignment="0" applyProtection="0"/>
    <xf numFmtId="0" fontId="174" fillId="70" borderId="0" applyNumberFormat="0" applyBorder="0" applyAlignment="0" applyProtection="0">
      <alignment vertical="center"/>
    </xf>
    <xf numFmtId="0" fontId="175" fillId="70" borderId="0" applyNumberFormat="0" applyBorder="0" applyAlignment="0" applyProtection="0">
      <alignment vertical="center"/>
    </xf>
    <xf numFmtId="0" fontId="174" fillId="63" borderId="0" applyNumberFormat="0" applyBorder="0" applyAlignment="0" applyProtection="0">
      <alignment vertical="center"/>
    </xf>
    <xf numFmtId="0" fontId="175" fillId="63" borderId="0" applyNumberFormat="0" applyBorder="0" applyAlignment="0" applyProtection="0">
      <alignment vertical="center"/>
    </xf>
    <xf numFmtId="0" fontId="174" fillId="67" borderId="0" applyNumberFormat="0" applyBorder="0" applyAlignment="0" applyProtection="0">
      <alignment vertical="center"/>
    </xf>
    <xf numFmtId="0" fontId="175" fillId="67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71" borderId="0" applyNumberFormat="0" applyBorder="0" applyAlignment="0" applyProtection="0">
      <alignment vertical="center"/>
    </xf>
    <xf numFmtId="0" fontId="175" fillId="71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0" fontId="177" fillId="28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28" borderId="0" applyNumberFormat="0" applyBorder="0" applyAlignment="0" applyProtection="0"/>
    <xf numFmtId="0" fontId="171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2" borderId="0" applyNumberFormat="0" applyBorder="0" applyAlignment="0" applyProtection="0"/>
    <xf numFmtId="0" fontId="171" fillId="52" borderId="0" applyNumberFormat="0" applyBorder="0" applyAlignment="0" applyProtection="0"/>
    <xf numFmtId="0" fontId="96" fillId="31" borderId="0" applyNumberFormat="0" applyBorder="0" applyAlignment="0" applyProtection="0"/>
    <xf numFmtId="0" fontId="171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53" borderId="0" applyNumberFormat="0" applyBorder="0" applyAlignment="0" applyProtection="0"/>
    <xf numFmtId="0" fontId="171" fillId="53" borderId="0" applyNumberFormat="0" applyBorder="0" applyAlignment="0" applyProtection="0"/>
    <xf numFmtId="0" fontId="96" fillId="16" borderId="0" applyNumberFormat="0" applyBorder="0" applyAlignment="0" applyProtection="0"/>
    <xf numFmtId="0" fontId="171" fillId="72" borderId="0" applyNumberFormat="0" applyBorder="0" applyAlignment="0" applyProtection="0"/>
    <xf numFmtId="0" fontId="172" fillId="72" borderId="0" applyNumberFormat="0" applyBorder="0" applyAlignment="0" applyProtection="0"/>
    <xf numFmtId="0" fontId="172" fillId="72" borderId="0" applyNumberFormat="0" applyBorder="0" applyAlignment="0" applyProtection="0"/>
    <xf numFmtId="0" fontId="171" fillId="72" borderId="0" applyNumberFormat="0" applyBorder="0" applyAlignment="0" applyProtection="0"/>
    <xf numFmtId="0" fontId="96" fillId="38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17" borderId="0" applyNumberFormat="0" applyBorder="0" applyAlignment="0" applyProtection="0"/>
    <xf numFmtId="0" fontId="171" fillId="56" borderId="0" applyNumberFormat="0" applyBorder="0" applyAlignment="0" applyProtection="0"/>
    <xf numFmtId="0" fontId="172" fillId="68" borderId="0" applyNumberFormat="0" applyBorder="0" applyAlignment="0" applyProtection="0"/>
    <xf numFmtId="0" fontId="172" fillId="56" borderId="0" applyNumberFormat="0" applyBorder="0" applyAlignment="0" applyProtection="0"/>
    <xf numFmtId="0" fontId="171" fillId="56" borderId="0" applyNumberFormat="0" applyBorder="0" applyAlignment="0" applyProtection="0"/>
    <xf numFmtId="0" fontId="96" fillId="45" borderId="0" applyNumberFormat="0" applyBorder="0" applyAlignment="0" applyProtection="0"/>
    <xf numFmtId="0" fontId="178" fillId="49" borderId="0" applyNumberFormat="0" applyBorder="0" applyAlignment="0" applyProtection="0"/>
    <xf numFmtId="0" fontId="179" fillId="59" borderId="0" applyNumberFormat="0" applyBorder="0" applyAlignment="0" applyProtection="0"/>
    <xf numFmtId="0" fontId="179" fillId="49" borderId="0" applyNumberFormat="0" applyBorder="0" applyAlignment="0" applyProtection="0"/>
    <xf numFmtId="0" fontId="178" fillId="49" borderId="0" applyNumberFormat="0" applyBorder="0" applyAlignment="0" applyProtection="0"/>
    <xf numFmtId="0" fontId="136" fillId="22" borderId="0" applyNumberFormat="0" applyBorder="0" applyAlignment="0" applyProtection="0"/>
    <xf numFmtId="0" fontId="180" fillId="0" borderId="88" applyNumberFormat="0" applyFont="0" applyFill="0" applyBorder="0" applyAlignment="0">
      <alignment horizontal="left"/>
    </xf>
    <xf numFmtId="0" fontId="181" fillId="73" borderId="89" applyNumberFormat="0" applyAlignment="0" applyProtection="0"/>
    <xf numFmtId="0" fontId="182" fillId="65" borderId="89" applyNumberFormat="0" applyAlignment="0" applyProtection="0"/>
    <xf numFmtId="0" fontId="183" fillId="73" borderId="89" applyNumberFormat="0" applyAlignment="0" applyProtection="0"/>
    <xf numFmtId="0" fontId="181" fillId="73" borderId="89" applyNumberFormat="0" applyAlignment="0" applyProtection="0"/>
    <xf numFmtId="0" fontId="140" fillId="25" borderId="78" applyNumberFormat="0" applyAlignment="0" applyProtection="0"/>
    <xf numFmtId="0" fontId="184" fillId="69" borderId="90" applyNumberFormat="0" applyAlignment="0" applyProtection="0"/>
    <xf numFmtId="0" fontId="185" fillId="74" borderId="90" applyNumberFormat="0" applyAlignment="0" applyProtection="0"/>
    <xf numFmtId="0" fontId="185" fillId="69" borderId="90" applyNumberFormat="0" applyAlignment="0" applyProtection="0"/>
    <xf numFmtId="0" fontId="184" fillId="69" borderId="90" applyNumberFormat="0" applyAlignment="0" applyProtection="0"/>
    <xf numFmtId="0" fontId="142" fillId="26" borderId="81" applyNumberFormat="0" applyAlignment="0" applyProtection="0"/>
    <xf numFmtId="165" fontId="32" fillId="0" borderId="0" applyFont="0" applyFill="0" applyBorder="0" applyAlignment="0" applyProtection="0"/>
    <xf numFmtId="191" fontId="52" fillId="0" borderId="0" applyFont="0" applyFill="0" applyBorder="0" applyAlignment="0" applyProtection="0"/>
    <xf numFmtId="192" fontId="1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5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9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8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32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6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9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9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202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9" fillId="0" borderId="0"/>
    <xf numFmtId="203" fontId="158" fillId="0" borderId="0"/>
    <xf numFmtId="203" fontId="158" fillId="0" borderId="0"/>
    <xf numFmtId="203" fontId="159" fillId="0" borderId="0"/>
    <xf numFmtId="203" fontId="159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3" fontId="32" fillId="0" borderId="0" applyFont="0" applyFill="0" applyBorder="0" applyAlignment="0" applyProtection="0"/>
    <xf numFmtId="3" fontId="191" fillId="0" borderId="0" applyFont="0" applyFill="0" applyBorder="0" applyAlignment="0" applyProtection="0"/>
    <xf numFmtId="3" fontId="19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4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9" fillId="0" borderId="0"/>
    <xf numFmtId="202" fontId="158" fillId="0" borderId="0"/>
    <xf numFmtId="202" fontId="158" fillId="0" borderId="0"/>
    <xf numFmtId="202" fontId="159" fillId="0" borderId="0"/>
    <xf numFmtId="202" fontId="159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0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9" fillId="0" borderId="0"/>
    <xf numFmtId="185" fontId="158" fillId="0" borderId="0"/>
    <xf numFmtId="185" fontId="158" fillId="0" borderId="0"/>
    <xf numFmtId="185" fontId="159" fillId="0" borderId="0"/>
    <xf numFmtId="185" fontId="159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38" fontId="180" fillId="0" borderId="0" applyFill="0" applyBorder="0" applyAlignment="0" applyProtection="0"/>
    <xf numFmtId="0" fontId="187" fillId="0" borderId="0"/>
    <xf numFmtId="0" fontId="189" fillId="0" borderId="0"/>
    <xf numFmtId="0" fontId="193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95" fillId="0" borderId="0" applyNumberFormat="0" applyFont="0" applyFill="0" applyBorder="0" applyAlignment="0" applyProtection="0"/>
    <xf numFmtId="2" fontId="32" fillId="0" borderId="0" applyFont="0" applyFill="0" applyBorder="0" applyAlignment="0" applyProtection="0"/>
    <xf numFmtId="2" fontId="191" fillId="0" borderId="0" applyFont="0" applyFill="0" applyBorder="0" applyAlignment="0" applyProtection="0"/>
    <xf numFmtId="2" fontId="192" fillId="0" borderId="0" applyFont="0" applyFill="0" applyBorder="0" applyAlignment="0" applyProtection="0"/>
    <xf numFmtId="205" fontId="196" fillId="0" borderId="0">
      <alignment horizontal="right"/>
    </xf>
    <xf numFmtId="205" fontId="196" fillId="0" borderId="0">
      <alignment horizontal="right"/>
    </xf>
    <xf numFmtId="193" fontId="196" fillId="0" borderId="0">
      <alignment horizontal="right"/>
    </xf>
    <xf numFmtId="0" fontId="180" fillId="0" borderId="0"/>
    <xf numFmtId="0" fontId="180" fillId="0" borderId="0"/>
    <xf numFmtId="0" fontId="197" fillId="0" borderId="0"/>
    <xf numFmtId="0" fontId="198" fillId="58" borderId="0" applyNumberFormat="0" applyBorder="0" applyAlignment="0" applyProtection="0"/>
    <xf numFmtId="0" fontId="199" fillId="75" borderId="0" applyNumberFormat="0" applyBorder="0" applyAlignment="0" applyProtection="0"/>
    <xf numFmtId="0" fontId="199" fillId="58" borderId="0" applyNumberFormat="0" applyBorder="0" applyAlignment="0" applyProtection="0"/>
    <xf numFmtId="0" fontId="198" fillId="58" borderId="0" applyNumberFormat="0" applyBorder="0" applyAlignment="0" applyProtection="0"/>
    <xf numFmtId="0" fontId="135" fillId="21" borderId="0" applyNumberFormat="0" applyBorder="0" applyAlignment="0" applyProtection="0"/>
    <xf numFmtId="38" fontId="200" fillId="76" borderId="0" applyNumberFormat="0" applyBorder="0" applyAlignment="0" applyProtection="0"/>
    <xf numFmtId="38" fontId="200" fillId="76" borderId="0" applyNumberFormat="0" applyBorder="0" applyAlignment="0" applyProtection="0"/>
    <xf numFmtId="38" fontId="201" fillId="76" borderId="0" applyNumberFormat="0" applyBorder="0" applyAlignment="0" applyProtection="0"/>
    <xf numFmtId="38" fontId="201" fillId="76" borderId="0" applyNumberFormat="0" applyBorder="0" applyAlignment="0" applyProtection="0"/>
    <xf numFmtId="0" fontId="94" fillId="0" borderId="23" applyNumberFormat="0" applyAlignment="0" applyProtection="0">
      <alignment horizontal="left" vertical="center"/>
    </xf>
    <xf numFmtId="0" fontId="94" fillId="0" borderId="23" applyNumberFormat="0" applyAlignment="0" applyProtection="0">
      <alignment horizontal="left" vertical="center"/>
    </xf>
    <xf numFmtId="0" fontId="202" fillId="0" borderId="23" applyNumberFormat="0" applyAlignment="0" applyProtection="0">
      <alignment horizontal="left" vertical="center"/>
    </xf>
    <xf numFmtId="0" fontId="94" fillId="0" borderId="3">
      <alignment horizontal="left" vertical="center"/>
    </xf>
    <xf numFmtId="0" fontId="94" fillId="0" borderId="3">
      <alignment horizontal="left" vertical="center"/>
    </xf>
    <xf numFmtId="0" fontId="202" fillId="0" borderId="3">
      <alignment horizontal="left" vertical="center"/>
    </xf>
    <xf numFmtId="0" fontId="203" fillId="0" borderId="0" applyNumberFormat="0" applyFill="0" applyBorder="0" applyAlignment="0" applyProtection="0"/>
    <xf numFmtId="0" fontId="204" fillId="0" borderId="91" applyNumberFormat="0" applyFill="0" applyAlignment="0" applyProtection="0"/>
    <xf numFmtId="0" fontId="204" fillId="0" borderId="91" applyNumberFormat="0" applyFill="0" applyAlignment="0" applyProtection="0"/>
    <xf numFmtId="0" fontId="203" fillId="0" borderId="0" applyNumberFormat="0" applyFill="0" applyBorder="0" applyAlignment="0" applyProtection="0"/>
    <xf numFmtId="0" fontId="132" fillId="0" borderId="59" applyNumberFormat="0" applyFill="0" applyAlignment="0" applyProtection="0"/>
    <xf numFmtId="0" fontId="205" fillId="0" borderId="0" applyNumberFormat="0" applyFill="0" applyBorder="0" applyAlignment="0" applyProtection="0"/>
    <xf numFmtId="0" fontId="206" fillId="0" borderId="92" applyNumberFormat="0" applyFill="0" applyAlignment="0" applyProtection="0"/>
    <xf numFmtId="0" fontId="206" fillId="0" borderId="85" applyNumberFormat="0" applyFill="0" applyAlignment="0" applyProtection="0"/>
    <xf numFmtId="0" fontId="205" fillId="0" borderId="0" applyNumberFormat="0" applyFill="0" applyBorder="0" applyAlignment="0" applyProtection="0"/>
    <xf numFmtId="0" fontId="133" fillId="0" borderId="60" applyNumberFormat="0" applyFill="0" applyAlignment="0" applyProtection="0"/>
    <xf numFmtId="0" fontId="207" fillId="0" borderId="93" applyNumberFormat="0" applyFill="0" applyAlignment="0" applyProtection="0"/>
    <xf numFmtId="0" fontId="208" fillId="0" borderId="94" applyNumberFormat="0" applyFill="0" applyAlignment="0" applyProtection="0"/>
    <xf numFmtId="0" fontId="208" fillId="0" borderId="93" applyNumberFormat="0" applyFill="0" applyAlignment="0" applyProtection="0"/>
    <xf numFmtId="0" fontId="207" fillId="0" borderId="93" applyNumberFormat="0" applyFill="0" applyAlignment="0" applyProtection="0"/>
    <xf numFmtId="0" fontId="134" fillId="0" borderId="61" applyNumberFormat="0" applyFill="0" applyAlignment="0" applyProtection="0"/>
    <xf numFmtId="0" fontId="207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209" fillId="0" borderId="0" applyNumberFormat="0" applyFill="0" applyBorder="0" applyAlignment="0" applyProtection="0">
      <alignment vertical="top"/>
      <protection locked="0"/>
    </xf>
    <xf numFmtId="0" fontId="209" fillId="0" borderId="0" applyNumberFormat="0" applyFill="0" applyBorder="0" applyAlignment="0" applyProtection="0">
      <alignment vertical="top"/>
      <protection locked="0"/>
    </xf>
    <xf numFmtId="10" fontId="200" fillId="77" borderId="1" applyNumberFormat="0" applyBorder="0" applyAlignment="0" applyProtection="0"/>
    <xf numFmtId="10" fontId="200" fillId="77" borderId="1" applyNumberFormat="0" applyBorder="0" applyAlignment="0" applyProtection="0"/>
    <xf numFmtId="10" fontId="201" fillId="77" borderId="1" applyNumberFormat="0" applyBorder="0" applyAlignment="0" applyProtection="0"/>
    <xf numFmtId="10" fontId="201" fillId="77" borderId="1" applyNumberFormat="0" applyBorder="0" applyAlignment="0" applyProtection="0"/>
    <xf numFmtId="0" fontId="210" fillId="50" borderId="89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210" fillId="50" borderId="89" applyNumberFormat="0" applyAlignment="0" applyProtection="0"/>
    <xf numFmtId="0" fontId="211" fillId="62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2" fillId="0" borderId="0"/>
    <xf numFmtId="0" fontId="213" fillId="0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5" fillId="0" borderId="87" applyNumberFormat="0" applyFill="0" applyAlignment="0" applyProtection="0"/>
    <xf numFmtId="0" fontId="216" fillId="0" borderId="95" applyNumberFormat="0" applyFill="0" applyAlignment="0" applyProtection="0"/>
    <xf numFmtId="0" fontId="217" fillId="0" borderId="87" applyNumberFormat="0" applyFill="0" applyAlignment="0" applyProtection="0"/>
    <xf numFmtId="0" fontId="215" fillId="0" borderId="87" applyNumberFormat="0" applyFill="0" applyAlignment="0" applyProtection="0"/>
    <xf numFmtId="0" fontId="141" fillId="0" borderId="80" applyNumberFormat="0" applyFill="0" applyAlignment="0" applyProtection="0"/>
    <xf numFmtId="0" fontId="218" fillId="50" borderId="0" applyNumberFormat="0" applyBorder="0" applyAlignment="0" applyProtection="0"/>
    <xf numFmtId="0" fontId="219" fillId="50" borderId="0" applyNumberFormat="0" applyBorder="0" applyAlignment="0" applyProtection="0"/>
    <xf numFmtId="0" fontId="219" fillId="50" borderId="0" applyNumberFormat="0" applyBorder="0" applyAlignment="0" applyProtection="0"/>
    <xf numFmtId="0" fontId="218" fillId="50" borderId="0" applyNumberFormat="0" applyBorder="0" applyAlignment="0" applyProtection="0"/>
    <xf numFmtId="0" fontId="137" fillId="23" borderId="0" applyNumberFormat="0" applyBorder="0" applyAlignment="0" applyProtection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194" fontId="221" fillId="0" borderId="0"/>
    <xf numFmtId="194" fontId="221" fillId="0" borderId="0"/>
    <xf numFmtId="194" fontId="222" fillId="0" borderId="0"/>
    <xf numFmtId="194" fontId="22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6" fillId="0" borderId="0"/>
    <xf numFmtId="0" fontId="158" fillId="0" borderId="0"/>
    <xf numFmtId="0" fontId="158" fillId="0" borderId="0"/>
    <xf numFmtId="0" fontId="166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58" fillId="0" borderId="0"/>
    <xf numFmtId="0" fontId="32" fillId="0" borderId="0"/>
    <xf numFmtId="0" fontId="158" fillId="0" borderId="0"/>
    <xf numFmtId="0" fontId="32" fillId="0" borderId="0"/>
    <xf numFmtId="0" fontId="223" fillId="0" borderId="0"/>
    <xf numFmtId="0" fontId="158" fillId="0" borderId="0"/>
    <xf numFmtId="0" fontId="32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224" fillId="0" borderId="0"/>
    <xf numFmtId="0" fontId="32" fillId="0" borderId="0"/>
    <xf numFmtId="0" fontId="52" fillId="0" borderId="0"/>
    <xf numFmtId="0" fontId="32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190" fillId="0" borderId="0"/>
    <xf numFmtId="0" fontId="32" fillId="0" borderId="0"/>
    <xf numFmtId="0" fontId="52" fillId="0" borderId="0"/>
    <xf numFmtId="0" fontId="52" fillId="0" borderId="0"/>
    <xf numFmtId="0" fontId="225" fillId="0" borderId="0"/>
    <xf numFmtId="0" fontId="32" fillId="0" borderId="0"/>
    <xf numFmtId="0" fontId="52" fillId="0" borderId="0"/>
    <xf numFmtId="0" fontId="27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61" fillId="0" borderId="0"/>
    <xf numFmtId="0" fontId="52" fillId="0" borderId="0"/>
    <xf numFmtId="0" fontId="160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6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88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52" fillId="0" borderId="0"/>
    <xf numFmtId="0" fontId="223" fillId="0" borderId="0"/>
    <xf numFmtId="0" fontId="52" fillId="0" borderId="0"/>
    <xf numFmtId="0" fontId="223" fillId="0" borderId="0"/>
    <xf numFmtId="0" fontId="223" fillId="0" borderId="0"/>
    <xf numFmtId="0" fontId="158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226" fillId="0" borderId="0"/>
    <xf numFmtId="0" fontId="52" fillId="0" borderId="0"/>
    <xf numFmtId="0" fontId="226" fillId="0" borderId="0"/>
    <xf numFmtId="0" fontId="226" fillId="0" borderId="0"/>
    <xf numFmtId="0" fontId="158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32" fillId="64" borderId="89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27" fillId="0" borderId="0"/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9" fillId="0" borderId="97"/>
    <xf numFmtId="0" fontId="229" fillId="0" borderId="97"/>
    <xf numFmtId="0" fontId="230" fillId="0" borderId="97"/>
    <xf numFmtId="0" fontId="231" fillId="73" borderId="98" applyNumberFormat="0" applyAlignment="0" applyProtection="0"/>
    <xf numFmtId="0" fontId="232" fillId="65" borderId="98" applyNumberFormat="0" applyAlignment="0" applyProtection="0"/>
    <xf numFmtId="0" fontId="232" fillId="73" borderId="98" applyNumberFormat="0" applyAlignment="0" applyProtection="0"/>
    <xf numFmtId="0" fontId="231" fillId="73" borderId="98" applyNumberFormat="0" applyAlignment="0" applyProtection="0"/>
    <xf numFmtId="0" fontId="139" fillId="25" borderId="79" applyNumberFormat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62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6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33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/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4" fontId="234" fillId="79" borderId="98" applyNumberFormat="0" applyProtection="0">
      <alignment vertical="center"/>
    </xf>
    <xf numFmtId="4" fontId="235" fillId="79" borderId="98" applyNumberFormat="0" applyProtection="0">
      <alignment vertical="center"/>
    </xf>
    <xf numFmtId="4" fontId="234" fillId="79" borderId="98" applyNumberFormat="0" applyProtection="0">
      <alignment horizontal="left" vertical="center" indent="1"/>
    </xf>
    <xf numFmtId="4" fontId="234" fillId="79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81" borderId="98" applyNumberFormat="0" applyProtection="0">
      <alignment horizontal="right" vertical="center"/>
    </xf>
    <xf numFmtId="4" fontId="234" fillId="82" borderId="98" applyNumberFormat="0" applyProtection="0">
      <alignment horizontal="right" vertical="center"/>
    </xf>
    <xf numFmtId="4" fontId="234" fillId="83" borderId="98" applyNumberFormat="0" applyProtection="0">
      <alignment horizontal="right" vertical="center"/>
    </xf>
    <xf numFmtId="4" fontId="234" fillId="84" borderId="98" applyNumberFormat="0" applyProtection="0">
      <alignment horizontal="right" vertical="center"/>
    </xf>
    <xf numFmtId="4" fontId="234" fillId="85" borderId="98" applyNumberFormat="0" applyProtection="0">
      <alignment horizontal="right" vertical="center"/>
    </xf>
    <xf numFmtId="4" fontId="234" fillId="86" borderId="98" applyNumberFormat="0" applyProtection="0">
      <alignment horizontal="right" vertical="center"/>
    </xf>
    <xf numFmtId="4" fontId="234" fillId="87" borderId="98" applyNumberFormat="0" applyProtection="0">
      <alignment horizontal="right" vertical="center"/>
    </xf>
    <xf numFmtId="4" fontId="234" fillId="88" borderId="98" applyNumberFormat="0" applyProtection="0">
      <alignment horizontal="right" vertical="center"/>
    </xf>
    <xf numFmtId="4" fontId="234" fillId="89" borderId="98" applyNumberFormat="0" applyProtection="0">
      <alignment horizontal="right" vertical="center"/>
    </xf>
    <xf numFmtId="4" fontId="236" fillId="90" borderId="98" applyNumberFormat="0" applyProtection="0">
      <alignment horizontal="left" vertical="center" indent="1"/>
    </xf>
    <xf numFmtId="4" fontId="234" fillId="91" borderId="99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77" borderId="98" applyNumberFormat="0" applyProtection="0">
      <alignment vertical="center"/>
    </xf>
    <xf numFmtId="4" fontId="235" fillId="77" borderId="98" applyNumberFormat="0" applyProtection="0">
      <alignment vertical="center"/>
    </xf>
    <xf numFmtId="4" fontId="234" fillId="77" borderId="98" applyNumberFormat="0" applyProtection="0">
      <alignment horizontal="left" vertical="center" indent="1"/>
    </xf>
    <xf numFmtId="4" fontId="234" fillId="77" borderId="98" applyNumberFormat="0" applyProtection="0">
      <alignment horizontal="left" vertical="center" indent="1"/>
    </xf>
    <xf numFmtId="4" fontId="234" fillId="91" borderId="98" applyNumberFormat="0" applyProtection="0">
      <alignment horizontal="right" vertical="center"/>
    </xf>
    <xf numFmtId="4" fontId="235" fillId="91" borderId="98" applyNumberFormat="0" applyProtection="0">
      <alignment horizontal="right" vertical="center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4" fontId="239" fillId="91" borderId="98" applyNumberFormat="0" applyProtection="0">
      <alignment horizontal="right" vertical="center"/>
    </xf>
    <xf numFmtId="0" fontId="240" fillId="0" borderId="100"/>
    <xf numFmtId="0" fontId="241" fillId="0" borderId="100"/>
    <xf numFmtId="0" fontId="129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242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2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192" fillId="0" borderId="101" applyNumberFormat="0" applyFont="0" applyFill="0" applyAlignment="0" applyProtection="0"/>
    <xf numFmtId="0" fontId="245" fillId="0" borderId="102" applyNumberFormat="0" applyFill="0" applyAlignment="0" applyProtection="0"/>
    <xf numFmtId="0" fontId="245" fillId="0" borderId="102" applyNumberFormat="0" applyFill="0" applyAlignment="0" applyProtection="0"/>
    <xf numFmtId="0" fontId="192" fillId="0" borderId="101" applyNumberFormat="0" applyFont="0" applyFill="0" applyAlignment="0" applyProtection="0"/>
    <xf numFmtId="0" fontId="26" fillId="0" borderId="83" applyNumberFormat="0" applyFill="0" applyAlignment="0" applyProtection="0"/>
    <xf numFmtId="0" fontId="246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62" fillId="0" borderId="0"/>
    <xf numFmtId="0" fontId="10" fillId="27" borderId="82" applyNumberFormat="0" applyFont="0" applyAlignment="0" applyProtection="0"/>
    <xf numFmtId="0" fontId="10" fillId="27" borderId="82" applyNumberFormat="0" applyFont="0" applyAlignment="0" applyProtection="0"/>
    <xf numFmtId="0" fontId="157" fillId="0" borderId="0"/>
    <xf numFmtId="165" fontId="62" fillId="0" borderId="0" applyFont="0" applyFill="0" applyBorder="0" applyAlignment="0" applyProtection="0">
      <alignment vertical="center"/>
    </xf>
    <xf numFmtId="167" fontId="10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6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7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200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58" fillId="0" borderId="0" applyFont="0" applyFill="0" applyBorder="0" applyAlignment="0" applyProtection="0"/>
    <xf numFmtId="42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1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185" fillId="69" borderId="90" applyNumberFormat="0" applyAlignment="0" applyProtection="0"/>
    <xf numFmtId="0" fontId="253" fillId="69" borderId="90" applyNumberFormat="0" applyAlignment="0" applyProtection="0"/>
    <xf numFmtId="0" fontId="185" fillId="69" borderId="90" applyNumberFormat="0" applyAlignment="0" applyProtection="0"/>
    <xf numFmtId="0" fontId="217" fillId="0" borderId="87" applyNumberFormat="0" applyFill="0" applyAlignment="0" applyProtection="0"/>
    <xf numFmtId="0" fontId="254" fillId="0" borderId="87" applyNumberFormat="0" applyFill="0" applyAlignment="0" applyProtection="0"/>
    <xf numFmtId="0" fontId="217" fillId="0" borderId="87" applyNumberFormat="0" applyFill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79" fillId="49" borderId="0" applyNumberFormat="0" applyBorder="0" applyAlignment="0" applyProtection="0"/>
    <xf numFmtId="0" fontId="255" fillId="49" borderId="0" applyNumberFormat="0" applyBorder="0" applyAlignment="0" applyProtection="0"/>
    <xf numFmtId="0" fontId="179" fillId="49" borderId="0" applyNumberFormat="0" applyBorder="0" applyAlignment="0" applyProtection="0"/>
    <xf numFmtId="0" fontId="232" fillId="73" borderId="98" applyNumberFormat="0" applyAlignment="0" applyProtection="0"/>
    <xf numFmtId="0" fontId="256" fillId="61" borderId="98" applyNumberFormat="0" applyAlignment="0" applyProtection="0"/>
    <xf numFmtId="0" fontId="232" fillId="73" borderId="98" applyNumberFormat="0" applyAlignment="0" applyProtection="0"/>
    <xf numFmtId="0" fontId="183" fillId="73" borderId="89" applyNumberFormat="0" applyAlignment="0" applyProtection="0"/>
    <xf numFmtId="0" fontId="257" fillId="61" borderId="89" applyNumberFormat="0" applyAlignment="0" applyProtection="0"/>
    <xf numFmtId="0" fontId="183" fillId="73" borderId="89" applyNumberFormat="0" applyAlignment="0" applyProtection="0"/>
    <xf numFmtId="0" fontId="247" fillId="0" borderId="0" applyNumberFormat="0" applyFill="0" applyBorder="0" applyAlignment="0" applyProtection="0"/>
    <xf numFmtId="0" fontId="258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199" fillId="58" borderId="0" applyNumberFormat="0" applyBorder="0" applyAlignment="0" applyProtection="0"/>
    <xf numFmtId="0" fontId="261" fillId="58" borderId="0" applyNumberFormat="0" applyBorder="0" applyAlignment="0" applyProtection="0"/>
    <xf numFmtId="0" fontId="199" fillId="58" borderId="0" applyNumberFormat="0" applyBorder="0" applyAlignment="0" applyProtection="0"/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9" fontId="264" fillId="0" borderId="0" applyFont="0" applyFill="0" applyBorder="0" applyAlignment="0" applyProtection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5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211" fillId="50" borderId="89" applyNumberFormat="0" applyAlignment="0" applyProtection="0"/>
    <xf numFmtId="0" fontId="265" fillId="62" borderId="89" applyNumberFormat="0" applyAlignment="0" applyProtection="0"/>
    <xf numFmtId="0" fontId="211" fillId="50" borderId="89" applyNumberFormat="0" applyAlignment="0" applyProtection="0"/>
    <xf numFmtId="0" fontId="219" fillId="50" borderId="0" applyNumberFormat="0" applyBorder="0" applyAlignment="0" applyProtection="0"/>
    <xf numFmtId="0" fontId="266" fillId="50" borderId="0" applyNumberFormat="0" applyBorder="0" applyAlignment="0" applyProtection="0"/>
    <xf numFmtId="0" fontId="219" fillId="50" borderId="0" applyNumberFormat="0" applyBorder="0" applyAlignment="0" applyProtection="0"/>
    <xf numFmtId="0" fontId="245" fillId="0" borderId="102" applyNumberFormat="0" applyFill="0" applyAlignment="0" applyProtection="0"/>
    <xf numFmtId="0" fontId="267" fillId="0" borderId="103" applyNumberFormat="0" applyFill="0" applyAlignment="0" applyProtection="0"/>
    <xf numFmtId="0" fontId="245" fillId="0" borderId="102" applyNumberFormat="0" applyFill="0" applyAlignment="0" applyProtection="0"/>
    <xf numFmtId="6" fontId="32" fillId="0" borderId="0" applyFont="0" applyFill="0" applyBorder="0" applyAlignment="0" applyProtection="0"/>
    <xf numFmtId="8" fontId="32" fillId="0" borderId="0" applyFont="0" applyFill="0" applyBorder="0" applyAlignment="0" applyProtection="0"/>
    <xf numFmtId="5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264" fillId="0" borderId="0"/>
    <xf numFmtId="0" fontId="172" fillId="55" borderId="0" applyNumberFormat="0" applyBorder="0" applyAlignment="0" applyProtection="0"/>
    <xf numFmtId="0" fontId="173" fillId="51" borderId="0" applyNumberFormat="0" applyBorder="0" applyAlignment="0" applyProtection="0"/>
    <xf numFmtId="0" fontId="172" fillId="55" borderId="0" applyNumberFormat="0" applyBorder="0" applyAlignment="0" applyProtection="0"/>
    <xf numFmtId="0" fontId="172" fillId="52" borderId="0" applyNumberFormat="0" applyBorder="0" applyAlignment="0" applyProtection="0"/>
    <xf numFmtId="0" fontId="173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3" borderId="0" applyNumberFormat="0" applyBorder="0" applyAlignment="0" applyProtection="0"/>
    <xf numFmtId="0" fontId="173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72" borderId="0" applyNumberFormat="0" applyBorder="0" applyAlignment="0" applyProtection="0"/>
    <xf numFmtId="0" fontId="173" fillId="54" borderId="0" applyNumberFormat="0" applyBorder="0" applyAlignment="0" applyProtection="0"/>
    <xf numFmtId="0" fontId="172" fillId="72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6" borderId="0" applyNumberFormat="0" applyBorder="0" applyAlignment="0" applyProtection="0"/>
    <xf numFmtId="0" fontId="173" fillId="56" borderId="0" applyNumberFormat="0" applyBorder="0" applyAlignment="0" applyProtection="0"/>
    <xf numFmtId="0" fontId="172" fillId="56" borderId="0" applyNumberFormat="0" applyBorder="0" applyAlignment="0" applyProtection="0"/>
    <xf numFmtId="0" fontId="161" fillId="64" borderId="96" applyNumberFormat="0" applyFont="0" applyAlignment="0" applyProtection="0"/>
    <xf numFmtId="0" fontId="227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04" fillId="0" borderId="91" applyNumberFormat="0" applyFill="0" applyAlignment="0" applyProtection="0"/>
    <xf numFmtId="0" fontId="268" fillId="0" borderId="84" applyNumberFormat="0" applyFill="0" applyAlignment="0" applyProtection="0"/>
    <xf numFmtId="0" fontId="204" fillId="0" borderId="91" applyNumberFormat="0" applyFill="0" applyAlignment="0" applyProtection="0"/>
    <xf numFmtId="0" fontId="206" fillId="0" borderId="85" applyNumberFormat="0" applyFill="0" applyAlignment="0" applyProtection="0"/>
    <xf numFmtId="0" fontId="269" fillId="0" borderId="85" applyNumberFormat="0" applyFill="0" applyAlignment="0" applyProtection="0"/>
    <xf numFmtId="0" fontId="206" fillId="0" borderId="85" applyNumberFormat="0" applyFill="0" applyAlignment="0" applyProtection="0"/>
    <xf numFmtId="0" fontId="208" fillId="0" borderId="93" applyNumberFormat="0" applyFill="0" applyAlignment="0" applyProtection="0"/>
    <xf numFmtId="0" fontId="270" fillId="0" borderId="86" applyNumberFormat="0" applyFill="0" applyAlignment="0" applyProtection="0"/>
    <xf numFmtId="0" fontId="208" fillId="0" borderId="93" applyNumberFormat="0" applyFill="0" applyAlignment="0" applyProtection="0"/>
    <xf numFmtId="0" fontId="208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160" fillId="0" borderId="0"/>
    <xf numFmtId="165" fontId="271" fillId="0" borderId="0" applyFont="0" applyFill="0" applyBorder="0" applyAlignment="0" applyProtection="0"/>
    <xf numFmtId="167" fontId="271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40" fontId="272" fillId="0" borderId="0" applyFont="0" applyFill="0" applyBorder="0" applyAlignment="0" applyProtection="0"/>
    <xf numFmtId="38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273" fillId="0" borderId="0"/>
    <xf numFmtId="208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09" fontId="274" fillId="0" borderId="0" applyFont="0" applyFill="0" applyBorder="0" applyAlignment="0" applyProtection="0"/>
    <xf numFmtId="210" fontId="274" fillId="0" borderId="0" applyFont="0" applyFill="0" applyBorder="0" applyAlignment="0" applyProtection="0"/>
    <xf numFmtId="0" fontId="275" fillId="0" borderId="0"/>
    <xf numFmtId="0" fontId="32" fillId="0" borderId="0"/>
    <xf numFmtId="0" fontId="169" fillId="0" borderId="0">
      <alignment vertical="center"/>
    </xf>
    <xf numFmtId="0" fontId="161" fillId="0" borderId="0"/>
    <xf numFmtId="0" fontId="52" fillId="0" borderId="0"/>
    <xf numFmtId="0" fontId="52" fillId="0" borderId="0"/>
    <xf numFmtId="0" fontId="188" fillId="0" borderId="0">
      <alignment vertical="center"/>
    </xf>
    <xf numFmtId="0" fontId="160" fillId="0" borderId="0"/>
    <xf numFmtId="0" fontId="52" fillId="0" borderId="0"/>
    <xf numFmtId="0" fontId="161" fillId="0" borderId="0"/>
    <xf numFmtId="0" fontId="276" fillId="50" borderId="0" applyNumberFormat="0" applyBorder="0" applyAlignment="0" applyProtection="0">
      <alignment vertical="center"/>
    </xf>
    <xf numFmtId="0" fontId="276" fillId="50" borderId="0" applyNumberFormat="0" applyBorder="0" applyAlignment="0" applyProtection="0">
      <alignment vertical="center"/>
    </xf>
    <xf numFmtId="0" fontId="160" fillId="64" borderId="96" applyNumberFormat="0" applyFont="0" applyAlignment="0" applyProtection="0">
      <alignment vertical="center"/>
    </xf>
    <xf numFmtId="167" fontId="160" fillId="0" borderId="0" applyFont="0" applyFill="0" applyBorder="0" applyAlignment="0" applyProtection="0"/>
    <xf numFmtId="42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52" fillId="0" borderId="0" applyFont="0" applyFill="0" applyBorder="0" applyAlignment="0" applyProtection="0"/>
    <xf numFmtId="211" fontId="160" fillId="0" borderId="0" applyFont="0" applyFill="0" applyBorder="0" applyAlignment="0" applyProtection="0"/>
    <xf numFmtId="211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27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0" fontId="279" fillId="0" borderId="103" applyNumberFormat="0" applyFill="0" applyAlignment="0" applyProtection="0">
      <alignment vertical="center"/>
    </xf>
    <xf numFmtId="0" fontId="279" fillId="0" borderId="103" applyNumberFormat="0" applyFill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1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3" fillId="58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5" fillId="21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6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9" fillId="49" borderId="0" applyNumberFormat="0" applyBorder="0" applyAlignment="0" applyProtection="0">
      <alignment vertical="center"/>
    </xf>
    <xf numFmtId="0" fontId="290" fillId="49" borderId="0" applyNumberFormat="0" applyBorder="0" applyAlignment="0" applyProtection="0">
      <alignment vertical="center"/>
    </xf>
    <xf numFmtId="0" fontId="291" fillId="22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160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278" fillId="0" borderId="0">
      <alignment vertical="center"/>
    </xf>
    <xf numFmtId="0" fontId="174" fillId="51" borderId="0" applyNumberFormat="0" applyBorder="0" applyAlignment="0" applyProtection="0">
      <alignment vertical="center"/>
    </xf>
    <xf numFmtId="0" fontId="175" fillId="51" borderId="0" applyNumberFormat="0" applyBorder="0" applyAlignment="0" applyProtection="0">
      <alignment vertical="center"/>
    </xf>
    <xf numFmtId="0" fontId="174" fillId="52" borderId="0" applyNumberFormat="0" applyBorder="0" applyAlignment="0" applyProtection="0">
      <alignment vertical="center"/>
    </xf>
    <xf numFmtId="0" fontId="175" fillId="52" borderId="0" applyNumberFormat="0" applyBorder="0" applyAlignment="0" applyProtection="0">
      <alignment vertical="center"/>
    </xf>
    <xf numFmtId="0" fontId="174" fillId="53" borderId="0" applyNumberFormat="0" applyBorder="0" applyAlignment="0" applyProtection="0">
      <alignment vertical="center"/>
    </xf>
    <xf numFmtId="0" fontId="175" fillId="53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56" borderId="0" applyNumberFormat="0" applyBorder="0" applyAlignment="0" applyProtection="0">
      <alignment vertical="center"/>
    </xf>
    <xf numFmtId="0" fontId="175" fillId="56" borderId="0" applyNumberFormat="0" applyBorder="0" applyAlignment="0" applyProtection="0">
      <alignment vertical="center"/>
    </xf>
    <xf numFmtId="0" fontId="160" fillId="95" borderId="0"/>
    <xf numFmtId="0" fontId="292" fillId="0" borderId="0" applyNumberFormat="0" applyFill="0" applyBorder="0" applyAlignment="0" applyProtection="0">
      <alignment vertical="center"/>
    </xf>
    <xf numFmtId="0" fontId="293" fillId="0" borderId="84" applyNumberFormat="0" applyFill="0" applyAlignment="0" applyProtection="0">
      <alignment vertical="center"/>
    </xf>
    <xf numFmtId="0" fontId="294" fillId="0" borderId="84" applyNumberFormat="0" applyFill="0" applyAlignment="0" applyProtection="0">
      <alignment vertical="center"/>
    </xf>
    <xf numFmtId="0" fontId="295" fillId="0" borderId="85" applyNumberFormat="0" applyFill="0" applyAlignment="0" applyProtection="0">
      <alignment vertical="center"/>
    </xf>
    <xf numFmtId="0" fontId="296" fillId="0" borderId="85" applyNumberFormat="0" applyFill="0" applyAlignment="0" applyProtection="0">
      <alignment vertical="center"/>
    </xf>
    <xf numFmtId="0" fontId="297" fillId="0" borderId="86" applyNumberFormat="0" applyFill="0" applyAlignment="0" applyProtection="0">
      <alignment vertical="center"/>
    </xf>
    <xf numFmtId="0" fontId="298" fillId="0" borderId="86" applyNumberFormat="0" applyFill="0" applyAlignment="0" applyProtection="0">
      <alignment vertical="center"/>
    </xf>
    <xf numFmtId="0" fontId="297" fillId="0" borderId="0" applyNumberFormat="0" applyFill="0" applyBorder="0" applyAlignment="0" applyProtection="0">
      <alignment vertical="center"/>
    </xf>
    <xf numFmtId="0" fontId="298" fillId="0" borderId="0" applyNumberFormat="0" applyFill="0" applyBorder="0" applyAlignment="0" applyProtection="0">
      <alignment vertical="center"/>
    </xf>
    <xf numFmtId="0" fontId="299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158" fillId="0" borderId="0" applyFont="0" applyFill="0" applyBorder="0" applyAlignment="0" applyProtection="0"/>
    <xf numFmtId="0" fontId="301" fillId="69" borderId="90" applyNumberFormat="0" applyAlignment="0" applyProtection="0">
      <alignment vertical="center"/>
    </xf>
    <xf numFmtId="0" fontId="302" fillId="69" borderId="90" applyNumberFormat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157" fillId="0" borderId="0"/>
    <xf numFmtId="0" fontId="307" fillId="69" borderId="90" applyNumberFormat="0" applyAlignment="0" applyProtection="0">
      <alignment vertical="center"/>
    </xf>
    <xf numFmtId="0" fontId="307" fillId="69" borderId="90" applyNumberFormat="0" applyAlignment="0" applyProtection="0">
      <alignment vertical="center"/>
    </xf>
    <xf numFmtId="0" fontId="308" fillId="0" borderId="103" applyNumberFormat="0" applyFill="0" applyAlignment="0" applyProtection="0">
      <alignment vertical="center"/>
    </xf>
    <xf numFmtId="0" fontId="309" fillId="0" borderId="103" applyNumberFormat="0" applyFill="0" applyAlignment="0" applyProtection="0">
      <alignment vertical="center"/>
    </xf>
    <xf numFmtId="0" fontId="161" fillId="64" borderId="96" applyNumberFormat="0" applyFont="0" applyAlignment="0" applyProtection="0">
      <alignment vertical="center"/>
    </xf>
    <xf numFmtId="0" fontId="169" fillId="64" borderId="96" applyNumberFormat="0" applyFont="0" applyAlignment="0" applyProtection="0">
      <alignment vertical="center"/>
    </xf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60" fillId="0" borderId="0" applyFont="0" applyFill="0" applyBorder="0" applyAlignment="0" applyProtection="0"/>
    <xf numFmtId="9" fontId="160" fillId="0" borderId="0" applyFont="0" applyFill="0" applyBorder="0" applyAlignment="0" applyProtection="0"/>
    <xf numFmtId="0" fontId="310" fillId="0" borderId="0" applyNumberFormat="0" applyFill="0" applyBorder="0" applyAlignment="0" applyProtection="0">
      <alignment vertical="top"/>
      <protection locked="0"/>
    </xf>
    <xf numFmtId="0" fontId="311" fillId="0" borderId="0" applyNumberFormat="0" applyFill="0" applyBorder="0" applyAlignment="0" applyProtection="0">
      <alignment vertical="top"/>
      <protection locked="0"/>
    </xf>
    <xf numFmtId="0" fontId="312" fillId="0" borderId="0">
      <alignment horizontal="centerContinuous"/>
    </xf>
    <xf numFmtId="0" fontId="313" fillId="0" borderId="0" applyNumberFormat="0" applyFill="0" applyBorder="0" applyAlignment="0" applyProtection="0">
      <alignment vertical="center"/>
    </xf>
    <xf numFmtId="0" fontId="314" fillId="0" borderId="0" applyNumberFormat="0" applyFill="0" applyBorder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8" fillId="0" borderId="0" applyNumberFormat="0" applyFill="0" applyBorder="0" applyAlignment="0" applyProtection="0">
      <alignment vertical="center"/>
    </xf>
    <xf numFmtId="0" fontId="319" fillId="0" borderId="0" applyNumberFormat="0" applyFill="0" applyBorder="0" applyAlignment="0" applyProtection="0">
      <alignment vertical="center"/>
    </xf>
    <xf numFmtId="0" fontId="320" fillId="61" borderId="89" applyNumberFormat="0" applyAlignment="0" applyProtection="0">
      <alignment vertical="center"/>
    </xf>
    <xf numFmtId="0" fontId="321" fillId="61" borderId="89" applyNumberFormat="0" applyAlignment="0" applyProtection="0">
      <alignment vertical="center"/>
    </xf>
    <xf numFmtId="212" fontId="322" fillId="0" borderId="0" applyFont="0" applyFill="0" applyBorder="0" applyAlignment="0" applyProtection="0"/>
    <xf numFmtId="0" fontId="176" fillId="51" borderId="0" applyNumberFormat="0" applyBorder="0" applyAlignment="0" applyProtection="0">
      <alignment vertical="center"/>
    </xf>
    <xf numFmtId="0" fontId="176" fillId="51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5" fillId="62" borderId="89" applyNumberFormat="0" applyAlignment="0" applyProtection="0">
      <alignment vertical="center"/>
    </xf>
    <xf numFmtId="0" fontId="326" fillId="62" borderId="89" applyNumberFormat="0" applyAlignment="0" applyProtection="0">
      <alignment vertical="center"/>
    </xf>
    <xf numFmtId="0" fontId="327" fillId="61" borderId="98" applyNumberFormat="0" applyAlignment="0" applyProtection="0">
      <alignment vertical="center"/>
    </xf>
    <xf numFmtId="0" fontId="328" fillId="61" borderId="98" applyNumberFormat="0" applyAlignment="0" applyProtection="0">
      <alignment vertical="center"/>
    </xf>
    <xf numFmtId="0" fontId="329" fillId="50" borderId="0" applyNumberFormat="0" applyBorder="0" applyAlignment="0" applyProtection="0">
      <alignment vertical="center"/>
    </xf>
    <xf numFmtId="0" fontId="330" fillId="50" borderId="0" applyNumberFormat="0" applyBorder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160" fillId="0" borderId="0"/>
    <xf numFmtId="0" fontId="332" fillId="0" borderId="87" applyNumberFormat="0" applyFill="0" applyAlignment="0" applyProtection="0">
      <alignment vertical="center"/>
    </xf>
    <xf numFmtId="0" fontId="333" fillId="0" borderId="87" applyNumberFormat="0" applyFill="0" applyAlignment="0" applyProtection="0">
      <alignment vertical="center"/>
    </xf>
    <xf numFmtId="0" fontId="334" fillId="0" borderId="0" applyNumberFormat="0" applyFill="0" applyBorder="0" applyAlignment="0" applyProtection="0">
      <alignment vertical="top"/>
      <protection locked="0"/>
    </xf>
    <xf numFmtId="0" fontId="335" fillId="0" borderId="0" applyNumberFormat="0" applyFill="0" applyBorder="0" applyAlignment="0" applyProtection="0">
      <alignment vertical="top"/>
      <protection locked="0"/>
    </xf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9" fillId="27" borderId="82" applyNumberFormat="0" applyFont="0" applyAlignment="0" applyProtection="0"/>
    <xf numFmtId="0" fontId="9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9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7" fillId="27" borderId="82" applyNumberFormat="0" applyFont="0" applyAlignment="0" applyProtection="0"/>
    <xf numFmtId="0" fontId="7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6" fillId="27" borderId="82" applyNumberFormat="0" applyFont="0" applyAlignment="0" applyProtection="0"/>
    <xf numFmtId="0" fontId="6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" fillId="27" borderId="82" applyNumberFormat="0" applyFont="0" applyAlignment="0" applyProtection="0"/>
    <xf numFmtId="0" fontId="5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5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4" fillId="27" borderId="82" applyNumberFormat="0" applyFont="0" applyAlignment="0" applyProtection="0"/>
    <xf numFmtId="0" fontId="4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3" fillId="27" borderId="82" applyNumberFormat="0" applyFont="0" applyAlignment="0" applyProtection="0"/>
    <xf numFmtId="0" fontId="3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52" fillId="0" borderId="0"/>
    <xf numFmtId="167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0" borderId="0"/>
  </cellStyleXfs>
  <cellXfs count="1424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10" fontId="16" fillId="0" borderId="1" xfId="0" applyNumberFormat="1" applyFont="1" applyBorder="1"/>
    <xf numFmtId="43" fontId="16" fillId="0" borderId="1" xfId="1" applyFont="1" applyBorder="1"/>
    <xf numFmtId="0" fontId="16" fillId="4" borderId="8" xfId="0" applyFont="1" applyFill="1" applyBorder="1"/>
    <xf numFmtId="169" fontId="16" fillId="4" borderId="8" xfId="1" applyNumberFormat="1" applyFont="1" applyFill="1" applyBorder="1"/>
    <xf numFmtId="10" fontId="16" fillId="3" borderId="8" xfId="2" applyNumberFormat="1" applyFont="1" applyFill="1" applyBorder="1"/>
    <xf numFmtId="14" fontId="18" fillId="5" borderId="1" xfId="0" applyNumberFormat="1" applyFont="1" applyFill="1" applyBorder="1" applyAlignment="1">
      <alignment horizontal="center"/>
    </xf>
    <xf numFmtId="10" fontId="18" fillId="5" borderId="1" xfId="2" applyNumberFormat="1" applyFont="1" applyFill="1" applyBorder="1"/>
    <xf numFmtId="0" fontId="19" fillId="0" borderId="0" xfId="0" applyFont="1" applyAlignment="1">
      <alignment vertical="top"/>
    </xf>
    <xf numFmtId="0" fontId="20" fillId="0" borderId="0" xfId="0" applyFont="1"/>
    <xf numFmtId="0" fontId="18" fillId="6" borderId="1" xfId="0" applyFont="1" applyFill="1" applyBorder="1" applyAlignment="1">
      <alignment horizontal="center" vertical="center" wrapText="1"/>
    </xf>
    <xf numFmtId="10" fontId="16" fillId="3" borderId="8" xfId="0" applyNumberFormat="1" applyFont="1" applyFill="1" applyBorder="1"/>
    <xf numFmtId="170" fontId="16" fillId="3" borderId="7" xfId="1" applyNumberFormat="1" applyFont="1" applyFill="1" applyBorder="1"/>
    <xf numFmtId="170" fontId="18" fillId="5" borderId="1" xfId="0" applyNumberFormat="1" applyFont="1" applyFill="1" applyBorder="1"/>
    <xf numFmtId="170" fontId="18" fillId="5" borderId="1" xfId="0" applyNumberFormat="1" applyFont="1" applyFill="1" applyBorder="1" applyAlignment="1">
      <alignment vertical="center"/>
    </xf>
    <xf numFmtId="0" fontId="25" fillId="0" borderId="0" xfId="3" applyFont="1" applyAlignment="1">
      <alignment vertical="center"/>
    </xf>
    <xf numFmtId="0" fontId="24" fillId="0" borderId="0" xfId="3"/>
    <xf numFmtId="0" fontId="24" fillId="0" borderId="0" xfId="3" applyAlignment="1">
      <alignment vertical="center"/>
    </xf>
    <xf numFmtId="4" fontId="26" fillId="0" borderId="11" xfId="3" applyNumberFormat="1" applyFont="1" applyBorder="1" applyAlignment="1">
      <alignment vertical="center"/>
    </xf>
    <xf numFmtId="4" fontId="26" fillId="0" borderId="12" xfId="3" applyNumberFormat="1" applyFont="1" applyBorder="1" applyAlignment="1">
      <alignment vertical="center"/>
    </xf>
    <xf numFmtId="0" fontId="26" fillId="0" borderId="13" xfId="3" applyFont="1" applyBorder="1" applyAlignment="1">
      <alignment vertical="center"/>
    </xf>
    <xf numFmtId="171" fontId="0" fillId="0" borderId="13" xfId="4" applyFont="1" applyBorder="1" applyAlignment="1">
      <alignment vertical="center"/>
    </xf>
    <xf numFmtId="0" fontId="24" fillId="0" borderId="0" xfId="3" applyAlignment="1">
      <alignment horizontal="center" vertical="center"/>
    </xf>
    <xf numFmtId="0" fontId="26" fillId="7" borderId="1" xfId="3" applyFont="1" applyFill="1" applyBorder="1" applyAlignment="1">
      <alignment horizontal="center" vertical="center"/>
    </xf>
    <xf numFmtId="2" fontId="25" fillId="0" borderId="0" xfId="3" applyNumberFormat="1" applyFont="1" applyAlignment="1">
      <alignment horizontal="center" vertical="center"/>
    </xf>
    <xf numFmtId="0" fontId="25" fillId="0" borderId="0" xfId="3" applyFont="1" applyAlignment="1">
      <alignment horizontal="left" vertical="center"/>
    </xf>
    <xf numFmtId="172" fontId="26" fillId="0" borderId="11" xfId="3" applyNumberFormat="1" applyFont="1" applyBorder="1" applyAlignment="1">
      <alignment horizontal="center" vertical="center"/>
    </xf>
    <xf numFmtId="172" fontId="24" fillId="0" borderId="12" xfId="3" applyNumberFormat="1" applyBorder="1" applyAlignment="1">
      <alignment horizontal="center" vertical="center"/>
    </xf>
    <xf numFmtId="3" fontId="26" fillId="0" borderId="11" xfId="3" applyNumberFormat="1" applyFont="1" applyBorder="1" applyAlignment="1">
      <alignment horizontal="center" vertical="center"/>
    </xf>
    <xf numFmtId="3" fontId="24" fillId="0" borderId="11" xfId="3" applyNumberFormat="1" applyBorder="1" applyAlignment="1">
      <alignment horizontal="center" vertical="center"/>
    </xf>
    <xf numFmtId="3" fontId="24" fillId="0" borderId="0" xfId="3" applyNumberFormat="1" applyAlignment="1">
      <alignment horizontal="center" vertical="center"/>
    </xf>
    <xf numFmtId="3" fontId="26" fillId="0" borderId="13" xfId="3" applyNumberFormat="1" applyFont="1" applyBorder="1" applyAlignment="1">
      <alignment horizontal="center" vertical="center"/>
    </xf>
    <xf numFmtId="3" fontId="0" fillId="0" borderId="13" xfId="4" applyNumberFormat="1" applyFont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 wrapText="1"/>
    </xf>
    <xf numFmtId="0" fontId="26" fillId="0" borderId="0" xfId="3" applyFont="1" applyAlignment="1">
      <alignment horizontal="center" vertical="center"/>
    </xf>
    <xf numFmtId="3" fontId="26" fillId="0" borderId="0" xfId="3" applyNumberFormat="1" applyFont="1" applyAlignment="1">
      <alignment horizontal="center" vertical="center"/>
    </xf>
    <xf numFmtId="3" fontId="0" fillId="0" borderId="0" xfId="4" applyNumberFormat="1" applyFont="1" applyFill="1" applyBorder="1" applyAlignment="1">
      <alignment horizontal="center" vertical="center"/>
    </xf>
    <xf numFmtId="4" fontId="24" fillId="0" borderId="12" xfId="3" applyNumberFormat="1" applyBorder="1" applyAlignment="1">
      <alignment horizontal="center" vertical="center"/>
    </xf>
    <xf numFmtId="4" fontId="26" fillId="0" borderId="11" xfId="3" applyNumberFormat="1" applyFont="1" applyBorder="1" applyAlignment="1">
      <alignment horizontal="center" vertical="center"/>
    </xf>
    <xf numFmtId="0" fontId="26" fillId="0" borderId="13" xfId="3" applyFont="1" applyBorder="1" applyAlignment="1">
      <alignment horizontal="center" vertical="center"/>
    </xf>
    <xf numFmtId="171" fontId="0" fillId="0" borderId="13" xfId="4" applyFont="1" applyBorder="1" applyAlignment="1">
      <alignment horizontal="center" vertical="center"/>
    </xf>
    <xf numFmtId="4" fontId="26" fillId="0" borderId="16" xfId="3" applyNumberFormat="1" applyFont="1" applyBorder="1" applyAlignment="1">
      <alignment horizontal="center" vertical="center"/>
    </xf>
    <xf numFmtId="3" fontId="26" fillId="0" borderId="16" xfId="3" applyNumberFormat="1" applyFont="1" applyBorder="1" applyAlignment="1">
      <alignment horizontal="center" vertical="center"/>
    </xf>
    <xf numFmtId="172" fontId="0" fillId="0" borderId="13" xfId="4" applyNumberFormat="1" applyFont="1" applyBorder="1" applyAlignment="1">
      <alignment horizontal="center" vertical="center"/>
    </xf>
    <xf numFmtId="4" fontId="26" fillId="0" borderId="12" xfId="3" applyNumberFormat="1" applyFont="1" applyBorder="1" applyAlignment="1">
      <alignment horizontal="center" vertical="center"/>
    </xf>
    <xf numFmtId="172" fontId="26" fillId="0" borderId="12" xfId="3" applyNumberFormat="1" applyFont="1" applyBorder="1" applyAlignment="1">
      <alignment horizontal="center" vertical="center"/>
    </xf>
    <xf numFmtId="4" fontId="26" fillId="0" borderId="16" xfId="3" applyNumberFormat="1" applyFont="1" applyBorder="1" applyAlignment="1">
      <alignment vertical="center"/>
    </xf>
    <xf numFmtId="0" fontId="24" fillId="0" borderId="16" xfId="3" applyBorder="1"/>
    <xf numFmtId="172" fontId="26" fillId="0" borderId="13" xfId="3" applyNumberFormat="1" applyFont="1" applyBorder="1" applyAlignment="1">
      <alignment horizontal="center" vertical="center"/>
    </xf>
    <xf numFmtId="171" fontId="23" fillId="0" borderId="13" xfId="4" applyFont="1" applyBorder="1" applyAlignment="1">
      <alignment vertical="center"/>
    </xf>
    <xf numFmtId="4" fontId="26" fillId="0" borderId="13" xfId="3" applyNumberFormat="1" applyFont="1" applyBorder="1" applyAlignment="1">
      <alignment horizontal="center" vertical="center"/>
    </xf>
    <xf numFmtId="43" fontId="26" fillId="0" borderId="16" xfId="1" applyFont="1" applyBorder="1" applyAlignment="1">
      <alignment vertical="center"/>
    </xf>
    <xf numFmtId="171" fontId="23" fillId="0" borderId="12" xfId="4" applyFont="1" applyBorder="1" applyAlignment="1">
      <alignment vertical="center"/>
    </xf>
    <xf numFmtId="3" fontId="26" fillId="0" borderId="12" xfId="3" applyNumberFormat="1" applyFont="1" applyBorder="1" applyAlignment="1">
      <alignment horizontal="center" vertical="center"/>
    </xf>
    <xf numFmtId="171" fontId="23" fillId="0" borderId="17" xfId="4" applyFont="1" applyBorder="1" applyAlignment="1">
      <alignment horizontal="center" vertical="center"/>
    </xf>
    <xf numFmtId="172" fontId="23" fillId="0" borderId="17" xfId="4" applyNumberFormat="1" applyFont="1" applyBorder="1" applyAlignment="1">
      <alignment horizontal="center" vertical="center"/>
    </xf>
    <xf numFmtId="0" fontId="23" fillId="0" borderId="0" xfId="3" applyFont="1"/>
    <xf numFmtId="43" fontId="23" fillId="0" borderId="17" xfId="1" applyFont="1" applyBorder="1" applyAlignment="1">
      <alignment horizontal="center" vertical="center"/>
    </xf>
    <xf numFmtId="172" fontId="23" fillId="0" borderId="17" xfId="3" applyNumberFormat="1" applyFont="1" applyBorder="1" applyAlignment="1">
      <alignment horizontal="center" vertical="center"/>
    </xf>
    <xf numFmtId="3" fontId="23" fillId="0" borderId="0" xfId="3" applyNumberFormat="1" applyFont="1" applyAlignment="1">
      <alignment horizontal="center" vertical="center"/>
    </xf>
    <xf numFmtId="43" fontId="23" fillId="0" borderId="0" xfId="1" applyFont="1" applyBorder="1" applyAlignment="1">
      <alignment horizontal="center" vertical="center"/>
    </xf>
    <xf numFmtId="172" fontId="23" fillId="0" borderId="0" xfId="4" applyNumberFormat="1" applyFont="1" applyBorder="1" applyAlignment="1">
      <alignment horizontal="center" vertical="center"/>
    </xf>
    <xf numFmtId="172" fontId="23" fillId="0" borderId="0" xfId="3" applyNumberFormat="1" applyFont="1" applyAlignment="1">
      <alignment horizontal="center" vertical="center"/>
    </xf>
    <xf numFmtId="49" fontId="23" fillId="0" borderId="0" xfId="3" applyNumberFormat="1" applyFont="1" applyAlignment="1">
      <alignment horizontal="center" vertical="center"/>
    </xf>
    <xf numFmtId="174" fontId="23" fillId="0" borderId="0" xfId="1" applyNumberFormat="1" applyFont="1" applyFill="1" applyAlignment="1">
      <alignment horizontal="center" vertical="center"/>
    </xf>
    <xf numFmtId="174" fontId="23" fillId="0" borderId="18" xfId="1" applyNumberFormat="1" applyFont="1" applyFill="1" applyBorder="1" applyAlignment="1">
      <alignment horizontal="center" vertical="center"/>
    </xf>
    <xf numFmtId="174" fontId="29" fillId="0" borderId="18" xfId="1" applyNumberFormat="1" applyFont="1" applyFill="1" applyBorder="1" applyAlignment="1">
      <alignment horizontal="center" vertical="center"/>
    </xf>
    <xf numFmtId="3" fontId="15" fillId="0" borderId="13" xfId="4" applyNumberFormat="1" applyFont="1" applyBorder="1" applyAlignment="1">
      <alignment horizontal="center" vertical="center"/>
    </xf>
    <xf numFmtId="3" fontId="23" fillId="0" borderId="17" xfId="4" applyNumberFormat="1" applyFont="1" applyBorder="1" applyAlignment="1">
      <alignment horizontal="center" vertical="center"/>
    </xf>
    <xf numFmtId="43" fontId="23" fillId="0" borderId="16" xfId="1" applyFont="1" applyBorder="1" applyAlignment="1">
      <alignment vertical="center"/>
    </xf>
    <xf numFmtId="3" fontId="0" fillId="0" borderId="16" xfId="4" applyNumberFormat="1" applyFont="1" applyBorder="1" applyAlignment="1">
      <alignment horizontal="center" vertical="center"/>
    </xf>
    <xf numFmtId="3" fontId="15" fillId="0" borderId="16" xfId="4" applyNumberFormat="1" applyFont="1" applyBorder="1" applyAlignment="1">
      <alignment horizontal="center" vertical="center"/>
    </xf>
    <xf numFmtId="43" fontId="23" fillId="0" borderId="11" xfId="1" applyFont="1" applyBorder="1" applyAlignment="1">
      <alignment vertical="center"/>
    </xf>
    <xf numFmtId="3" fontId="0" fillId="0" borderId="11" xfId="4" applyNumberFormat="1" applyFont="1" applyBorder="1" applyAlignment="1">
      <alignment horizontal="center" vertical="center"/>
    </xf>
    <xf numFmtId="172" fontId="26" fillId="0" borderId="16" xfId="3" applyNumberFormat="1" applyFont="1" applyBorder="1" applyAlignment="1">
      <alignment horizontal="center" vertical="center"/>
    </xf>
    <xf numFmtId="172" fontId="0" fillId="0" borderId="16" xfId="4" applyNumberFormat="1" applyFont="1" applyBorder="1" applyAlignment="1">
      <alignment horizontal="center" vertical="center"/>
    </xf>
    <xf numFmtId="172" fontId="15" fillId="0" borderId="16" xfId="4" applyNumberFormat="1" applyFont="1" applyBorder="1" applyAlignment="1">
      <alignment horizontal="center" vertical="center"/>
    </xf>
    <xf numFmtId="172" fontId="0" fillId="0" borderId="11" xfId="4" applyNumberFormat="1" applyFont="1" applyBorder="1" applyAlignment="1">
      <alignment horizontal="center" vertical="center"/>
    </xf>
    <xf numFmtId="3" fontId="15" fillId="0" borderId="11" xfId="4" applyNumberFormat="1" applyFont="1" applyBorder="1" applyAlignment="1">
      <alignment horizontal="center" vertical="center"/>
    </xf>
    <xf numFmtId="172" fontId="15" fillId="0" borderId="11" xfId="4" applyNumberFormat="1" applyFont="1" applyBorder="1" applyAlignment="1">
      <alignment horizontal="center" vertical="center"/>
    </xf>
    <xf numFmtId="0" fontId="25" fillId="0" borderId="0" xfId="3" applyFont="1" applyAlignment="1">
      <alignment horizontal="right" vertical="center"/>
    </xf>
    <xf numFmtId="0" fontId="30" fillId="0" borderId="0" xfId="3" applyFont="1" applyAlignment="1">
      <alignment vertical="center"/>
    </xf>
    <xf numFmtId="14" fontId="25" fillId="8" borderId="0" xfId="3" applyNumberFormat="1" applyFont="1" applyFill="1" applyAlignment="1">
      <alignment horizontal="center" vertical="center"/>
    </xf>
    <xf numFmtId="0" fontId="32" fillId="0" borderId="0" xfId="0" applyFont="1"/>
    <xf numFmtId="0" fontId="32" fillId="0" borderId="1" xfId="0" applyFont="1" applyBorder="1" applyAlignment="1">
      <alignment horizontal="center"/>
    </xf>
    <xf numFmtId="0" fontId="31" fillId="2" borderId="5" xfId="0" applyFont="1" applyFill="1" applyBorder="1"/>
    <xf numFmtId="0" fontId="31" fillId="2" borderId="6" xfId="0" applyFont="1" applyFill="1" applyBorder="1"/>
    <xf numFmtId="0" fontId="31" fillId="2" borderId="10" xfId="0" applyFont="1" applyFill="1" applyBorder="1"/>
    <xf numFmtId="0" fontId="36" fillId="0" borderId="0" xfId="5"/>
    <xf numFmtId="0" fontId="23" fillId="0" borderId="0" xfId="0" applyFont="1" applyAlignment="1">
      <alignment vertical="center"/>
    </xf>
    <xf numFmtId="0" fontId="0" fillId="0" borderId="0" xfId="0" applyAlignment="1">
      <alignment vertical="center"/>
    </xf>
    <xf numFmtId="167" fontId="37" fillId="0" borderId="0" xfId="6" applyFont="1" applyAlignment="1">
      <alignment horizontal="left" vertical="center"/>
    </xf>
    <xf numFmtId="167" fontId="0" fillId="0" borderId="0" xfId="6" applyFont="1" applyAlignment="1">
      <alignment vertical="center"/>
    </xf>
    <xf numFmtId="0" fontId="39" fillId="0" borderId="0" xfId="0" applyFont="1" applyAlignment="1">
      <alignment horizontal="right" vertical="center" indent="1"/>
    </xf>
    <xf numFmtId="0" fontId="40" fillId="0" borderId="0" xfId="0" applyFont="1" applyAlignment="1">
      <alignment vertical="center"/>
    </xf>
    <xf numFmtId="167" fontId="38" fillId="0" borderId="27" xfId="6" applyFont="1" applyBorder="1" applyAlignment="1">
      <alignment vertical="center"/>
    </xf>
    <xf numFmtId="0" fontId="38" fillId="0" borderId="29" xfId="0" applyFont="1" applyBorder="1" applyAlignment="1">
      <alignment vertical="center"/>
    </xf>
    <xf numFmtId="37" fontId="38" fillId="0" borderId="28" xfId="0" applyNumberFormat="1" applyFont="1" applyBorder="1" applyAlignment="1">
      <alignment horizontal="center" vertical="center"/>
    </xf>
    <xf numFmtId="10" fontId="38" fillId="0" borderId="29" xfId="0" applyNumberFormat="1" applyFont="1" applyBorder="1" applyAlignment="1">
      <alignment horizontal="center" vertical="center"/>
    </xf>
    <xf numFmtId="0" fontId="41" fillId="0" borderId="0" xfId="0" applyFont="1" applyAlignment="1">
      <alignment vertical="center" wrapText="1"/>
    </xf>
    <xf numFmtId="167" fontId="38" fillId="0" borderId="25" xfId="6" applyFont="1" applyBorder="1" applyAlignment="1">
      <alignment vertical="center"/>
    </xf>
    <xf numFmtId="0" fontId="38" fillId="0" borderId="26" xfId="0" applyFont="1" applyBorder="1" applyAlignment="1">
      <alignment vertical="center"/>
    </xf>
    <xf numFmtId="10" fontId="42" fillId="0" borderId="26" xfId="0" applyNumberFormat="1" applyFont="1" applyBorder="1" applyAlignment="1">
      <alignment horizontal="center" vertical="center"/>
    </xf>
    <xf numFmtId="37" fontId="38" fillId="0" borderId="0" xfId="0" applyNumberFormat="1" applyFont="1" applyAlignment="1">
      <alignment horizontal="center" vertical="center"/>
    </xf>
    <xf numFmtId="10" fontId="38" fillId="0" borderId="26" xfId="0" applyNumberFormat="1" applyFont="1" applyBorder="1" applyAlignment="1">
      <alignment horizontal="center" vertical="center"/>
    </xf>
    <xf numFmtId="167" fontId="43" fillId="0" borderId="0" xfId="6" applyFont="1" applyAlignment="1">
      <alignment vertical="center"/>
    </xf>
    <xf numFmtId="167" fontId="44" fillId="0" borderId="0" xfId="6" applyFont="1" applyAlignment="1">
      <alignment vertical="center"/>
    </xf>
    <xf numFmtId="174" fontId="38" fillId="0" borderId="27" xfId="0" applyNumberFormat="1" applyFont="1" applyBorder="1" applyAlignment="1">
      <alignment horizontal="center" vertical="center"/>
    </xf>
    <xf numFmtId="174" fontId="38" fillId="0" borderId="28" xfId="0" applyNumberFormat="1" applyFont="1" applyBorder="1" applyAlignment="1">
      <alignment horizontal="center" vertical="center"/>
    </xf>
    <xf numFmtId="174" fontId="42" fillId="0" borderId="25" xfId="0" applyNumberFormat="1" applyFont="1" applyBorder="1" applyAlignment="1">
      <alignment horizontal="center" vertical="center"/>
    </xf>
    <xf numFmtId="174" fontId="42" fillId="0" borderId="0" xfId="0" applyNumberFormat="1" applyFont="1" applyAlignment="1">
      <alignment horizontal="center" vertical="center"/>
    </xf>
    <xf numFmtId="174" fontId="42" fillId="0" borderId="0" xfId="6" applyNumberFormat="1" applyFont="1" applyBorder="1" applyAlignment="1">
      <alignment horizontal="center" vertical="center"/>
    </xf>
    <xf numFmtId="174" fontId="38" fillId="0" borderId="25" xfId="0" applyNumberFormat="1" applyFont="1" applyBorder="1" applyAlignment="1">
      <alignment horizontal="center" vertical="center"/>
    </xf>
    <xf numFmtId="174" fontId="38" fillId="0" borderId="0" xfId="0" applyNumberFormat="1" applyFont="1" applyAlignment="1">
      <alignment horizontal="center" vertical="center"/>
    </xf>
    <xf numFmtId="43" fontId="0" fillId="0" borderId="0" xfId="1" applyFont="1" applyAlignment="1">
      <alignment vertical="center"/>
    </xf>
    <xf numFmtId="0" fontId="31" fillId="0" borderId="7" xfId="0" applyFont="1" applyBorder="1" applyAlignment="1">
      <alignment vertical="center" wrapText="1"/>
    </xf>
    <xf numFmtId="0" fontId="31" fillId="0" borderId="9" xfId="0" applyFont="1" applyBorder="1" applyAlignment="1">
      <alignment vertical="center" wrapText="1"/>
    </xf>
    <xf numFmtId="0" fontId="31" fillId="0" borderId="8" xfId="0" applyFont="1" applyBorder="1" applyAlignment="1">
      <alignment vertical="center" wrapText="1"/>
    </xf>
    <xf numFmtId="0" fontId="31" fillId="3" borderId="7" xfId="0" applyFont="1" applyFill="1" applyBorder="1" applyAlignment="1">
      <alignment vertical="top" wrapText="1"/>
    </xf>
    <xf numFmtId="0" fontId="31" fillId="3" borderId="9" xfId="0" applyFont="1" applyFill="1" applyBorder="1" applyAlignment="1">
      <alignment vertical="top" wrapText="1"/>
    </xf>
    <xf numFmtId="0" fontId="31" fillId="3" borderId="8" xfId="0" applyFont="1" applyFill="1" applyBorder="1" applyAlignment="1">
      <alignment vertical="top" wrapText="1"/>
    </xf>
    <xf numFmtId="0" fontId="31" fillId="4" borderId="9" xfId="0" applyFont="1" applyFill="1" applyBorder="1" applyAlignment="1">
      <alignment vertical="top"/>
    </xf>
    <xf numFmtId="0" fontId="31" fillId="4" borderId="8" xfId="0" applyFont="1" applyFill="1" applyBorder="1" applyAlignment="1">
      <alignment vertical="top"/>
    </xf>
    <xf numFmtId="43" fontId="34" fillId="0" borderId="0" xfId="1" applyFont="1" applyFill="1"/>
    <xf numFmtId="170" fontId="33" fillId="0" borderId="14" xfId="1" applyNumberFormat="1" applyFont="1" applyFill="1" applyBorder="1"/>
    <xf numFmtId="170" fontId="33" fillId="0" borderId="15" xfId="1" applyNumberFormat="1" applyFont="1" applyFill="1" applyBorder="1"/>
    <xf numFmtId="170" fontId="35" fillId="0" borderId="0" xfId="1" applyNumberFormat="1" applyFont="1" applyFill="1"/>
    <xf numFmtId="0" fontId="35" fillId="0" borderId="0" xfId="0" applyFont="1"/>
    <xf numFmtId="0" fontId="16" fillId="0" borderId="0" xfId="0" applyFont="1" applyAlignment="1">
      <alignment wrapText="1"/>
    </xf>
    <xf numFmtId="10" fontId="16" fillId="4" borderId="8" xfId="2" applyNumberFormat="1" applyFont="1" applyFill="1" applyBorder="1"/>
    <xf numFmtId="3" fontId="23" fillId="0" borderId="8" xfId="4" applyNumberFormat="1" applyFont="1" applyBorder="1" applyAlignment="1">
      <alignment horizontal="center" vertical="center"/>
    </xf>
    <xf numFmtId="172" fontId="46" fillId="0" borderId="12" xfId="3" applyNumberFormat="1" applyFont="1" applyBorder="1" applyAlignment="1">
      <alignment horizontal="center" vertical="center"/>
    </xf>
    <xf numFmtId="9" fontId="17" fillId="0" borderId="1" xfId="0" applyNumberFormat="1" applyFont="1" applyBorder="1"/>
    <xf numFmtId="167" fontId="17" fillId="0" borderId="1" xfId="8" applyFont="1" applyBorder="1"/>
    <xf numFmtId="170" fontId="31" fillId="0" borderId="9" xfId="1" applyNumberFormat="1" applyFont="1" applyBorder="1" applyAlignment="1">
      <alignment vertical="center" wrapText="1"/>
    </xf>
    <xf numFmtId="170" fontId="31" fillId="4" borderId="7" xfId="1" applyNumberFormat="1" applyFont="1" applyFill="1" applyBorder="1" applyAlignment="1">
      <alignment vertical="top" wrapText="1"/>
    </xf>
    <xf numFmtId="170" fontId="16" fillId="4" borderId="7" xfId="1" applyNumberFormat="1" applyFont="1" applyFill="1" applyBorder="1"/>
    <xf numFmtId="170" fontId="17" fillId="4" borderId="7" xfId="1" applyNumberFormat="1" applyFont="1" applyFill="1" applyBorder="1"/>
    <xf numFmtId="170" fontId="16" fillId="0" borderId="0" xfId="1" applyNumberFormat="1" applyFont="1"/>
    <xf numFmtId="43" fontId="48" fillId="0" borderId="0" xfId="11" applyFont="1" applyAlignment="1">
      <alignment vertical="center"/>
    </xf>
    <xf numFmtId="3" fontId="13" fillId="0" borderId="0" xfId="12" applyNumberFormat="1" applyAlignment="1">
      <alignment horizontal="center" vertical="center"/>
    </xf>
    <xf numFmtId="0" fontId="13" fillId="0" borderId="0" xfId="12" applyAlignment="1">
      <alignment vertical="center"/>
    </xf>
    <xf numFmtId="43" fontId="0" fillId="0" borderId="0" xfId="11" applyFont="1" applyAlignment="1">
      <alignment vertical="center"/>
    </xf>
    <xf numFmtId="3" fontId="19" fillId="0" borderId="0" xfId="12" applyNumberFormat="1" applyFont="1" applyAlignment="1">
      <alignment horizontal="center" vertical="center"/>
    </xf>
    <xf numFmtId="3" fontId="19" fillId="4" borderId="1" xfId="12" quotePrefix="1" applyNumberFormat="1" applyFont="1" applyFill="1" applyBorder="1" applyAlignment="1">
      <alignment horizontal="center" vertical="center"/>
    </xf>
    <xf numFmtId="3" fontId="19" fillId="4" borderId="1" xfId="12" applyNumberFormat="1" applyFont="1" applyFill="1" applyBorder="1" applyAlignment="1">
      <alignment horizontal="center" vertical="center"/>
    </xf>
    <xf numFmtId="0" fontId="19" fillId="0" borderId="0" xfId="12" applyFont="1" applyAlignment="1">
      <alignment vertical="center"/>
    </xf>
    <xf numFmtId="14" fontId="19" fillId="4" borderId="1" xfId="12" applyNumberFormat="1" applyFont="1" applyFill="1" applyBorder="1" applyAlignment="1">
      <alignment horizontal="center" vertical="center"/>
    </xf>
    <xf numFmtId="14" fontId="19" fillId="4" borderId="4" xfId="12" applyNumberFormat="1" applyFont="1" applyFill="1" applyBorder="1" applyAlignment="1">
      <alignment horizontal="center" vertical="center"/>
    </xf>
    <xf numFmtId="14" fontId="19" fillId="0" borderId="0" xfId="12" applyNumberFormat="1" applyFont="1" applyAlignment="1">
      <alignment vertical="center"/>
    </xf>
    <xf numFmtId="3" fontId="13" fillId="0" borderId="3" xfId="12" applyNumberFormat="1" applyBorder="1" applyAlignment="1">
      <alignment horizontal="center" vertical="center"/>
    </xf>
    <xf numFmtId="3" fontId="13" fillId="0" borderId="1" xfId="12" applyNumberFormat="1" applyBorder="1" applyAlignment="1">
      <alignment horizontal="center" vertical="center"/>
    </xf>
    <xf numFmtId="43" fontId="19" fillId="0" borderId="17" xfId="11" applyFont="1" applyBorder="1" applyAlignment="1">
      <alignment vertical="center"/>
    </xf>
    <xf numFmtId="3" fontId="19" fillId="0" borderId="17" xfId="12" applyNumberFormat="1" applyFont="1" applyBorder="1" applyAlignment="1">
      <alignment horizontal="center" vertical="center"/>
    </xf>
    <xf numFmtId="43" fontId="0" fillId="0" borderId="28" xfId="11" applyFont="1" applyBorder="1" applyAlignment="1">
      <alignment vertical="center"/>
    </xf>
    <xf numFmtId="3" fontId="13" fillId="0" borderId="28" xfId="12" applyNumberFormat="1" applyBorder="1" applyAlignment="1">
      <alignment horizontal="center" vertical="center"/>
    </xf>
    <xf numFmtId="43" fontId="40" fillId="0" borderId="2" xfId="11" applyFont="1" applyFill="1" applyBorder="1" applyAlignment="1">
      <alignment vertical="center"/>
    </xf>
    <xf numFmtId="43" fontId="40" fillId="0" borderId="1" xfId="11" applyFont="1" applyBorder="1" applyAlignment="1">
      <alignment vertical="center"/>
    </xf>
    <xf numFmtId="0" fontId="50" fillId="9" borderId="7" xfId="13" applyFont="1" applyFill="1" applyBorder="1" applyAlignment="1">
      <alignment horizontal="center" vertical="center"/>
    </xf>
    <xf numFmtId="40" fontId="51" fillId="9" borderId="7" xfId="13" applyNumberFormat="1" applyFont="1" applyFill="1" applyBorder="1" applyAlignment="1">
      <alignment horizontal="center" vertical="center"/>
    </xf>
    <xf numFmtId="40" fontId="50" fillId="9" borderId="7" xfId="13" applyNumberFormat="1" applyFont="1" applyFill="1" applyBorder="1" applyAlignment="1">
      <alignment horizontal="center" vertical="center"/>
    </xf>
    <xf numFmtId="0" fontId="50" fillId="9" borderId="7" xfId="14" applyFont="1" applyFill="1" applyBorder="1" applyAlignment="1">
      <alignment horizontal="center" vertical="center" wrapText="1"/>
    </xf>
    <xf numFmtId="40" fontId="53" fillId="0" borderId="0" xfId="13" applyNumberFormat="1" applyFont="1" applyAlignment="1">
      <alignment vertical="center"/>
    </xf>
    <xf numFmtId="0" fontId="54" fillId="0" borderId="0" xfId="13" applyFont="1" applyAlignment="1">
      <alignment horizontal="center" vertical="center"/>
    </xf>
    <xf numFmtId="40" fontId="53" fillId="0" borderId="0" xfId="13" applyNumberFormat="1" applyFont="1" applyAlignment="1">
      <alignment horizontal="center" vertical="center"/>
    </xf>
    <xf numFmtId="40" fontId="54" fillId="0" borderId="0" xfId="13" applyNumberFormat="1" applyFont="1" applyAlignment="1">
      <alignment horizontal="center" vertical="center"/>
    </xf>
    <xf numFmtId="176" fontId="54" fillId="0" borderId="0" xfId="13" applyNumberFormat="1" applyFont="1" applyAlignment="1">
      <alignment horizontal="center" vertical="center"/>
    </xf>
    <xf numFmtId="38" fontId="55" fillId="0" borderId="0" xfId="14" applyNumberFormat="1" applyFont="1" applyAlignment="1" applyProtection="1">
      <alignment horizontal="center" vertical="center"/>
      <protection locked="0"/>
    </xf>
    <xf numFmtId="10" fontId="55" fillId="0" borderId="0" xfId="2" applyNumberFormat="1" applyFont="1" applyFill="1" applyBorder="1" applyAlignment="1" applyProtection="1">
      <alignment horizontal="center" vertical="center"/>
      <protection locked="0"/>
    </xf>
    <xf numFmtId="43" fontId="55" fillId="0" borderId="0" xfId="1" applyFont="1" applyFill="1" applyBorder="1" applyAlignment="1" applyProtection="1">
      <alignment horizontal="center" vertical="center"/>
      <protection locked="0"/>
    </xf>
    <xf numFmtId="10" fontId="55" fillId="0" borderId="0" xfId="14" applyNumberFormat="1" applyFont="1" applyAlignment="1" applyProtection="1">
      <alignment horizontal="center" vertical="center"/>
      <protection locked="0"/>
    </xf>
    <xf numFmtId="0" fontId="50" fillId="6" borderId="3" xfId="13" applyFont="1" applyFill="1" applyBorder="1" applyAlignment="1">
      <alignment horizontal="center" vertical="center"/>
    </xf>
    <xf numFmtId="40" fontId="54" fillId="6" borderId="3" xfId="13" applyNumberFormat="1" applyFont="1" applyFill="1" applyBorder="1" applyAlignment="1">
      <alignment horizontal="center" vertical="center"/>
    </xf>
    <xf numFmtId="40" fontId="56" fillId="6" borderId="3" xfId="13" applyNumberFormat="1" applyFont="1" applyFill="1" applyBorder="1" applyAlignment="1">
      <alignment horizontal="center" vertical="center"/>
    </xf>
    <xf numFmtId="176" fontId="50" fillId="6" borderId="3" xfId="13" applyNumberFormat="1" applyFont="1" applyFill="1" applyBorder="1" applyAlignment="1">
      <alignment horizontal="center" vertical="center"/>
    </xf>
    <xf numFmtId="38" fontId="57" fillId="6" borderId="3" xfId="14" applyNumberFormat="1" applyFont="1" applyFill="1" applyBorder="1" applyAlignment="1" applyProtection="1">
      <alignment horizontal="center" vertical="center"/>
      <protection locked="0"/>
    </xf>
    <xf numFmtId="10" fontId="57" fillId="6" borderId="3" xfId="2" applyNumberFormat="1" applyFont="1" applyFill="1" applyBorder="1" applyAlignment="1" applyProtection="1">
      <alignment horizontal="center" vertical="center"/>
      <protection locked="0"/>
    </xf>
    <xf numFmtId="40" fontId="56" fillId="0" borderId="0" xfId="13" applyNumberFormat="1" applyFont="1" applyAlignment="1">
      <alignment vertical="center"/>
    </xf>
    <xf numFmtId="0" fontId="50" fillId="6" borderId="0" xfId="13" applyFont="1" applyFill="1" applyAlignment="1">
      <alignment horizontal="center" vertical="center"/>
    </xf>
    <xf numFmtId="40" fontId="56" fillId="6" borderId="0" xfId="13" applyNumberFormat="1" applyFont="1" applyFill="1" applyAlignment="1">
      <alignment horizontal="center" vertical="center"/>
    </xf>
    <xf numFmtId="176" fontId="50" fillId="6" borderId="0" xfId="13" applyNumberFormat="1" applyFont="1" applyFill="1" applyAlignment="1">
      <alignment horizontal="center" vertical="center"/>
    </xf>
    <xf numFmtId="38" fontId="57" fillId="6" borderId="0" xfId="14" applyNumberFormat="1" applyFont="1" applyFill="1" applyAlignment="1" applyProtection="1">
      <alignment horizontal="center" vertical="center"/>
      <protection locked="0"/>
    </xf>
    <xf numFmtId="10" fontId="57" fillId="6" borderId="0" xfId="2" applyNumberFormat="1" applyFont="1" applyFill="1" applyBorder="1" applyAlignment="1" applyProtection="1">
      <alignment horizontal="center" vertical="center"/>
      <protection locked="0"/>
    </xf>
    <xf numFmtId="40" fontId="60" fillId="0" borderId="0" xfId="13" applyNumberFormat="1" applyFont="1" applyAlignment="1">
      <alignment horizontal="center"/>
    </xf>
    <xf numFmtId="0" fontId="61" fillId="0" borderId="0" xfId="13" applyFont="1" applyAlignment="1">
      <alignment horizontal="center" vertical="center"/>
    </xf>
    <xf numFmtId="40" fontId="61" fillId="0" borderId="0" xfId="13" applyNumberFormat="1" applyFont="1" applyAlignment="1">
      <alignment horizontal="center" vertical="center"/>
    </xf>
    <xf numFmtId="40" fontId="61" fillId="0" borderId="0" xfId="13" applyNumberFormat="1" applyFont="1" applyAlignment="1">
      <alignment horizontal="center"/>
    </xf>
    <xf numFmtId="40" fontId="53" fillId="0" borderId="0" xfId="15" applyNumberFormat="1" applyFont="1" applyAlignment="1">
      <alignment horizontal="center"/>
    </xf>
    <xf numFmtId="10" fontId="60" fillId="0" borderId="0" xfId="13" applyNumberFormat="1" applyFont="1" applyAlignment="1">
      <alignment horizontal="center"/>
    </xf>
    <xf numFmtId="40" fontId="60" fillId="0" borderId="0" xfId="13" applyNumberFormat="1" applyFont="1"/>
    <xf numFmtId="49" fontId="60" fillId="0" borderId="0" xfId="13" applyNumberFormat="1" applyFont="1" applyAlignment="1">
      <alignment horizontal="center"/>
    </xf>
    <xf numFmtId="0" fontId="50" fillId="10" borderId="3" xfId="13" applyFont="1" applyFill="1" applyBorder="1" applyAlignment="1">
      <alignment horizontal="center" vertical="center"/>
    </xf>
    <xf numFmtId="40" fontId="56" fillId="10" borderId="3" xfId="13" applyNumberFormat="1" applyFont="1" applyFill="1" applyBorder="1" applyAlignment="1">
      <alignment horizontal="center" vertical="center"/>
    </xf>
    <xf numFmtId="40" fontId="50" fillId="10" borderId="3" xfId="13" applyNumberFormat="1" applyFont="1" applyFill="1" applyBorder="1" applyAlignment="1">
      <alignment horizontal="center" vertical="center"/>
    </xf>
    <xf numFmtId="38" fontId="58" fillId="10" borderId="3" xfId="14" applyNumberFormat="1" applyFont="1" applyFill="1" applyBorder="1" applyAlignment="1" applyProtection="1">
      <alignment horizontal="center" vertical="center"/>
      <protection locked="0"/>
    </xf>
    <xf numFmtId="40" fontId="59" fillId="10" borderId="3" xfId="13" applyNumberFormat="1" applyFont="1" applyFill="1" applyBorder="1" applyAlignment="1">
      <alignment horizontal="center"/>
    </xf>
    <xf numFmtId="40" fontId="31" fillId="10" borderId="3" xfId="13" applyNumberFormat="1" applyFont="1" applyFill="1" applyBorder="1" applyAlignment="1">
      <alignment horizontal="center"/>
    </xf>
    <xf numFmtId="39" fontId="60" fillId="0" borderId="0" xfId="1" applyNumberFormat="1" applyFont="1" applyAlignment="1">
      <alignment horizontal="center" vertical="center"/>
    </xf>
    <xf numFmtId="172" fontId="24" fillId="0" borderId="11" xfId="3" applyNumberFormat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37" fontId="63" fillId="11" borderId="0" xfId="0" applyNumberFormat="1" applyFont="1" applyFill="1" applyAlignment="1">
      <alignment horizontal="center" vertical="center"/>
    </xf>
    <xf numFmtId="0" fontId="63" fillId="11" borderId="0" xfId="0" applyFont="1" applyFill="1" applyAlignment="1">
      <alignment horizontal="center" vertical="center"/>
    </xf>
    <xf numFmtId="37" fontId="64" fillId="12" borderId="23" xfId="0" applyNumberFormat="1" applyFont="1" applyFill="1" applyBorder="1" applyAlignment="1">
      <alignment horizontal="center" vertical="center"/>
    </xf>
    <xf numFmtId="0" fontId="64" fillId="12" borderId="40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43" fontId="65" fillId="11" borderId="27" xfId="1" applyFont="1" applyFill="1" applyBorder="1" applyAlignment="1">
      <alignment vertical="center"/>
    </xf>
    <xf numFmtId="43" fontId="65" fillId="11" borderId="28" xfId="1" applyFont="1" applyFill="1" applyBorder="1" applyAlignment="1">
      <alignment vertical="center"/>
    </xf>
    <xf numFmtId="0" fontId="65" fillId="11" borderId="28" xfId="0" applyFont="1" applyFill="1" applyBorder="1" applyAlignment="1">
      <alignment vertical="center"/>
    </xf>
    <xf numFmtId="37" fontId="65" fillId="11" borderId="28" xfId="0" applyNumberFormat="1" applyFont="1" applyFill="1" applyBorder="1" applyAlignment="1">
      <alignment horizontal="center" vertical="center"/>
    </xf>
    <xf numFmtId="37" fontId="65" fillId="11" borderId="27" xfId="0" applyNumberFormat="1" applyFont="1" applyFill="1" applyBorder="1" applyAlignment="1">
      <alignment horizontal="center" vertical="center"/>
    </xf>
    <xf numFmtId="37" fontId="65" fillId="13" borderId="41" xfId="0" applyNumberFormat="1" applyFont="1" applyFill="1" applyBorder="1" applyAlignment="1">
      <alignment horizontal="center" vertical="center"/>
    </xf>
    <xf numFmtId="0" fontId="65" fillId="11" borderId="25" xfId="0" applyFont="1" applyFill="1" applyBorder="1" applyAlignment="1">
      <alignment vertical="center"/>
    </xf>
    <xf numFmtId="43" fontId="63" fillId="11" borderId="0" xfId="1" applyFont="1" applyFill="1" applyBorder="1" applyAlignment="1">
      <alignment vertical="center"/>
    </xf>
    <xf numFmtId="37" fontId="63" fillId="11" borderId="25" xfId="0" applyNumberFormat="1" applyFont="1" applyFill="1" applyBorder="1" applyAlignment="1">
      <alignment horizontal="center" vertical="center"/>
    </xf>
    <xf numFmtId="37" fontId="63" fillId="13" borderId="42" xfId="0" applyNumberFormat="1" applyFont="1" applyFill="1" applyBorder="1" applyAlignment="1">
      <alignment horizontal="center" vertical="center"/>
    </xf>
    <xf numFmtId="0" fontId="63" fillId="11" borderId="25" xfId="0" applyFont="1" applyFill="1" applyBorder="1" applyAlignment="1">
      <alignment vertical="center"/>
    </xf>
    <xf numFmtId="0" fontId="66" fillId="11" borderId="43" xfId="0" applyFont="1" applyFill="1" applyBorder="1" applyAlignment="1">
      <alignment vertical="center"/>
    </xf>
    <xf numFmtId="43" fontId="66" fillId="11" borderId="35" xfId="1" applyFont="1" applyFill="1" applyBorder="1" applyAlignment="1">
      <alignment vertical="center"/>
    </xf>
    <xf numFmtId="0" fontId="66" fillId="11" borderId="35" xfId="0" applyFont="1" applyFill="1" applyBorder="1" applyAlignment="1">
      <alignment vertical="center"/>
    </xf>
    <xf numFmtId="37" fontId="66" fillId="11" borderId="35" xfId="0" applyNumberFormat="1" applyFont="1" applyFill="1" applyBorder="1" applyAlignment="1">
      <alignment horizontal="center" vertical="center"/>
    </xf>
    <xf numFmtId="37" fontId="66" fillId="11" borderId="43" xfId="0" applyNumberFormat="1" applyFont="1" applyFill="1" applyBorder="1" applyAlignment="1">
      <alignment horizontal="center" vertical="center"/>
    </xf>
    <xf numFmtId="37" fontId="66" fillId="13" borderId="44" xfId="0" applyNumberFormat="1" applyFont="1" applyFill="1" applyBorder="1" applyAlignment="1">
      <alignment horizontal="center" vertical="center"/>
    </xf>
    <xf numFmtId="43" fontId="66" fillId="11" borderId="0" xfId="1" applyFont="1" applyFill="1" applyBorder="1" applyAlignment="1">
      <alignment vertical="center"/>
    </xf>
    <xf numFmtId="43" fontId="65" fillId="11" borderId="0" xfId="1" applyFont="1" applyFill="1" applyBorder="1" applyAlignment="1">
      <alignment vertical="center"/>
    </xf>
    <xf numFmtId="37" fontId="65" fillId="11" borderId="0" xfId="0" applyNumberFormat="1" applyFont="1" applyFill="1" applyAlignment="1">
      <alignment horizontal="center" vertical="center"/>
    </xf>
    <xf numFmtId="0" fontId="66" fillId="11" borderId="45" xfId="0" applyFont="1" applyFill="1" applyBorder="1" applyAlignment="1">
      <alignment vertical="center"/>
    </xf>
    <xf numFmtId="43" fontId="66" fillId="11" borderId="3" xfId="1" applyFont="1" applyFill="1" applyBorder="1" applyAlignment="1">
      <alignment vertical="center"/>
    </xf>
    <xf numFmtId="0" fontId="66" fillId="11" borderId="3" xfId="0" applyFont="1" applyFill="1" applyBorder="1" applyAlignment="1">
      <alignment vertical="center"/>
    </xf>
    <xf numFmtId="37" fontId="66" fillId="11" borderId="3" xfId="0" applyNumberFormat="1" applyFont="1" applyFill="1" applyBorder="1" applyAlignment="1">
      <alignment horizontal="center" vertical="center"/>
    </xf>
    <xf numFmtId="37" fontId="66" fillId="11" borderId="45" xfId="0" applyNumberFormat="1" applyFont="1" applyFill="1" applyBorder="1" applyAlignment="1">
      <alignment horizontal="center" vertical="center"/>
    </xf>
    <xf numFmtId="37" fontId="66" fillId="13" borderId="46" xfId="0" applyNumberFormat="1" applyFont="1" applyFill="1" applyBorder="1" applyAlignment="1">
      <alignment horizontal="center" vertical="center"/>
    </xf>
    <xf numFmtId="0" fontId="63" fillId="6" borderId="25" xfId="0" applyFont="1" applyFill="1" applyBorder="1" applyAlignment="1">
      <alignment vertical="center"/>
    </xf>
    <xf numFmtId="43" fontId="63" fillId="6" borderId="0" xfId="1" applyFont="1" applyFill="1" applyBorder="1" applyAlignment="1">
      <alignment vertical="center"/>
    </xf>
    <xf numFmtId="0" fontId="63" fillId="6" borderId="0" xfId="0" applyFont="1" applyFill="1" applyAlignment="1">
      <alignment vertical="center"/>
    </xf>
    <xf numFmtId="37" fontId="63" fillId="6" borderId="0" xfId="0" applyNumberFormat="1" applyFont="1" applyFill="1" applyAlignment="1">
      <alignment horizontal="center" vertical="center"/>
    </xf>
    <xf numFmtId="37" fontId="63" fillId="6" borderId="25" xfId="0" applyNumberFormat="1" applyFont="1" applyFill="1" applyBorder="1" applyAlignment="1">
      <alignment horizontal="center" vertical="center"/>
    </xf>
    <xf numFmtId="43" fontId="65" fillId="14" borderId="22" xfId="1" applyFont="1" applyFill="1" applyBorder="1" applyAlignment="1">
      <alignment vertical="center"/>
    </xf>
    <xf numFmtId="43" fontId="65" fillId="14" borderId="23" xfId="1" applyFont="1" applyFill="1" applyBorder="1" applyAlignment="1">
      <alignment vertical="center"/>
    </xf>
    <xf numFmtId="0" fontId="65" fillId="14" borderId="23" xfId="0" applyFont="1" applyFill="1" applyBorder="1" applyAlignment="1">
      <alignment vertical="center"/>
    </xf>
    <xf numFmtId="37" fontId="65" fillId="14" borderId="23" xfId="0" applyNumberFormat="1" applyFont="1" applyFill="1" applyBorder="1" applyAlignment="1">
      <alignment horizontal="center" vertical="center"/>
    </xf>
    <xf numFmtId="37" fontId="65" fillId="14" borderId="22" xfId="0" applyNumberFormat="1" applyFont="1" applyFill="1" applyBorder="1" applyAlignment="1">
      <alignment horizontal="center" vertical="center"/>
    </xf>
    <xf numFmtId="37" fontId="65" fillId="14" borderId="40" xfId="0" applyNumberFormat="1" applyFont="1" applyFill="1" applyBorder="1" applyAlignment="1">
      <alignment horizontal="center" vertical="center"/>
    </xf>
    <xf numFmtId="43" fontId="63" fillId="11" borderId="0" xfId="1" applyFont="1" applyFill="1" applyAlignment="1">
      <alignment vertical="center"/>
    </xf>
    <xf numFmtId="43" fontId="63" fillId="11" borderId="0" xfId="1" applyFont="1" applyFill="1" applyAlignment="1">
      <alignment horizontal="center" vertical="center"/>
    </xf>
    <xf numFmtId="17" fontId="64" fillId="12" borderId="22" xfId="0" applyNumberFormat="1" applyFont="1" applyFill="1" applyBorder="1" applyAlignment="1">
      <alignment horizontal="center" vertical="center"/>
    </xf>
    <xf numFmtId="37" fontId="66" fillId="11" borderId="0" xfId="0" applyNumberFormat="1" applyFont="1" applyFill="1" applyAlignment="1">
      <alignment horizontal="center" vertical="center"/>
    </xf>
    <xf numFmtId="37" fontId="63" fillId="11" borderId="25" xfId="1" applyNumberFormat="1" applyFont="1" applyFill="1" applyBorder="1" applyAlignment="1">
      <alignment horizontal="center" vertical="center"/>
    </xf>
    <xf numFmtId="37" fontId="63" fillId="8" borderId="42" xfId="0" applyNumberFormat="1" applyFont="1" applyFill="1" applyBorder="1" applyAlignment="1">
      <alignment horizontal="center" vertical="center"/>
    </xf>
    <xf numFmtId="169" fontId="15" fillId="0" borderId="0" xfId="17" applyNumberFormat="1" applyFont="1"/>
    <xf numFmtId="0" fontId="15" fillId="0" borderId="0" xfId="17" applyFont="1"/>
    <xf numFmtId="169" fontId="15" fillId="0" borderId="54" xfId="18" applyNumberFormat="1" applyFont="1" applyFill="1" applyBorder="1" applyAlignment="1">
      <alignment wrapText="1"/>
    </xf>
    <xf numFmtId="169" fontId="15" fillId="0" borderId="0" xfId="18" applyNumberFormat="1" applyFont="1" applyFill="1" applyBorder="1" applyAlignment="1">
      <alignment wrapText="1"/>
    </xf>
    <xf numFmtId="0" fontId="23" fillId="0" borderId="0" xfId="17" applyFont="1"/>
    <xf numFmtId="37" fontId="23" fillId="0" borderId="0" xfId="20" applyNumberFormat="1" applyFont="1" applyAlignment="1">
      <alignment horizontal="right"/>
    </xf>
    <xf numFmtId="0" fontId="68" fillId="0" borderId="0" xfId="20" applyFont="1"/>
    <xf numFmtId="169" fontId="14" fillId="0" borderId="0" xfId="20" applyNumberFormat="1"/>
    <xf numFmtId="37" fontId="14" fillId="0" borderId="0" xfId="20" applyNumberFormat="1"/>
    <xf numFmtId="169" fontId="67" fillId="0" borderId="0" xfId="20" applyNumberFormat="1" applyFont="1"/>
    <xf numFmtId="0" fontId="14" fillId="0" borderId="0" xfId="20"/>
    <xf numFmtId="0" fontId="14" fillId="0" borderId="0" xfId="20" applyAlignment="1">
      <alignment horizontal="center"/>
    </xf>
    <xf numFmtId="178" fontId="14" fillId="0" borderId="0" xfId="20" applyNumberFormat="1"/>
    <xf numFmtId="0" fontId="67" fillId="0" borderId="0" xfId="20" applyFont="1"/>
    <xf numFmtId="169" fontId="69" fillId="0" borderId="0" xfId="20" applyNumberFormat="1" applyFont="1"/>
    <xf numFmtId="169" fontId="70" fillId="0" borderId="0" xfId="20" applyNumberFormat="1" applyFont="1"/>
    <xf numFmtId="37" fontId="70" fillId="0" borderId="0" xfId="20" applyNumberFormat="1" applyFont="1"/>
    <xf numFmtId="0" fontId="70" fillId="0" borderId="0" xfId="20" applyFont="1"/>
    <xf numFmtId="0" fontId="70" fillId="0" borderId="0" xfId="20" applyFont="1" applyAlignment="1">
      <alignment horizontal="center"/>
    </xf>
    <xf numFmtId="169" fontId="71" fillId="0" borderId="0" xfId="20" applyNumberFormat="1" applyFont="1"/>
    <xf numFmtId="169" fontId="72" fillId="0" borderId="0" xfId="20" applyNumberFormat="1" applyFont="1" applyAlignment="1">
      <alignment horizontal="right"/>
    </xf>
    <xf numFmtId="169" fontId="26" fillId="0" borderId="50" xfId="20" applyNumberFormat="1" applyFont="1" applyBorder="1"/>
    <xf numFmtId="169" fontId="26" fillId="0" borderId="51" xfId="20" applyNumberFormat="1" applyFont="1" applyBorder="1" applyAlignment="1">
      <alignment horizontal="center" vertical="top"/>
    </xf>
    <xf numFmtId="169" fontId="26" fillId="0" borderId="52" xfId="20" applyNumberFormat="1" applyFont="1" applyBorder="1" applyAlignment="1">
      <alignment horizontal="center" vertical="top"/>
    </xf>
    <xf numFmtId="169" fontId="26" fillId="0" borderId="53" xfId="20" applyNumberFormat="1" applyFont="1" applyBorder="1"/>
    <xf numFmtId="169" fontId="14" fillId="0" borderId="1" xfId="20" applyNumberFormat="1" applyBorder="1"/>
    <xf numFmtId="169" fontId="14" fillId="0" borderId="54" xfId="20" applyNumberFormat="1" applyBorder="1"/>
    <xf numFmtId="169" fontId="14" fillId="0" borderId="53" xfId="20" applyNumberFormat="1" applyBorder="1"/>
    <xf numFmtId="37" fontId="0" fillId="0" borderId="0" xfId="21" applyNumberFormat="1" applyFont="1" applyFill="1"/>
    <xf numFmtId="38" fontId="14" fillId="0" borderId="0" xfId="20" applyNumberFormat="1"/>
    <xf numFmtId="38" fontId="14" fillId="0" borderId="0" xfId="20" applyNumberFormat="1" applyAlignment="1">
      <alignment horizontal="center"/>
    </xf>
    <xf numFmtId="169" fontId="67" fillId="0" borderId="53" xfId="20" applyNumberFormat="1" applyFont="1" applyBorder="1"/>
    <xf numFmtId="169" fontId="67" fillId="0" borderId="1" xfId="20" applyNumberFormat="1" applyFont="1" applyBorder="1"/>
    <xf numFmtId="169" fontId="67" fillId="0" borderId="54" xfId="20" applyNumberFormat="1" applyFont="1" applyBorder="1"/>
    <xf numFmtId="37" fontId="73" fillId="0" borderId="0" xfId="21" applyNumberFormat="1" applyFont="1" applyFill="1"/>
    <xf numFmtId="38" fontId="73" fillId="0" borderId="0" xfId="20" applyNumberFormat="1" applyFont="1"/>
    <xf numFmtId="38" fontId="73" fillId="0" borderId="0" xfId="20" applyNumberFormat="1" applyFont="1" applyAlignment="1">
      <alignment horizontal="center"/>
    </xf>
    <xf numFmtId="0" fontId="73" fillId="0" borderId="0" xfId="20" applyFont="1"/>
    <xf numFmtId="0" fontId="73" fillId="0" borderId="0" xfId="20" applyFont="1" applyAlignment="1">
      <alignment horizontal="center"/>
    </xf>
    <xf numFmtId="169" fontId="23" fillId="0" borderId="53" xfId="20" applyNumberFormat="1" applyFont="1" applyBorder="1"/>
    <xf numFmtId="169" fontId="23" fillId="0" borderId="1" xfId="20" applyNumberFormat="1" applyFont="1" applyBorder="1"/>
    <xf numFmtId="169" fontId="23" fillId="0" borderId="54" xfId="20" applyNumberFormat="1" applyFont="1" applyBorder="1"/>
    <xf numFmtId="37" fontId="74" fillId="0" borderId="0" xfId="21" applyNumberFormat="1" applyFont="1" applyFill="1"/>
    <xf numFmtId="179" fontId="74" fillId="0" borderId="0" xfId="20" applyNumberFormat="1" applyFont="1"/>
    <xf numFmtId="179" fontId="74" fillId="0" borderId="0" xfId="20" applyNumberFormat="1" applyFont="1" applyAlignment="1">
      <alignment horizontal="center"/>
    </xf>
    <xf numFmtId="0" fontId="74" fillId="0" borderId="0" xfId="20" applyFont="1" applyAlignment="1">
      <alignment horizontal="center"/>
    </xf>
    <xf numFmtId="0" fontId="74" fillId="0" borderId="0" xfId="20" applyFont="1"/>
    <xf numFmtId="37" fontId="67" fillId="0" borderId="0" xfId="20" applyNumberFormat="1" applyFont="1"/>
    <xf numFmtId="37" fontId="74" fillId="0" borderId="0" xfId="20" applyNumberFormat="1" applyFont="1"/>
    <xf numFmtId="169" fontId="26" fillId="0" borderId="55" xfId="20" applyNumberFormat="1" applyFont="1" applyBorder="1"/>
    <xf numFmtId="169" fontId="26" fillId="0" borderId="56" xfId="20" applyNumberFormat="1" applyFont="1" applyBorder="1"/>
    <xf numFmtId="169" fontId="26" fillId="0" borderId="57" xfId="20" applyNumberFormat="1" applyFont="1" applyBorder="1"/>
    <xf numFmtId="37" fontId="23" fillId="0" borderId="0" xfId="20" applyNumberFormat="1" applyFont="1"/>
    <xf numFmtId="0" fontId="26" fillId="0" borderId="0" xfId="20" applyFont="1"/>
    <xf numFmtId="0" fontId="26" fillId="0" borderId="0" xfId="20" applyFont="1" applyAlignment="1">
      <alignment horizontal="center"/>
    </xf>
    <xf numFmtId="169" fontId="76" fillId="0" borderId="0" xfId="20" applyNumberFormat="1" applyFont="1"/>
    <xf numFmtId="169" fontId="77" fillId="0" borderId="0" xfId="20" applyNumberFormat="1" applyFont="1"/>
    <xf numFmtId="169" fontId="78" fillId="0" borderId="0" xfId="20" applyNumberFormat="1" applyFont="1"/>
    <xf numFmtId="37" fontId="79" fillId="0" borderId="0" xfId="20" applyNumberFormat="1" applyFont="1"/>
    <xf numFmtId="0" fontId="78" fillId="0" borderId="0" xfId="20" applyFont="1"/>
    <xf numFmtId="169" fontId="14" fillId="0" borderId="0" xfId="20" applyNumberFormat="1" applyAlignment="1">
      <alignment horizontal="center"/>
    </xf>
    <xf numFmtId="180" fontId="14" fillId="0" borderId="0" xfId="20" applyNumberFormat="1"/>
    <xf numFmtId="169" fontId="23" fillId="0" borderId="50" xfId="21" applyNumberFormat="1" applyFont="1" applyFill="1" applyBorder="1" applyAlignment="1">
      <alignment wrapText="1"/>
    </xf>
    <xf numFmtId="169" fontId="15" fillId="0" borderId="51" xfId="21" applyNumberFormat="1" applyFont="1" applyFill="1" applyBorder="1" applyAlignment="1">
      <alignment horizontal="center" wrapText="1"/>
    </xf>
    <xf numFmtId="169" fontId="15" fillId="0" borderId="51" xfId="20" applyNumberFormat="1" applyFont="1" applyBorder="1" applyAlignment="1">
      <alignment horizontal="center"/>
    </xf>
    <xf numFmtId="169" fontId="15" fillId="0" borderId="52" xfId="20" applyNumberFormat="1" applyFont="1" applyBorder="1" applyAlignment="1">
      <alignment horizontal="center"/>
    </xf>
    <xf numFmtId="169" fontId="15" fillId="0" borderId="0" xfId="20" applyNumberFormat="1" applyFont="1"/>
    <xf numFmtId="0" fontId="15" fillId="0" borderId="0" xfId="20" applyFont="1"/>
    <xf numFmtId="169" fontId="15" fillId="0" borderId="1" xfId="21" applyNumberFormat="1" applyFont="1" applyFill="1" applyBorder="1" applyAlignment="1"/>
    <xf numFmtId="169" fontId="15" fillId="0" borderId="54" xfId="21" applyNumberFormat="1" applyFont="1" applyFill="1" applyBorder="1" applyAlignment="1">
      <alignment wrapText="1"/>
    </xf>
    <xf numFmtId="169" fontId="15" fillId="0" borderId="53" xfId="20" applyNumberFormat="1" applyFont="1" applyBorder="1"/>
    <xf numFmtId="169" fontId="15" fillId="0" borderId="1" xfId="20" applyNumberFormat="1" applyFont="1" applyBorder="1"/>
    <xf numFmtId="169" fontId="35" fillId="0" borderId="1" xfId="20" applyNumberFormat="1" applyFont="1" applyBorder="1"/>
    <xf numFmtId="169" fontId="23" fillId="0" borderId="1" xfId="21" applyNumberFormat="1" applyFont="1" applyFill="1" applyBorder="1" applyAlignment="1">
      <alignment wrapText="1"/>
    </xf>
    <xf numFmtId="169" fontId="23" fillId="0" borderId="2" xfId="21" applyNumberFormat="1" applyFont="1" applyFill="1" applyBorder="1" applyAlignment="1">
      <alignment wrapText="1"/>
    </xf>
    <xf numFmtId="169" fontId="23" fillId="0" borderId="25" xfId="20" applyNumberFormat="1" applyFont="1" applyBorder="1"/>
    <xf numFmtId="169" fontId="23" fillId="0" borderId="0" xfId="20" applyNumberFormat="1" applyFont="1"/>
    <xf numFmtId="0" fontId="23" fillId="0" borderId="0" xfId="20" applyFont="1"/>
    <xf numFmtId="169" fontId="15" fillId="0" borderId="53" xfId="21" applyNumberFormat="1" applyFont="1" applyFill="1" applyBorder="1" applyAlignment="1">
      <alignment wrapText="1"/>
    </xf>
    <xf numFmtId="169" fontId="15" fillId="0" borderId="1" xfId="21" applyNumberFormat="1" applyFont="1" applyFill="1" applyBorder="1" applyAlignment="1">
      <alignment wrapText="1"/>
    </xf>
    <xf numFmtId="169" fontId="80" fillId="0" borderId="1" xfId="20" applyNumberFormat="1" applyFont="1" applyBorder="1" applyAlignment="1">
      <alignment wrapText="1"/>
    </xf>
    <xf numFmtId="169" fontId="14" fillId="0" borderId="1" xfId="20" applyNumberFormat="1" applyBorder="1" applyAlignment="1">
      <alignment wrapText="1"/>
    </xf>
    <xf numFmtId="169" fontId="67" fillId="0" borderId="1" xfId="20" applyNumberFormat="1" applyFont="1" applyBorder="1" applyAlignment="1">
      <alignment wrapText="1"/>
    </xf>
    <xf numFmtId="169" fontId="23" fillId="0" borderId="54" xfId="21" applyNumberFormat="1" applyFont="1" applyFill="1" applyBorder="1" applyAlignment="1">
      <alignment wrapText="1"/>
    </xf>
    <xf numFmtId="169" fontId="23" fillId="0" borderId="53" xfId="21" applyNumberFormat="1" applyFont="1" applyFill="1" applyBorder="1" applyAlignment="1">
      <alignment wrapText="1"/>
    </xf>
    <xf numFmtId="169" fontId="35" fillId="0" borderId="1" xfId="21" applyNumberFormat="1" applyFont="1" applyFill="1" applyBorder="1" applyAlignment="1"/>
    <xf numFmtId="169" fontId="81" fillId="0" borderId="1" xfId="21" applyNumberFormat="1" applyFont="1" applyFill="1" applyBorder="1" applyAlignment="1"/>
    <xf numFmtId="169" fontId="82" fillId="0" borderId="1" xfId="20" applyNumberFormat="1" applyFont="1" applyBorder="1"/>
    <xf numFmtId="169" fontId="23" fillId="0" borderId="55" xfId="20" applyNumberFormat="1" applyFont="1" applyBorder="1"/>
    <xf numFmtId="169" fontId="23" fillId="0" borderId="56" xfId="21" applyNumberFormat="1" applyFont="1" applyFill="1" applyBorder="1" applyAlignment="1">
      <alignment wrapText="1"/>
    </xf>
    <xf numFmtId="169" fontId="15" fillId="0" borderId="57" xfId="21" applyNumberFormat="1" applyFont="1" applyFill="1" applyBorder="1" applyAlignment="1">
      <alignment wrapText="1"/>
    </xf>
    <xf numFmtId="0" fontId="84" fillId="0" borderId="0" xfId="20" applyFont="1"/>
    <xf numFmtId="169" fontId="85" fillId="0" borderId="0" xfId="20" applyNumberFormat="1" applyFont="1"/>
    <xf numFmtId="0" fontId="83" fillId="0" borderId="0" xfId="20" applyFont="1" applyAlignment="1">
      <alignment vertical="center" wrapText="1"/>
    </xf>
    <xf numFmtId="169" fontId="83" fillId="0" borderId="0" xfId="20" applyNumberFormat="1" applyFont="1"/>
    <xf numFmtId="169" fontId="86" fillId="0" borderId="0" xfId="20" applyNumberFormat="1" applyFont="1"/>
    <xf numFmtId="181" fontId="83" fillId="0" borderId="0" xfId="20" applyNumberFormat="1" applyFont="1"/>
    <xf numFmtId="0" fontId="87" fillId="0" borderId="0" xfId="20" applyFont="1" applyAlignment="1">
      <alignment vertical="center" wrapText="1"/>
    </xf>
    <xf numFmtId="0" fontId="85" fillId="0" borderId="0" xfId="20" applyFont="1"/>
    <xf numFmtId="0" fontId="83" fillId="0" borderId="0" xfId="20" applyFont="1"/>
    <xf numFmtId="169" fontId="88" fillId="0" borderId="0" xfId="20" applyNumberFormat="1" applyFont="1"/>
    <xf numFmtId="0" fontId="86" fillId="0" borderId="0" xfId="20" applyFont="1"/>
    <xf numFmtId="0" fontId="87" fillId="0" borderId="1" xfId="20" applyFont="1" applyBorder="1"/>
    <xf numFmtId="169" fontId="87" fillId="0" borderId="0" xfId="20" applyNumberFormat="1" applyFont="1"/>
    <xf numFmtId="169" fontId="89" fillId="0" borderId="0" xfId="20" applyNumberFormat="1" applyFont="1"/>
    <xf numFmtId="0" fontId="79" fillId="0" borderId="0" xfId="20" applyFont="1" applyAlignment="1">
      <alignment vertical="center" wrapText="1"/>
    </xf>
    <xf numFmtId="38" fontId="15" fillId="0" borderId="0" xfId="20" applyNumberFormat="1" applyFont="1"/>
    <xf numFmtId="169" fontId="0" fillId="0" borderId="53" xfId="17" applyNumberFormat="1" applyFont="1" applyBorder="1"/>
    <xf numFmtId="0" fontId="90" fillId="12" borderId="40" xfId="0" applyFont="1" applyFill="1" applyBorder="1" applyAlignment="1">
      <alignment horizontal="center" vertical="center"/>
    </xf>
    <xf numFmtId="43" fontId="91" fillId="11" borderId="27" xfId="1" applyFont="1" applyFill="1" applyBorder="1" applyAlignment="1">
      <alignment vertical="center"/>
    </xf>
    <xf numFmtId="43" fontId="91" fillId="11" borderId="28" xfId="1" applyFont="1" applyFill="1" applyBorder="1" applyAlignment="1">
      <alignment vertical="center"/>
    </xf>
    <xf numFmtId="0" fontId="91" fillId="11" borderId="28" xfId="0" applyFont="1" applyFill="1" applyBorder="1" applyAlignment="1">
      <alignment vertical="center"/>
    </xf>
    <xf numFmtId="37" fontId="91" fillId="11" borderId="27" xfId="0" applyNumberFormat="1" applyFont="1" applyFill="1" applyBorder="1" applyAlignment="1">
      <alignment horizontal="center" vertical="center"/>
    </xf>
    <xf numFmtId="37" fontId="91" fillId="13" borderId="41" xfId="0" applyNumberFormat="1" applyFont="1" applyFill="1" applyBorder="1" applyAlignment="1">
      <alignment horizontal="center" vertical="center"/>
    </xf>
    <xf numFmtId="0" fontId="91" fillId="11" borderId="25" xfId="0" applyFont="1" applyFill="1" applyBorder="1" applyAlignment="1">
      <alignment vertical="center"/>
    </xf>
    <xf numFmtId="43" fontId="91" fillId="11" borderId="0" xfId="1" applyFont="1" applyFill="1" applyBorder="1" applyAlignment="1">
      <alignment vertical="center"/>
    </xf>
    <xf numFmtId="0" fontId="92" fillId="11" borderId="0" xfId="0" applyFont="1" applyFill="1" applyAlignment="1">
      <alignment vertical="center"/>
    </xf>
    <xf numFmtId="37" fontId="92" fillId="11" borderId="25" xfId="0" applyNumberFormat="1" applyFont="1" applyFill="1" applyBorder="1" applyAlignment="1">
      <alignment horizontal="center" vertical="center"/>
    </xf>
    <xf numFmtId="37" fontId="92" fillId="13" borderId="42" xfId="0" applyNumberFormat="1" applyFont="1" applyFill="1" applyBorder="1" applyAlignment="1">
      <alignment horizontal="center" vertical="center"/>
    </xf>
    <xf numFmtId="0" fontId="92" fillId="11" borderId="25" xfId="0" applyFont="1" applyFill="1" applyBorder="1" applyAlignment="1">
      <alignment vertical="center"/>
    </xf>
    <xf numFmtId="0" fontId="93" fillId="11" borderId="43" xfId="0" applyFont="1" applyFill="1" applyBorder="1" applyAlignment="1">
      <alignment vertical="center"/>
    </xf>
    <xf numFmtId="43" fontId="93" fillId="11" borderId="35" xfId="1" applyFont="1" applyFill="1" applyBorder="1" applyAlignment="1">
      <alignment vertical="center"/>
    </xf>
    <xf numFmtId="0" fontId="93" fillId="11" borderId="35" xfId="0" applyFont="1" applyFill="1" applyBorder="1" applyAlignment="1">
      <alignment vertical="center"/>
    </xf>
    <xf numFmtId="37" fontId="93" fillId="11" borderId="43" xfId="0" applyNumberFormat="1" applyFont="1" applyFill="1" applyBorder="1" applyAlignment="1">
      <alignment horizontal="center" vertical="center"/>
    </xf>
    <xf numFmtId="37" fontId="93" fillId="13" borderId="44" xfId="0" applyNumberFormat="1" applyFont="1" applyFill="1" applyBorder="1" applyAlignment="1">
      <alignment horizontal="center" vertical="center"/>
    </xf>
    <xf numFmtId="43" fontId="93" fillId="11" borderId="0" xfId="1" applyFont="1" applyFill="1" applyBorder="1" applyAlignment="1">
      <alignment vertical="center"/>
    </xf>
    <xf numFmtId="37" fontId="93" fillId="11" borderId="25" xfId="0" applyNumberFormat="1" applyFont="1" applyFill="1" applyBorder="1" applyAlignment="1">
      <alignment horizontal="center" vertical="center"/>
    </xf>
    <xf numFmtId="37" fontId="93" fillId="13" borderId="42" xfId="0" applyNumberFormat="1" applyFont="1" applyFill="1" applyBorder="1" applyAlignment="1">
      <alignment horizontal="center" vertical="center"/>
    </xf>
    <xf numFmtId="37" fontId="92" fillId="0" borderId="25" xfId="0" applyNumberFormat="1" applyFont="1" applyBorder="1" applyAlignment="1">
      <alignment horizontal="center" vertical="center"/>
    </xf>
    <xf numFmtId="43" fontId="92" fillId="11" borderId="25" xfId="1" applyFont="1" applyFill="1" applyBorder="1" applyAlignment="1">
      <alignment horizontal="center" vertical="center"/>
    </xf>
    <xf numFmtId="0" fontId="93" fillId="11" borderId="45" xfId="0" applyFont="1" applyFill="1" applyBorder="1" applyAlignment="1">
      <alignment vertical="center"/>
    </xf>
    <xf numFmtId="43" fontId="93" fillId="11" borderId="3" xfId="1" applyFont="1" applyFill="1" applyBorder="1" applyAlignment="1">
      <alignment vertical="center"/>
    </xf>
    <xf numFmtId="0" fontId="93" fillId="11" borderId="3" xfId="0" applyFont="1" applyFill="1" applyBorder="1" applyAlignment="1">
      <alignment vertical="center"/>
    </xf>
    <xf numFmtId="37" fontId="93" fillId="11" borderId="45" xfId="0" applyNumberFormat="1" applyFont="1" applyFill="1" applyBorder="1" applyAlignment="1">
      <alignment horizontal="center" vertical="center"/>
    </xf>
    <xf numFmtId="37" fontId="93" fillId="13" borderId="47" xfId="0" applyNumberFormat="1" applyFont="1" applyFill="1" applyBorder="1" applyAlignment="1">
      <alignment horizontal="center" vertical="center"/>
    </xf>
    <xf numFmtId="0" fontId="92" fillId="6" borderId="25" xfId="0" applyFont="1" applyFill="1" applyBorder="1" applyAlignment="1">
      <alignment vertical="center"/>
    </xf>
    <xf numFmtId="43" fontId="94" fillId="6" borderId="0" xfId="1" applyFont="1" applyFill="1" applyBorder="1" applyAlignment="1">
      <alignment vertical="center"/>
    </xf>
    <xf numFmtId="0" fontId="92" fillId="6" borderId="0" xfId="0" applyFont="1" applyFill="1" applyAlignment="1">
      <alignment vertical="center"/>
    </xf>
    <xf numFmtId="37" fontId="92" fillId="6" borderId="25" xfId="0" applyNumberFormat="1" applyFont="1" applyFill="1" applyBorder="1" applyAlignment="1">
      <alignment horizontal="center" vertical="center"/>
    </xf>
    <xf numFmtId="37" fontId="92" fillId="6" borderId="40" xfId="0" applyNumberFormat="1" applyFont="1" applyFill="1" applyBorder="1" applyAlignment="1">
      <alignment horizontal="center" vertical="center"/>
    </xf>
    <xf numFmtId="43" fontId="91" fillId="14" borderId="22" xfId="1" applyFont="1" applyFill="1" applyBorder="1" applyAlignment="1">
      <alignment vertical="center"/>
    </xf>
    <xf numFmtId="43" fontId="91" fillId="14" borderId="23" xfId="1" applyFont="1" applyFill="1" applyBorder="1" applyAlignment="1">
      <alignment vertical="center"/>
    </xf>
    <xf numFmtId="0" fontId="91" fillId="14" borderId="23" xfId="0" applyFont="1" applyFill="1" applyBorder="1" applyAlignment="1">
      <alignment vertical="center"/>
    </xf>
    <xf numFmtId="37" fontId="91" fillId="14" borderId="22" xfId="0" applyNumberFormat="1" applyFont="1" applyFill="1" applyBorder="1" applyAlignment="1">
      <alignment horizontal="center" vertical="center"/>
    </xf>
    <xf numFmtId="37" fontId="91" fillId="14" borderId="40" xfId="0" applyNumberFormat="1" applyFont="1" applyFill="1" applyBorder="1" applyAlignment="1">
      <alignment horizontal="center" vertical="center"/>
    </xf>
    <xf numFmtId="0" fontId="14" fillId="0" borderId="0" xfId="20" applyAlignment="1">
      <alignment horizontal="right"/>
    </xf>
    <xf numFmtId="169" fontId="14" fillId="0" borderId="0" xfId="1" applyNumberFormat="1" applyFont="1" applyFill="1"/>
    <xf numFmtId="10" fontId="14" fillId="0" borderId="0" xfId="2" applyNumberFormat="1" applyFont="1" applyFill="1"/>
    <xf numFmtId="10" fontId="15" fillId="0" borderId="0" xfId="2" applyNumberFormat="1" applyFont="1" applyAlignment="1">
      <alignment horizontal="right"/>
    </xf>
    <xf numFmtId="37" fontId="92" fillId="11" borderId="0" xfId="0" applyNumberFormat="1" applyFont="1" applyFill="1" applyAlignment="1">
      <alignment horizontal="center" vertical="center"/>
    </xf>
    <xf numFmtId="37" fontId="92" fillId="11" borderId="25" xfId="1" applyNumberFormat="1" applyFont="1" applyFill="1" applyBorder="1" applyAlignment="1">
      <alignment horizontal="center" vertical="center"/>
    </xf>
    <xf numFmtId="37" fontId="93" fillId="11" borderId="0" xfId="0" applyNumberFormat="1" applyFont="1" applyFill="1" applyAlignment="1">
      <alignment horizontal="center" vertical="center"/>
    </xf>
    <xf numFmtId="37" fontId="91" fillId="11" borderId="0" xfId="0" applyNumberFormat="1" applyFont="1" applyFill="1" applyAlignment="1">
      <alignment horizontal="center" vertical="center"/>
    </xf>
    <xf numFmtId="0" fontId="64" fillId="11" borderId="0" xfId="0" applyFont="1" applyFill="1" applyAlignment="1">
      <alignment horizontal="center" vertical="center"/>
    </xf>
    <xf numFmtId="0" fontId="95" fillId="11" borderId="0" xfId="0" applyFont="1" applyFill="1" applyAlignment="1">
      <alignment horizontal="center" vertical="center"/>
    </xf>
    <xf numFmtId="43" fontId="64" fillId="11" borderId="0" xfId="1" applyFont="1" applyFill="1" applyAlignment="1">
      <alignment horizontal="center" vertical="center"/>
    </xf>
    <xf numFmtId="0" fontId="96" fillId="0" borderId="0" xfId="20" applyFont="1" applyAlignment="1">
      <alignment horizontal="center"/>
    </xf>
    <xf numFmtId="10" fontId="18" fillId="6" borderId="1" xfId="2" applyNumberFormat="1" applyFont="1" applyFill="1" applyBorder="1" applyAlignment="1">
      <alignment horizontal="center"/>
    </xf>
    <xf numFmtId="3" fontId="12" fillId="0" borderId="1" xfId="22" applyNumberFormat="1" applyBorder="1" applyAlignment="1">
      <alignment horizontal="center" vertical="center"/>
    </xf>
    <xf numFmtId="3" fontId="75" fillId="0" borderId="0" xfId="3" applyNumberFormat="1" applyFont="1" applyAlignment="1">
      <alignment horizontal="center" vertical="center"/>
    </xf>
    <xf numFmtId="43" fontId="32" fillId="4" borderId="7" xfId="1" applyFont="1" applyFill="1" applyBorder="1"/>
    <xf numFmtId="170" fontId="31" fillId="4" borderId="9" xfId="1" applyNumberFormat="1" applyFont="1" applyFill="1" applyBorder="1" applyAlignment="1">
      <alignment vertical="top"/>
    </xf>
    <xf numFmtId="43" fontId="32" fillId="3" borderId="7" xfId="1" applyFont="1" applyFill="1" applyBorder="1"/>
    <xf numFmtId="43" fontId="32" fillId="3" borderId="8" xfId="1" applyFont="1" applyFill="1" applyBorder="1"/>
    <xf numFmtId="43" fontId="32" fillId="2" borderId="7" xfId="1" applyFont="1" applyFill="1" applyBorder="1"/>
    <xf numFmtId="43" fontId="32" fillId="2" borderId="8" xfId="1" applyFont="1" applyFill="1" applyBorder="1"/>
    <xf numFmtId="43" fontId="32" fillId="4" borderId="8" xfId="1" applyFont="1" applyFill="1" applyBorder="1"/>
    <xf numFmtId="0" fontId="90" fillId="12" borderId="22" xfId="0" applyFont="1" applyFill="1" applyBorder="1" applyAlignment="1">
      <alignment horizontal="center" vertical="center"/>
    </xf>
    <xf numFmtId="0" fontId="35" fillId="0" borderId="0" xfId="17" applyFont="1" applyAlignment="1">
      <alignment horizontal="center"/>
    </xf>
    <xf numFmtId="0" fontId="97" fillId="0" borderId="0" xfId="17" applyFont="1" applyAlignment="1">
      <alignment horizontal="left"/>
    </xf>
    <xf numFmtId="183" fontId="15" fillId="0" borderId="0" xfId="17" applyNumberFormat="1" applyFont="1"/>
    <xf numFmtId="169" fontId="98" fillId="0" borderId="0" xfId="17" applyNumberFormat="1" applyFont="1"/>
    <xf numFmtId="169" fontId="99" fillId="0" borderId="0" xfId="17" applyNumberFormat="1" applyFont="1"/>
    <xf numFmtId="43" fontId="15" fillId="0" borderId="0" xfId="17" applyNumberFormat="1" applyFont="1"/>
    <xf numFmtId="182" fontId="15" fillId="0" borderId="0" xfId="17" applyNumberFormat="1" applyFont="1"/>
    <xf numFmtId="169" fontId="23" fillId="0" borderId="0" xfId="17" applyNumberFormat="1" applyFont="1"/>
    <xf numFmtId="169" fontId="33" fillId="0" borderId="0" xfId="17" applyNumberFormat="1" applyFont="1"/>
    <xf numFmtId="169" fontId="33" fillId="0" borderId="0" xfId="17" applyNumberFormat="1" applyFont="1" applyAlignment="1">
      <alignment horizontal="right"/>
    </xf>
    <xf numFmtId="169" fontId="23" fillId="0" borderId="50" xfId="18" applyNumberFormat="1" applyFont="1" applyFill="1" applyBorder="1" applyAlignment="1">
      <alignment wrapText="1"/>
    </xf>
    <xf numFmtId="169" fontId="23" fillId="0" borderId="0" xfId="18" applyNumberFormat="1" applyFont="1" applyFill="1" applyBorder="1" applyAlignment="1">
      <alignment wrapText="1"/>
    </xf>
    <xf numFmtId="169" fontId="15" fillId="0" borderId="51" xfId="18" applyNumberFormat="1" applyFont="1" applyFill="1" applyBorder="1" applyAlignment="1">
      <alignment horizontal="center" wrapText="1"/>
    </xf>
    <xf numFmtId="169" fontId="15" fillId="0" borderId="51" xfId="17" applyNumberFormat="1" applyFont="1" applyBorder="1" applyAlignment="1">
      <alignment horizontal="center"/>
    </xf>
    <xf numFmtId="169" fontId="15" fillId="0" borderId="52" xfId="17" applyNumberFormat="1" applyFont="1" applyBorder="1" applyAlignment="1">
      <alignment horizontal="center"/>
    </xf>
    <xf numFmtId="169" fontId="23" fillId="0" borderId="53" xfId="17" applyNumberFormat="1" applyFont="1" applyBorder="1"/>
    <xf numFmtId="169" fontId="15" fillId="0" borderId="1" xfId="18" applyNumberFormat="1" applyFont="1" applyFill="1" applyBorder="1" applyAlignment="1"/>
    <xf numFmtId="169" fontId="15" fillId="0" borderId="53" xfId="17" applyNumberFormat="1" applyFont="1" applyBorder="1"/>
    <xf numFmtId="169" fontId="15" fillId="0" borderId="1" xfId="17" applyNumberFormat="1" applyFont="1" applyBorder="1"/>
    <xf numFmtId="169" fontId="15" fillId="0" borderId="25" xfId="17" applyNumberFormat="1" applyFont="1" applyBorder="1"/>
    <xf numFmtId="169" fontId="35" fillId="0" borderId="0" xfId="17" applyNumberFormat="1" applyFont="1"/>
    <xf numFmtId="169" fontId="100" fillId="0" borderId="0" xfId="17" applyNumberFormat="1" applyFont="1"/>
    <xf numFmtId="169" fontId="23" fillId="0" borderId="1" xfId="18" applyNumberFormat="1" applyFont="1" applyFill="1" applyBorder="1" applyAlignment="1">
      <alignment wrapText="1"/>
    </xf>
    <xf numFmtId="169" fontId="23" fillId="0" borderId="54" xfId="18" applyNumberFormat="1" applyFont="1" applyFill="1" applyBorder="1" applyAlignment="1">
      <alignment wrapText="1"/>
    </xf>
    <xf numFmtId="169" fontId="15" fillId="0" borderId="53" xfId="18" applyNumberFormat="1" applyFont="1" applyFill="1" applyBorder="1" applyAlignment="1">
      <alignment wrapText="1"/>
    </xf>
    <xf numFmtId="169" fontId="101" fillId="0" borderId="1" xfId="18" applyNumberFormat="1" applyFont="1" applyFill="1" applyBorder="1" applyAlignment="1">
      <alignment wrapText="1"/>
    </xf>
    <xf numFmtId="169" fontId="15" fillId="0" borderId="1" xfId="18" applyNumberFormat="1" applyFont="1" applyFill="1" applyBorder="1" applyAlignment="1">
      <alignment wrapText="1"/>
    </xf>
    <xf numFmtId="169" fontId="0" fillId="0" borderId="53" xfId="19" applyNumberFormat="1" applyFont="1" applyBorder="1"/>
    <xf numFmtId="169" fontId="14" fillId="0" borderId="53" xfId="19" applyNumberFormat="1" applyBorder="1"/>
    <xf numFmtId="169" fontId="15" fillId="0" borderId="0" xfId="17" applyNumberFormat="1" applyFont="1" applyAlignment="1">
      <alignment horizontal="center"/>
    </xf>
    <xf numFmtId="169" fontId="23" fillId="0" borderId="53" xfId="18" applyNumberFormat="1" applyFont="1" applyFill="1" applyBorder="1" applyAlignment="1">
      <alignment wrapText="1"/>
    </xf>
    <xf numFmtId="169" fontId="0" fillId="0" borderId="53" xfId="18" applyNumberFormat="1" applyFont="1" applyFill="1" applyBorder="1" applyAlignment="1">
      <alignment wrapText="1"/>
    </xf>
    <xf numFmtId="169" fontId="15" fillId="8" borderId="1" xfId="17" applyNumberFormat="1" applyFont="1" applyFill="1" applyBorder="1"/>
    <xf numFmtId="169" fontId="102" fillId="0" borderId="0" xfId="17" applyNumberFormat="1" applyFont="1"/>
    <xf numFmtId="169" fontId="102" fillId="0" borderId="1" xfId="17" applyNumberFormat="1" applyFont="1" applyBorder="1"/>
    <xf numFmtId="169" fontId="102" fillId="0" borderId="54" xfId="18" applyNumberFormat="1" applyFont="1" applyFill="1" applyBorder="1" applyAlignment="1">
      <alignment wrapText="1"/>
    </xf>
    <xf numFmtId="43" fontId="67" fillId="0" borderId="0" xfId="17" applyNumberFormat="1" applyFont="1"/>
    <xf numFmtId="169" fontId="14" fillId="0" borderId="53" xfId="17" applyNumberFormat="1" applyBorder="1"/>
    <xf numFmtId="169" fontId="67" fillId="0" borderId="0" xfId="17" applyNumberFormat="1" applyFont="1"/>
    <xf numFmtId="169" fontId="102" fillId="0" borderId="53" xfId="17" applyNumberFormat="1" applyFont="1" applyBorder="1"/>
    <xf numFmtId="169" fontId="14" fillId="0" borderId="0" xfId="17" applyNumberFormat="1"/>
    <xf numFmtId="169" fontId="14" fillId="0" borderId="54" xfId="17" applyNumberFormat="1" applyBorder="1"/>
    <xf numFmtId="169" fontId="103" fillId="0" borderId="53" xfId="18" applyNumberFormat="1" applyFont="1" applyFill="1" applyBorder="1" applyAlignment="1">
      <alignment wrapText="1"/>
    </xf>
    <xf numFmtId="169" fontId="104" fillId="0" borderId="54" xfId="18" applyNumberFormat="1" applyFont="1" applyFill="1" applyBorder="1" applyAlignment="1">
      <alignment wrapText="1"/>
    </xf>
    <xf numFmtId="169" fontId="67" fillId="0" borderId="1" xfId="17" applyNumberFormat="1" applyFont="1" applyBorder="1"/>
    <xf numFmtId="169" fontId="35" fillId="0" borderId="1" xfId="17" applyNumberFormat="1" applyFont="1" applyBorder="1"/>
    <xf numFmtId="0" fontId="35" fillId="0" borderId="0" xfId="17" applyFont="1"/>
    <xf numFmtId="169" fontId="23" fillId="0" borderId="55" xfId="17" applyNumberFormat="1" applyFont="1" applyBorder="1"/>
    <xf numFmtId="169" fontId="23" fillId="0" borderId="56" xfId="18" applyNumberFormat="1" applyFont="1" applyFill="1" applyBorder="1" applyAlignment="1">
      <alignment wrapText="1"/>
    </xf>
    <xf numFmtId="169" fontId="15" fillId="0" borderId="57" xfId="18" applyNumberFormat="1" applyFont="1" applyFill="1" applyBorder="1" applyAlignment="1">
      <alignment wrapText="1"/>
    </xf>
    <xf numFmtId="0" fontId="0" fillId="0" borderId="0" xfId="17" applyFont="1" applyAlignment="1">
      <alignment horizontal="center"/>
    </xf>
    <xf numFmtId="38" fontId="15" fillId="0" borderId="0" xfId="17" applyNumberFormat="1" applyFont="1"/>
    <xf numFmtId="4" fontId="15" fillId="0" borderId="0" xfId="17" applyNumberFormat="1" applyFont="1" applyAlignment="1">
      <alignment horizontal="center"/>
    </xf>
    <xf numFmtId="38" fontId="15" fillId="0" borderId="35" xfId="17" applyNumberFormat="1" applyFont="1" applyBorder="1"/>
    <xf numFmtId="10" fontId="15" fillId="0" borderId="0" xfId="2" applyNumberFormat="1" applyFont="1" applyAlignment="1">
      <alignment horizontal="center"/>
    </xf>
    <xf numFmtId="184" fontId="16" fillId="0" borderId="0" xfId="0" applyNumberFormat="1" applyFont="1"/>
    <xf numFmtId="0" fontId="106" fillId="11" borderId="0" xfId="0" applyFont="1" applyFill="1" applyAlignment="1">
      <alignment vertical="center"/>
    </xf>
    <xf numFmtId="0" fontId="119" fillId="0" borderId="0" xfId="20" applyFont="1" applyAlignment="1">
      <alignment horizontal="center"/>
    </xf>
    <xf numFmtId="0" fontId="67" fillId="0" borderId="0" xfId="20" applyFont="1" applyAlignment="1">
      <alignment horizontal="center"/>
    </xf>
    <xf numFmtId="0" fontId="119" fillId="0" borderId="0" xfId="20" applyFont="1" applyAlignment="1">
      <alignment horizontal="center" vertical="top"/>
    </xf>
    <xf numFmtId="0" fontId="83" fillId="0" borderId="0" xfId="20" applyFont="1" applyAlignment="1">
      <alignment horizontal="center"/>
    </xf>
    <xf numFmtId="0" fontId="85" fillId="0" borderId="0" xfId="20" applyFont="1" applyAlignment="1">
      <alignment horizontal="center"/>
    </xf>
    <xf numFmtId="0" fontId="87" fillId="0" borderId="0" xfId="20" applyFont="1" applyAlignment="1">
      <alignment horizontal="center"/>
    </xf>
    <xf numFmtId="0" fontId="67" fillId="0" borderId="0" xfId="17" applyFont="1" applyAlignment="1">
      <alignment horizontal="center"/>
    </xf>
    <xf numFmtId="10" fontId="16" fillId="0" borderId="0" xfId="2" applyNumberFormat="1" applyFont="1"/>
    <xf numFmtId="167" fontId="38" fillId="0" borderId="36" xfId="6" applyFont="1" applyBorder="1" applyAlignment="1">
      <alignment vertical="center"/>
    </xf>
    <xf numFmtId="174" fontId="38" fillId="0" borderId="36" xfId="0" applyNumberFormat="1" applyFont="1" applyBorder="1" applyAlignment="1">
      <alignment horizontal="center" vertical="center"/>
    </xf>
    <xf numFmtId="174" fontId="38" fillId="0" borderId="48" xfId="0" applyNumberFormat="1" applyFont="1" applyBorder="1" applyAlignment="1">
      <alignment horizontal="center" vertical="center"/>
    </xf>
    <xf numFmtId="10" fontId="38" fillId="0" borderId="37" xfId="0" applyNumberFormat="1" applyFont="1" applyBorder="1" applyAlignment="1">
      <alignment horizontal="center" vertical="center"/>
    </xf>
    <xf numFmtId="37" fontId="38" fillId="0" borderId="48" xfId="0" applyNumberFormat="1" applyFont="1" applyBorder="1" applyAlignment="1">
      <alignment horizontal="center" vertical="center"/>
    </xf>
    <xf numFmtId="0" fontId="64" fillId="12" borderId="22" xfId="0" applyFont="1" applyFill="1" applyBorder="1" applyAlignment="1">
      <alignment horizontal="center" vertical="center"/>
    </xf>
    <xf numFmtId="0" fontId="90" fillId="12" borderId="25" xfId="0" applyFont="1" applyFill="1" applyBorder="1" applyAlignment="1">
      <alignment horizontal="center" vertical="center"/>
    </xf>
    <xf numFmtId="37" fontId="92" fillId="11" borderId="0" xfId="1" applyNumberFormat="1" applyFont="1" applyFill="1" applyAlignment="1">
      <alignment horizontal="center" vertical="center"/>
    </xf>
    <xf numFmtId="43" fontId="92" fillId="11" borderId="0" xfId="1" applyFont="1" applyFill="1" applyAlignment="1">
      <alignment horizontal="right" vertical="center"/>
    </xf>
    <xf numFmtId="43" fontId="94" fillId="11" borderId="0" xfId="1" applyFont="1" applyFill="1" applyAlignment="1">
      <alignment horizontal="center" vertical="center"/>
    </xf>
    <xf numFmtId="37" fontId="91" fillId="3" borderId="41" xfId="0" applyNumberFormat="1" applyFont="1" applyFill="1" applyBorder="1" applyAlignment="1">
      <alignment horizontal="center" vertical="center"/>
    </xf>
    <xf numFmtId="37" fontId="91" fillId="4" borderId="41" xfId="0" applyNumberFormat="1" applyFont="1" applyFill="1" applyBorder="1" applyAlignment="1">
      <alignment horizontal="center" vertical="center"/>
    </xf>
    <xf numFmtId="37" fontId="92" fillId="18" borderId="42" xfId="0" applyNumberFormat="1" applyFont="1" applyFill="1" applyBorder="1" applyAlignment="1">
      <alignment horizontal="center" vertical="center"/>
    </xf>
    <xf numFmtId="37" fontId="93" fillId="18" borderId="44" xfId="0" applyNumberFormat="1" applyFont="1" applyFill="1" applyBorder="1" applyAlignment="1">
      <alignment horizontal="center" vertical="center"/>
    </xf>
    <xf numFmtId="37" fontId="93" fillId="18" borderId="42" xfId="0" applyNumberFormat="1" applyFont="1" applyFill="1" applyBorder="1" applyAlignment="1">
      <alignment horizontal="center" vertical="center"/>
    </xf>
    <xf numFmtId="37" fontId="93" fillId="18" borderId="47" xfId="0" applyNumberFormat="1" applyFont="1" applyFill="1" applyBorder="1" applyAlignment="1">
      <alignment horizontal="center" vertical="center"/>
    </xf>
    <xf numFmtId="37" fontId="92" fillId="18" borderId="40" xfId="0" applyNumberFormat="1" applyFont="1" applyFill="1" applyBorder="1" applyAlignment="1">
      <alignment horizontal="center" vertical="center"/>
    </xf>
    <xf numFmtId="37" fontId="91" fillId="18" borderId="40" xfId="0" applyNumberFormat="1" applyFont="1" applyFill="1" applyBorder="1" applyAlignment="1">
      <alignment horizontal="center" vertical="center"/>
    </xf>
    <xf numFmtId="37" fontId="92" fillId="8" borderId="25" xfId="0" applyNumberFormat="1" applyFont="1" applyFill="1" applyBorder="1" applyAlignment="1">
      <alignment horizontal="center" vertical="center"/>
    </xf>
    <xf numFmtId="37" fontId="91" fillId="8" borderId="40" xfId="0" applyNumberFormat="1" applyFont="1" applyFill="1" applyBorder="1" applyAlignment="1">
      <alignment horizontal="center" vertical="center"/>
    </xf>
    <xf numFmtId="43" fontId="120" fillId="11" borderId="27" xfId="1" applyFont="1" applyFill="1" applyBorder="1" applyAlignment="1">
      <alignment vertical="center"/>
    </xf>
    <xf numFmtId="43" fontId="120" fillId="11" borderId="28" xfId="1" applyFont="1" applyFill="1" applyBorder="1" applyAlignment="1">
      <alignment vertical="center"/>
    </xf>
    <xf numFmtId="0" fontId="120" fillId="11" borderId="28" xfId="0" applyFont="1" applyFill="1" applyBorder="1" applyAlignment="1">
      <alignment vertical="center"/>
    </xf>
    <xf numFmtId="0" fontId="120" fillId="11" borderId="25" xfId="0" applyFont="1" applyFill="1" applyBorder="1" applyAlignment="1">
      <alignment vertical="center"/>
    </xf>
    <xf numFmtId="43" fontId="94" fillId="11" borderId="0" xfId="1" applyFont="1" applyFill="1" applyBorder="1" applyAlignment="1">
      <alignment vertical="center"/>
    </xf>
    <xf numFmtId="0" fontId="94" fillId="11" borderId="0" xfId="0" applyFont="1" applyFill="1" applyAlignment="1">
      <alignment vertical="center"/>
    </xf>
    <xf numFmtId="0" fontId="94" fillId="11" borderId="25" xfId="0" applyFont="1" applyFill="1" applyBorder="1" applyAlignment="1">
      <alignment vertical="center"/>
    </xf>
    <xf numFmtId="0" fontId="121" fillId="11" borderId="43" xfId="0" applyFont="1" applyFill="1" applyBorder="1" applyAlignment="1">
      <alignment vertical="center"/>
    </xf>
    <xf numFmtId="43" fontId="121" fillId="11" borderId="35" xfId="1" applyFont="1" applyFill="1" applyBorder="1" applyAlignment="1">
      <alignment vertical="center"/>
    </xf>
    <xf numFmtId="0" fontId="121" fillId="11" borderId="35" xfId="0" applyFont="1" applyFill="1" applyBorder="1" applyAlignment="1">
      <alignment vertical="center"/>
    </xf>
    <xf numFmtId="43" fontId="121" fillId="11" borderId="0" xfId="1" applyFont="1" applyFill="1" applyBorder="1" applyAlignment="1">
      <alignment vertical="center"/>
    </xf>
    <xf numFmtId="43" fontId="120" fillId="11" borderId="0" xfId="1" applyFont="1" applyFill="1" applyBorder="1" applyAlignment="1">
      <alignment vertical="center"/>
    </xf>
    <xf numFmtId="0" fontId="121" fillId="11" borderId="45" xfId="0" applyFont="1" applyFill="1" applyBorder="1" applyAlignment="1">
      <alignment vertical="center"/>
    </xf>
    <xf numFmtId="43" fontId="121" fillId="11" borderId="3" xfId="1" applyFont="1" applyFill="1" applyBorder="1" applyAlignment="1">
      <alignment vertical="center"/>
    </xf>
    <xf numFmtId="0" fontId="121" fillId="11" borderId="3" xfId="0" applyFont="1" applyFill="1" applyBorder="1" applyAlignment="1">
      <alignment vertical="center"/>
    </xf>
    <xf numFmtId="0" fontId="94" fillId="6" borderId="25" xfId="0" applyFont="1" applyFill="1" applyBorder="1" applyAlignment="1">
      <alignment vertical="center"/>
    </xf>
    <xf numFmtId="0" fontId="94" fillId="6" borderId="0" xfId="0" applyFont="1" applyFill="1" applyAlignment="1">
      <alignment vertical="center"/>
    </xf>
    <xf numFmtId="43" fontId="120" fillId="14" borderId="22" xfId="1" applyFont="1" applyFill="1" applyBorder="1" applyAlignment="1">
      <alignment vertical="center"/>
    </xf>
    <xf numFmtId="43" fontId="120" fillId="14" borderId="23" xfId="1" applyFont="1" applyFill="1" applyBorder="1" applyAlignment="1">
      <alignment vertical="center"/>
    </xf>
    <xf numFmtId="0" fontId="120" fillId="14" borderId="23" xfId="0" applyFont="1" applyFill="1" applyBorder="1" applyAlignment="1">
      <alignment vertical="center"/>
    </xf>
    <xf numFmtId="169" fontId="106" fillId="11" borderId="0" xfId="1" applyNumberFormat="1" applyFont="1" applyFill="1" applyAlignment="1">
      <alignment vertical="center"/>
    </xf>
    <xf numFmtId="43" fontId="65" fillId="11" borderId="0" xfId="1" applyFont="1" applyFill="1" applyAlignment="1">
      <alignment vertical="center"/>
    </xf>
    <xf numFmtId="0" fontId="63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37" fontId="91" fillId="0" borderId="0" xfId="0" applyNumberFormat="1" applyFont="1" applyAlignment="1">
      <alignment horizontal="center" vertical="center"/>
    </xf>
    <xf numFmtId="37" fontId="92" fillId="0" borderId="0" xfId="0" applyNumberFormat="1" applyFont="1" applyAlignment="1">
      <alignment horizontal="center" vertical="center"/>
    </xf>
    <xf numFmtId="37" fontId="93" fillId="0" borderId="0" xfId="0" applyNumberFormat="1" applyFont="1" applyAlignment="1">
      <alignment horizontal="center" vertical="center"/>
    </xf>
    <xf numFmtId="43" fontId="63" fillId="0" borderId="0" xfId="1" applyFont="1" applyFill="1" applyAlignment="1">
      <alignment horizontal="center" vertical="center"/>
    </xf>
    <xf numFmtId="0" fontId="6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7" fontId="92" fillId="0" borderId="42" xfId="0" applyNumberFormat="1" applyFont="1" applyBorder="1" applyAlignment="1">
      <alignment horizontal="center" vertical="center"/>
    </xf>
    <xf numFmtId="37" fontId="93" fillId="0" borderId="42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92" fillId="0" borderId="0" xfId="1" applyNumberFormat="1" applyFont="1" applyFill="1" applyAlignment="1">
      <alignment horizontal="center" vertical="center"/>
    </xf>
    <xf numFmtId="0" fontId="90" fillId="0" borderId="42" xfId="0" applyFont="1" applyBorder="1" applyAlignment="1">
      <alignment horizontal="center" vertical="center"/>
    </xf>
    <xf numFmtId="37" fontId="91" fillId="0" borderId="42" xfId="0" applyNumberFormat="1" applyFont="1" applyBorder="1" applyAlignment="1">
      <alignment horizontal="center" vertical="center"/>
    </xf>
    <xf numFmtId="37" fontId="91" fillId="19" borderId="41" xfId="0" applyNumberFormat="1" applyFont="1" applyFill="1" applyBorder="1" applyAlignment="1">
      <alignment horizontal="center" vertical="center"/>
    </xf>
    <xf numFmtId="37" fontId="92" fillId="11" borderId="42" xfId="0" applyNumberFormat="1" applyFont="1" applyFill="1" applyBorder="1" applyAlignment="1">
      <alignment horizontal="center" vertical="center"/>
    </xf>
    <xf numFmtId="37" fontId="92" fillId="11" borderId="40" xfId="0" applyNumberFormat="1" applyFont="1" applyFill="1" applyBorder="1" applyAlignment="1">
      <alignment horizontal="center" vertical="center"/>
    </xf>
    <xf numFmtId="37" fontId="91" fillId="11" borderId="40" xfId="0" applyNumberFormat="1" applyFont="1" applyFill="1" applyBorder="1" applyAlignment="1">
      <alignment horizontal="center" vertical="center"/>
    </xf>
    <xf numFmtId="37" fontId="122" fillId="11" borderId="42" xfId="0" applyNumberFormat="1" applyFont="1" applyFill="1" applyBorder="1" applyAlignment="1">
      <alignment horizontal="center" vertical="center"/>
    </xf>
    <xf numFmtId="37" fontId="92" fillId="11" borderId="44" xfId="0" applyNumberFormat="1" applyFont="1" applyFill="1" applyBorder="1" applyAlignment="1">
      <alignment horizontal="center" vertical="center"/>
    </xf>
    <xf numFmtId="37" fontId="92" fillId="11" borderId="47" xfId="0" applyNumberFormat="1" applyFont="1" applyFill="1" applyBorder="1" applyAlignment="1">
      <alignment horizontal="center" vertical="center"/>
    </xf>
    <xf numFmtId="0" fontId="63" fillId="11" borderId="26" xfId="0" applyFont="1" applyFill="1" applyBorder="1" applyAlignment="1">
      <alignment vertical="center"/>
    </xf>
    <xf numFmtId="0" fontId="63" fillId="11" borderId="21" xfId="0" applyFont="1" applyFill="1" applyBorder="1" applyAlignment="1">
      <alignment vertical="center"/>
    </xf>
    <xf numFmtId="0" fontId="63" fillId="11" borderId="39" xfId="0" applyFont="1" applyFill="1" applyBorder="1" applyAlignment="1">
      <alignment vertical="center"/>
    </xf>
    <xf numFmtId="37" fontId="123" fillId="11" borderId="25" xfId="0" applyNumberFormat="1" applyFont="1" applyFill="1" applyBorder="1" applyAlignment="1">
      <alignment vertical="center"/>
    </xf>
    <xf numFmtId="37" fontId="123" fillId="11" borderId="0" xfId="0" applyNumberFormat="1" applyFont="1" applyFill="1" applyAlignment="1">
      <alignment vertical="center"/>
    </xf>
    <xf numFmtId="37" fontId="123" fillId="11" borderId="26" xfId="0" applyNumberFormat="1" applyFont="1" applyFill="1" applyBorder="1" applyAlignment="1">
      <alignment vertical="center"/>
    </xf>
    <xf numFmtId="0" fontId="124" fillId="11" borderId="0" xfId="0" applyFont="1" applyFill="1" applyAlignment="1">
      <alignment vertical="center"/>
    </xf>
    <xf numFmtId="0" fontId="124" fillId="11" borderId="26" xfId="0" applyFont="1" applyFill="1" applyBorder="1" applyAlignment="1">
      <alignment vertical="center"/>
    </xf>
    <xf numFmtId="37" fontId="125" fillId="11" borderId="25" xfId="0" applyNumberFormat="1" applyFont="1" applyFill="1" applyBorder="1" applyAlignment="1">
      <alignment horizontal="center" vertical="center"/>
    </xf>
    <xf numFmtId="37" fontId="125" fillId="11" borderId="38" xfId="0" applyNumberFormat="1" applyFont="1" applyFill="1" applyBorder="1" applyAlignment="1">
      <alignment horizontal="center" vertical="center"/>
    </xf>
    <xf numFmtId="0" fontId="124" fillId="11" borderId="21" xfId="0" applyFont="1" applyFill="1" applyBorder="1" applyAlignment="1">
      <alignment vertical="center"/>
    </xf>
    <xf numFmtId="0" fontId="124" fillId="11" borderId="39" xfId="0" applyFont="1" applyFill="1" applyBorder="1" applyAlignment="1">
      <alignment vertical="center"/>
    </xf>
    <xf numFmtId="37" fontId="123" fillId="11" borderId="36" xfId="0" applyNumberFormat="1" applyFont="1" applyFill="1" applyBorder="1" applyAlignment="1">
      <alignment vertical="center"/>
    </xf>
    <xf numFmtId="37" fontId="123" fillId="11" borderId="48" xfId="0" applyNumberFormat="1" applyFont="1" applyFill="1" applyBorder="1" applyAlignment="1">
      <alignment vertical="center"/>
    </xf>
    <xf numFmtId="37" fontId="123" fillId="11" borderId="37" xfId="0" applyNumberFormat="1" applyFont="1" applyFill="1" applyBorder="1" applyAlignment="1">
      <alignment vertical="center"/>
    </xf>
    <xf numFmtId="37" fontId="92" fillId="11" borderId="38" xfId="0" applyNumberFormat="1" applyFont="1" applyFill="1" applyBorder="1" applyAlignment="1">
      <alignment horizontal="center" vertical="center"/>
    </xf>
    <xf numFmtId="0" fontId="124" fillId="11" borderId="0" xfId="0" applyFont="1" applyFill="1" applyAlignment="1">
      <alignment horizontal="left" vertical="center"/>
    </xf>
    <xf numFmtId="0" fontId="124" fillId="11" borderId="26" xfId="0" applyFont="1" applyFill="1" applyBorder="1" applyAlignment="1">
      <alignment horizontal="left" vertical="center"/>
    </xf>
    <xf numFmtId="0" fontId="63" fillId="11" borderId="21" xfId="0" applyFont="1" applyFill="1" applyBorder="1" applyAlignment="1">
      <alignment horizontal="left" vertical="center"/>
    </xf>
    <xf numFmtId="0" fontId="63" fillId="11" borderId="39" xfId="0" applyFont="1" applyFill="1" applyBorder="1" applyAlignment="1">
      <alignment horizontal="left" vertical="center"/>
    </xf>
    <xf numFmtId="37" fontId="123" fillId="11" borderId="25" xfId="0" applyNumberFormat="1" applyFont="1" applyFill="1" applyBorder="1" applyAlignment="1">
      <alignment horizontal="left" vertical="center"/>
    </xf>
    <xf numFmtId="37" fontId="123" fillId="11" borderId="38" xfId="0" applyNumberFormat="1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vertical="center"/>
    </xf>
    <xf numFmtId="0" fontId="63" fillId="11" borderId="0" xfId="0" applyFont="1" applyFill="1" applyAlignment="1">
      <alignment horizontal="left" vertical="center"/>
    </xf>
    <xf numFmtId="0" fontId="63" fillId="11" borderId="26" xfId="0" applyFont="1" applyFill="1" applyBorder="1" applyAlignment="1">
      <alignment horizontal="left" vertical="center"/>
    </xf>
    <xf numFmtId="37" fontId="92" fillId="18" borderId="41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horizontal="right" vertical="center"/>
    </xf>
    <xf numFmtId="0" fontId="127" fillId="0" borderId="3" xfId="0" applyFont="1" applyBorder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4" xfId="0" applyFont="1" applyBorder="1" applyAlignment="1">
      <alignment vertical="center"/>
    </xf>
    <xf numFmtId="38" fontId="40" fillId="0" borderId="14" xfId="0" applyNumberFormat="1" applyFont="1" applyBorder="1" applyAlignment="1">
      <alignment horizontal="center" vertical="center"/>
    </xf>
    <xf numFmtId="38" fontId="40" fillId="0" borderId="0" xfId="0" applyNumberFormat="1" applyFont="1" applyAlignment="1">
      <alignment horizontal="center" vertical="center"/>
    </xf>
    <xf numFmtId="37" fontId="40" fillId="0" borderId="35" xfId="0" applyNumberFormat="1" applyFont="1" applyBorder="1" applyAlignment="1">
      <alignment horizontal="left" vertical="center"/>
    </xf>
    <xf numFmtId="38" fontId="40" fillId="0" borderId="35" xfId="0" applyNumberFormat="1" applyFont="1" applyBorder="1" applyAlignment="1">
      <alignment horizontal="center" vertical="center"/>
    </xf>
    <xf numFmtId="185" fontId="17" fillId="0" borderId="1" xfId="0" applyNumberFormat="1" applyFont="1" applyBorder="1"/>
    <xf numFmtId="0" fontId="16" fillId="0" borderId="0" xfId="0" applyFont="1" applyAlignment="1">
      <alignment horizontal="center" wrapText="1"/>
    </xf>
    <xf numFmtId="43" fontId="83" fillId="0" borderId="0" xfId="1" applyFont="1" applyFill="1" applyBorder="1"/>
    <xf numFmtId="169" fontId="16" fillId="4" borderId="7" xfId="1" applyNumberFormat="1" applyFont="1" applyFill="1" applyBorder="1"/>
    <xf numFmtId="170" fontId="18" fillId="6" borderId="1" xfId="1" applyNumberFormat="1" applyFont="1" applyFill="1" applyBorder="1"/>
    <xf numFmtId="186" fontId="31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center"/>
    </xf>
    <xf numFmtId="0" fontId="129" fillId="0" borderId="0" xfId="58805" applyFont="1"/>
    <xf numFmtId="186" fontId="128" fillId="0" borderId="0" xfId="58805" applyNumberFormat="1" applyFont="1" applyAlignment="1">
      <alignment horizontal="right"/>
    </xf>
    <xf numFmtId="186" fontId="128" fillId="6" borderId="56" xfId="58805" applyNumberFormat="1" applyFont="1" applyFill="1" applyBorder="1" applyAlignment="1">
      <alignment horizontal="center"/>
    </xf>
    <xf numFmtId="186" fontId="128" fillId="6" borderId="57" xfId="58805" applyNumberFormat="1" applyFont="1" applyFill="1" applyBorder="1" applyAlignment="1">
      <alignment horizontal="center"/>
    </xf>
    <xf numFmtId="186" fontId="129" fillId="0" borderId="42" xfId="58805" applyNumberFormat="1" applyFont="1" applyBorder="1" applyAlignment="1">
      <alignment horizontal="left" indent="1"/>
    </xf>
    <xf numFmtId="38" fontId="129" fillId="0" borderId="65" xfId="58807" applyNumberFormat="1" applyFont="1" applyFill="1" applyBorder="1" applyAlignment="1" applyProtection="1"/>
    <xf numFmtId="38" fontId="129" fillId="0" borderId="66" xfId="58807" applyNumberFormat="1" applyFont="1" applyFill="1" applyBorder="1" applyAlignment="1" applyProtection="1"/>
    <xf numFmtId="38" fontId="129" fillId="0" borderId="0" xfId="58805" applyNumberFormat="1" applyFont="1"/>
    <xf numFmtId="38" fontId="129" fillId="0" borderId="67" xfId="58807" applyNumberFormat="1" applyFont="1" applyBorder="1" applyAlignment="1" applyProtection="1"/>
    <xf numFmtId="38" fontId="129" fillId="0" borderId="9" xfId="58807" applyNumberFormat="1" applyFont="1" applyBorder="1" applyAlignment="1" applyProtection="1"/>
    <xf numFmtId="38" fontId="129" fillId="0" borderId="68" xfId="58807" applyNumberFormat="1" applyFont="1" applyBorder="1" applyAlignment="1" applyProtection="1"/>
    <xf numFmtId="38" fontId="129" fillId="0" borderId="11" xfId="58807" applyNumberFormat="1" applyFont="1" applyBorder="1" applyAlignment="1" applyProtection="1"/>
    <xf numFmtId="186" fontId="128" fillId="0" borderId="42" xfId="58805" applyNumberFormat="1" applyFont="1" applyBorder="1" applyAlignment="1">
      <alignment horizontal="left"/>
    </xf>
    <xf numFmtId="38" fontId="128" fillId="0" borderId="67" xfId="58807" applyNumberFormat="1" applyFont="1" applyBorder="1" applyAlignment="1" applyProtection="1"/>
    <xf numFmtId="38" fontId="128" fillId="0" borderId="9" xfId="58807" applyNumberFormat="1" applyFont="1" applyBorder="1" applyAlignment="1" applyProtection="1"/>
    <xf numFmtId="38" fontId="129" fillId="0" borderId="67" xfId="58807" applyNumberFormat="1" applyFont="1" applyFill="1" applyBorder="1" applyAlignment="1" applyProtection="1"/>
    <xf numFmtId="38" fontId="129" fillId="0" borderId="9" xfId="58807" applyNumberFormat="1" applyFont="1" applyFill="1" applyBorder="1" applyAlignment="1" applyProtection="1"/>
    <xf numFmtId="38" fontId="129" fillId="0" borderId="68" xfId="58807" applyNumberFormat="1" applyFont="1" applyFill="1" applyBorder="1" applyAlignment="1" applyProtection="1"/>
    <xf numFmtId="38" fontId="129" fillId="0" borderId="11" xfId="58807" applyNumberFormat="1" applyFont="1" applyFill="1" applyBorder="1" applyAlignment="1" applyProtection="1"/>
    <xf numFmtId="186" fontId="128" fillId="0" borderId="42" xfId="58805" applyNumberFormat="1" applyFont="1" applyBorder="1"/>
    <xf numFmtId="38" fontId="128" fillId="0" borderId="67" xfId="58807" applyNumberFormat="1" applyFont="1" applyFill="1" applyBorder="1" applyAlignment="1" applyProtection="1"/>
    <xf numFmtId="38" fontId="128" fillId="0" borderId="9" xfId="58807" applyNumberFormat="1" applyFont="1" applyFill="1" applyBorder="1" applyAlignment="1" applyProtection="1"/>
    <xf numFmtId="186" fontId="128" fillId="0" borderId="41" xfId="58805" applyNumberFormat="1" applyFont="1" applyBorder="1"/>
    <xf numFmtId="38" fontId="128" fillId="0" borderId="69" xfId="58807" applyNumberFormat="1" applyFont="1" applyFill="1" applyBorder="1" applyAlignment="1" applyProtection="1"/>
    <xf numFmtId="38" fontId="128" fillId="0" borderId="8" xfId="58807" applyNumberFormat="1" applyFont="1" applyFill="1" applyBorder="1" applyAlignment="1" applyProtection="1"/>
    <xf numFmtId="186" fontId="130" fillId="0" borderId="49" xfId="58805" applyNumberFormat="1" applyFont="1" applyBorder="1" applyAlignment="1">
      <alignment horizontal="left"/>
    </xf>
    <xf numFmtId="38" fontId="130" fillId="0" borderId="70" xfId="58807" applyNumberFormat="1" applyFont="1" applyFill="1" applyBorder="1" applyAlignment="1" applyProtection="1"/>
    <xf numFmtId="38" fontId="130" fillId="0" borderId="71" xfId="58807" applyNumberFormat="1" applyFont="1" applyFill="1" applyBorder="1" applyAlignment="1" applyProtection="1"/>
    <xf numFmtId="0" fontId="129" fillId="0" borderId="0" xfId="58805" applyFont="1" applyAlignment="1">
      <alignment horizontal="left" indent="1"/>
    </xf>
    <xf numFmtId="0" fontId="129" fillId="4" borderId="0" xfId="58805" applyFont="1" applyFill="1" applyAlignment="1">
      <alignment horizontal="left" indent="1"/>
    </xf>
    <xf numFmtId="38" fontId="129" fillId="4" borderId="0" xfId="58805" applyNumberFormat="1" applyFont="1" applyFill="1"/>
    <xf numFmtId="0" fontId="129" fillId="14" borderId="0" xfId="58805" applyFont="1" applyFill="1" applyAlignment="1">
      <alignment horizontal="left" indent="1"/>
    </xf>
    <xf numFmtId="38" fontId="129" fillId="14" borderId="0" xfId="58805" applyNumberFormat="1" applyFont="1" applyFill="1"/>
    <xf numFmtId="0" fontId="128" fillId="8" borderId="0" xfId="58805" applyFont="1" applyFill="1" applyAlignment="1">
      <alignment horizontal="left" indent="1"/>
    </xf>
    <xf numFmtId="38" fontId="128" fillId="8" borderId="0" xfId="58805" applyNumberFormat="1" applyFont="1" applyFill="1"/>
    <xf numFmtId="0" fontId="129" fillId="20" borderId="0" xfId="58805" applyFont="1" applyFill="1" applyAlignment="1">
      <alignment horizontal="right" indent="1"/>
    </xf>
    <xf numFmtId="169" fontId="129" fillId="20" borderId="0" xfId="58805" applyNumberFormat="1" applyFont="1" applyFill="1"/>
    <xf numFmtId="186" fontId="128" fillId="0" borderId="0" xfId="58805" applyNumberFormat="1" applyFont="1" applyAlignment="1">
      <alignment horizontal="centerContinuous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4" borderId="1" xfId="0" applyNumberFormat="1" applyFont="1" applyFill="1" applyBorder="1" applyAlignment="1">
      <alignment horizontal="center" vertical="center"/>
    </xf>
    <xf numFmtId="14" fontId="19" fillId="4" borderId="4" xfId="0" applyNumberFormat="1" applyFont="1" applyFill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19" fillId="0" borderId="17" xfId="0" applyNumberFormat="1" applyFont="1" applyBorder="1" applyAlignment="1">
      <alignment horizontal="center" vertical="center"/>
    </xf>
    <xf numFmtId="3" fontId="0" fillId="0" borderId="28" xfId="0" applyNumberFormat="1" applyBorder="1" applyAlignment="1">
      <alignment horizontal="center" vertical="center"/>
    </xf>
    <xf numFmtId="3" fontId="8" fillId="0" borderId="0" xfId="12" applyNumberFormat="1" applyFont="1" applyAlignment="1">
      <alignment horizontal="center" vertical="center"/>
    </xf>
    <xf numFmtId="213" fontId="336" fillId="0" borderId="0" xfId="4" applyNumberFormat="1" applyFont="1" applyFill="1" applyBorder="1"/>
    <xf numFmtId="214" fontId="336" fillId="0" borderId="0" xfId="4" applyNumberFormat="1" applyFont="1" applyFill="1" applyBorder="1"/>
    <xf numFmtId="0" fontId="26" fillId="8" borderId="1" xfId="3" applyFont="1" applyFill="1" applyBorder="1" applyAlignment="1">
      <alignment horizontal="center" vertical="center"/>
    </xf>
    <xf numFmtId="3" fontId="26" fillId="8" borderId="1" xfId="3" applyNumberFormat="1" applyFont="1" applyFill="1" applyBorder="1" applyAlignment="1">
      <alignment horizontal="center" vertical="center"/>
    </xf>
    <xf numFmtId="0" fontId="26" fillId="0" borderId="8" xfId="3" applyFont="1" applyBorder="1" applyAlignment="1">
      <alignment horizontal="center" vertical="center"/>
    </xf>
    <xf numFmtId="0" fontId="26" fillId="0" borderId="12" xfId="3" applyFont="1" applyBorder="1" applyAlignment="1">
      <alignment vertical="center"/>
    </xf>
    <xf numFmtId="0" fontId="26" fillId="0" borderId="12" xfId="3" applyFont="1" applyBorder="1" applyAlignment="1">
      <alignment horizontal="center" vertical="center"/>
    </xf>
    <xf numFmtId="43" fontId="17" fillId="4" borderId="7" xfId="1" applyFont="1" applyFill="1" applyBorder="1"/>
    <xf numFmtId="215" fontId="336" fillId="0" borderId="0" xfId="4" applyNumberFormat="1" applyFont="1" applyFill="1" applyBorder="1"/>
    <xf numFmtId="170" fontId="101" fillId="0" borderId="0" xfId="1" applyNumberFormat="1" applyFont="1" applyFill="1"/>
    <xf numFmtId="43" fontId="45" fillId="0" borderId="0" xfId="1" applyFont="1" applyFill="1" applyAlignment="1">
      <alignment vertical="center"/>
    </xf>
    <xf numFmtId="167" fontId="44" fillId="0" borderId="0" xfId="6" applyFont="1" applyFill="1" applyAlignment="1">
      <alignment vertical="center"/>
    </xf>
    <xf numFmtId="0" fontId="33" fillId="0" borderId="23" xfId="0" applyFont="1" applyBorder="1" applyAlignment="1">
      <alignment horizontal="center" vertical="center"/>
    </xf>
    <xf numFmtId="2" fontId="16" fillId="0" borderId="0" xfId="0" applyNumberFormat="1" applyFont="1"/>
    <xf numFmtId="174" fontId="23" fillId="0" borderId="0" xfId="1" applyNumberFormat="1" applyFont="1" applyFill="1" applyBorder="1" applyAlignment="1">
      <alignment horizontal="center" vertical="center"/>
    </xf>
    <xf numFmtId="0" fontId="26" fillId="0" borderId="105" xfId="3" applyFont="1" applyBorder="1" applyAlignment="1">
      <alignment vertical="center"/>
    </xf>
    <xf numFmtId="0" fontId="24" fillId="0" borderId="11" xfId="3" applyBorder="1"/>
    <xf numFmtId="0" fontId="26" fillId="0" borderId="105" xfId="3" applyFont="1" applyBorder="1" applyAlignment="1">
      <alignment horizontal="center" vertical="center"/>
    </xf>
    <xf numFmtId="172" fontId="26" fillId="0" borderId="9" xfId="3" applyNumberFormat="1" applyFont="1" applyBorder="1" applyAlignment="1">
      <alignment horizontal="center" vertical="center"/>
    </xf>
    <xf numFmtId="172" fontId="23" fillId="0" borderId="12" xfId="4" applyNumberFormat="1" applyFont="1" applyBorder="1" applyAlignment="1">
      <alignment horizontal="center" vertical="center"/>
    </xf>
    <xf numFmtId="14" fontId="16" fillId="96" borderId="9" xfId="0" applyNumberFormat="1" applyFont="1" applyFill="1" applyBorder="1" applyAlignment="1">
      <alignment horizontal="center" vertical="center"/>
    </xf>
    <xf numFmtId="14" fontId="16" fillId="96" borderId="0" xfId="0" applyNumberFormat="1" applyFont="1" applyFill="1" applyAlignment="1">
      <alignment horizontal="center" vertical="center"/>
    </xf>
    <xf numFmtId="10" fontId="16" fillId="0" borderId="9" xfId="2" applyNumberFormat="1" applyFont="1" applyBorder="1" applyAlignment="1">
      <alignment horizontal="center"/>
    </xf>
    <xf numFmtId="170" fontId="16" fillId="0" borderId="9" xfId="1" applyNumberFormat="1" applyFont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169" fontId="18" fillId="6" borderId="1" xfId="1" applyNumberFormat="1" applyFont="1" applyFill="1" applyBorder="1"/>
    <xf numFmtId="170" fontId="32" fillId="3" borderId="7" xfId="1" applyNumberFormat="1" applyFont="1" applyFill="1" applyBorder="1"/>
    <xf numFmtId="0" fontId="32" fillId="2" borderId="7" xfId="0" applyFont="1" applyFill="1" applyBorder="1"/>
    <xf numFmtId="170" fontId="32" fillId="2" borderId="7" xfId="1" applyNumberFormat="1" applyFont="1" applyFill="1" applyBorder="1"/>
    <xf numFmtId="0" fontId="32" fillId="2" borderId="8" xfId="0" applyFont="1" applyFill="1" applyBorder="1"/>
    <xf numFmtId="169" fontId="32" fillId="2" borderId="8" xfId="1" applyNumberFormat="1" applyFont="1" applyFill="1" applyBorder="1"/>
    <xf numFmtId="10" fontId="32" fillId="2" borderId="8" xfId="2" applyNumberFormat="1" applyFont="1" applyFill="1" applyBorder="1"/>
    <xf numFmtId="170" fontId="32" fillId="4" borderId="7" xfId="1" applyNumberFormat="1" applyFont="1" applyFill="1" applyBorder="1"/>
    <xf numFmtId="169" fontId="32" fillId="4" borderId="7" xfId="1" applyNumberFormat="1" applyFont="1" applyFill="1" applyBorder="1"/>
    <xf numFmtId="170" fontId="32" fillId="0" borderId="0" xfId="1" applyNumberFormat="1" applyFont="1"/>
    <xf numFmtId="172" fontId="67" fillId="0" borderId="12" xfId="3" applyNumberFormat="1" applyFont="1" applyBorder="1" applyAlignment="1">
      <alignment horizontal="center" vertical="center"/>
    </xf>
    <xf numFmtId="0" fontId="67" fillId="0" borderId="11" xfId="3" applyFont="1" applyBorder="1"/>
    <xf numFmtId="0" fontId="338" fillId="0" borderId="0" xfId="0" applyFont="1" applyAlignment="1">
      <alignment vertical="center"/>
    </xf>
    <xf numFmtId="169" fontId="338" fillId="0" borderId="0" xfId="1" applyNumberFormat="1" applyFont="1" applyAlignment="1">
      <alignment vertical="center"/>
    </xf>
    <xf numFmtId="0" fontId="339" fillId="0" borderId="40" xfId="0" applyFont="1" applyBorder="1" applyAlignment="1">
      <alignment horizontal="center" vertical="center"/>
    </xf>
    <xf numFmtId="0" fontId="339" fillId="0" borderId="23" xfId="0" applyFont="1" applyBorder="1" applyAlignment="1">
      <alignment horizontal="center" vertical="center" wrapText="1"/>
    </xf>
    <xf numFmtId="0" fontId="339" fillId="0" borderId="40" xfId="0" quotePrefix="1" applyFont="1" applyBorder="1" applyAlignment="1">
      <alignment horizontal="center" vertical="center"/>
    </xf>
    <xf numFmtId="0" fontId="339" fillId="0" borderId="0" xfId="0" applyFont="1" applyAlignment="1">
      <alignment horizontal="center" vertical="center"/>
    </xf>
    <xf numFmtId="169" fontId="338" fillId="0" borderId="36" xfId="1" applyNumberFormat="1" applyFont="1" applyBorder="1" applyAlignment="1">
      <alignment vertical="center"/>
    </xf>
    <xf numFmtId="169" fontId="338" fillId="0" borderId="37" xfId="1" applyNumberFormat="1" applyFont="1" applyBorder="1" applyAlignment="1">
      <alignment vertical="center"/>
    </xf>
    <xf numFmtId="3" fontId="338" fillId="0" borderId="62" xfId="1" applyNumberFormat="1" applyFont="1" applyBorder="1" applyAlignment="1">
      <alignment horizontal="center" vertical="center"/>
    </xf>
    <xf numFmtId="3" fontId="338" fillId="0" borderId="48" xfId="1" applyNumberFormat="1" applyFont="1" applyBorder="1" applyAlignment="1">
      <alignment horizontal="center" vertical="center"/>
    </xf>
    <xf numFmtId="172" fontId="338" fillId="0" borderId="62" xfId="0" applyNumberFormat="1" applyFont="1" applyBorder="1" applyAlignment="1">
      <alignment horizontal="center" vertical="center"/>
    </xf>
    <xf numFmtId="172" fontId="338" fillId="0" borderId="37" xfId="1" applyNumberFormat="1" applyFont="1" applyBorder="1" applyAlignment="1">
      <alignment horizontal="center" vertical="center"/>
    </xf>
    <xf numFmtId="9" fontId="338" fillId="0" borderId="37" xfId="2" applyFont="1" applyBorder="1" applyAlignment="1">
      <alignment horizontal="center" vertical="center"/>
    </xf>
    <xf numFmtId="169" fontId="338" fillId="0" borderId="25" xfId="1" applyNumberFormat="1" applyFont="1" applyBorder="1" applyAlignment="1">
      <alignment vertical="center"/>
    </xf>
    <xf numFmtId="169" fontId="338" fillId="0" borderId="26" xfId="1" applyNumberFormat="1" applyFont="1" applyBorder="1" applyAlignment="1">
      <alignment vertical="center"/>
    </xf>
    <xf numFmtId="3" fontId="338" fillId="0" borderId="42" xfId="1" applyNumberFormat="1" applyFont="1" applyBorder="1" applyAlignment="1">
      <alignment horizontal="center" vertical="center"/>
    </xf>
    <xf numFmtId="3" fontId="338" fillId="0" borderId="0" xfId="1" applyNumberFormat="1" applyFont="1" applyBorder="1" applyAlignment="1">
      <alignment horizontal="center" vertical="center"/>
    </xf>
    <xf numFmtId="172" fontId="338" fillId="0" borderId="42" xfId="0" applyNumberFormat="1" applyFont="1" applyBorder="1" applyAlignment="1">
      <alignment horizontal="center" vertical="center"/>
    </xf>
    <xf numFmtId="172" fontId="338" fillId="0" borderId="26" xfId="1" applyNumberFormat="1" applyFont="1" applyBorder="1" applyAlignment="1">
      <alignment horizontal="center" vertical="center"/>
    </xf>
    <xf numFmtId="9" fontId="338" fillId="0" borderId="26" xfId="2" applyFont="1" applyBorder="1" applyAlignment="1">
      <alignment horizontal="center" vertical="center"/>
    </xf>
    <xf numFmtId="9" fontId="339" fillId="0" borderId="24" xfId="2" applyFont="1" applyBorder="1" applyAlignment="1">
      <alignment horizontal="center" vertical="center"/>
    </xf>
    <xf numFmtId="0" fontId="339" fillId="0" borderId="0" xfId="0" applyFont="1" applyAlignment="1">
      <alignment vertical="center"/>
    </xf>
    <xf numFmtId="0" fontId="338" fillId="0" borderId="22" xfId="0" applyFont="1" applyBorder="1" applyAlignment="1">
      <alignment vertical="center"/>
    </xf>
    <xf numFmtId="0" fontId="338" fillId="0" borderId="23" xfId="0" applyFont="1" applyBorder="1" applyAlignment="1">
      <alignment vertical="center"/>
    </xf>
    <xf numFmtId="169" fontId="339" fillId="0" borderId="24" xfId="1" applyNumberFormat="1" applyFont="1" applyBorder="1" applyAlignment="1">
      <alignment horizontal="center" vertical="center"/>
    </xf>
    <xf numFmtId="0" fontId="338" fillId="0" borderId="36" xfId="0" applyFont="1" applyBorder="1" applyAlignment="1">
      <alignment vertical="center"/>
    </xf>
    <xf numFmtId="0" fontId="338" fillId="0" borderId="48" xfId="0" applyFont="1" applyBorder="1" applyAlignment="1">
      <alignment vertical="center"/>
    </xf>
    <xf numFmtId="174" fontId="339" fillId="0" borderId="37" xfId="1" applyNumberFormat="1" applyFont="1" applyBorder="1" applyAlignment="1">
      <alignment horizontal="center" vertical="center"/>
    </xf>
    <xf numFmtId="9" fontId="339" fillId="0" borderId="37" xfId="2" applyFont="1" applyBorder="1" applyAlignment="1">
      <alignment horizontal="center" vertical="center"/>
    </xf>
    <xf numFmtId="0" fontId="338" fillId="0" borderId="25" xfId="0" applyFont="1" applyBorder="1" applyAlignment="1">
      <alignment vertical="center"/>
    </xf>
    <xf numFmtId="174" fontId="339" fillId="0" borderId="26" xfId="1" applyNumberFormat="1" applyFont="1" applyBorder="1" applyAlignment="1">
      <alignment horizontal="center" vertical="center"/>
    </xf>
    <xf numFmtId="9" fontId="339" fillId="0" borderId="26" xfId="2" applyFont="1" applyBorder="1" applyAlignment="1">
      <alignment horizontal="center" vertical="center"/>
    </xf>
    <xf numFmtId="0" fontId="339" fillId="0" borderId="35" xfId="0" applyFont="1" applyBorder="1" applyAlignment="1">
      <alignment vertical="center"/>
    </xf>
    <xf numFmtId="169" fontId="339" fillId="0" borderId="0" xfId="1" applyNumberFormat="1" applyFont="1" applyBorder="1" applyAlignment="1">
      <alignment vertical="center"/>
    </xf>
    <xf numFmtId="169" fontId="339" fillId="0" borderId="0" xfId="1" applyNumberFormat="1" applyFont="1" applyAlignment="1">
      <alignment vertical="center"/>
    </xf>
    <xf numFmtId="0" fontId="129" fillId="0" borderId="0" xfId="59855" applyFont="1"/>
    <xf numFmtId="38" fontId="129" fillId="0" borderId="0" xfId="59855" applyNumberFormat="1" applyFont="1"/>
    <xf numFmtId="186" fontId="31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centerContinuous"/>
    </xf>
    <xf numFmtId="186" fontId="128" fillId="0" borderId="0" xfId="59855" applyNumberFormat="1" applyFont="1" applyAlignment="1">
      <alignment horizontal="right"/>
    </xf>
    <xf numFmtId="186" fontId="128" fillId="5" borderId="56" xfId="59855" applyNumberFormat="1" applyFont="1" applyFill="1" applyBorder="1" applyAlignment="1">
      <alignment horizontal="center"/>
    </xf>
    <xf numFmtId="186" fontId="128" fillId="5" borderId="39" xfId="59855" applyNumberFormat="1" applyFont="1" applyFill="1" applyBorder="1" applyAlignment="1">
      <alignment horizontal="center"/>
    </xf>
    <xf numFmtId="186" fontId="129" fillId="0" borderId="42" xfId="59855" applyNumberFormat="1" applyFont="1" applyBorder="1" applyAlignment="1">
      <alignment horizontal="left" indent="1"/>
    </xf>
    <xf numFmtId="38" fontId="129" fillId="0" borderId="6" xfId="59392" applyNumberFormat="1" applyFont="1" applyFill="1" applyBorder="1" applyAlignment="1" applyProtection="1"/>
    <xf numFmtId="38" fontId="129" fillId="0" borderId="9" xfId="59392" applyNumberFormat="1" applyFont="1" applyFill="1" applyBorder="1" applyAlignment="1" applyProtection="1"/>
    <xf numFmtId="38" fontId="129" fillId="0" borderId="26" xfId="59392" applyNumberFormat="1" applyFont="1" applyFill="1" applyBorder="1" applyAlignment="1" applyProtection="1"/>
    <xf numFmtId="38" fontId="129" fillId="0" borderId="6" xfId="59392" applyNumberFormat="1" applyFont="1" applyBorder="1" applyAlignment="1" applyProtection="1"/>
    <xf numFmtId="38" fontId="129" fillId="0" borderId="9" xfId="59392" applyNumberFormat="1" applyFont="1" applyBorder="1" applyAlignment="1" applyProtection="1"/>
    <xf numFmtId="38" fontId="129" fillId="0" borderId="26" xfId="59392" applyNumberFormat="1" applyFont="1" applyBorder="1" applyAlignment="1" applyProtection="1"/>
    <xf numFmtId="38" fontId="129" fillId="0" borderId="67" xfId="59392" applyNumberFormat="1" applyFont="1" applyBorder="1" applyAlignment="1" applyProtection="1"/>
    <xf numFmtId="38" fontId="129" fillId="0" borderId="68" xfId="59392" applyNumberFormat="1" applyFont="1" applyBorder="1" applyAlignment="1" applyProtection="1"/>
    <xf numFmtId="38" fontId="129" fillId="0" borderId="11" xfId="59392" applyNumberFormat="1" applyFont="1" applyBorder="1" applyAlignment="1" applyProtection="1"/>
    <xf numFmtId="38" fontId="129" fillId="0" borderId="107" xfId="59392" applyNumberFormat="1" applyFont="1" applyBorder="1" applyAlignment="1" applyProtection="1"/>
    <xf numFmtId="186" fontId="128" fillId="0" borderId="42" xfId="59855" applyNumberFormat="1" applyFont="1" applyBorder="1" applyAlignment="1">
      <alignment horizontal="left"/>
    </xf>
    <xf numFmtId="38" fontId="128" fillId="0" borderId="6" xfId="59392" applyNumberFormat="1" applyFont="1" applyBorder="1" applyAlignment="1" applyProtection="1"/>
    <xf numFmtId="38" fontId="128" fillId="0" borderId="9" xfId="59392" applyNumberFormat="1" applyFont="1" applyBorder="1" applyAlignment="1" applyProtection="1"/>
    <xf numFmtId="38" fontId="128" fillId="0" borderId="26" xfId="59392" applyNumberFormat="1" applyFont="1" applyBorder="1" applyAlignment="1" applyProtection="1"/>
    <xf numFmtId="38" fontId="129" fillId="0" borderId="67" xfId="59392" applyNumberFormat="1" applyFont="1" applyFill="1" applyBorder="1" applyAlignment="1" applyProtection="1"/>
    <xf numFmtId="38" fontId="129" fillId="0" borderId="68" xfId="59392" applyNumberFormat="1" applyFont="1" applyFill="1" applyBorder="1" applyAlignment="1" applyProtection="1"/>
    <xf numFmtId="38" fontId="129" fillId="0" borderId="11" xfId="59392" applyNumberFormat="1" applyFont="1" applyFill="1" applyBorder="1" applyAlignment="1" applyProtection="1"/>
    <xf numFmtId="38" fontId="129" fillId="0" borderId="107" xfId="59392" applyNumberFormat="1" applyFont="1" applyFill="1" applyBorder="1" applyAlignment="1" applyProtection="1"/>
    <xf numFmtId="186" fontId="128" fillId="0" borderId="42" xfId="59855" applyNumberFormat="1" applyFont="1" applyBorder="1"/>
    <xf numFmtId="38" fontId="128" fillId="0" borderId="67" xfId="59392" applyNumberFormat="1" applyFont="1" applyFill="1" applyBorder="1" applyAlignment="1" applyProtection="1"/>
    <xf numFmtId="38" fontId="128" fillId="0" borderId="9" xfId="59392" applyNumberFormat="1" applyFont="1" applyFill="1" applyBorder="1" applyAlignment="1" applyProtection="1"/>
    <xf numFmtId="38" fontId="128" fillId="0" borderId="26" xfId="59392" applyNumberFormat="1" applyFont="1" applyFill="1" applyBorder="1" applyAlignment="1" applyProtection="1"/>
    <xf numFmtId="186" fontId="128" fillId="0" borderId="41" xfId="59855" applyNumberFormat="1" applyFont="1" applyBorder="1"/>
    <xf numFmtId="38" fontId="128" fillId="0" borderId="69" xfId="59392" applyNumberFormat="1" applyFont="1" applyFill="1" applyBorder="1" applyAlignment="1" applyProtection="1"/>
    <xf numFmtId="38" fontId="128" fillId="0" borderId="8" xfId="59392" applyNumberFormat="1" applyFont="1" applyFill="1" applyBorder="1" applyAlignment="1" applyProtection="1"/>
    <xf numFmtId="38" fontId="128" fillId="0" borderId="29" xfId="59392" applyNumberFormat="1" applyFont="1" applyFill="1" applyBorder="1" applyAlignment="1" applyProtection="1"/>
    <xf numFmtId="186" fontId="130" fillId="0" borderId="49" xfId="59855" applyNumberFormat="1" applyFont="1" applyBorder="1" applyAlignment="1">
      <alignment horizontal="left"/>
    </xf>
    <xf numFmtId="38" fontId="130" fillId="0" borderId="70" xfId="59392" applyNumberFormat="1" applyFont="1" applyFill="1" applyBorder="1" applyAlignment="1" applyProtection="1"/>
    <xf numFmtId="38" fontId="130" fillId="0" borderId="71" xfId="59392" applyNumberFormat="1" applyFont="1" applyFill="1" applyBorder="1" applyAlignment="1" applyProtection="1"/>
    <xf numFmtId="38" fontId="130" fillId="0" borderId="39" xfId="59392" applyNumberFormat="1" applyFont="1" applyFill="1" applyBorder="1" applyAlignment="1" applyProtection="1"/>
    <xf numFmtId="0" fontId="129" fillId="0" borderId="0" xfId="59855" applyFont="1" applyAlignment="1">
      <alignment horizontal="left" indent="1"/>
    </xf>
    <xf numFmtId="0" fontId="129" fillId="4" borderId="0" xfId="59855" applyFont="1" applyFill="1" applyAlignment="1">
      <alignment horizontal="left" indent="1"/>
    </xf>
    <xf numFmtId="38" fontId="129" fillId="4" borderId="0" xfId="59855" applyNumberFormat="1" applyFont="1" applyFill="1"/>
    <xf numFmtId="0" fontId="129" fillId="14" borderId="0" xfId="59855" applyFont="1" applyFill="1" applyAlignment="1">
      <alignment horizontal="left" indent="1"/>
    </xf>
    <xf numFmtId="38" fontId="129" fillId="14" borderId="0" xfId="59855" applyNumberFormat="1" applyFont="1" applyFill="1"/>
    <xf numFmtId="0" fontId="129" fillId="9" borderId="0" xfId="59855" applyFont="1" applyFill="1" applyAlignment="1">
      <alignment horizontal="left" indent="1"/>
    </xf>
    <xf numFmtId="38" fontId="129" fillId="9" borderId="0" xfId="59855" applyNumberFormat="1" applyFont="1" applyFill="1"/>
    <xf numFmtId="0" fontId="129" fillId="20" borderId="0" xfId="59855" applyFont="1" applyFill="1" applyAlignment="1">
      <alignment horizontal="right" indent="1"/>
    </xf>
    <xf numFmtId="38" fontId="129" fillId="20" borderId="0" xfId="59855" applyNumberFormat="1" applyFont="1" applyFill="1"/>
    <xf numFmtId="43" fontId="129" fillId="20" borderId="0" xfId="1" applyFont="1" applyFill="1" applyBorder="1"/>
    <xf numFmtId="0" fontId="35" fillId="0" borderId="0" xfId="0" applyFont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/>
    </xf>
    <xf numFmtId="172" fontId="35" fillId="0" borderId="18" xfId="0" applyNumberFormat="1" applyFont="1" applyBorder="1" applyAlignment="1">
      <alignment horizontal="center"/>
    </xf>
    <xf numFmtId="172" fontId="35" fillId="0" borderId="0" xfId="0" applyNumberFormat="1" applyFont="1" applyAlignment="1">
      <alignment horizontal="center"/>
    </xf>
    <xf numFmtId="174" fontId="35" fillId="0" borderId="6" xfId="0" applyNumberFormat="1" applyFont="1" applyBorder="1" applyAlignment="1">
      <alignment horizontal="center"/>
    </xf>
    <xf numFmtId="37" fontId="35" fillId="0" borderId="18" xfId="0" applyNumberFormat="1" applyFont="1" applyBorder="1" applyAlignment="1">
      <alignment horizontal="center"/>
    </xf>
    <xf numFmtId="37" fontId="35" fillId="0" borderId="0" xfId="0" applyNumberFormat="1" applyFont="1" applyAlignment="1">
      <alignment horizontal="center"/>
    </xf>
    <xf numFmtId="9" fontId="35" fillId="0" borderId="0" xfId="2" applyFont="1" applyAlignment="1">
      <alignment horizontal="center"/>
    </xf>
    <xf numFmtId="0" fontId="35" fillId="0" borderId="10" xfId="0" applyFont="1" applyBorder="1" applyAlignment="1">
      <alignment horizontal="center"/>
    </xf>
    <xf numFmtId="172" fontId="35" fillId="0" borderId="20" xfId="0" applyNumberFormat="1" applyFont="1" applyBorder="1" applyAlignment="1">
      <alignment horizontal="center"/>
    </xf>
    <xf numFmtId="172" fontId="35" fillId="0" borderId="28" xfId="0" applyNumberFormat="1" applyFont="1" applyBorder="1" applyAlignment="1">
      <alignment horizontal="center"/>
    </xf>
    <xf numFmtId="174" fontId="35" fillId="0" borderId="10" xfId="0" applyNumberFormat="1" applyFont="1" applyBorder="1" applyAlignment="1">
      <alignment horizontal="center"/>
    </xf>
    <xf numFmtId="37" fontId="35" fillId="0" borderId="20" xfId="0" applyNumberFormat="1" applyFont="1" applyBorder="1" applyAlignment="1">
      <alignment horizontal="center"/>
    </xf>
    <xf numFmtId="37" fontId="35" fillId="0" borderId="28" xfId="0" applyNumberFormat="1" applyFont="1" applyBorder="1" applyAlignment="1">
      <alignment horizontal="center"/>
    </xf>
    <xf numFmtId="2" fontId="35" fillId="0" borderId="0" xfId="0" applyNumberFormat="1" applyFont="1"/>
    <xf numFmtId="14" fontId="35" fillId="0" borderId="2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3" xfId="0" applyFont="1" applyBorder="1" applyAlignment="1">
      <alignment horizontal="center" vertical="center"/>
    </xf>
    <xf numFmtId="173" fontId="340" fillId="0" borderId="0" xfId="0" applyNumberFormat="1" applyFont="1" applyAlignment="1">
      <alignment horizontal="center" vertical="center"/>
    </xf>
    <xf numFmtId="0" fontId="340" fillId="0" borderId="0" xfId="0" applyFont="1" applyAlignment="1">
      <alignment horizontal="center" vertical="center"/>
    </xf>
    <xf numFmtId="173" fontId="340" fillId="0" borderId="16" xfId="0" applyNumberFormat="1" applyFont="1" applyBorder="1" applyAlignment="1">
      <alignment horizontal="center" vertical="center"/>
    </xf>
    <xf numFmtId="173" fontId="340" fillId="0" borderId="12" xfId="0" applyNumberFormat="1" applyFont="1" applyBorder="1" applyAlignment="1">
      <alignment horizontal="center" vertical="center"/>
    </xf>
    <xf numFmtId="4" fontId="340" fillId="0" borderId="75" xfId="0" applyNumberFormat="1" applyFont="1" applyBorder="1" applyAlignment="1">
      <alignment horizontal="center" vertical="center"/>
    </xf>
    <xf numFmtId="4" fontId="340" fillId="0" borderId="76" xfId="0" applyNumberFormat="1" applyFont="1" applyBorder="1" applyAlignment="1">
      <alignment horizontal="center" vertical="center"/>
    </xf>
    <xf numFmtId="37" fontId="340" fillId="0" borderId="77" xfId="0" applyNumberFormat="1" applyFont="1" applyBorder="1" applyAlignment="1">
      <alignment horizontal="center" vertical="center"/>
    </xf>
    <xf numFmtId="3" fontId="340" fillId="0" borderId="12" xfId="0" applyNumberFormat="1" applyFont="1" applyBorder="1" applyAlignment="1">
      <alignment horizontal="center" vertical="center"/>
    </xf>
    <xf numFmtId="0" fontId="341" fillId="0" borderId="0" xfId="0" applyFont="1" applyAlignment="1">
      <alignment horizontal="center" vertical="center"/>
    </xf>
    <xf numFmtId="173" fontId="342" fillId="0" borderId="1" xfId="0" applyNumberFormat="1" applyFont="1" applyBorder="1" applyAlignment="1">
      <alignment horizontal="center" vertical="center"/>
    </xf>
    <xf numFmtId="0" fontId="342" fillId="0" borderId="2" xfId="0" applyFont="1" applyBorder="1" applyAlignment="1">
      <alignment horizontal="center" vertical="center"/>
    </xf>
    <xf numFmtId="0" fontId="342" fillId="0" borderId="3" xfId="0" applyFont="1" applyBorder="1" applyAlignment="1">
      <alignment horizontal="center" vertical="center"/>
    </xf>
    <xf numFmtId="0" fontId="342" fillId="0" borderId="4" xfId="0" applyFont="1" applyBorder="1" applyAlignment="1">
      <alignment horizontal="center" vertical="center"/>
    </xf>
    <xf numFmtId="0" fontId="342" fillId="0" borderId="1" xfId="0" applyFont="1" applyBorder="1" applyAlignment="1">
      <alignment horizontal="center" vertical="center"/>
    </xf>
    <xf numFmtId="43" fontId="341" fillId="0" borderId="0" xfId="1" applyFont="1" applyAlignment="1">
      <alignment horizontal="left" vertical="center"/>
    </xf>
    <xf numFmtId="4" fontId="343" fillId="0" borderId="76" xfId="0" applyNumberFormat="1" applyFont="1" applyBorder="1" applyAlignment="1">
      <alignment horizontal="center" vertical="center"/>
    </xf>
    <xf numFmtId="0" fontId="344" fillId="0" borderId="0" xfId="0" applyFont="1" applyAlignment="1">
      <alignment horizontal="center" vertical="center"/>
    </xf>
    <xf numFmtId="4" fontId="124" fillId="0" borderId="73" xfId="0" applyNumberFormat="1" applyFont="1" applyBorder="1" applyAlignment="1">
      <alignment horizontal="center" vertical="center"/>
    </xf>
    <xf numFmtId="4" fontId="124" fillId="0" borderId="72" xfId="0" applyNumberFormat="1" applyFont="1" applyBorder="1" applyAlignment="1">
      <alignment horizontal="center" vertical="center"/>
    </xf>
    <xf numFmtId="4" fontId="343" fillId="0" borderId="75" xfId="0" applyNumberFormat="1" applyFont="1" applyBorder="1" applyAlignment="1">
      <alignment horizontal="center" vertical="center"/>
    </xf>
    <xf numFmtId="37" fontId="124" fillId="0" borderId="74" xfId="0" applyNumberFormat="1" applyFont="1" applyBorder="1" applyAlignment="1">
      <alignment horizontal="center" vertical="center"/>
    </xf>
    <xf numFmtId="3" fontId="124" fillId="0" borderId="16" xfId="0" applyNumberFormat="1" applyFont="1" applyBorder="1" applyAlignment="1">
      <alignment horizontal="center" vertical="center"/>
    </xf>
    <xf numFmtId="172" fontId="46" fillId="0" borderId="13" xfId="4" applyNumberFormat="1" applyFont="1" applyBorder="1" applyAlignment="1">
      <alignment horizontal="center" vertical="center"/>
    </xf>
    <xf numFmtId="0" fontId="46" fillId="0" borderId="12" xfId="3" applyFont="1" applyBorder="1"/>
    <xf numFmtId="3" fontId="46" fillId="0" borderId="9" xfId="4" applyNumberFormat="1" applyFont="1" applyBorder="1" applyAlignment="1">
      <alignment horizontal="center" vertical="center"/>
    </xf>
    <xf numFmtId="216" fontId="16" fillId="0" borderId="0" xfId="0" applyNumberFormat="1" applyFont="1"/>
    <xf numFmtId="4" fontId="340" fillId="0" borderId="0" xfId="0" applyNumberFormat="1" applyFont="1" applyAlignment="1">
      <alignment horizontal="center" vertical="center"/>
    </xf>
    <xf numFmtId="169" fontId="339" fillId="0" borderId="24" xfId="1" applyNumberFormat="1" applyFont="1" applyBorder="1" applyAlignment="1">
      <alignment horizontal="center" vertical="center" wrapText="1"/>
    </xf>
    <xf numFmtId="39" fontId="124" fillId="0" borderId="74" xfId="0" applyNumberFormat="1" applyFont="1" applyBorder="1" applyAlignment="1">
      <alignment horizontal="center" vertical="center"/>
    </xf>
    <xf numFmtId="174" fontId="35" fillId="0" borderId="16" xfId="0" applyNumberFormat="1" applyFont="1" applyBorder="1" applyAlignment="1">
      <alignment horizontal="center" vertical="center"/>
    </xf>
    <xf numFmtId="174" fontId="35" fillId="0" borderId="12" xfId="0" applyNumberFormat="1" applyFont="1" applyBorder="1" applyAlignment="1">
      <alignment horizontal="center" vertical="center"/>
    </xf>
    <xf numFmtId="174" fontId="35" fillId="0" borderId="12" xfId="1" applyNumberFormat="1" applyFont="1" applyBorder="1" applyAlignment="1">
      <alignment horizontal="center" vertical="center"/>
    </xf>
    <xf numFmtId="174" fontId="35" fillId="0" borderId="13" xfId="0" applyNumberFormat="1" applyFont="1" applyBorder="1" applyAlignment="1">
      <alignment horizontal="center" vertical="center"/>
    </xf>
    <xf numFmtId="0" fontId="339" fillId="0" borderId="43" xfId="0" applyFont="1" applyBorder="1" applyAlignment="1">
      <alignment vertical="center"/>
    </xf>
    <xf numFmtId="3" fontId="339" fillId="0" borderId="35" xfId="0" applyNumberFormat="1" applyFont="1" applyBorder="1" applyAlignment="1">
      <alignment horizontal="center" vertical="center"/>
    </xf>
    <xf numFmtId="172" fontId="339" fillId="0" borderId="108" xfId="1" applyNumberFormat="1" applyFont="1" applyBorder="1" applyAlignment="1">
      <alignment horizontal="center" vertical="center"/>
    </xf>
    <xf numFmtId="9" fontId="339" fillId="0" borderId="108" xfId="2" applyFont="1" applyBorder="1" applyAlignment="1">
      <alignment horizontal="center" vertical="center"/>
    </xf>
    <xf numFmtId="0" fontId="339" fillId="0" borderId="109" xfId="0" applyFont="1" applyBorder="1" applyAlignment="1">
      <alignment vertical="center"/>
    </xf>
    <xf numFmtId="3" fontId="339" fillId="0" borderId="109" xfId="0" applyNumberFormat="1" applyFont="1" applyBorder="1" applyAlignment="1">
      <alignment horizontal="center" vertical="center"/>
    </xf>
    <xf numFmtId="172" fontId="339" fillId="0" borderId="109" xfId="1" applyNumberFormat="1" applyFont="1" applyBorder="1" applyAlignment="1">
      <alignment horizontal="center" vertical="center"/>
    </xf>
    <xf numFmtId="9" fontId="339" fillId="0" borderId="109" xfId="2" applyFont="1" applyBorder="1" applyAlignment="1">
      <alignment horizontal="center" vertical="center"/>
    </xf>
    <xf numFmtId="169" fontId="339" fillId="0" borderId="40" xfId="1" applyNumberFormat="1" applyFont="1" applyBorder="1" applyAlignment="1">
      <alignment horizontal="center" vertical="center"/>
    </xf>
    <xf numFmtId="174" fontId="339" fillId="0" borderId="62" xfId="1" applyNumberFormat="1" applyFont="1" applyBorder="1" applyAlignment="1">
      <alignment horizontal="center" vertical="center"/>
    </xf>
    <xf numFmtId="174" fontId="339" fillId="0" borderId="42" xfId="1" applyNumberFormat="1" applyFont="1" applyBorder="1" applyAlignment="1">
      <alignment horizontal="center" vertical="center"/>
    </xf>
    <xf numFmtId="0" fontId="338" fillId="0" borderId="35" xfId="0" applyFont="1" applyBorder="1" applyAlignment="1">
      <alignment vertical="center"/>
    </xf>
    <xf numFmtId="174" fontId="339" fillId="0" borderId="44" xfId="1" applyNumberFormat="1" applyFont="1" applyBorder="1" applyAlignment="1">
      <alignment horizontal="center" vertical="center"/>
    </xf>
    <xf numFmtId="174" fontId="339" fillId="0" borderId="108" xfId="1" applyNumberFormat="1" applyFont="1" applyBorder="1" applyAlignment="1">
      <alignment horizontal="center" vertical="center"/>
    </xf>
    <xf numFmtId="0" fontId="338" fillId="0" borderId="109" xfId="0" applyFont="1" applyBorder="1" applyAlignment="1">
      <alignment vertical="center"/>
    </xf>
    <xf numFmtId="174" fontId="339" fillId="0" borderId="109" xfId="1" applyNumberFormat="1" applyFont="1" applyBorder="1" applyAlignment="1">
      <alignment horizontal="center" vertical="center"/>
    </xf>
    <xf numFmtId="169" fontId="339" fillId="0" borderId="24" xfId="2" applyNumberFormat="1" applyFont="1" applyBorder="1" applyAlignment="1">
      <alignment horizontal="center" vertical="center"/>
    </xf>
    <xf numFmtId="37" fontId="338" fillId="0" borderId="23" xfId="0" applyNumberFormat="1" applyFont="1" applyBorder="1" applyAlignment="1">
      <alignment horizontal="center" vertical="center"/>
    </xf>
    <xf numFmtId="37" fontId="339" fillId="0" borderId="24" xfId="0" applyNumberFormat="1" applyFont="1" applyBorder="1" applyAlignment="1">
      <alignment horizontal="center" vertical="center"/>
    </xf>
    <xf numFmtId="37" fontId="338" fillId="0" borderId="0" xfId="0" applyNumberFormat="1" applyFont="1" applyAlignment="1">
      <alignment horizontal="center" vertical="center"/>
    </xf>
    <xf numFmtId="37" fontId="338" fillId="0" borderId="0" xfId="1" applyNumberFormat="1" applyFont="1" applyAlignment="1">
      <alignment horizontal="center" vertical="center"/>
    </xf>
    <xf numFmtId="37" fontId="338" fillId="0" borderId="35" xfId="0" applyNumberFormat="1" applyFont="1" applyBorder="1" applyAlignment="1">
      <alignment horizontal="center" vertical="center"/>
    </xf>
    <xf numFmtId="37" fontId="339" fillId="0" borderId="35" xfId="1" applyNumberFormat="1" applyFont="1" applyBorder="1" applyAlignment="1">
      <alignment horizontal="center" vertical="center"/>
    </xf>
    <xf numFmtId="37" fontId="339" fillId="0" borderId="0" xfId="1" applyNumberFormat="1" applyFont="1" applyAlignment="1">
      <alignment horizontal="center" vertical="center"/>
    </xf>
    <xf numFmtId="37" fontId="339" fillId="0" borderId="0" xfId="0" quotePrefix="1" applyNumberFormat="1" applyFont="1" applyAlignment="1">
      <alignment horizontal="center" vertical="center"/>
    </xf>
    <xf numFmtId="174" fontId="338" fillId="8" borderId="0" xfId="1" applyNumberFormat="1" applyFont="1" applyFill="1" applyAlignment="1">
      <alignment horizontal="center" vertical="center"/>
    </xf>
    <xf numFmtId="37" fontId="338" fillId="8" borderId="0" xfId="1" applyNumberFormat="1" applyFont="1" applyFill="1" applyAlignment="1">
      <alignment horizontal="center" vertical="center"/>
    </xf>
    <xf numFmtId="0" fontId="338" fillId="0" borderId="28" xfId="0" applyFont="1" applyBorder="1" applyAlignment="1">
      <alignment vertical="center"/>
    </xf>
    <xf numFmtId="37" fontId="339" fillId="0" borderId="35" xfId="0" applyNumberFormat="1" applyFont="1" applyBorder="1" applyAlignment="1">
      <alignment horizontal="center" vertical="center"/>
    </xf>
    <xf numFmtId="9" fontId="339" fillId="0" borderId="0" xfId="2" applyFont="1" applyBorder="1" applyAlignment="1">
      <alignment horizontal="center" vertical="center"/>
    </xf>
    <xf numFmtId="174" fontId="338" fillId="8" borderId="28" xfId="1" applyNumberFormat="1" applyFont="1" applyFill="1" applyBorder="1" applyAlignment="1">
      <alignment horizontal="center" vertical="center"/>
    </xf>
    <xf numFmtId="37" fontId="338" fillId="8" borderId="28" xfId="1" applyNumberFormat="1" applyFont="1" applyFill="1" applyBorder="1" applyAlignment="1">
      <alignment horizontal="center" vertical="center"/>
    </xf>
    <xf numFmtId="14" fontId="35" fillId="0" borderId="18" xfId="0" applyNumberFormat="1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35" xfId="0" applyFont="1" applyBorder="1" applyAlignment="1">
      <alignment horizontal="center"/>
    </xf>
    <xf numFmtId="0" fontId="35" fillId="0" borderId="35" xfId="0" applyFont="1" applyBorder="1" applyAlignment="1">
      <alignment horizontal="left"/>
    </xf>
    <xf numFmtId="174" fontId="339" fillId="0" borderId="0" xfId="1" applyNumberFormat="1" applyFont="1" applyBorder="1" applyAlignment="1">
      <alignment horizontal="center" vertical="center"/>
    </xf>
    <xf numFmtId="14" fontId="35" fillId="0" borderId="16" xfId="0" applyNumberFormat="1" applyFont="1" applyBorder="1" applyAlignment="1">
      <alignment horizontal="center" vertical="center"/>
    </xf>
    <xf numFmtId="174" fontId="337" fillId="0" borderId="0" xfId="0" applyNumberFormat="1" applyFont="1" applyAlignment="1">
      <alignment horizontal="center"/>
    </xf>
    <xf numFmtId="174" fontId="337" fillId="0" borderId="28" xfId="0" applyNumberFormat="1" applyFont="1" applyBorder="1" applyAlignment="1">
      <alignment horizontal="center"/>
    </xf>
    <xf numFmtId="174" fontId="29" fillId="0" borderId="16" xfId="0" applyNumberFormat="1" applyFont="1" applyBorder="1" applyAlignment="1">
      <alignment horizontal="center" vertical="center"/>
    </xf>
    <xf numFmtId="174" fontId="29" fillId="0" borderId="12" xfId="0" applyNumberFormat="1" applyFont="1" applyBorder="1" applyAlignment="1">
      <alignment horizontal="center" vertical="center"/>
    </xf>
    <xf numFmtId="174" fontId="29" fillId="0" borderId="13" xfId="0" applyNumberFormat="1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37" fontId="347" fillId="0" borderId="6" xfId="0" applyNumberFormat="1" applyFont="1" applyBorder="1" applyAlignment="1">
      <alignment horizontal="center"/>
    </xf>
    <xf numFmtId="37" fontId="347" fillId="0" borderId="10" xfId="0" applyNumberFormat="1" applyFont="1" applyBorder="1" applyAlignment="1">
      <alignment horizontal="center"/>
    </xf>
    <xf numFmtId="37" fontId="347" fillId="0" borderId="35" xfId="0" applyNumberFormat="1" applyFont="1" applyBorder="1" applyAlignment="1">
      <alignment horizontal="center"/>
    </xf>
    <xf numFmtId="0" fontId="340" fillId="0" borderId="0" xfId="0" applyFont="1" applyAlignment="1">
      <alignment vertical="center"/>
    </xf>
    <xf numFmtId="0" fontId="340" fillId="0" borderId="0" xfId="0" applyFont="1" applyAlignment="1">
      <alignment horizontal="right" vertical="center"/>
    </xf>
    <xf numFmtId="0" fontId="340" fillId="0" borderId="0" xfId="0" applyFont="1" applyAlignment="1">
      <alignment horizontal="left" vertical="center"/>
    </xf>
    <xf numFmtId="0" fontId="340" fillId="0" borderId="19" xfId="0" applyFont="1" applyBorder="1" applyAlignment="1">
      <alignment horizontal="right" vertical="center"/>
    </xf>
    <xf numFmtId="170" fontId="340" fillId="5" borderId="5" xfId="1" applyNumberFormat="1" applyFont="1" applyFill="1" applyBorder="1" applyAlignment="1">
      <alignment vertical="center"/>
    </xf>
    <xf numFmtId="0" fontId="340" fillId="0" borderId="1" xfId="0" applyFont="1" applyBorder="1" applyAlignment="1">
      <alignment horizontal="center" vertical="center"/>
    </xf>
    <xf numFmtId="174" fontId="340" fillId="0" borderId="1" xfId="0" applyNumberFormat="1" applyFont="1" applyBorder="1" applyAlignment="1">
      <alignment horizontal="center" vertical="center"/>
    </xf>
    <xf numFmtId="174" fontId="340" fillId="0" borderId="0" xfId="0" applyNumberFormat="1" applyFont="1" applyAlignment="1">
      <alignment horizontal="center" vertical="center"/>
    </xf>
    <xf numFmtId="170" fontId="16" fillId="4" borderId="8" xfId="1" applyNumberFormat="1" applyFont="1" applyFill="1" applyBorder="1"/>
    <xf numFmtId="217" fontId="340" fillId="0" borderId="1" xfId="0" applyNumberFormat="1" applyFont="1" applyBorder="1" applyAlignment="1">
      <alignment horizontal="center" vertical="center"/>
    </xf>
    <xf numFmtId="0" fontId="126" fillId="0" borderId="0" xfId="61888" applyFont="1" applyAlignment="1">
      <alignment vertical="center"/>
    </xf>
    <xf numFmtId="0" fontId="348" fillId="0" borderId="0" xfId="61888" applyFont="1" applyAlignment="1">
      <alignment horizontal="center" vertical="center"/>
    </xf>
    <xf numFmtId="49" fontId="348" fillId="0" borderId="0" xfId="61888" applyNumberFormat="1" applyFont="1" applyAlignment="1">
      <alignment horizontal="center" vertical="center"/>
    </xf>
    <xf numFmtId="0" fontId="349" fillId="0" borderId="0" xfId="61888" applyFont="1"/>
    <xf numFmtId="0" fontId="349" fillId="0" borderId="0" xfId="61888" applyFont="1" applyAlignment="1">
      <alignment horizontal="center" vertical="center"/>
    </xf>
    <xf numFmtId="0" fontId="349" fillId="0" borderId="0" xfId="0" applyFont="1"/>
    <xf numFmtId="14" fontId="126" fillId="8" borderId="0" xfId="61888" applyNumberFormat="1" applyFont="1" applyFill="1" applyAlignment="1">
      <alignment horizontal="center" vertical="center"/>
    </xf>
    <xf numFmtId="0" fontId="126" fillId="0" borderId="0" xfId="61888" applyFont="1" applyAlignment="1">
      <alignment horizontal="right" vertical="center"/>
    </xf>
    <xf numFmtId="2" fontId="126" fillId="0" borderId="0" xfId="61888" applyNumberFormat="1" applyFont="1" applyAlignment="1">
      <alignment horizontal="center" vertical="center"/>
    </xf>
    <xf numFmtId="0" fontId="126" fillId="0" borderId="0" xfId="61888" applyFont="1" applyAlignment="1">
      <alignment horizontal="left" vertical="center"/>
    </xf>
    <xf numFmtId="0" fontId="348" fillId="7" borderId="1" xfId="61888" applyFont="1" applyFill="1" applyBorder="1" applyAlignment="1">
      <alignment horizontal="center" vertical="center"/>
    </xf>
    <xf numFmtId="43" fontId="348" fillId="0" borderId="16" xfId="1" applyFont="1" applyBorder="1" applyAlignment="1">
      <alignment vertical="center"/>
    </xf>
    <xf numFmtId="3" fontId="348" fillId="0" borderId="16" xfId="61888" applyNumberFormat="1" applyFont="1" applyBorder="1" applyAlignment="1">
      <alignment horizontal="center" vertical="center"/>
    </xf>
    <xf numFmtId="3" fontId="349" fillId="0" borderId="16" xfId="4" applyNumberFormat="1" applyFont="1" applyBorder="1" applyAlignment="1">
      <alignment horizontal="center" vertical="center"/>
    </xf>
    <xf numFmtId="43" fontId="348" fillId="0" borderId="12" xfId="1" applyFont="1" applyBorder="1" applyAlignment="1">
      <alignment vertical="center"/>
    </xf>
    <xf numFmtId="3" fontId="348" fillId="0" borderId="12" xfId="61888" applyNumberFormat="1" applyFont="1" applyBorder="1" applyAlignment="1">
      <alignment horizontal="center" vertical="center"/>
    </xf>
    <xf numFmtId="3" fontId="349" fillId="0" borderId="12" xfId="4" applyNumberFormat="1" applyFont="1" applyBorder="1" applyAlignment="1">
      <alignment horizontal="center" vertical="center"/>
    </xf>
    <xf numFmtId="43" fontId="348" fillId="0" borderId="13" xfId="1" applyFont="1" applyBorder="1" applyAlignment="1">
      <alignment vertical="center"/>
    </xf>
    <xf numFmtId="3" fontId="348" fillId="0" borderId="13" xfId="61888" applyNumberFormat="1" applyFont="1" applyBorder="1" applyAlignment="1">
      <alignment horizontal="center" vertical="center"/>
    </xf>
    <xf numFmtId="3" fontId="349" fillId="0" borderId="13" xfId="4" applyNumberFormat="1" applyFont="1" applyBorder="1" applyAlignment="1">
      <alignment horizontal="center" vertical="center"/>
    </xf>
    <xf numFmtId="43" fontId="348" fillId="97" borderId="7" xfId="1" applyFont="1" applyFill="1" applyBorder="1" applyAlignment="1">
      <alignment horizontal="left" vertical="center"/>
    </xf>
    <xf numFmtId="3" fontId="348" fillId="97" borderId="7" xfId="4" applyNumberFormat="1" applyFont="1" applyFill="1" applyBorder="1" applyAlignment="1">
      <alignment horizontal="center" vertical="center"/>
    </xf>
    <xf numFmtId="43" fontId="348" fillId="0" borderId="17" xfId="1" applyFont="1" applyFill="1" applyBorder="1" applyAlignment="1">
      <alignment horizontal="left" vertical="center" wrapText="1"/>
    </xf>
    <xf numFmtId="37" fontId="348" fillId="0" borderId="17" xfId="4" applyNumberFormat="1" applyFont="1" applyFill="1" applyBorder="1" applyAlignment="1">
      <alignment horizontal="center" vertical="center"/>
    </xf>
    <xf numFmtId="43" fontId="348" fillId="0" borderId="111" xfId="1" applyFont="1" applyFill="1" applyBorder="1" applyAlignment="1">
      <alignment horizontal="left" vertical="center"/>
    </xf>
    <xf numFmtId="37" fontId="348" fillId="0" borderId="11" xfId="4" applyNumberFormat="1" applyFont="1" applyFill="1" applyBorder="1" applyAlignment="1">
      <alignment horizontal="center" vertical="center"/>
    </xf>
    <xf numFmtId="43" fontId="348" fillId="0" borderId="11" xfId="1" applyFont="1" applyBorder="1" applyAlignment="1">
      <alignment horizontal="left" vertical="center"/>
    </xf>
    <xf numFmtId="37" fontId="348" fillId="0" borderId="11" xfId="61888" applyNumberFormat="1" applyFont="1" applyBorder="1" applyAlignment="1">
      <alignment horizontal="center" vertical="center"/>
    </xf>
    <xf numFmtId="37" fontId="349" fillId="0" borderId="11" xfId="4" applyNumberFormat="1" applyFont="1" applyBorder="1" applyAlignment="1">
      <alignment horizontal="center" vertical="center"/>
    </xf>
    <xf numFmtId="43" fontId="348" fillId="97" borderId="17" xfId="1" applyFont="1" applyFill="1" applyBorder="1" applyAlignment="1">
      <alignment horizontal="left" vertical="center"/>
    </xf>
    <xf numFmtId="37" fontId="348" fillId="97" borderId="17" xfId="4" applyNumberFormat="1" applyFont="1" applyFill="1" applyBorder="1" applyAlignment="1">
      <alignment horizontal="center" vertical="center"/>
    </xf>
    <xf numFmtId="37" fontId="348" fillId="97" borderId="17" xfId="61888" applyNumberFormat="1" applyFont="1" applyFill="1" applyBorder="1" applyAlignment="1">
      <alignment horizontal="center" vertical="center"/>
    </xf>
    <xf numFmtId="43" fontId="348" fillId="19" borderId="17" xfId="1" applyFont="1" applyFill="1" applyBorder="1" applyAlignment="1">
      <alignment horizontal="left" vertical="center"/>
    </xf>
    <xf numFmtId="37" fontId="348" fillId="19" borderId="17" xfId="4" applyNumberFormat="1" applyFont="1" applyFill="1" applyBorder="1" applyAlignment="1">
      <alignment horizontal="center" vertical="center"/>
    </xf>
    <xf numFmtId="37" fontId="348" fillId="19" borderId="17" xfId="61888" applyNumberFormat="1" applyFont="1" applyFill="1" applyBorder="1" applyAlignment="1">
      <alignment horizontal="center" vertical="center"/>
    </xf>
    <xf numFmtId="0" fontId="350" fillId="0" borderId="0" xfId="0" applyFont="1"/>
    <xf numFmtId="43" fontId="47" fillId="0" borderId="0" xfId="1" applyFont="1" applyFill="1"/>
    <xf numFmtId="43" fontId="28" fillId="0" borderId="0" xfId="1" applyFont="1" applyFill="1"/>
    <xf numFmtId="43" fontId="33" fillId="0" borderId="14" xfId="1" applyFont="1" applyFill="1" applyBorder="1"/>
    <xf numFmtId="43" fontId="33" fillId="0" borderId="15" xfId="1" applyFont="1" applyFill="1" applyBorder="1"/>
    <xf numFmtId="43" fontId="0" fillId="0" borderId="0" xfId="1" applyFont="1" applyFill="1"/>
    <xf numFmtId="170" fontId="0" fillId="0" borderId="0" xfId="1" applyNumberFormat="1" applyFont="1" applyFill="1"/>
    <xf numFmtId="43" fontId="23" fillId="0" borderId="14" xfId="1" applyFont="1" applyFill="1" applyBorder="1"/>
    <xf numFmtId="170" fontId="23" fillId="0" borderId="14" xfId="1" applyNumberFormat="1" applyFont="1" applyFill="1" applyBorder="1"/>
    <xf numFmtId="43" fontId="23" fillId="0" borderId="15" xfId="1" applyFont="1" applyFill="1" applyBorder="1"/>
    <xf numFmtId="170" fontId="23" fillId="0" borderId="15" xfId="1" applyNumberFormat="1" applyFont="1" applyFill="1" applyBorder="1"/>
    <xf numFmtId="195" fontId="13" fillId="0" borderId="0" xfId="12" applyNumberFormat="1" applyAlignment="1">
      <alignment horizontal="center" vertical="center"/>
    </xf>
    <xf numFmtId="43" fontId="13" fillId="0" borderId="0" xfId="1" applyFont="1" applyAlignment="1">
      <alignment horizontal="center" vertical="center"/>
    </xf>
    <xf numFmtId="0" fontId="2" fillId="0" borderId="0" xfId="61889" applyAlignment="1">
      <alignment horizontal="center" vertical="center"/>
    </xf>
    <xf numFmtId="0" fontId="19" fillId="0" borderId="0" xfId="61889" applyFont="1" applyAlignment="1">
      <alignment horizontal="center" vertical="center"/>
    </xf>
    <xf numFmtId="0" fontId="19" fillId="6" borderId="21" xfId="61889" applyFont="1" applyFill="1" applyBorder="1" applyAlignment="1">
      <alignment horizontal="center" vertical="center"/>
    </xf>
    <xf numFmtId="0" fontId="19" fillId="0" borderId="1" xfId="61889" applyFont="1" applyBorder="1" applyAlignment="1">
      <alignment horizontal="center" vertical="center"/>
    </xf>
    <xf numFmtId="3" fontId="351" fillId="0" borderId="14" xfId="61889" applyNumberFormat="1" applyFont="1" applyBorder="1" applyAlignment="1">
      <alignment horizontal="center" vertical="center"/>
    </xf>
    <xf numFmtId="3" fontId="351" fillId="0" borderId="5" xfId="61889" applyNumberFormat="1" applyFont="1" applyBorder="1" applyAlignment="1">
      <alignment horizontal="center" vertical="center"/>
    </xf>
    <xf numFmtId="3" fontId="351" fillId="0" borderId="7" xfId="61889" applyNumberFormat="1" applyFont="1" applyBorder="1" applyAlignment="1">
      <alignment horizontal="center" vertical="center"/>
    </xf>
    <xf numFmtId="3" fontId="351" fillId="0" borderId="114" xfId="61889" applyNumberFormat="1" applyFont="1" applyBorder="1" applyAlignment="1">
      <alignment horizontal="center" vertical="center"/>
    </xf>
    <xf numFmtId="3" fontId="341" fillId="3" borderId="115" xfId="61889" applyNumberFormat="1" applyFont="1" applyFill="1" applyBorder="1" applyAlignment="1">
      <alignment horizontal="center" vertical="center"/>
    </xf>
    <xf numFmtId="3" fontId="341" fillId="3" borderId="35" xfId="61889" applyNumberFormat="1" applyFont="1" applyFill="1" applyBorder="1" applyAlignment="1">
      <alignment horizontal="center" vertical="center"/>
    </xf>
    <xf numFmtId="3" fontId="341" fillId="3" borderId="110" xfId="61889" applyNumberFormat="1" applyFont="1" applyFill="1" applyBorder="1" applyAlignment="1">
      <alignment horizontal="center" vertical="center"/>
    </xf>
    <xf numFmtId="3" fontId="341" fillId="3" borderId="17" xfId="61889" applyNumberFormat="1" applyFont="1" applyFill="1" applyBorder="1" applyAlignment="1">
      <alignment horizontal="center" vertical="center"/>
    </xf>
    <xf numFmtId="43" fontId="19" fillId="0" borderId="0" xfId="61890" applyFont="1" applyAlignment="1">
      <alignment horizontal="center" vertical="center"/>
    </xf>
    <xf numFmtId="186" fontId="128" fillId="6" borderId="55" xfId="58805" applyNumberFormat="1" applyFont="1" applyFill="1" applyBorder="1" applyAlignment="1">
      <alignment horizontal="center"/>
    </xf>
    <xf numFmtId="169" fontId="17" fillId="13" borderId="9" xfId="1" applyNumberFormat="1" applyFont="1" applyFill="1" applyBorder="1" applyAlignment="1">
      <alignment horizontal="center" vertical="center"/>
    </xf>
    <xf numFmtId="169" fontId="18" fillId="6" borderId="1" xfId="1" applyNumberFormat="1" applyFont="1" applyFill="1" applyBorder="1" applyAlignment="1">
      <alignment horizontal="center" vertical="center"/>
    </xf>
    <xf numFmtId="173" fontId="47" fillId="0" borderId="0" xfId="0" applyNumberFormat="1" applyFont="1"/>
    <xf numFmtId="0" fontId="28" fillId="0" borderId="0" xfId="0" applyFont="1"/>
    <xf numFmtId="0" fontId="29" fillId="0" borderId="0" xfId="0" applyFont="1"/>
    <xf numFmtId="4" fontId="0" fillId="0" borderId="0" xfId="0" applyNumberFormat="1"/>
    <xf numFmtId="2" fontId="0" fillId="0" borderId="0" xfId="0" applyNumberFormat="1"/>
    <xf numFmtId="220" fontId="0" fillId="0" borderId="0" xfId="0" applyNumberFormat="1"/>
    <xf numFmtId="172" fontId="0" fillId="0" borderId="0" xfId="0" applyNumberFormat="1"/>
    <xf numFmtId="0" fontId="23" fillId="0" borderId="0" xfId="0" applyFont="1"/>
    <xf numFmtId="219" fontId="67" fillId="0" borderId="0" xfId="0" applyNumberFormat="1" applyFont="1"/>
    <xf numFmtId="218" fontId="67" fillId="0" borderId="0" xfId="0" applyNumberFormat="1" applyFont="1" applyAlignment="1">
      <alignment vertical="center"/>
    </xf>
    <xf numFmtId="43" fontId="0" fillId="0" borderId="0" xfId="0" applyNumberFormat="1"/>
    <xf numFmtId="43" fontId="35" fillId="0" borderId="0" xfId="0" applyNumberFormat="1" applyFont="1"/>
    <xf numFmtId="38" fontId="129" fillId="0" borderId="112" xfId="58807" applyNumberFormat="1" applyFont="1" applyFill="1" applyBorder="1" applyAlignment="1" applyProtection="1"/>
    <xf numFmtId="38" fontId="129" fillId="0" borderId="117" xfId="58807" applyNumberFormat="1" applyFont="1" applyBorder="1" applyAlignment="1" applyProtection="1"/>
    <xf numFmtId="38" fontId="129" fillId="0" borderId="118" xfId="58807" applyNumberFormat="1" applyFont="1" applyBorder="1" applyAlignment="1" applyProtection="1"/>
    <xf numFmtId="38" fontId="128" fillId="0" borderId="117" xfId="58807" applyNumberFormat="1" applyFont="1" applyBorder="1" applyAlignment="1" applyProtection="1"/>
    <xf numFmtId="38" fontId="129" fillId="0" borderId="117" xfId="58807" applyNumberFormat="1" applyFont="1" applyFill="1" applyBorder="1" applyAlignment="1" applyProtection="1"/>
    <xf numFmtId="38" fontId="129" fillId="0" borderId="118" xfId="58807" applyNumberFormat="1" applyFont="1" applyFill="1" applyBorder="1" applyAlignment="1" applyProtection="1"/>
    <xf numFmtId="38" fontId="128" fillId="0" borderId="117" xfId="58807" applyNumberFormat="1" applyFont="1" applyFill="1" applyBorder="1" applyAlignment="1" applyProtection="1"/>
    <xf numFmtId="38" fontId="128" fillId="0" borderId="116" xfId="58807" applyNumberFormat="1" applyFont="1" applyFill="1" applyBorder="1" applyAlignment="1" applyProtection="1"/>
    <xf numFmtId="38" fontId="130" fillId="0" borderId="113" xfId="58807" applyNumberFormat="1" applyFont="1" applyFill="1" applyBorder="1" applyAlignment="1" applyProtection="1"/>
    <xf numFmtId="172" fontId="353" fillId="0" borderId="13" xfId="4" applyNumberFormat="1" applyFont="1" applyBorder="1" applyAlignment="1">
      <alignment horizontal="center" vertical="center"/>
    </xf>
    <xf numFmtId="14" fontId="18" fillId="5" borderId="7" xfId="0" applyNumberFormat="1" applyFont="1" applyFill="1" applyBorder="1" applyAlignment="1">
      <alignment horizontal="center"/>
    </xf>
    <xf numFmtId="43" fontId="16" fillId="0" borderId="0" xfId="0" applyNumberFormat="1" applyFont="1" applyAlignment="1">
      <alignment horizontal="center" wrapText="1"/>
    </xf>
    <xf numFmtId="173" fontId="47" fillId="0" borderId="0" xfId="0" applyNumberFormat="1" applyFont="1" applyAlignment="1">
      <alignment horizontal="right"/>
    </xf>
    <xf numFmtId="43" fontId="34" fillId="0" borderId="0" xfId="1" applyFont="1" applyFill="1" applyAlignment="1">
      <alignment horizontal="right"/>
    </xf>
    <xf numFmtId="170" fontId="33" fillId="0" borderId="14" xfId="1" applyNumberFormat="1" applyFont="1" applyFill="1" applyBorder="1" applyAlignment="1">
      <alignment horizontal="right"/>
    </xf>
    <xf numFmtId="170" fontId="33" fillId="0" borderId="15" xfId="1" applyNumberFormat="1" applyFont="1" applyFill="1" applyBorder="1" applyAlignment="1">
      <alignment horizontal="right"/>
    </xf>
    <xf numFmtId="170" fontId="35" fillId="0" borderId="0" xfId="1" applyNumberFormat="1" applyFont="1" applyFill="1" applyAlignment="1">
      <alignment horizontal="right"/>
    </xf>
    <xf numFmtId="0" fontId="0" fillId="0" borderId="0" xfId="0" applyAlignment="1">
      <alignment horizontal="right"/>
    </xf>
    <xf numFmtId="169" fontId="129" fillId="0" borderId="0" xfId="1" applyNumberFormat="1" applyFont="1"/>
    <xf numFmtId="186" fontId="128" fillId="3" borderId="50" xfId="58805" applyNumberFormat="1" applyFont="1" applyFill="1" applyBorder="1" applyAlignment="1">
      <alignment horizontal="center"/>
    </xf>
    <xf numFmtId="186" fontId="128" fillId="3" borderId="51" xfId="58805" applyNumberFormat="1" applyFont="1" applyFill="1" applyBorder="1" applyAlignment="1">
      <alignment horizontal="center"/>
    </xf>
    <xf numFmtId="14" fontId="354" fillId="0" borderId="0" xfId="0" applyNumberFormat="1" applyFont="1" applyAlignment="1">
      <alignment vertical="center"/>
    </xf>
    <xf numFmtId="174" fontId="42" fillId="0" borderId="36" xfId="0" applyNumberFormat="1" applyFont="1" applyBorder="1" applyAlignment="1">
      <alignment horizontal="center" vertical="center"/>
    </xf>
    <xf numFmtId="174" fontId="42" fillId="0" borderId="48" xfId="0" applyNumberFormat="1" applyFont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21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167" fontId="38" fillId="13" borderId="36" xfId="6" applyFont="1" applyFill="1" applyBorder="1" applyAlignment="1">
      <alignment vertical="center"/>
    </xf>
    <xf numFmtId="0" fontId="38" fillId="13" borderId="37" xfId="0" applyFont="1" applyFill="1" applyBorder="1" applyAlignment="1">
      <alignment vertical="center"/>
    </xf>
    <xf numFmtId="37" fontId="38" fillId="13" borderId="36" xfId="0" applyNumberFormat="1" applyFont="1" applyFill="1" applyBorder="1" applyAlignment="1">
      <alignment horizontal="center" vertical="center"/>
    </xf>
    <xf numFmtId="37" fontId="38" fillId="13" borderId="48" xfId="0" applyNumberFormat="1" applyFont="1" applyFill="1" applyBorder="1" applyAlignment="1">
      <alignment horizontal="center" vertical="center"/>
    </xf>
    <xf numFmtId="10" fontId="38" fillId="13" borderId="37" xfId="0" applyNumberFormat="1" applyFont="1" applyFill="1" applyBorder="1" applyAlignment="1">
      <alignment horizontal="center" vertical="center"/>
    </xf>
    <xf numFmtId="167" fontId="38" fillId="13" borderId="25" xfId="6" applyFont="1" applyFill="1" applyBorder="1" applyAlignment="1">
      <alignment vertical="center"/>
    </xf>
    <xf numFmtId="0" fontId="38" fillId="13" borderId="26" xfId="0" applyFont="1" applyFill="1" applyBorder="1" applyAlignment="1">
      <alignment vertical="center"/>
    </xf>
    <xf numFmtId="37" fontId="38" fillId="13" borderId="25" xfId="0" applyNumberFormat="1" applyFont="1" applyFill="1" applyBorder="1" applyAlignment="1">
      <alignment horizontal="center" vertical="center"/>
    </xf>
    <xf numFmtId="37" fontId="38" fillId="13" borderId="0" xfId="0" applyNumberFormat="1" applyFont="1" applyFill="1" applyAlignment="1">
      <alignment horizontal="center" vertical="center"/>
    </xf>
    <xf numFmtId="10" fontId="38" fillId="13" borderId="26" xfId="0" applyNumberFormat="1" applyFont="1" applyFill="1" applyBorder="1" applyAlignment="1">
      <alignment horizontal="center" vertical="center"/>
    </xf>
    <xf numFmtId="167" fontId="38" fillId="8" borderId="38" xfId="6" applyFont="1" applyFill="1" applyBorder="1" applyAlignment="1">
      <alignment vertical="center"/>
    </xf>
    <xf numFmtId="0" fontId="38" fillId="8" borderId="39" xfId="0" applyFont="1" applyFill="1" applyBorder="1" applyAlignment="1">
      <alignment vertical="center"/>
    </xf>
    <xf numFmtId="37" fontId="38" fillId="8" borderId="38" xfId="0" applyNumberFormat="1" applyFont="1" applyFill="1" applyBorder="1" applyAlignment="1">
      <alignment horizontal="center" vertical="center"/>
    </xf>
    <xf numFmtId="37" fontId="38" fillId="8" borderId="21" xfId="0" applyNumberFormat="1" applyFont="1" applyFill="1" applyBorder="1" applyAlignment="1">
      <alignment horizontal="center" vertical="center"/>
    </xf>
    <xf numFmtId="10" fontId="38" fillId="8" borderId="39" xfId="0" applyNumberFormat="1" applyFont="1" applyFill="1" applyBorder="1" applyAlignment="1">
      <alignment horizontal="center" vertical="center"/>
    </xf>
    <xf numFmtId="167" fontId="38" fillId="13" borderId="38" xfId="6" applyFont="1" applyFill="1" applyBorder="1" applyAlignment="1">
      <alignment vertical="center"/>
    </xf>
    <xf numFmtId="0" fontId="38" fillId="13" borderId="39" xfId="0" applyFont="1" applyFill="1" applyBorder="1" applyAlignment="1">
      <alignment vertical="center"/>
    </xf>
    <xf numFmtId="10" fontId="38" fillId="13" borderId="39" xfId="0" applyNumberFormat="1" applyFont="1" applyFill="1" applyBorder="1" applyAlignment="1">
      <alignment horizontal="center" vertical="center"/>
    </xf>
    <xf numFmtId="0" fontId="355" fillId="0" borderId="0" xfId="61889" applyFont="1" applyAlignment="1">
      <alignment horizontal="left" vertical="center"/>
    </xf>
    <xf numFmtId="0" fontId="19" fillId="6" borderId="48" xfId="61889" applyFont="1" applyFill="1" applyBorder="1" applyAlignment="1">
      <alignment horizontal="center" vertical="center"/>
    </xf>
    <xf numFmtId="0" fontId="20" fillId="0" borderId="27" xfId="61889" applyFont="1" applyBorder="1" applyAlignment="1">
      <alignment horizontal="center" vertical="center"/>
    </xf>
    <xf numFmtId="0" fontId="20" fillId="0" borderId="8" xfId="61889" applyFont="1" applyBorder="1" applyAlignment="1">
      <alignment horizontal="center" vertical="center"/>
    </xf>
    <xf numFmtId="3" fontId="356" fillId="0" borderId="63" xfId="61889" applyNumberFormat="1" applyFont="1" applyBorder="1" applyAlignment="1">
      <alignment horizontal="center" vertical="center"/>
    </xf>
    <xf numFmtId="3" fontId="356" fillId="0" borderId="104" xfId="61889" applyNumberFormat="1" applyFont="1" applyBorder="1" applyAlignment="1">
      <alignment horizontal="center" vertical="center"/>
    </xf>
    <xf numFmtId="3" fontId="356" fillId="0" borderId="51" xfId="61889" applyNumberFormat="1" applyFont="1" applyBorder="1" applyAlignment="1">
      <alignment horizontal="center" vertical="center"/>
    </xf>
    <xf numFmtId="3" fontId="356" fillId="0" borderId="52" xfId="61889" applyNumberFormat="1" applyFont="1" applyBorder="1" applyAlignment="1">
      <alignment horizontal="center" vertical="center"/>
    </xf>
    <xf numFmtId="0" fontId="20" fillId="0" borderId="1" xfId="61889" applyFont="1" applyBorder="1" applyAlignment="1">
      <alignment horizontal="center" vertical="center"/>
    </xf>
    <xf numFmtId="3" fontId="356" fillId="0" borderId="3" xfId="61889" applyNumberFormat="1" applyFont="1" applyBorder="1" applyAlignment="1">
      <alignment horizontal="center" vertical="center"/>
    </xf>
    <xf numFmtId="3" fontId="356" fillId="0" borderId="4" xfId="61889" applyNumberFormat="1" applyFont="1" applyBorder="1" applyAlignment="1">
      <alignment horizontal="center" vertical="center"/>
    </xf>
    <xf numFmtId="3" fontId="356" fillId="0" borderId="1" xfId="61889" applyNumberFormat="1" applyFont="1" applyBorder="1" applyAlignment="1">
      <alignment horizontal="center" vertical="center"/>
    </xf>
    <xf numFmtId="3" fontId="356" fillId="0" borderId="54" xfId="61889" applyNumberFormat="1" applyFont="1" applyBorder="1" applyAlignment="1">
      <alignment horizontal="center" vertical="center"/>
    </xf>
    <xf numFmtId="0" fontId="19" fillId="0" borderId="25" xfId="61889" applyFont="1" applyBorder="1" applyAlignment="1">
      <alignment horizontal="center" vertical="center"/>
    </xf>
    <xf numFmtId="0" fontId="19" fillId="0" borderId="9" xfId="61889" applyFont="1" applyBorder="1" applyAlignment="1">
      <alignment horizontal="center" vertical="center"/>
    </xf>
    <xf numFmtId="3" fontId="351" fillId="0" borderId="0" xfId="61889" applyNumberFormat="1" applyFont="1" applyAlignment="1">
      <alignment horizontal="center" vertical="center"/>
    </xf>
    <xf numFmtId="3" fontId="351" fillId="0" borderId="6" xfId="61889" applyNumberFormat="1" applyFont="1" applyBorder="1" applyAlignment="1">
      <alignment horizontal="center" vertical="center"/>
    </xf>
    <xf numFmtId="3" fontId="351" fillId="0" borderId="9" xfId="61889" applyNumberFormat="1" applyFont="1" applyBorder="1" applyAlignment="1">
      <alignment horizontal="center" vertical="center"/>
    </xf>
    <xf numFmtId="3" fontId="351" fillId="0" borderId="117" xfId="61889" applyNumberFormat="1" applyFont="1" applyBorder="1" applyAlignment="1">
      <alignment horizontal="center" vertical="center"/>
    </xf>
    <xf numFmtId="0" fontId="19" fillId="0" borderId="30" xfId="61889" applyFont="1" applyBorder="1" applyAlignment="1">
      <alignment horizontal="center" vertical="center"/>
    </xf>
    <xf numFmtId="0" fontId="20" fillId="0" borderId="119" xfId="61889" applyFont="1" applyBorder="1" applyAlignment="1">
      <alignment horizontal="center" vertical="center"/>
    </xf>
    <xf numFmtId="0" fontId="20" fillId="2" borderId="119" xfId="61889" applyFont="1" applyFill="1" applyBorder="1" applyAlignment="1">
      <alignment horizontal="center" vertical="center"/>
    </xf>
    <xf numFmtId="0" fontId="20" fillId="2" borderId="1" xfId="61889" applyFont="1" applyFill="1" applyBorder="1" applyAlignment="1">
      <alignment horizontal="center" vertical="center"/>
    </xf>
    <xf numFmtId="3" fontId="356" fillId="2" borderId="63" xfId="61889" applyNumberFormat="1" applyFont="1" applyFill="1" applyBorder="1" applyAlignment="1">
      <alignment horizontal="center" vertical="center"/>
    </xf>
    <xf numFmtId="3" fontId="356" fillId="2" borderId="104" xfId="61889" applyNumberFormat="1" applyFont="1" applyFill="1" applyBorder="1" applyAlignment="1">
      <alignment horizontal="center" vertical="center"/>
    </xf>
    <xf numFmtId="3" fontId="356" fillId="2" borderId="51" xfId="61889" applyNumberFormat="1" applyFont="1" applyFill="1" applyBorder="1" applyAlignment="1">
      <alignment horizontal="center" vertical="center"/>
    </xf>
    <xf numFmtId="3" fontId="356" fillId="2" borderId="52" xfId="61889" applyNumberFormat="1" applyFont="1" applyFill="1" applyBorder="1" applyAlignment="1">
      <alignment horizontal="center" vertical="center"/>
    </xf>
    <xf numFmtId="0" fontId="20" fillId="2" borderId="45" xfId="61889" applyFont="1" applyFill="1" applyBorder="1" applyAlignment="1">
      <alignment horizontal="center" vertical="center"/>
    </xf>
    <xf numFmtId="3" fontId="356" fillId="2" borderId="3" xfId="61889" applyNumberFormat="1" applyFont="1" applyFill="1" applyBorder="1" applyAlignment="1">
      <alignment horizontal="center" vertical="center"/>
    </xf>
    <xf numFmtId="3" fontId="356" fillId="2" borderId="4" xfId="61889" applyNumberFormat="1" applyFont="1" applyFill="1" applyBorder="1" applyAlignment="1">
      <alignment horizontal="center" vertical="center"/>
    </xf>
    <xf numFmtId="3" fontId="356" fillId="2" borderId="1" xfId="61889" applyNumberFormat="1" applyFont="1" applyFill="1" applyBorder="1" applyAlignment="1">
      <alignment horizontal="center" vertical="center"/>
    </xf>
    <xf numFmtId="3" fontId="356" fillId="2" borderId="54" xfId="61889" applyNumberFormat="1" applyFont="1" applyFill="1" applyBorder="1" applyAlignment="1">
      <alignment horizontal="center" vertical="center"/>
    </xf>
    <xf numFmtId="0" fontId="19" fillId="2" borderId="25" xfId="61889" applyFont="1" applyFill="1" applyBorder="1" applyAlignment="1">
      <alignment horizontal="center" vertical="center"/>
    </xf>
    <xf numFmtId="0" fontId="19" fillId="2" borderId="9" xfId="61889" applyFont="1" applyFill="1" applyBorder="1" applyAlignment="1">
      <alignment horizontal="center" vertical="center"/>
    </xf>
    <xf numFmtId="3" fontId="351" fillId="2" borderId="0" xfId="61889" applyNumberFormat="1" applyFont="1" applyFill="1" applyAlignment="1">
      <alignment horizontal="center" vertical="center"/>
    </xf>
    <xf numFmtId="3" fontId="351" fillId="2" borderId="6" xfId="61889" applyNumberFormat="1" applyFont="1" applyFill="1" applyBorder="1" applyAlignment="1">
      <alignment horizontal="center" vertical="center"/>
    </xf>
    <xf numFmtId="3" fontId="351" fillId="2" borderId="9" xfId="61889" applyNumberFormat="1" applyFont="1" applyFill="1" applyBorder="1" applyAlignment="1">
      <alignment horizontal="center" vertical="center"/>
    </xf>
    <xf numFmtId="3" fontId="351" fillId="2" borderId="117" xfId="61889" applyNumberFormat="1" applyFont="1" applyFill="1" applyBorder="1" applyAlignment="1">
      <alignment horizontal="center" vertical="center"/>
    </xf>
    <xf numFmtId="0" fontId="19" fillId="2" borderId="30" xfId="61889" applyFont="1" applyFill="1" applyBorder="1" applyAlignment="1">
      <alignment horizontal="center" vertical="center"/>
    </xf>
    <xf numFmtId="0" fontId="19" fillId="2" borderId="1" xfId="61889" applyFont="1" applyFill="1" applyBorder="1" applyAlignment="1">
      <alignment horizontal="center" vertical="center"/>
    </xf>
    <xf numFmtId="3" fontId="351" fillId="2" borderId="14" xfId="61889" applyNumberFormat="1" applyFont="1" applyFill="1" applyBorder="1" applyAlignment="1">
      <alignment horizontal="center" vertical="center"/>
    </xf>
    <xf numFmtId="3" fontId="351" fillId="2" borderId="5" xfId="61889" applyNumberFormat="1" applyFont="1" applyFill="1" applyBorder="1" applyAlignment="1">
      <alignment horizontal="center" vertical="center"/>
    </xf>
    <xf numFmtId="3" fontId="351" fillId="2" borderId="7" xfId="61889" applyNumberFormat="1" applyFont="1" applyFill="1" applyBorder="1" applyAlignment="1">
      <alignment horizontal="center" vertical="center"/>
    </xf>
    <xf numFmtId="3" fontId="351" fillId="2" borderId="114" xfId="61889" applyNumberFormat="1" applyFont="1" applyFill="1" applyBorder="1" applyAlignment="1">
      <alignment horizontal="center" vertical="center"/>
    </xf>
    <xf numFmtId="9" fontId="19" fillId="0" borderId="0" xfId="2" applyFont="1" applyAlignment="1">
      <alignment horizontal="center" vertical="center"/>
    </xf>
    <xf numFmtId="14" fontId="2" fillId="0" borderId="0" xfId="61889" applyNumberFormat="1" applyAlignment="1">
      <alignment horizontal="center" vertical="center"/>
    </xf>
    <xf numFmtId="1" fontId="19" fillId="0" borderId="0" xfId="61889" applyNumberFormat="1" applyFont="1" applyAlignment="1">
      <alignment horizontal="center" vertical="center"/>
    </xf>
    <xf numFmtId="186" fontId="128" fillId="3" borderId="52" xfId="58805" applyNumberFormat="1" applyFont="1" applyFill="1" applyBorder="1" applyAlignment="1">
      <alignment horizontal="center"/>
    </xf>
    <xf numFmtId="38" fontId="0" fillId="0" borderId="0" xfId="0" applyNumberFormat="1"/>
    <xf numFmtId="169" fontId="131" fillId="0" borderId="0" xfId="1" applyNumberFormat="1" applyFont="1"/>
    <xf numFmtId="169" fontId="0" fillId="0" borderId="0" xfId="1" applyNumberFormat="1" applyFont="1"/>
    <xf numFmtId="0" fontId="19" fillId="3" borderId="110" xfId="61889" applyFont="1" applyFill="1" applyBorder="1" applyAlignment="1">
      <alignment horizontal="center" vertical="center"/>
    </xf>
    <xf numFmtId="0" fontId="20" fillId="0" borderId="51" xfId="61889" applyFont="1" applyBorder="1" applyAlignment="1">
      <alignment horizontal="center" vertical="center"/>
    </xf>
    <xf numFmtId="3" fontId="344" fillId="0" borderId="51" xfId="61889" applyNumberFormat="1" applyFont="1" applyBorder="1" applyAlignment="1">
      <alignment horizontal="center" vertical="center"/>
    </xf>
    <xf numFmtId="3" fontId="344" fillId="0" borderId="1" xfId="61889" applyNumberFormat="1" applyFont="1" applyBorder="1" applyAlignment="1">
      <alignment horizontal="center" vertical="center"/>
    </xf>
    <xf numFmtId="3" fontId="341" fillId="0" borderId="9" xfId="61889" applyNumberFormat="1" applyFont="1" applyBorder="1" applyAlignment="1">
      <alignment horizontal="center" vertical="center"/>
    </xf>
    <xf numFmtId="0" fontId="19" fillId="0" borderId="5" xfId="61889" applyFont="1" applyBorder="1" applyAlignment="1">
      <alignment horizontal="center" vertical="center"/>
    </xf>
    <xf numFmtId="3" fontId="341" fillId="0" borderId="7" xfId="61889" applyNumberFormat="1" applyFont="1" applyBorder="1" applyAlignment="1">
      <alignment horizontal="center" vertical="center"/>
    </xf>
    <xf numFmtId="0" fontId="20" fillId="2" borderId="51" xfId="61889" applyFont="1" applyFill="1" applyBorder="1" applyAlignment="1">
      <alignment horizontal="center" vertical="center"/>
    </xf>
    <xf numFmtId="3" fontId="344" fillId="2" borderId="51" xfId="61889" applyNumberFormat="1" applyFont="1" applyFill="1" applyBorder="1" applyAlignment="1">
      <alignment horizontal="center" vertical="center"/>
    </xf>
    <xf numFmtId="3" fontId="344" fillId="2" borderId="1" xfId="61889" applyNumberFormat="1" applyFont="1" applyFill="1" applyBorder="1" applyAlignment="1">
      <alignment horizontal="center" vertical="center"/>
    </xf>
    <xf numFmtId="3" fontId="341" fillId="2" borderId="9" xfId="61889" applyNumberFormat="1" applyFont="1" applyFill="1" applyBorder="1" applyAlignment="1">
      <alignment horizontal="center" vertical="center"/>
    </xf>
    <xf numFmtId="0" fontId="19" fillId="2" borderId="5" xfId="61889" applyFont="1" applyFill="1" applyBorder="1" applyAlignment="1">
      <alignment horizontal="center" vertical="center"/>
    </xf>
    <xf numFmtId="3" fontId="341" fillId="2" borderId="7" xfId="61889" applyNumberFormat="1" applyFont="1" applyFill="1" applyBorder="1" applyAlignment="1">
      <alignment horizontal="center" vertical="center"/>
    </xf>
    <xf numFmtId="0" fontId="19" fillId="6" borderId="120" xfId="61889" applyFont="1" applyFill="1" applyBorder="1" applyAlignment="1">
      <alignment horizontal="center" vertical="center"/>
    </xf>
    <xf numFmtId="0" fontId="19" fillId="6" borderId="121" xfId="61889" applyFont="1" applyFill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175" fontId="33" fillId="0" borderId="21" xfId="6" applyNumberFormat="1" applyFont="1" applyFill="1" applyBorder="1" applyAlignment="1">
      <alignment horizontal="right" vertical="center"/>
    </xf>
    <xf numFmtId="0" fontId="33" fillId="0" borderId="21" xfId="0" applyFont="1" applyBorder="1" applyAlignment="1">
      <alignment horizontal="right" vertical="center"/>
    </xf>
    <xf numFmtId="37" fontId="33" fillId="0" borderId="21" xfId="0" applyNumberFormat="1" applyFont="1" applyBorder="1" applyAlignment="1">
      <alignment vertical="center"/>
    </xf>
    <xf numFmtId="10" fontId="33" fillId="0" borderId="21" xfId="2" applyNumberFormat="1" applyFont="1" applyFill="1" applyBorder="1" applyAlignment="1">
      <alignment horizontal="center" vertical="center"/>
    </xf>
    <xf numFmtId="3" fontId="33" fillId="0" borderId="21" xfId="6" applyNumberFormat="1" applyFont="1" applyFill="1" applyBorder="1" applyAlignment="1">
      <alignment horizontal="center" vertical="center"/>
    </xf>
    <xf numFmtId="9" fontId="33" fillId="0" borderId="0" xfId="2" applyFont="1" applyFill="1" applyAlignment="1">
      <alignment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175" fontId="33" fillId="0" borderId="0" xfId="0" applyNumberFormat="1" applyFont="1" applyAlignment="1">
      <alignment vertical="center"/>
    </xf>
    <xf numFmtId="0" fontId="35" fillId="0" borderId="0" xfId="0" applyFont="1" applyAlignment="1">
      <alignment horizontal="center" vertical="center"/>
    </xf>
    <xf numFmtId="175" fontId="35" fillId="0" borderId="0" xfId="6" applyNumberFormat="1" applyFont="1" applyFill="1" applyAlignment="1">
      <alignment vertical="center"/>
    </xf>
    <xf numFmtId="37" fontId="35" fillId="0" borderId="0" xfId="6" applyNumberFormat="1" applyFont="1" applyFill="1" applyAlignment="1">
      <alignment vertical="center"/>
    </xf>
    <xf numFmtId="10" fontId="35" fillId="0" borderId="0" xfId="2" applyNumberFormat="1" applyFont="1" applyFill="1" applyAlignment="1">
      <alignment horizontal="center" vertical="center"/>
    </xf>
    <xf numFmtId="3" fontId="35" fillId="0" borderId="0" xfId="6" applyNumberFormat="1" applyFont="1" applyFill="1" applyAlignment="1">
      <alignment horizontal="center" vertical="center"/>
    </xf>
    <xf numFmtId="9" fontId="35" fillId="0" borderId="0" xfId="2" applyFont="1" applyFill="1" applyAlignment="1">
      <alignment vertical="center"/>
    </xf>
    <xf numFmtId="0" fontId="33" fillId="0" borderId="22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10" fontId="35" fillId="0" borderId="0" xfId="2" applyNumberFormat="1" applyFont="1" applyFill="1" applyBorder="1" applyAlignment="1">
      <alignment horizontal="center" vertical="center"/>
    </xf>
    <xf numFmtId="37" fontId="35" fillId="0" borderId="0" xfId="0" applyNumberFormat="1" applyFont="1" applyAlignment="1">
      <alignment horizontal="center" vertical="center"/>
    </xf>
    <xf numFmtId="37" fontId="35" fillId="0" borderId="26" xfId="0" applyNumberFormat="1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3" fillId="0" borderId="27" xfId="0" applyFont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10" fontId="35" fillId="0" borderId="28" xfId="2" applyNumberFormat="1" applyFont="1" applyFill="1" applyBorder="1" applyAlignment="1">
      <alignment horizontal="center" vertical="center"/>
    </xf>
    <xf numFmtId="37" fontId="35" fillId="0" borderId="28" xfId="0" applyNumberFormat="1" applyFont="1" applyBorder="1" applyAlignment="1">
      <alignment horizontal="center" vertical="center"/>
    </xf>
    <xf numFmtId="37" fontId="35" fillId="0" borderId="29" xfId="0" applyNumberFormat="1" applyFont="1" applyBorder="1" applyAlignment="1">
      <alignment horizontal="center" vertical="center"/>
    </xf>
    <xf numFmtId="10" fontId="33" fillId="0" borderId="0" xfId="2" applyNumberFormat="1" applyFont="1" applyFill="1" applyBorder="1" applyAlignment="1">
      <alignment horizontal="center" vertical="center"/>
    </xf>
    <xf numFmtId="37" fontId="33" fillId="0" borderId="0" xfId="0" applyNumberFormat="1" applyFont="1" applyAlignment="1">
      <alignment horizontal="center" vertical="center"/>
    </xf>
    <xf numFmtId="37" fontId="33" fillId="0" borderId="26" xfId="0" applyNumberFormat="1" applyFont="1" applyBorder="1" applyAlignment="1">
      <alignment horizontal="center" vertical="center"/>
    </xf>
    <xf numFmtId="0" fontId="33" fillId="0" borderId="30" xfId="0" applyFont="1" applyBorder="1" applyAlignment="1">
      <alignment horizontal="center" vertical="center"/>
    </xf>
    <xf numFmtId="0" fontId="35" fillId="0" borderId="14" xfId="0" applyFont="1" applyBorder="1" applyAlignment="1">
      <alignment horizontal="center" vertical="center"/>
    </xf>
    <xf numFmtId="10" fontId="35" fillId="0" borderId="14" xfId="2" applyNumberFormat="1" applyFont="1" applyFill="1" applyBorder="1" applyAlignment="1">
      <alignment horizontal="center" vertical="center"/>
    </xf>
    <xf numFmtId="37" fontId="35" fillId="0" borderId="14" xfId="0" applyNumberFormat="1" applyFont="1" applyBorder="1" applyAlignment="1">
      <alignment horizontal="center" vertical="center"/>
    </xf>
    <xf numFmtId="37" fontId="35" fillId="0" borderId="31" xfId="0" applyNumberFormat="1" applyFont="1" applyBorder="1" applyAlignment="1">
      <alignment horizontal="center" vertical="center"/>
    </xf>
    <xf numFmtId="10" fontId="33" fillId="0" borderId="28" xfId="2" applyNumberFormat="1" applyFont="1" applyFill="1" applyBorder="1" applyAlignment="1">
      <alignment horizontal="center" vertical="center"/>
    </xf>
    <xf numFmtId="37" fontId="33" fillId="0" borderId="29" xfId="0" applyNumberFormat="1" applyFont="1" applyBorder="1" applyAlignment="1">
      <alignment horizontal="center" vertical="center"/>
    </xf>
    <xf numFmtId="10" fontId="33" fillId="0" borderId="14" xfId="2" applyNumberFormat="1" applyFont="1" applyFill="1" applyBorder="1" applyAlignment="1">
      <alignment horizontal="center" vertical="center"/>
    </xf>
    <xf numFmtId="37" fontId="33" fillId="0" borderId="31" xfId="0" applyNumberFormat="1" applyFont="1" applyBorder="1" applyAlignment="1">
      <alignment horizontal="center" vertical="center"/>
    </xf>
    <xf numFmtId="37" fontId="35" fillId="0" borderId="0" xfId="0" applyNumberFormat="1" applyFont="1" applyAlignment="1">
      <alignment vertical="center"/>
    </xf>
    <xf numFmtId="0" fontId="33" fillId="0" borderId="32" xfId="0" applyFont="1" applyBorder="1" applyAlignment="1">
      <alignment horizontal="left" vertical="center"/>
    </xf>
    <xf numFmtId="0" fontId="33" fillId="0" borderId="33" xfId="0" applyFont="1" applyBorder="1" applyAlignment="1">
      <alignment horizontal="center" vertical="center"/>
    </xf>
    <xf numFmtId="10" fontId="33" fillId="0" borderId="33" xfId="2" applyNumberFormat="1" applyFont="1" applyFill="1" applyBorder="1" applyAlignment="1">
      <alignment horizontal="center" vertical="center"/>
    </xf>
    <xf numFmtId="37" fontId="33" fillId="0" borderId="33" xfId="0" applyNumberFormat="1" applyFont="1" applyBorder="1" applyAlignment="1">
      <alignment horizontal="center" vertical="center"/>
    </xf>
    <xf numFmtId="37" fontId="33" fillId="0" borderId="34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1" fontId="35" fillId="0" borderId="0" xfId="0" applyNumberFormat="1" applyFont="1"/>
    <xf numFmtId="175" fontId="33" fillId="0" borderId="35" xfId="6" applyNumberFormat="1" applyFont="1" applyFill="1" applyBorder="1" applyAlignment="1">
      <alignment vertical="center"/>
    </xf>
    <xf numFmtId="10" fontId="33" fillId="0" borderId="35" xfId="2" applyNumberFormat="1" applyFont="1" applyFill="1" applyBorder="1" applyAlignment="1">
      <alignment horizontal="center" vertical="center"/>
    </xf>
    <xf numFmtId="37" fontId="33" fillId="0" borderId="35" xfId="6" applyNumberFormat="1" applyFont="1" applyFill="1" applyBorder="1" applyAlignment="1">
      <alignment horizontal="center" vertical="center"/>
    </xf>
    <xf numFmtId="169" fontId="35" fillId="0" borderId="16" xfId="0" applyNumberFormat="1" applyFont="1" applyBorder="1" applyAlignment="1">
      <alignment horizontal="center" vertical="center"/>
    </xf>
    <xf numFmtId="169" fontId="346" fillId="0" borderId="16" xfId="0" applyNumberFormat="1" applyFont="1" applyBorder="1" applyAlignment="1">
      <alignment horizontal="center" vertical="center"/>
    </xf>
    <xf numFmtId="169" fontId="35" fillId="0" borderId="12" xfId="0" applyNumberFormat="1" applyFont="1" applyBorder="1" applyAlignment="1">
      <alignment horizontal="center" vertical="center"/>
    </xf>
    <xf numFmtId="169" fontId="35" fillId="0" borderId="12" xfId="1" applyNumberFormat="1" applyFont="1" applyBorder="1" applyAlignment="1">
      <alignment horizontal="center" vertical="center"/>
    </xf>
    <xf numFmtId="169" fontId="346" fillId="0" borderId="12" xfId="0" applyNumberFormat="1" applyFont="1" applyBorder="1" applyAlignment="1">
      <alignment horizontal="center" vertical="center"/>
    </xf>
    <xf numFmtId="169" fontId="35" fillId="0" borderId="13" xfId="0" applyNumberFormat="1" applyFont="1" applyBorder="1" applyAlignment="1">
      <alignment horizontal="center" vertical="center"/>
    </xf>
    <xf numFmtId="169" fontId="346" fillId="0" borderId="13" xfId="0" applyNumberFormat="1" applyFont="1" applyBorder="1" applyAlignment="1">
      <alignment horizontal="center" vertical="center"/>
    </xf>
    <xf numFmtId="169" fontId="33" fillId="0" borderId="13" xfId="0" applyNumberFormat="1" applyFont="1" applyBorder="1" applyAlignment="1">
      <alignment horizontal="center" vertical="center"/>
    </xf>
    <xf numFmtId="3" fontId="2" fillId="0" borderId="0" xfId="61889" applyNumberFormat="1" applyAlignment="1">
      <alignment horizontal="center" vertical="center"/>
    </xf>
    <xf numFmtId="169" fontId="42" fillId="0" borderId="25" xfId="1" applyNumberFormat="1" applyFont="1" applyBorder="1" applyAlignment="1">
      <alignment horizontal="center" vertical="center"/>
    </xf>
    <xf numFmtId="169" fontId="42" fillId="0" borderId="0" xfId="1" applyNumberFormat="1" applyFont="1" applyAlignment="1">
      <alignment horizontal="center" vertical="center"/>
    </xf>
    <xf numFmtId="169" fontId="38" fillId="0" borderId="27" xfId="1" applyNumberFormat="1" applyFont="1" applyBorder="1" applyAlignment="1">
      <alignment horizontal="center" vertical="center"/>
    </xf>
    <xf numFmtId="169" fontId="38" fillId="0" borderId="28" xfId="1" applyNumberFormat="1" applyFont="1" applyBorder="1" applyAlignment="1">
      <alignment horizontal="center" vertical="center"/>
    </xf>
    <xf numFmtId="169" fontId="38" fillId="13" borderId="48" xfId="1" applyNumberFormat="1" applyFont="1" applyFill="1" applyBorder="1" applyAlignment="1">
      <alignment horizontal="center" vertical="center"/>
    </xf>
    <xf numFmtId="169" fontId="38" fillId="13" borderId="0" xfId="1" applyNumberFormat="1" applyFont="1" applyFill="1" applyAlignment="1">
      <alignment horizontal="center" vertical="center"/>
    </xf>
    <xf numFmtId="169" fontId="38" fillId="8" borderId="21" xfId="1" applyNumberFormat="1" applyFont="1" applyFill="1" applyBorder="1" applyAlignment="1">
      <alignment horizontal="center" vertical="center"/>
    </xf>
    <xf numFmtId="219" fontId="38" fillId="13" borderId="36" xfId="0" applyNumberFormat="1" applyFont="1" applyFill="1" applyBorder="1" applyAlignment="1">
      <alignment horizontal="center" vertical="center"/>
    </xf>
    <xf numFmtId="219" fontId="38" fillId="13" borderId="48" xfId="0" applyNumberFormat="1" applyFont="1" applyFill="1" applyBorder="1" applyAlignment="1">
      <alignment horizontal="center" vertical="center"/>
    </xf>
    <xf numFmtId="219" fontId="38" fillId="13" borderId="25" xfId="0" applyNumberFormat="1" applyFont="1" applyFill="1" applyBorder="1" applyAlignment="1">
      <alignment horizontal="center" vertical="center"/>
    </xf>
    <xf numFmtId="219" fontId="38" fillId="13" borderId="0" xfId="0" applyNumberFormat="1" applyFont="1" applyFill="1" applyAlignment="1">
      <alignment horizontal="center" vertical="center"/>
    </xf>
    <xf numFmtId="219" fontId="38" fillId="13" borderId="38" xfId="0" applyNumberFormat="1" applyFont="1" applyFill="1" applyBorder="1" applyAlignment="1">
      <alignment horizontal="center" vertical="center"/>
    </xf>
    <xf numFmtId="219" fontId="38" fillId="13" borderId="21" xfId="0" applyNumberFormat="1" applyFont="1" applyFill="1" applyBorder="1" applyAlignment="1">
      <alignment horizontal="center" vertical="center"/>
    </xf>
    <xf numFmtId="3" fontId="356" fillId="0" borderId="124" xfId="61889" applyNumberFormat="1" applyFont="1" applyBorder="1" applyAlignment="1">
      <alignment horizontal="center" vertical="center"/>
    </xf>
    <xf numFmtId="3" fontId="356" fillId="0" borderId="2" xfId="61889" applyNumberFormat="1" applyFont="1" applyBorder="1" applyAlignment="1">
      <alignment horizontal="center" vertical="center"/>
    </xf>
    <xf numFmtId="3" fontId="351" fillId="0" borderId="18" xfId="61889" applyNumberFormat="1" applyFont="1" applyBorder="1" applyAlignment="1">
      <alignment horizontal="center" vertical="center"/>
    </xf>
    <xf numFmtId="3" fontId="351" fillId="0" borderId="19" xfId="61889" applyNumberFormat="1" applyFont="1" applyBorder="1" applyAlignment="1">
      <alignment horizontal="center" vertical="center"/>
    </xf>
    <xf numFmtId="3" fontId="341" fillId="3" borderId="125" xfId="61889" applyNumberFormat="1" applyFont="1" applyFill="1" applyBorder="1" applyAlignment="1">
      <alignment horizontal="center" vertical="center"/>
    </xf>
    <xf numFmtId="3" fontId="356" fillId="2" borderId="124" xfId="61889" applyNumberFormat="1" applyFont="1" applyFill="1" applyBorder="1" applyAlignment="1">
      <alignment horizontal="center" vertical="center"/>
    </xf>
    <xf numFmtId="3" fontId="356" fillId="2" borderId="2" xfId="61889" applyNumberFormat="1" applyFont="1" applyFill="1" applyBorder="1" applyAlignment="1">
      <alignment horizontal="center" vertical="center"/>
    </xf>
    <xf numFmtId="3" fontId="351" fillId="2" borderId="18" xfId="61889" applyNumberFormat="1" applyFont="1" applyFill="1" applyBorder="1" applyAlignment="1">
      <alignment horizontal="center" vertical="center"/>
    </xf>
    <xf numFmtId="3" fontId="351" fillId="2" borderId="19" xfId="61889" applyNumberFormat="1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172" fontId="0" fillId="0" borderId="13" xfId="4" applyNumberFormat="1" applyFont="1" applyFill="1" applyBorder="1" applyAlignment="1">
      <alignment horizontal="center" vertical="center"/>
    </xf>
    <xf numFmtId="223" fontId="24" fillId="0" borderId="0" xfId="3" applyNumberFormat="1" applyAlignment="1">
      <alignment horizontal="center" vertical="center"/>
    </xf>
    <xf numFmtId="223" fontId="1" fillId="0" borderId="0" xfId="3" applyNumberFormat="1" applyFont="1" applyAlignment="1">
      <alignment horizontal="center" vertical="center"/>
    </xf>
    <xf numFmtId="3" fontId="337" fillId="0" borderId="12" xfId="4" applyNumberFormat="1" applyFont="1" applyBorder="1" applyAlignment="1">
      <alignment horizontal="center" vertical="center"/>
    </xf>
    <xf numFmtId="172" fontId="337" fillId="0" borderId="12" xfId="3" applyNumberFormat="1" applyFont="1" applyBorder="1" applyAlignment="1">
      <alignment horizontal="center" vertical="center"/>
    </xf>
    <xf numFmtId="172" fontId="337" fillId="0" borderId="105" xfId="4" applyNumberFormat="1" applyFont="1" applyBorder="1" applyAlignment="1">
      <alignment horizontal="center" vertical="center"/>
    </xf>
    <xf numFmtId="3" fontId="46" fillId="0" borderId="12" xfId="4" applyNumberFormat="1" applyFont="1" applyBorder="1" applyAlignment="1">
      <alignment horizontal="center" vertical="center"/>
    </xf>
    <xf numFmtId="4" fontId="46" fillId="0" borderId="12" xfId="4" applyNumberFormat="1" applyFont="1" applyBorder="1" applyAlignment="1">
      <alignment horizontal="center" vertical="center"/>
    </xf>
    <xf numFmtId="172" fontId="46" fillId="0" borderId="8" xfId="4" applyNumberFormat="1" applyFont="1" applyBorder="1" applyAlignment="1">
      <alignment horizontal="center" vertical="center"/>
    </xf>
    <xf numFmtId="3" fontId="46" fillId="0" borderId="8" xfId="4" applyNumberFormat="1" applyFont="1" applyBorder="1" applyAlignment="1">
      <alignment horizontal="center" vertical="center"/>
    </xf>
    <xf numFmtId="170" fontId="23" fillId="0" borderId="0" xfId="1" applyNumberFormat="1" applyFont="1" applyFill="1" applyBorder="1"/>
    <xf numFmtId="170" fontId="33" fillId="0" borderId="0" xfId="1" applyNumberFormat="1" applyFont="1" applyFill="1" applyBorder="1"/>
    <xf numFmtId="170" fontId="33" fillId="0" borderId="0" xfId="1" applyNumberFormat="1" applyFont="1" applyFill="1" applyBorder="1" applyAlignment="1">
      <alignment horizontal="right"/>
    </xf>
    <xf numFmtId="172" fontId="359" fillId="0" borderId="12" xfId="3" applyNumberFormat="1" applyFont="1" applyBorder="1" applyAlignment="1">
      <alignment horizontal="center" vertical="center"/>
    </xf>
    <xf numFmtId="14" fontId="360" fillId="13" borderId="9" xfId="0" applyNumberFormat="1" applyFont="1" applyFill="1" applyBorder="1" applyAlignment="1">
      <alignment horizontal="center" vertical="center"/>
    </xf>
    <xf numFmtId="14" fontId="360" fillId="13" borderId="0" xfId="0" applyNumberFormat="1" applyFont="1" applyFill="1" applyAlignment="1">
      <alignment horizontal="center" vertical="center"/>
    </xf>
    <xf numFmtId="10" fontId="360" fillId="13" borderId="9" xfId="2" applyNumberFormat="1" applyFont="1" applyFill="1" applyBorder="1" applyAlignment="1">
      <alignment horizontal="center"/>
    </xf>
    <xf numFmtId="169" fontId="360" fillId="13" borderId="9" xfId="1" applyNumberFormat="1" applyFont="1" applyFill="1" applyBorder="1"/>
    <xf numFmtId="170" fontId="360" fillId="13" borderId="9" xfId="1" applyNumberFormat="1" applyFont="1" applyFill="1" applyBorder="1"/>
    <xf numFmtId="3" fontId="358" fillId="0" borderId="13" xfId="4" applyNumberFormat="1" applyFont="1" applyBorder="1" applyAlignment="1">
      <alignment horizontal="center" vertical="center"/>
    </xf>
    <xf numFmtId="40" fontId="35" fillId="0" borderId="0" xfId="14" applyNumberFormat="1" applyFont="1" applyAlignment="1" applyProtection="1">
      <alignment horizontal="center" vertical="center"/>
      <protection locked="0"/>
    </xf>
    <xf numFmtId="170" fontId="18" fillId="6" borderId="1" xfId="1" applyNumberFormat="1" applyFont="1" applyFill="1" applyBorder="1" applyAlignment="1">
      <alignment horizontal="left"/>
    </xf>
    <xf numFmtId="4" fontId="26" fillId="0" borderId="105" xfId="3" applyNumberFormat="1" applyFont="1" applyBorder="1" applyAlignment="1">
      <alignment horizontal="center" vertical="center"/>
    </xf>
    <xf numFmtId="172" fontId="363" fillId="0" borderId="12" xfId="3" applyNumberFormat="1" applyFont="1" applyBorder="1" applyAlignment="1">
      <alignment horizontal="center" vertical="center"/>
    </xf>
    <xf numFmtId="169" fontId="128" fillId="0" borderId="0" xfId="61893" applyNumberFormat="1" applyFont="1" applyAlignment="1">
      <alignment horizontal="right" indent="1"/>
    </xf>
    <xf numFmtId="169" fontId="129" fillId="0" borderId="0" xfId="61893" applyNumberFormat="1" applyFont="1" applyAlignment="1">
      <alignment horizontal="right" indent="1"/>
    </xf>
    <xf numFmtId="169" fontId="129" fillId="0" borderId="0" xfId="61893" applyNumberFormat="1" applyFont="1"/>
    <xf numFmtId="169" fontId="131" fillId="0" borderId="0" xfId="61893" applyNumberFormat="1" applyFont="1"/>
    <xf numFmtId="169" fontId="129" fillId="0" borderId="0" xfId="61893" applyNumberFormat="1" applyFont="1" applyFill="1" applyBorder="1"/>
    <xf numFmtId="172" fontId="365" fillId="0" borderId="8" xfId="4" applyNumberFormat="1" applyFont="1" applyBorder="1" applyAlignment="1">
      <alignment horizontal="center" vertical="center"/>
    </xf>
    <xf numFmtId="172" fontId="364" fillId="0" borderId="13" xfId="4" applyNumberFormat="1" applyFont="1" applyBorder="1" applyAlignment="1">
      <alignment horizontal="center" vertical="center"/>
    </xf>
    <xf numFmtId="4" fontId="364" fillId="0" borderId="105" xfId="4" applyNumberFormat="1" applyFont="1" applyBorder="1" applyAlignment="1">
      <alignment horizontal="center" vertical="center"/>
    </xf>
    <xf numFmtId="184" fontId="16" fillId="0" borderId="0" xfId="0" applyNumberFormat="1" applyFont="1" applyAlignment="1">
      <alignment wrapText="1"/>
    </xf>
    <xf numFmtId="43" fontId="35" fillId="0" borderId="0" xfId="1" applyFont="1" applyFill="1" applyAlignment="1">
      <alignment horizontal="center" vertical="center"/>
    </xf>
    <xf numFmtId="43" fontId="35" fillId="0" borderId="0" xfId="1" applyFont="1" applyFill="1" applyAlignment="1">
      <alignment vertical="center"/>
    </xf>
    <xf numFmtId="222" fontId="35" fillId="0" borderId="0" xfId="1" applyNumberFormat="1" applyFont="1" applyFill="1" applyAlignment="1">
      <alignment vertical="center"/>
    </xf>
    <xf numFmtId="43" fontId="35" fillId="0" borderId="35" xfId="0" applyNumberFormat="1" applyFont="1" applyBorder="1" applyAlignment="1">
      <alignment vertical="center"/>
    </xf>
    <xf numFmtId="43" fontId="35" fillId="0" borderId="0" xfId="0" applyNumberFormat="1" applyFont="1" applyAlignment="1">
      <alignment vertical="center"/>
    </xf>
    <xf numFmtId="167" fontId="35" fillId="0" borderId="0" xfId="0" applyNumberFormat="1" applyFont="1" applyAlignment="1">
      <alignment vertical="center"/>
    </xf>
    <xf numFmtId="3" fontId="356" fillId="0" borderId="58" xfId="61889" applyNumberFormat="1" applyFont="1" applyBorder="1" applyAlignment="1">
      <alignment horizontal="center" vertical="center"/>
    </xf>
    <xf numFmtId="186" fontId="31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centerContinuous"/>
    </xf>
    <xf numFmtId="0" fontId="129" fillId="0" borderId="0" xfId="61894" applyFont="1"/>
    <xf numFmtId="186" fontId="128" fillId="0" borderId="0" xfId="61894" applyNumberFormat="1" applyFont="1" applyAlignment="1">
      <alignment horizontal="right"/>
    </xf>
    <xf numFmtId="186" fontId="128" fillId="5" borderId="63" xfId="61894" applyNumberFormat="1" applyFont="1" applyFill="1" applyBorder="1"/>
    <xf numFmtId="186" fontId="128" fillId="5" borderId="63" xfId="61894" applyNumberFormat="1" applyFont="1" applyFill="1" applyBorder="1" applyAlignment="1">
      <alignment horizontal="left"/>
    </xf>
    <xf numFmtId="186" fontId="128" fillId="5" borderId="106" xfId="61894" applyNumberFormat="1" applyFont="1" applyFill="1" applyBorder="1"/>
    <xf numFmtId="186" fontId="128" fillId="5" borderId="56" xfId="61894" applyNumberFormat="1" applyFont="1" applyFill="1" applyBorder="1" applyAlignment="1">
      <alignment horizontal="center"/>
    </xf>
    <xf numFmtId="186" fontId="128" fillId="5" borderId="39" xfId="61894" applyNumberFormat="1" applyFont="1" applyFill="1" applyBorder="1" applyAlignment="1">
      <alignment horizontal="center"/>
    </xf>
    <xf numFmtId="186" fontId="129" fillId="0" borderId="42" xfId="61894" applyNumberFormat="1" applyFont="1" applyBorder="1" applyAlignment="1">
      <alignment horizontal="left" indent="1"/>
    </xf>
    <xf numFmtId="38" fontId="129" fillId="0" borderId="6" xfId="61892" applyNumberFormat="1" applyFont="1" applyFill="1" applyBorder="1" applyAlignment="1" applyProtection="1"/>
    <xf numFmtId="38" fontId="129" fillId="0" borderId="9" xfId="61892" applyNumberFormat="1" applyFont="1" applyFill="1" applyBorder="1" applyAlignment="1" applyProtection="1"/>
    <xf numFmtId="38" fontId="129" fillId="0" borderId="26" xfId="61892" applyNumberFormat="1" applyFont="1" applyFill="1" applyBorder="1" applyAlignment="1" applyProtection="1"/>
    <xf numFmtId="38" fontId="129" fillId="0" borderId="6" xfId="61892" applyNumberFormat="1" applyFont="1" applyBorder="1" applyAlignment="1" applyProtection="1"/>
    <xf numFmtId="38" fontId="129" fillId="0" borderId="9" xfId="61892" applyNumberFormat="1" applyFont="1" applyBorder="1" applyAlignment="1" applyProtection="1"/>
    <xf numFmtId="38" fontId="129" fillId="0" borderId="26" xfId="61892" applyNumberFormat="1" applyFont="1" applyBorder="1" applyAlignment="1" applyProtection="1"/>
    <xf numFmtId="38" fontId="129" fillId="0" borderId="67" xfId="61892" applyNumberFormat="1" applyFont="1" applyBorder="1" applyAlignment="1" applyProtection="1"/>
    <xf numFmtId="38" fontId="129" fillId="0" borderId="68" xfId="61892" applyNumberFormat="1" applyFont="1" applyBorder="1" applyAlignment="1" applyProtection="1"/>
    <xf numFmtId="38" fontId="129" fillId="0" borderId="11" xfId="61892" applyNumberFormat="1" applyFont="1" applyBorder="1" applyAlignment="1" applyProtection="1"/>
    <xf numFmtId="38" fontId="129" fillId="0" borderId="107" xfId="61892" applyNumberFormat="1" applyFont="1" applyBorder="1" applyAlignment="1" applyProtection="1"/>
    <xf numFmtId="186" fontId="128" fillId="0" borderId="42" xfId="61894" applyNumberFormat="1" applyFont="1" applyBorder="1" applyAlignment="1">
      <alignment horizontal="left"/>
    </xf>
    <xf numFmtId="38" fontId="128" fillId="0" borderId="6" xfId="61892" applyNumberFormat="1" applyFont="1" applyBorder="1" applyAlignment="1" applyProtection="1"/>
    <xf numFmtId="38" fontId="128" fillId="0" borderId="9" xfId="61892" applyNumberFormat="1" applyFont="1" applyBorder="1" applyAlignment="1" applyProtection="1"/>
    <xf numFmtId="38" fontId="128" fillId="0" borderId="26" xfId="61892" applyNumberFormat="1" applyFont="1" applyBorder="1" applyAlignment="1" applyProtection="1"/>
    <xf numFmtId="38" fontId="129" fillId="0" borderId="0" xfId="61894" applyNumberFormat="1" applyFont="1"/>
    <xf numFmtId="38" fontId="129" fillId="0" borderId="11" xfId="61892" applyNumberFormat="1" applyFont="1" applyFill="1" applyBorder="1" applyAlignment="1" applyProtection="1"/>
    <xf numFmtId="38" fontId="129" fillId="0" borderId="67" xfId="61892" applyNumberFormat="1" applyFont="1" applyFill="1" applyBorder="1" applyAlignment="1" applyProtection="1"/>
    <xf numFmtId="38" fontId="129" fillId="0" borderId="68" xfId="61892" applyNumberFormat="1" applyFont="1" applyFill="1" applyBorder="1" applyAlignment="1" applyProtection="1"/>
    <xf numFmtId="38" fontId="129" fillId="0" borderId="107" xfId="61892" applyNumberFormat="1" applyFont="1" applyFill="1" applyBorder="1" applyAlignment="1" applyProtection="1"/>
    <xf numFmtId="186" fontId="128" fillId="0" borderId="42" xfId="61894" applyNumberFormat="1" applyFont="1" applyBorder="1"/>
    <xf numFmtId="38" fontId="128" fillId="0" borderId="67" xfId="61892" applyNumberFormat="1" applyFont="1" applyFill="1" applyBorder="1" applyAlignment="1" applyProtection="1"/>
    <xf numFmtId="38" fontId="128" fillId="0" borderId="9" xfId="61892" applyNumberFormat="1" applyFont="1" applyFill="1" applyBorder="1" applyAlignment="1" applyProtection="1"/>
    <xf numFmtId="38" fontId="128" fillId="0" borderId="26" xfId="61892" applyNumberFormat="1" applyFont="1" applyFill="1" applyBorder="1" applyAlignment="1" applyProtection="1"/>
    <xf numFmtId="186" fontId="128" fillId="0" borderId="41" xfId="61894" applyNumberFormat="1" applyFont="1" applyBorder="1"/>
    <xf numFmtId="38" fontId="128" fillId="0" borderId="69" xfId="61892" applyNumberFormat="1" applyFont="1" applyFill="1" applyBorder="1" applyAlignment="1" applyProtection="1"/>
    <xf numFmtId="38" fontId="128" fillId="0" borderId="8" xfId="61892" applyNumberFormat="1" applyFont="1" applyFill="1" applyBorder="1" applyAlignment="1" applyProtection="1"/>
    <xf numFmtId="38" fontId="128" fillId="0" borderId="29" xfId="61892" applyNumberFormat="1" applyFont="1" applyFill="1" applyBorder="1" applyAlignment="1" applyProtection="1"/>
    <xf numFmtId="186" fontId="130" fillId="0" borderId="49" xfId="61894" applyNumberFormat="1" applyFont="1" applyBorder="1" applyAlignment="1">
      <alignment horizontal="left"/>
    </xf>
    <xf numFmtId="38" fontId="130" fillId="0" borderId="70" xfId="61892" applyNumberFormat="1" applyFont="1" applyFill="1" applyBorder="1" applyAlignment="1" applyProtection="1"/>
    <xf numFmtId="38" fontId="130" fillId="0" borderId="71" xfId="61892" applyNumberFormat="1" applyFont="1" applyFill="1" applyBorder="1" applyAlignment="1" applyProtection="1"/>
    <xf numFmtId="38" fontId="130" fillId="0" borderId="39" xfId="61892" applyNumberFormat="1" applyFont="1" applyFill="1" applyBorder="1" applyAlignment="1" applyProtection="1"/>
    <xf numFmtId="0" fontId="129" fillId="0" borderId="0" xfId="61894" applyFont="1" applyAlignment="1">
      <alignment horizontal="left" indent="1"/>
    </xf>
    <xf numFmtId="0" fontId="129" fillId="4" borderId="0" xfId="61894" applyFont="1" applyFill="1" applyAlignment="1">
      <alignment horizontal="left" indent="1"/>
    </xf>
    <xf numFmtId="38" fontId="129" fillId="4" borderId="0" xfId="61894" applyNumberFormat="1" applyFont="1" applyFill="1"/>
    <xf numFmtId="0" fontId="129" fillId="14" borderId="0" xfId="61894" applyFont="1" applyFill="1" applyAlignment="1">
      <alignment horizontal="left" indent="1"/>
    </xf>
    <xf numFmtId="38" fontId="129" fillId="14" borderId="0" xfId="61894" applyNumberFormat="1" applyFont="1" applyFill="1"/>
    <xf numFmtId="0" fontId="129" fillId="9" borderId="0" xfId="61894" applyFont="1" applyFill="1" applyAlignment="1">
      <alignment horizontal="left" indent="1"/>
    </xf>
    <xf numFmtId="38" fontId="129" fillId="9" borderId="0" xfId="61894" applyNumberFormat="1" applyFont="1" applyFill="1"/>
    <xf numFmtId="0" fontId="129" fillId="20" borderId="0" xfId="61894" applyFont="1" applyFill="1" applyAlignment="1">
      <alignment horizontal="right" indent="1"/>
    </xf>
    <xf numFmtId="38" fontId="129" fillId="20" borderId="0" xfId="61894" applyNumberFormat="1" applyFont="1" applyFill="1"/>
    <xf numFmtId="0" fontId="32" fillId="0" borderId="0" xfId="59965"/>
    <xf numFmtId="224" fontId="32" fillId="0" borderId="0" xfId="59965" applyNumberFormat="1"/>
    <xf numFmtId="38" fontId="32" fillId="0" borderId="0" xfId="59965" applyNumberFormat="1"/>
    <xf numFmtId="224" fontId="32" fillId="0" borderId="15" xfId="59965" applyNumberFormat="1" applyBorder="1"/>
    <xf numFmtId="43" fontId="129" fillId="0" borderId="0" xfId="1" applyFont="1"/>
    <xf numFmtId="14" fontId="16" fillId="96" borderId="8" xfId="0" applyNumberFormat="1" applyFont="1" applyFill="1" applyBorder="1" applyAlignment="1">
      <alignment horizontal="center" vertical="center"/>
    </xf>
    <xf numFmtId="0" fontId="19" fillId="6" borderId="37" xfId="61889" applyFont="1" applyFill="1" applyBorder="1" applyAlignment="1">
      <alignment horizontal="center" vertical="center"/>
    </xf>
    <xf numFmtId="0" fontId="19" fillId="6" borderId="39" xfId="61889" applyFont="1" applyFill="1" applyBorder="1" applyAlignment="1">
      <alignment horizontal="center" vertical="center"/>
    </xf>
    <xf numFmtId="3" fontId="356" fillId="0" borderId="106" xfId="61889" applyNumberFormat="1" applyFont="1" applyBorder="1" applyAlignment="1">
      <alignment horizontal="center" vertical="center"/>
    </xf>
    <xf numFmtId="3" fontId="356" fillId="0" borderId="126" xfId="61889" applyNumberFormat="1" applyFont="1" applyBorder="1" applyAlignment="1">
      <alignment horizontal="center" vertical="center"/>
    </xf>
    <xf numFmtId="3" fontId="351" fillId="0" borderId="26" xfId="61889" applyNumberFormat="1" applyFont="1" applyBorder="1" applyAlignment="1">
      <alignment horizontal="center" vertical="center"/>
    </xf>
    <xf numFmtId="3" fontId="351" fillId="0" borderId="31" xfId="61889" applyNumberFormat="1" applyFont="1" applyBorder="1" applyAlignment="1">
      <alignment horizontal="center" vertical="center"/>
    </xf>
    <xf numFmtId="3" fontId="341" fillId="3" borderId="108" xfId="61889" applyNumberFormat="1" applyFont="1" applyFill="1" applyBorder="1" applyAlignment="1">
      <alignment horizontal="center" vertical="center"/>
    </xf>
    <xf numFmtId="3" fontId="356" fillId="2" borderId="106" xfId="61889" applyNumberFormat="1" applyFont="1" applyFill="1" applyBorder="1" applyAlignment="1">
      <alignment horizontal="center" vertical="center"/>
    </xf>
    <xf numFmtId="3" fontId="356" fillId="2" borderId="126" xfId="61889" applyNumberFormat="1" applyFont="1" applyFill="1" applyBorder="1" applyAlignment="1">
      <alignment horizontal="center" vertical="center"/>
    </xf>
    <xf numFmtId="3" fontId="351" fillId="2" borderId="26" xfId="61889" applyNumberFormat="1" applyFont="1" applyFill="1" applyBorder="1" applyAlignment="1">
      <alignment horizontal="center" vertical="center"/>
    </xf>
    <xf numFmtId="3" fontId="351" fillId="2" borderId="31" xfId="61889" applyNumberFormat="1" applyFont="1" applyFill="1" applyBorder="1" applyAlignment="1">
      <alignment horizontal="center" vertical="center"/>
    </xf>
    <xf numFmtId="175" fontId="35" fillId="0" borderId="0" xfId="1" applyNumberFormat="1" applyFont="1" applyFill="1" applyAlignment="1">
      <alignment vertical="center"/>
    </xf>
    <xf numFmtId="169" fontId="35" fillId="0" borderId="0" xfId="1" applyNumberFormat="1" applyFont="1" applyFill="1" applyAlignment="1">
      <alignment vertical="center"/>
    </xf>
    <xf numFmtId="14" fontId="35" fillId="0" borderId="0" xfId="6" applyNumberFormat="1" applyFont="1" applyFill="1" applyAlignment="1">
      <alignment horizontal="center" vertical="center"/>
    </xf>
    <xf numFmtId="169" fontId="35" fillId="0" borderId="0" xfId="1" applyNumberFormat="1" applyFont="1" applyFill="1" applyAlignment="1">
      <alignment horizontal="center" vertical="center"/>
    </xf>
    <xf numFmtId="175" fontId="35" fillId="0" borderId="0" xfId="0" applyNumberFormat="1" applyFont="1" applyAlignment="1">
      <alignment horizontal="center" vertical="center"/>
    </xf>
    <xf numFmtId="175" fontId="35" fillId="0" borderId="0" xfId="0" applyNumberFormat="1" applyFont="1" applyAlignment="1">
      <alignment vertical="center"/>
    </xf>
    <xf numFmtId="0" fontId="366" fillId="0" borderId="45" xfId="61889" applyFont="1" applyBorder="1" applyAlignment="1">
      <alignment horizontal="center" vertical="center"/>
    </xf>
    <xf numFmtId="0" fontId="366" fillId="0" borderId="25" xfId="61889" applyFont="1" applyBorder="1" applyAlignment="1">
      <alignment horizontal="center" vertical="center"/>
    </xf>
    <xf numFmtId="0" fontId="366" fillId="0" borderId="30" xfId="61889" applyFont="1" applyBorder="1" applyAlignment="1">
      <alignment horizontal="center" vertical="center"/>
    </xf>
    <xf numFmtId="43" fontId="35" fillId="0" borderId="0" xfId="1" applyFont="1" applyFill="1" applyBorder="1" applyAlignment="1">
      <alignment horizontal="center" vertical="center"/>
    </xf>
    <xf numFmtId="0" fontId="33" fillId="0" borderId="35" xfId="0" applyFont="1" applyBorder="1" applyAlignment="1">
      <alignment horizontal="left" vertical="center"/>
    </xf>
    <xf numFmtId="0" fontId="33" fillId="0" borderId="35" xfId="0" applyFont="1" applyBorder="1" applyAlignment="1">
      <alignment horizontal="center" vertical="center"/>
    </xf>
    <xf numFmtId="43" fontId="33" fillId="0" borderId="35" xfId="2" applyNumberFormat="1" applyFont="1" applyFill="1" applyBorder="1" applyAlignment="1">
      <alignment horizontal="center" vertical="center"/>
    </xf>
    <xf numFmtId="4" fontId="340" fillId="0" borderId="76" xfId="59897" applyNumberFormat="1" applyFont="1" applyBorder="1" applyAlignment="1">
      <alignment horizontal="center" vertical="center"/>
    </xf>
    <xf numFmtId="227" fontId="26" fillId="0" borderId="0" xfId="3" applyNumberFormat="1" applyFont="1" applyAlignment="1">
      <alignment horizontal="center" vertical="center"/>
    </xf>
    <xf numFmtId="228" fontId="26" fillId="0" borderId="0" xfId="3" applyNumberFormat="1" applyFont="1" applyAlignment="1">
      <alignment horizontal="center" vertical="center"/>
    </xf>
    <xf numFmtId="10" fontId="33" fillId="0" borderId="21" xfId="2" applyNumberFormat="1" applyFont="1" applyFill="1" applyBorder="1" applyAlignment="1">
      <alignment horizontal="center" vertical="center" wrapText="1"/>
    </xf>
    <xf numFmtId="43" fontId="33" fillId="0" borderId="21" xfId="1" applyFont="1" applyFill="1" applyBorder="1" applyAlignment="1">
      <alignment horizontal="center" vertical="center"/>
    </xf>
    <xf numFmtId="169" fontId="35" fillId="0" borderId="0" xfId="1" applyNumberFormat="1" applyFont="1" applyFill="1" applyBorder="1" applyAlignment="1">
      <alignment vertical="center"/>
    </xf>
    <xf numFmtId="14" fontId="35" fillId="0" borderId="0" xfId="6" applyNumberFormat="1" applyFont="1" applyFill="1" applyBorder="1" applyAlignment="1">
      <alignment horizontal="center" vertical="center"/>
    </xf>
    <xf numFmtId="169" fontId="33" fillId="0" borderId="35" xfId="1" applyNumberFormat="1" applyFont="1" applyFill="1" applyBorder="1" applyAlignment="1">
      <alignment vertical="center"/>
    </xf>
    <xf numFmtId="14" fontId="33" fillId="0" borderId="0" xfId="6" applyNumberFormat="1" applyFont="1" applyFill="1" applyBorder="1" applyAlignment="1">
      <alignment horizontal="center" vertical="center"/>
    </xf>
    <xf numFmtId="0" fontId="33" fillId="0" borderId="21" xfId="0" applyFont="1" applyBorder="1" applyAlignment="1">
      <alignment horizontal="left" vertical="center"/>
    </xf>
    <xf numFmtId="221" fontId="35" fillId="0" borderId="21" xfId="1" applyNumberFormat="1" applyFont="1" applyFill="1" applyBorder="1" applyAlignment="1">
      <alignment horizontal="center" vertical="center"/>
    </xf>
    <xf numFmtId="225" fontId="35" fillId="0" borderId="21" xfId="0" applyNumberFormat="1" applyFont="1" applyBorder="1" applyAlignment="1">
      <alignment vertical="center"/>
    </xf>
    <xf numFmtId="169" fontId="33" fillId="0" borderId="0" xfId="1" applyNumberFormat="1" applyFont="1" applyFill="1" applyAlignment="1">
      <alignment vertical="center"/>
    </xf>
    <xf numFmtId="226" fontId="35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vertical="center"/>
    </xf>
    <xf numFmtId="175" fontId="35" fillId="0" borderId="0" xfId="1" applyNumberFormat="1" applyFont="1" applyFill="1" applyAlignment="1">
      <alignment horizontal="center" vertical="center"/>
    </xf>
    <xf numFmtId="9" fontId="35" fillId="0" borderId="0" xfId="2" applyFont="1" applyFill="1" applyBorder="1" applyAlignment="1">
      <alignment vertical="center"/>
    </xf>
    <xf numFmtId="175" fontId="35" fillId="0" borderId="0" xfId="1" applyNumberFormat="1" applyFont="1" applyFill="1" applyBorder="1" applyAlignment="1">
      <alignment horizontal="center" vertical="center"/>
    </xf>
    <xf numFmtId="175" fontId="35" fillId="0" borderId="35" xfId="0" applyNumberFormat="1" applyFont="1" applyBorder="1" applyAlignment="1">
      <alignment horizontal="center" vertical="center"/>
    </xf>
    <xf numFmtId="175" fontId="35" fillId="0" borderId="35" xfId="0" applyNumberFormat="1" applyFont="1" applyBorder="1" applyAlignment="1">
      <alignment vertical="center"/>
    </xf>
    <xf numFmtId="0" fontId="35" fillId="0" borderId="35" xfId="0" applyFont="1" applyBorder="1" applyAlignment="1">
      <alignment vertical="center"/>
    </xf>
    <xf numFmtId="0" fontId="195" fillId="0" borderId="0" xfId="61889" applyFont="1" applyAlignment="1">
      <alignment horizontal="left" vertical="center"/>
    </xf>
    <xf numFmtId="1" fontId="19" fillId="8" borderId="0" xfId="61889" applyNumberFormat="1" applyFont="1" applyFill="1" applyAlignment="1">
      <alignment horizontal="center" vertical="center"/>
    </xf>
    <xf numFmtId="0" fontId="19" fillId="0" borderId="0" xfId="61889" applyFont="1" applyAlignment="1">
      <alignment horizontal="left" vertical="center"/>
    </xf>
    <xf numFmtId="172" fontId="358" fillId="0" borderId="12" xfId="3" applyNumberFormat="1" applyFont="1" applyBorder="1" applyAlignment="1">
      <alignment horizontal="center" vertical="center"/>
    </xf>
    <xf numFmtId="172" fontId="358" fillId="0" borderId="13" xfId="4" applyNumberFormat="1" applyFont="1" applyBorder="1" applyAlignment="1">
      <alignment horizontal="center" vertical="center"/>
    </xf>
    <xf numFmtId="172" fontId="358" fillId="0" borderId="9" xfId="4" applyNumberFormat="1" applyFont="1" applyBorder="1" applyAlignment="1">
      <alignment horizontal="center" vertical="center"/>
    </xf>
    <xf numFmtId="4" fontId="358" fillId="0" borderId="13" xfId="4" applyNumberFormat="1" applyFont="1" applyBorder="1" applyAlignment="1">
      <alignment horizontal="center" vertical="center"/>
    </xf>
    <xf numFmtId="14" fontId="360" fillId="13" borderId="7" xfId="0" applyNumberFormat="1" applyFont="1" applyFill="1" applyBorder="1" applyAlignment="1">
      <alignment horizontal="center" vertical="center"/>
    </xf>
    <xf numFmtId="3" fontId="367" fillId="0" borderId="12" xfId="4" applyNumberFormat="1" applyFont="1" applyBorder="1" applyAlignment="1">
      <alignment horizontal="center" vertical="center"/>
    </xf>
    <xf numFmtId="169" fontId="129" fillId="0" borderId="0" xfId="1" applyNumberFormat="1" applyFont="1" applyAlignment="1">
      <alignment horizontal="right" indent="1"/>
    </xf>
    <xf numFmtId="0" fontId="0" fillId="0" borderId="0" xfId="0" pivotButton="1"/>
    <xf numFmtId="0" fontId="0" fillId="0" borderId="0" xfId="0" applyAlignment="1">
      <alignment horizontal="left"/>
    </xf>
    <xf numFmtId="169" fontId="35" fillId="0" borderId="0" xfId="0" applyNumberFormat="1" applyFont="1" applyAlignment="1">
      <alignment vertical="center"/>
    </xf>
    <xf numFmtId="186" fontId="128" fillId="5" borderId="64" xfId="61894" applyNumberFormat="1" applyFont="1" applyFill="1" applyBorder="1" applyAlignment="1">
      <alignment horizontal="center"/>
    </xf>
    <xf numFmtId="4" fontId="337" fillId="0" borderId="105" xfId="4" applyNumberFormat="1" applyFont="1" applyBorder="1" applyAlignment="1">
      <alignment horizontal="center" vertical="center"/>
    </xf>
    <xf numFmtId="185" fontId="17" fillId="98" borderId="1" xfId="0" applyNumberFormat="1" applyFont="1" applyFill="1" applyBorder="1"/>
    <xf numFmtId="43" fontId="35" fillId="0" borderId="0" xfId="1" applyFont="1" applyAlignment="1">
      <alignment vertical="center"/>
    </xf>
    <xf numFmtId="43" fontId="33" fillId="0" borderId="0" xfId="1" applyFont="1" applyAlignment="1">
      <alignment vertical="center"/>
    </xf>
    <xf numFmtId="43" fontId="35" fillId="0" borderId="0" xfId="1" applyFont="1" applyAlignment="1">
      <alignment horizontal="center" vertical="center"/>
    </xf>
    <xf numFmtId="43" fontId="368" fillId="0" borderId="0" xfId="1" applyFont="1" applyFill="1"/>
    <xf numFmtId="185" fontId="17" fillId="99" borderId="1" xfId="0" applyNumberFormat="1" applyFont="1" applyFill="1" applyBorder="1"/>
    <xf numFmtId="43" fontId="35" fillId="100" borderId="0" xfId="1" applyFont="1" applyFill="1" applyAlignment="1">
      <alignment vertical="center"/>
    </xf>
    <xf numFmtId="3" fontId="356" fillId="8" borderId="63" xfId="61889" applyNumberFormat="1" applyFont="1" applyFill="1" applyBorder="1" applyAlignment="1">
      <alignment horizontal="center" vertical="center"/>
    </xf>
    <xf numFmtId="3" fontId="356" fillId="8" borderId="3" xfId="61889" applyNumberFormat="1" applyFont="1" applyFill="1" applyBorder="1" applyAlignment="1">
      <alignment horizontal="center" vertical="center"/>
    </xf>
    <xf numFmtId="3" fontId="351" fillId="8" borderId="0" xfId="61889" applyNumberFormat="1" applyFont="1" applyFill="1" applyAlignment="1">
      <alignment horizontal="center" vertical="center"/>
    </xf>
    <xf numFmtId="3" fontId="351" fillId="8" borderId="14" xfId="61889" applyNumberFormat="1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wrapText="1"/>
    </xf>
    <xf numFmtId="0" fontId="16" fillId="0" borderId="28" xfId="0" applyFont="1" applyBorder="1" applyAlignment="1">
      <alignment horizontal="center" wrapText="1"/>
    </xf>
    <xf numFmtId="0" fontId="18" fillId="5" borderId="1" xfId="0" applyFont="1" applyFill="1" applyBorder="1" applyAlignment="1">
      <alignment horizontal="center"/>
    </xf>
    <xf numFmtId="0" fontId="31" fillId="6" borderId="2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wrapText="1"/>
    </xf>
    <xf numFmtId="0" fontId="31" fillId="5" borderId="1" xfId="0" applyFont="1" applyFill="1" applyBorder="1" applyAlignment="1">
      <alignment horizontal="center"/>
    </xf>
    <xf numFmtId="0" fontId="31" fillId="0" borderId="14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31" fillId="0" borderId="2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38" fillId="18" borderId="36" xfId="0" applyFont="1" applyFill="1" applyBorder="1" applyAlignment="1">
      <alignment horizontal="center" vertical="center"/>
    </xf>
    <xf numFmtId="0" fontId="38" fillId="18" borderId="37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39" xfId="0" applyFont="1" applyFill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 wrapText="1"/>
    </xf>
    <xf numFmtId="0" fontId="19" fillId="6" borderId="71" xfId="61889" applyFont="1" applyFill="1" applyBorder="1" applyAlignment="1">
      <alignment horizontal="center" vertical="center"/>
    </xf>
    <xf numFmtId="0" fontId="19" fillId="6" borderId="122" xfId="61889" applyFont="1" applyFill="1" applyBorder="1" applyAlignment="1">
      <alignment horizontal="center" vertical="center"/>
    </xf>
    <xf numFmtId="0" fontId="19" fillId="6" borderId="123" xfId="61889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/>
    </xf>
    <xf numFmtId="0" fontId="19" fillId="3" borderId="43" xfId="61889" applyFont="1" applyFill="1" applyBorder="1" applyAlignment="1">
      <alignment horizontal="center" vertical="center"/>
    </xf>
    <xf numFmtId="0" fontId="19" fillId="3" borderId="110" xfId="61889" applyFont="1" applyFill="1" applyBorder="1" applyAlignment="1">
      <alignment horizontal="center" vertical="center"/>
    </xf>
    <xf numFmtId="0" fontId="19" fillId="6" borderId="112" xfId="61889" applyFont="1" applyFill="1" applyBorder="1" applyAlignment="1">
      <alignment horizontal="center" vertical="center"/>
    </xf>
    <xf numFmtId="0" fontId="19" fillId="6" borderId="113" xfId="61889" applyFont="1" applyFill="1" applyBorder="1" applyAlignment="1">
      <alignment horizontal="center" vertical="center"/>
    </xf>
    <xf numFmtId="0" fontId="48" fillId="6" borderId="65" xfId="61889" applyFont="1" applyFill="1" applyBorder="1" applyAlignment="1">
      <alignment horizontal="center" vertical="center"/>
    </xf>
    <xf numFmtId="0" fontId="48" fillId="6" borderId="66" xfId="61889" applyFont="1" applyFill="1" applyBorder="1" applyAlignment="1">
      <alignment horizontal="center" vertical="center"/>
    </xf>
    <xf numFmtId="0" fontId="48" fillId="6" borderId="70" xfId="61889" applyFont="1" applyFill="1" applyBorder="1" applyAlignment="1">
      <alignment horizontal="center" vertical="center"/>
    </xf>
    <xf numFmtId="0" fontId="48" fillId="6" borderId="71" xfId="61889" applyFont="1" applyFill="1" applyBorder="1" applyAlignment="1">
      <alignment horizontal="center" vertical="center"/>
    </xf>
    <xf numFmtId="0" fontId="340" fillId="5" borderId="2" xfId="0" applyFont="1" applyFill="1" applyBorder="1" applyAlignment="1">
      <alignment horizontal="center" vertical="center"/>
    </xf>
    <xf numFmtId="0" fontId="340" fillId="5" borderId="3" xfId="0" applyFont="1" applyFill="1" applyBorder="1" applyAlignment="1">
      <alignment horizontal="center" vertical="center"/>
    </xf>
    <xf numFmtId="0" fontId="340" fillId="5" borderId="4" xfId="0" applyFont="1" applyFill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39" fillId="0" borderId="22" xfId="0" applyFont="1" applyBorder="1" applyAlignment="1">
      <alignment horizontal="center" vertical="center"/>
    </xf>
    <xf numFmtId="0" fontId="339" fillId="0" borderId="24" xfId="0" applyFont="1" applyBorder="1" applyAlignment="1">
      <alignment horizontal="center" vertical="center"/>
    </xf>
    <xf numFmtId="169" fontId="339" fillId="0" borderId="22" xfId="1" applyNumberFormat="1" applyFont="1" applyBorder="1" applyAlignment="1">
      <alignment horizontal="center" vertical="center" wrapText="1"/>
    </xf>
    <xf numFmtId="169" fontId="339" fillId="0" borderId="24" xfId="1" applyNumberFormat="1" applyFont="1" applyBorder="1" applyAlignment="1">
      <alignment horizontal="center" vertical="center" wrapText="1"/>
    </xf>
    <xf numFmtId="0" fontId="339" fillId="0" borderId="23" xfId="0" applyFont="1" applyBorder="1" applyAlignment="1">
      <alignment horizontal="center" vertical="center"/>
    </xf>
    <xf numFmtId="186" fontId="128" fillId="6" borderId="62" xfId="58805" applyNumberFormat="1" applyFont="1" applyFill="1" applyBorder="1" applyAlignment="1">
      <alignment horizontal="center" vertical="center"/>
    </xf>
    <xf numFmtId="186" fontId="128" fillId="6" borderId="49" xfId="58805" applyNumberFormat="1" applyFont="1" applyFill="1" applyBorder="1" applyAlignment="1">
      <alignment horizontal="center" vertical="center"/>
    </xf>
    <xf numFmtId="186" fontId="128" fillId="0" borderId="62" xfId="59855" applyNumberFormat="1" applyFont="1" applyBorder="1" applyAlignment="1">
      <alignment horizontal="center" vertical="center"/>
    </xf>
    <xf numFmtId="186" fontId="128" fillId="0" borderId="49" xfId="59855" applyNumberFormat="1" applyFont="1" applyBorder="1" applyAlignment="1">
      <alignment horizontal="center" vertical="center"/>
    </xf>
    <xf numFmtId="186" fontId="128" fillId="5" borderId="63" xfId="59855" applyNumberFormat="1" applyFont="1" applyFill="1" applyBorder="1" applyAlignment="1">
      <alignment horizontal="center"/>
    </xf>
    <xf numFmtId="186" fontId="128" fillId="5" borderId="106" xfId="59855" applyNumberFormat="1" applyFont="1" applyFill="1" applyBorder="1" applyAlignment="1">
      <alignment horizontal="center"/>
    </xf>
    <xf numFmtId="186" fontId="128" fillId="5" borderId="62" xfId="59855" applyNumberFormat="1" applyFont="1" applyFill="1" applyBorder="1" applyAlignment="1">
      <alignment horizontal="center" vertical="center"/>
    </xf>
    <xf numFmtId="186" fontId="128" fillId="5" borderId="49" xfId="59855" applyNumberFormat="1" applyFont="1" applyFill="1" applyBorder="1" applyAlignment="1">
      <alignment horizontal="center" vertical="center"/>
    </xf>
    <xf numFmtId="186" fontId="128" fillId="0" borderId="62" xfId="61894" applyNumberFormat="1" applyFont="1" applyBorder="1" applyAlignment="1">
      <alignment horizontal="center" vertical="center"/>
    </xf>
    <xf numFmtId="186" fontId="128" fillId="0" borderId="49" xfId="61894" applyNumberFormat="1" applyFont="1" applyBorder="1" applyAlignment="1">
      <alignment horizontal="center" vertical="center"/>
    </xf>
    <xf numFmtId="3" fontId="8" fillId="0" borderId="58" xfId="12" applyNumberFormat="1" applyFont="1" applyBorder="1" applyAlignment="1">
      <alignment horizontal="center" vertical="center"/>
    </xf>
    <xf numFmtId="43" fontId="19" fillId="4" borderId="7" xfId="11" applyFont="1" applyFill="1" applyBorder="1" applyAlignment="1">
      <alignment horizontal="center" vertical="center"/>
    </xf>
    <xf numFmtId="43" fontId="19" fillId="4" borderId="8" xfId="1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 wrapText="1"/>
    </xf>
    <xf numFmtId="3" fontId="19" fillId="4" borderId="8" xfId="12" applyNumberFormat="1" applyFont="1" applyFill="1" applyBorder="1" applyAlignment="1">
      <alignment horizontal="center" vertical="center" wrapText="1"/>
    </xf>
    <xf numFmtId="173" fontId="37" fillId="0" borderId="0" xfId="6" applyNumberFormat="1" applyFont="1" applyBorder="1" applyAlignment="1">
      <alignment horizontal="left" vertical="center"/>
    </xf>
    <xf numFmtId="0" fontId="126" fillId="3" borderId="36" xfId="0" applyFont="1" applyFill="1" applyBorder="1" applyAlignment="1">
      <alignment horizontal="center" vertical="center"/>
    </xf>
    <xf numFmtId="0" fontId="126" fillId="3" borderId="48" xfId="0" applyFont="1" applyFill="1" applyBorder="1" applyAlignment="1">
      <alignment horizontal="center" vertical="center"/>
    </xf>
    <xf numFmtId="0" fontId="126" fillId="3" borderId="37" xfId="0" applyFont="1" applyFill="1" applyBorder="1" applyAlignment="1">
      <alignment horizontal="center" vertical="center"/>
    </xf>
    <xf numFmtId="0" fontId="126" fillId="3" borderId="25" xfId="0" applyFont="1" applyFill="1" applyBorder="1" applyAlignment="1">
      <alignment horizontal="center" vertical="center"/>
    </xf>
    <xf numFmtId="0" fontId="126" fillId="3" borderId="0" xfId="0" applyFont="1" applyFill="1" applyAlignment="1">
      <alignment horizontal="center" vertical="center"/>
    </xf>
    <xf numFmtId="0" fontId="126" fillId="3" borderId="26" xfId="0" applyFont="1" applyFill="1" applyBorder="1" applyAlignment="1">
      <alignment horizontal="center" vertical="center"/>
    </xf>
    <xf numFmtId="0" fontId="126" fillId="3" borderId="38" xfId="0" applyFont="1" applyFill="1" applyBorder="1" applyAlignment="1">
      <alignment horizontal="center" vertical="center"/>
    </xf>
    <xf numFmtId="0" fontId="126" fillId="3" borderId="21" xfId="0" applyFont="1" applyFill="1" applyBorder="1" applyAlignment="1">
      <alignment horizontal="center" vertical="center"/>
    </xf>
    <xf numFmtId="0" fontId="126" fillId="3" borderId="39" xfId="0" applyFont="1" applyFill="1" applyBorder="1" applyAlignment="1">
      <alignment horizontal="center" vertical="center"/>
    </xf>
    <xf numFmtId="0" fontId="126" fillId="19" borderId="36" xfId="0" applyFont="1" applyFill="1" applyBorder="1" applyAlignment="1">
      <alignment horizontal="center" vertical="center"/>
    </xf>
    <xf numFmtId="0" fontId="126" fillId="19" borderId="48" xfId="0" applyFont="1" applyFill="1" applyBorder="1" applyAlignment="1">
      <alignment horizontal="center" vertical="center"/>
    </xf>
    <xf numFmtId="0" fontId="126" fillId="19" borderId="37" xfId="0" applyFont="1" applyFill="1" applyBorder="1" applyAlignment="1">
      <alignment horizontal="center" vertical="center"/>
    </xf>
    <xf numFmtId="0" fontId="126" fillId="19" borderId="25" xfId="0" applyFont="1" applyFill="1" applyBorder="1" applyAlignment="1">
      <alignment horizontal="center" vertical="center"/>
    </xf>
    <xf numFmtId="0" fontId="126" fillId="19" borderId="0" xfId="0" applyFont="1" applyFill="1" applyAlignment="1">
      <alignment horizontal="center" vertical="center"/>
    </xf>
    <xf numFmtId="0" fontId="126" fillId="19" borderId="26" xfId="0" applyFont="1" applyFill="1" applyBorder="1" applyAlignment="1">
      <alignment horizontal="center" vertical="center"/>
    </xf>
    <xf numFmtId="0" fontId="126" fillId="19" borderId="38" xfId="0" applyFont="1" applyFill="1" applyBorder="1" applyAlignment="1">
      <alignment horizontal="center" vertical="center"/>
    </xf>
    <xf numFmtId="0" fontId="126" fillId="19" borderId="21" xfId="0" applyFont="1" applyFill="1" applyBorder="1" applyAlignment="1">
      <alignment horizontal="center" vertical="center"/>
    </xf>
    <xf numFmtId="0" fontId="126" fillId="19" borderId="39" xfId="0" applyFont="1" applyFill="1" applyBorder="1" applyAlignment="1">
      <alignment horizontal="center" vertical="center"/>
    </xf>
    <xf numFmtId="0" fontId="126" fillId="4" borderId="36" xfId="0" applyFont="1" applyFill="1" applyBorder="1" applyAlignment="1">
      <alignment horizontal="center" vertical="center"/>
    </xf>
    <xf numFmtId="0" fontId="126" fillId="4" borderId="48" xfId="0" applyFont="1" applyFill="1" applyBorder="1" applyAlignment="1">
      <alignment horizontal="center" vertical="center"/>
    </xf>
    <xf numFmtId="0" fontId="126" fillId="4" borderId="37" xfId="0" applyFont="1" applyFill="1" applyBorder="1" applyAlignment="1">
      <alignment horizontal="center" vertical="center"/>
    </xf>
    <xf numFmtId="0" fontId="126" fillId="4" borderId="25" xfId="0" applyFont="1" applyFill="1" applyBorder="1" applyAlignment="1">
      <alignment horizontal="center" vertical="center"/>
    </xf>
    <xf numFmtId="0" fontId="126" fillId="4" borderId="0" xfId="0" applyFont="1" applyFill="1" applyAlignment="1">
      <alignment horizontal="center" vertical="center"/>
    </xf>
    <xf numFmtId="0" fontId="126" fillId="4" borderId="26" xfId="0" applyFont="1" applyFill="1" applyBorder="1" applyAlignment="1">
      <alignment horizontal="center" vertical="center"/>
    </xf>
    <xf numFmtId="0" fontId="126" fillId="4" borderId="38" xfId="0" applyFont="1" applyFill="1" applyBorder="1" applyAlignment="1">
      <alignment horizontal="center" vertical="center"/>
    </xf>
    <xf numFmtId="0" fontId="126" fillId="4" borderId="21" xfId="0" applyFont="1" applyFill="1" applyBorder="1" applyAlignment="1">
      <alignment horizontal="center" vertical="center"/>
    </xf>
    <xf numFmtId="0" fontId="126" fillId="4" borderId="39" xfId="0" applyFont="1" applyFill="1" applyBorder="1" applyAlignment="1">
      <alignment horizontal="center" vertical="center"/>
    </xf>
    <xf numFmtId="0" fontId="64" fillId="12" borderId="22" xfId="0" applyFont="1" applyFill="1" applyBorder="1" applyAlignment="1">
      <alignment horizontal="center" vertical="center"/>
    </xf>
    <xf numFmtId="0" fontId="64" fillId="12" borderId="23" xfId="0" applyFont="1" applyFill="1" applyBorder="1" applyAlignment="1">
      <alignment horizontal="center" vertical="center"/>
    </xf>
    <xf numFmtId="0" fontId="64" fillId="12" borderId="24" xfId="0" applyFont="1" applyFill="1" applyBorder="1" applyAlignment="1">
      <alignment horizontal="center" vertical="center"/>
    </xf>
    <xf numFmtId="0" fontId="90" fillId="12" borderId="36" xfId="0" applyFont="1" applyFill="1" applyBorder="1" applyAlignment="1">
      <alignment horizontal="center" vertical="center"/>
    </xf>
    <xf numFmtId="0" fontId="90" fillId="12" borderId="48" xfId="0" applyFont="1" applyFill="1" applyBorder="1" applyAlignment="1">
      <alignment horizontal="center" vertical="center"/>
    </xf>
    <xf numFmtId="0" fontId="90" fillId="12" borderId="37" xfId="0" applyFont="1" applyFill="1" applyBorder="1" applyAlignment="1">
      <alignment horizontal="center" vertical="center"/>
    </xf>
    <xf numFmtId="0" fontId="90" fillId="12" borderId="38" xfId="0" applyFont="1" applyFill="1" applyBorder="1" applyAlignment="1">
      <alignment horizontal="center" vertical="center"/>
    </xf>
    <xf numFmtId="0" fontId="90" fillId="12" borderId="21" xfId="0" applyFont="1" applyFill="1" applyBorder="1" applyAlignment="1">
      <alignment horizontal="center" vertical="center"/>
    </xf>
    <xf numFmtId="0" fontId="90" fillId="12" borderId="39" xfId="0" applyFont="1" applyFill="1" applyBorder="1" applyAlignment="1">
      <alignment horizontal="center" vertical="center"/>
    </xf>
    <xf numFmtId="0" fontId="92" fillId="18" borderId="62" xfId="0" applyFont="1" applyFill="1" applyBorder="1" applyAlignment="1">
      <alignment horizontal="center" vertical="center"/>
    </xf>
    <xf numFmtId="0" fontId="92" fillId="18" borderId="49" xfId="0" applyFont="1" applyFill="1" applyBorder="1" applyAlignment="1">
      <alignment horizontal="center" vertical="center"/>
    </xf>
    <xf numFmtId="37" fontId="91" fillId="18" borderId="62" xfId="0" applyNumberFormat="1" applyFont="1" applyFill="1" applyBorder="1" applyAlignment="1">
      <alignment horizontal="center" vertical="center"/>
    </xf>
    <xf numFmtId="37" fontId="91" fillId="18" borderId="42" xfId="0" applyNumberFormat="1" applyFont="1" applyFill="1" applyBorder="1" applyAlignment="1">
      <alignment horizontal="center" vertical="center"/>
    </xf>
    <xf numFmtId="37" fontId="91" fillId="18" borderId="41" xfId="0" applyNumberFormat="1" applyFont="1" applyFill="1" applyBorder="1" applyAlignment="1">
      <alignment horizontal="center" vertical="center"/>
    </xf>
  </cellXfs>
  <cellStyles count="61895">
    <cellStyle name="?" xfId="58810" xr:uid="{00000000-0005-0000-0000-000000000000}"/>
    <cellStyle name="??" xfId="58811" xr:uid="{00000000-0005-0000-0000-000001000000}"/>
    <cellStyle name="?? 1" xfId="58812" xr:uid="{00000000-0005-0000-0000-000002000000}"/>
    <cellStyle name="?? 2" xfId="58813" xr:uid="{00000000-0005-0000-0000-000003000000}"/>
    <cellStyle name="?? 3" xfId="58814" xr:uid="{00000000-0005-0000-0000-000004000000}"/>
    <cellStyle name="?? 4" xfId="58815" xr:uid="{00000000-0005-0000-0000-000005000000}"/>
    <cellStyle name="????" xfId="58816" xr:uid="{00000000-0005-0000-0000-000006000000}"/>
    <cellStyle name="?????" xfId="58817" xr:uid="{00000000-0005-0000-0000-000007000000}"/>
    <cellStyle name="????? 1" xfId="58818" xr:uid="{00000000-0005-0000-0000-000008000000}"/>
    <cellStyle name="??????" xfId="58819" xr:uid="{00000000-0005-0000-0000-000009000000}"/>
    <cellStyle name="?????? 1" xfId="58820" xr:uid="{00000000-0005-0000-0000-00000A000000}"/>
    <cellStyle name="?????? 2" xfId="58821" xr:uid="{00000000-0005-0000-0000-00000B000000}"/>
    <cellStyle name="?????? 3" xfId="58822" xr:uid="{00000000-0005-0000-0000-00000C000000}"/>
    <cellStyle name="?????? 4" xfId="58823" xr:uid="{00000000-0005-0000-0000-00000D000000}"/>
    <cellStyle name="?????? 5" xfId="58824" xr:uid="{00000000-0005-0000-0000-00000E000000}"/>
    <cellStyle name="?????? 6" xfId="58825" xr:uid="{00000000-0005-0000-0000-00000F000000}"/>
    <cellStyle name="????[0]_050978" xfId="58826" xr:uid="{00000000-0005-0000-0000-000010000000}"/>
    <cellStyle name="????[0]W11BB" xfId="58827" xr:uid="{00000000-0005-0000-0000-000011000000}"/>
    <cellStyle name="???[0]_laroux" xfId="58828" xr:uid="{00000000-0005-0000-0000-000012000000}"/>
    <cellStyle name="???_laroux" xfId="58829" xr:uid="{00000000-0005-0000-0000-000013000000}"/>
    <cellStyle name="??[0]_ ? ? ? ?" xfId="58830" xr:uid="{00000000-0005-0000-0000-000014000000}"/>
    <cellStyle name="??_ ? ? ? ?" xfId="58831" xr:uid="{00000000-0005-0000-0000-000015000000}"/>
    <cellStyle name="??1" xfId="58832" xr:uid="{00000000-0005-0000-0000-000016000000}"/>
    <cellStyle name="??2" xfId="58833" xr:uid="{00000000-0005-0000-0000-000017000000}"/>
    <cellStyle name="??3" xfId="58834" xr:uid="{00000000-0005-0000-0000-000018000000}"/>
    <cellStyle name="??4" xfId="58835" xr:uid="{00000000-0005-0000-0000-000019000000}"/>
    <cellStyle name="??5" xfId="58836" xr:uid="{00000000-0005-0000-0000-00001A000000}"/>
    <cellStyle name="??6" xfId="58837" xr:uid="{00000000-0005-0000-0000-00001B000000}"/>
    <cellStyle name="_~0128403" xfId="58838" xr:uid="{00000000-0005-0000-0000-00001C000000}"/>
    <cellStyle name="_~2803727" xfId="58839" xr:uid="{00000000-0005-0000-0000-00001D000000}"/>
    <cellStyle name="_~5685167" xfId="58840" xr:uid="{00000000-0005-0000-0000-00001E000000}"/>
    <cellStyle name="_~5722987" xfId="58841" xr:uid="{00000000-0005-0000-0000-00001F000000}"/>
    <cellStyle name="_~8077956" xfId="58842" xr:uid="{00000000-0005-0000-0000-000020000000}"/>
    <cellStyle name="_1213" xfId="58843" xr:uid="{00000000-0005-0000-0000-000021000000}"/>
    <cellStyle name="_2.แบบฟอร์ม SUP19_Q4_50-CPAI" xfId="58844" xr:uid="{00000000-0005-0000-0000-000022000000}"/>
    <cellStyle name="_BAP_FS17" xfId="58845" xr:uid="{00000000-0005-0000-0000-000023000000}"/>
    <cellStyle name="_BKF  Q1.52" xfId="58846" xr:uid="{00000000-0005-0000-0000-000024000000}"/>
    <cellStyle name="_BP_CPF0151 new-1" xfId="58847" xr:uid="{00000000-0005-0000-0000-000025000000}"/>
    <cellStyle name="_BP_CPF0151 new-1 2" xfId="58848" xr:uid="{00000000-0005-0000-0000-000026000000}"/>
    <cellStyle name="_BP_CPF0151 new-1 3" xfId="58849" xr:uid="{00000000-0005-0000-0000-000027000000}"/>
    <cellStyle name="_BP_CPF0151 new-1 4" xfId="58850" xr:uid="{00000000-0005-0000-0000-000028000000}"/>
    <cellStyle name="_CONSO_Q452_update(31.12.52) " xfId="58851" xr:uid="{00000000-0005-0000-0000-000029000000}"/>
    <cellStyle name="_Copy of sup19&amp;fs17(ไตรมาส 1ปี 52)" xfId="58852" xr:uid="{00000000-0005-0000-0000-00002A000000}"/>
    <cellStyle name="_Copy of SUP19_Q4_50-BFP33" xfId="58853" xr:uid="{00000000-0005-0000-0000-00002B000000}"/>
    <cellStyle name="_CP INDIA 2-51" xfId="58854" xr:uid="{00000000-0005-0000-0000-00002C000000}"/>
    <cellStyle name="_CP INDIA 2-51 2" xfId="58855" xr:uid="{00000000-0005-0000-0000-00002D000000}"/>
    <cellStyle name="_CP INDIA 2-51 3" xfId="58856" xr:uid="{00000000-0005-0000-0000-00002E000000}"/>
    <cellStyle name="_CP INDIA เติ้ล" xfId="58857" xr:uid="{00000000-0005-0000-0000-00002F000000}"/>
    <cellStyle name="_CPF Overseas-FS17_SUP19_23_25_23.10.08" xfId="58858" xr:uid="{00000000-0005-0000-0000-000030000000}"/>
    <cellStyle name="_CPFQ1_54_CF(16-4-54)" xfId="58859" xr:uid="{00000000-0005-0000-0000-000031000000}"/>
    <cellStyle name="_CPFQ2_52_FS" xfId="58860" xr:uid="{00000000-0005-0000-0000-000032000000}"/>
    <cellStyle name="_CPM SUP Q309 " xfId="58861" xr:uid="{00000000-0005-0000-0000-000033000000}"/>
    <cellStyle name="_CPM SUP Q309  2" xfId="58862" xr:uid="{00000000-0005-0000-0000-000034000000}"/>
    <cellStyle name="_CPM SUP Q310" xfId="58863" xr:uid="{00000000-0005-0000-0000-000035000000}"/>
    <cellStyle name="_CPM_conso_Q309" xfId="58864" xr:uid="{00000000-0005-0000-0000-000036000000}"/>
    <cellStyle name="_CPM_conso_Q310" xfId="58865" xr:uid="{00000000-0005-0000-0000-000037000000}"/>
    <cellStyle name="_File เกียว ไตรมาสรวมcpffp  Q3.51" xfId="58866" xr:uid="{00000000-0005-0000-0000-000038000000}"/>
    <cellStyle name="_File เกียว ไตรมาสรวมcpffp  Q3.51 2" xfId="58867" xr:uid="{00000000-0005-0000-0000-000039000000}"/>
    <cellStyle name="_File เกียว ไตรมาสรวมcpffp  Q3.51 3" xfId="58868" xr:uid="{00000000-0005-0000-0000-00003A000000}"/>
    <cellStyle name="_File เกียว ไตรมาสรวมcpffp  Q3.51 4" xfId="58869" xr:uid="{00000000-0005-0000-0000-00003B000000}"/>
    <cellStyle name="_FORM_conso_ปรับปรุง_Q1_52_update(31-3-52) " xfId="58870" xr:uid="{00000000-0005-0000-0000-00003C000000}"/>
    <cellStyle name="_FORM_conso_ปรับปรุง_Q1_52_update(31-3-52)  2" xfId="58871" xr:uid="{00000000-0005-0000-0000-00003D000000}"/>
    <cellStyle name="_FORM_conso_ปรับปรุง_Q1_52_update(31-3-52)  3" xfId="58872" xr:uid="{00000000-0005-0000-0000-00003E000000}"/>
    <cellStyle name="_FORM_conso_ปรับปรุง_Q1_52_update(31-3-52)  4" xfId="58873" xr:uid="{00000000-0005-0000-0000-00003F000000}"/>
    <cellStyle name="_FORM_conso_ปรับปรุง_Q1_54_update" xfId="58874" xr:uid="{00000000-0005-0000-0000-000040000000}"/>
    <cellStyle name="_FORM_conso_ปรับปรุง_Q1_54_update new" xfId="58875" xr:uid="{00000000-0005-0000-0000-000041000000}"/>
    <cellStyle name="_FORM_conso_ปรับปรุง_Q1_54_update new 2" xfId="58876" xr:uid="{00000000-0005-0000-0000-000042000000}"/>
    <cellStyle name="_FS17 ?_Q151c 17-4-51" xfId="58877" xr:uid="{00000000-0005-0000-0000-000043000000}"/>
    <cellStyle name="_FS17 ?_Q151c 17-4-51 10" xfId="58878" xr:uid="{00000000-0005-0000-0000-000044000000}"/>
    <cellStyle name="_FS17 ?_Q151c 17-4-51 11" xfId="58879" xr:uid="{00000000-0005-0000-0000-000045000000}"/>
    <cellStyle name="_FS17 ?_Q151c 17-4-51 12" xfId="58880" xr:uid="{00000000-0005-0000-0000-000046000000}"/>
    <cellStyle name="_FS17 ?_Q151c 17-4-51 13" xfId="58881" xr:uid="{00000000-0005-0000-0000-000047000000}"/>
    <cellStyle name="_FS17 ?_Q151c 17-4-51 14" xfId="58882" xr:uid="{00000000-0005-0000-0000-000048000000}"/>
    <cellStyle name="_FS17 ?_Q151c 17-4-51 15" xfId="58883" xr:uid="{00000000-0005-0000-0000-000049000000}"/>
    <cellStyle name="_FS17 ?_Q151c 17-4-51 16" xfId="58884" xr:uid="{00000000-0005-0000-0000-00004A000000}"/>
    <cellStyle name="_FS17 ?_Q151c 17-4-51 17" xfId="58885" xr:uid="{00000000-0005-0000-0000-00004B000000}"/>
    <cellStyle name="_FS17 ?_Q151c 17-4-51 18" xfId="58886" xr:uid="{00000000-0005-0000-0000-00004C000000}"/>
    <cellStyle name="_FS17 ?_Q151c 17-4-51 19" xfId="58887" xr:uid="{00000000-0005-0000-0000-00004D000000}"/>
    <cellStyle name="_FS17 ?_Q151c 17-4-51 2" xfId="58888" xr:uid="{00000000-0005-0000-0000-00004E000000}"/>
    <cellStyle name="_FS17 ?_Q151c 17-4-51 20" xfId="58889" xr:uid="{00000000-0005-0000-0000-00004F000000}"/>
    <cellStyle name="_FS17 ?_Q151c 17-4-51 21" xfId="58890" xr:uid="{00000000-0005-0000-0000-000050000000}"/>
    <cellStyle name="_FS17 ?_Q151c 17-4-51 22" xfId="58891" xr:uid="{00000000-0005-0000-0000-000051000000}"/>
    <cellStyle name="_FS17 ?_Q151c 17-4-51 23" xfId="58892" xr:uid="{00000000-0005-0000-0000-000052000000}"/>
    <cellStyle name="_FS17 ?_Q151c 17-4-51 24" xfId="58893" xr:uid="{00000000-0005-0000-0000-000053000000}"/>
    <cellStyle name="_FS17 ?_Q151c 17-4-51 3" xfId="58894" xr:uid="{00000000-0005-0000-0000-000054000000}"/>
    <cellStyle name="_FS17 ?_Q151c 17-4-51 4" xfId="58895" xr:uid="{00000000-0005-0000-0000-000055000000}"/>
    <cellStyle name="_FS17 ?_Q151c 17-4-51 5" xfId="58896" xr:uid="{00000000-0005-0000-0000-000056000000}"/>
    <cellStyle name="_FS17 ?_Q151c 17-4-51 6" xfId="58897" xr:uid="{00000000-0005-0000-0000-000057000000}"/>
    <cellStyle name="_FS17 ?_Q151c 17-4-51 7" xfId="58898" xr:uid="{00000000-0005-0000-0000-000058000000}"/>
    <cellStyle name="_FS17 ?_Q151c 17-4-51 8" xfId="58899" xr:uid="{00000000-0005-0000-0000-000059000000}"/>
    <cellStyle name="_FS17 ?_Q151c 17-4-51 9" xfId="58900" xr:uid="{00000000-0005-0000-0000-00005A000000}"/>
    <cellStyle name="_FS17 ­_Q151c 17-4-51" xfId="58901" xr:uid="{00000000-0005-0000-0000-00005B000000}"/>
    <cellStyle name="_FS17 ­_Q151c 17-4-51 10" xfId="58902" xr:uid="{00000000-0005-0000-0000-00005C000000}"/>
    <cellStyle name="_FS17 ­_Q151c 17-4-51 11" xfId="58903" xr:uid="{00000000-0005-0000-0000-00005D000000}"/>
    <cellStyle name="_FS17 ­_Q151c 17-4-51 12" xfId="58904" xr:uid="{00000000-0005-0000-0000-00005E000000}"/>
    <cellStyle name="_FS17 ­_Q151c 17-4-51 13" xfId="58905" xr:uid="{00000000-0005-0000-0000-00005F000000}"/>
    <cellStyle name="_FS17 ­_Q151c 17-4-51 14" xfId="58906" xr:uid="{00000000-0005-0000-0000-000060000000}"/>
    <cellStyle name="_FS17 ­_Q151c 17-4-51 15" xfId="58907" xr:uid="{00000000-0005-0000-0000-000061000000}"/>
    <cellStyle name="_FS17 ­_Q151c 17-4-51 16" xfId="58908" xr:uid="{00000000-0005-0000-0000-000062000000}"/>
    <cellStyle name="_FS17 ­_Q151c 17-4-51 17" xfId="58909" xr:uid="{00000000-0005-0000-0000-000063000000}"/>
    <cellStyle name="_FS17 ­_Q151c 17-4-51 18" xfId="58910" xr:uid="{00000000-0005-0000-0000-000064000000}"/>
    <cellStyle name="_FS17 ­_Q151c 17-4-51 19" xfId="58911" xr:uid="{00000000-0005-0000-0000-000065000000}"/>
    <cellStyle name="_FS17 ­_Q151c 17-4-51 2" xfId="58912" xr:uid="{00000000-0005-0000-0000-000066000000}"/>
    <cellStyle name="_FS17 ­_Q151c 17-4-51 20" xfId="58913" xr:uid="{00000000-0005-0000-0000-000067000000}"/>
    <cellStyle name="_FS17 ­_Q151c 17-4-51 21" xfId="58914" xr:uid="{00000000-0005-0000-0000-000068000000}"/>
    <cellStyle name="_FS17 ­_Q151c 17-4-51 22" xfId="58915" xr:uid="{00000000-0005-0000-0000-000069000000}"/>
    <cellStyle name="_FS17 ­_Q151c 17-4-51 23" xfId="58916" xr:uid="{00000000-0005-0000-0000-00006A000000}"/>
    <cellStyle name="_FS17 ­_Q151c 17-4-51 24" xfId="58917" xr:uid="{00000000-0005-0000-0000-00006B000000}"/>
    <cellStyle name="_FS17 ­_Q151c 17-4-51 3" xfId="58918" xr:uid="{00000000-0005-0000-0000-00006C000000}"/>
    <cellStyle name="_FS17 ­_Q151c 17-4-51 4" xfId="58919" xr:uid="{00000000-0005-0000-0000-00006D000000}"/>
    <cellStyle name="_FS17 ­_Q151c 17-4-51 5" xfId="58920" xr:uid="{00000000-0005-0000-0000-00006E000000}"/>
    <cellStyle name="_FS17 ­_Q151c 17-4-51 6" xfId="58921" xr:uid="{00000000-0005-0000-0000-00006F000000}"/>
    <cellStyle name="_FS17 ­_Q151c 17-4-51 7" xfId="58922" xr:uid="{00000000-0005-0000-0000-000070000000}"/>
    <cellStyle name="_FS17 ­_Q151c 17-4-51 8" xfId="58923" xr:uid="{00000000-0005-0000-0000-000071000000}"/>
    <cellStyle name="_FS17 ­_Q151c 17-4-51 9" xfId="58924" xr:uid="{00000000-0005-0000-0000-000072000000}"/>
    <cellStyle name="_NEWCpf-Q251_BA........" xfId="58925" xr:uid="{00000000-0005-0000-0000-000073000000}"/>
    <cellStyle name="_NEWCpf-Q251_BA........ 10" xfId="58926" xr:uid="{00000000-0005-0000-0000-000074000000}"/>
    <cellStyle name="_NEWCpf-Q251_BA........ 11" xfId="58927" xr:uid="{00000000-0005-0000-0000-000075000000}"/>
    <cellStyle name="_NEWCpf-Q251_BA........ 12" xfId="58928" xr:uid="{00000000-0005-0000-0000-000076000000}"/>
    <cellStyle name="_NEWCpf-Q251_BA........ 13" xfId="58929" xr:uid="{00000000-0005-0000-0000-000077000000}"/>
    <cellStyle name="_NEWCpf-Q251_BA........ 14" xfId="58930" xr:uid="{00000000-0005-0000-0000-000078000000}"/>
    <cellStyle name="_NEWCpf-Q251_BA........ 15" xfId="58931" xr:uid="{00000000-0005-0000-0000-000079000000}"/>
    <cellStyle name="_NEWCpf-Q251_BA........ 16" xfId="58932" xr:uid="{00000000-0005-0000-0000-00007A000000}"/>
    <cellStyle name="_NEWCpf-Q251_BA........ 17" xfId="58933" xr:uid="{00000000-0005-0000-0000-00007B000000}"/>
    <cellStyle name="_NEWCpf-Q251_BA........ 18" xfId="58934" xr:uid="{00000000-0005-0000-0000-00007C000000}"/>
    <cellStyle name="_NEWCpf-Q251_BA........ 19" xfId="58935" xr:uid="{00000000-0005-0000-0000-00007D000000}"/>
    <cellStyle name="_NEWCpf-Q251_BA........ 2" xfId="58936" xr:uid="{00000000-0005-0000-0000-00007E000000}"/>
    <cellStyle name="_NEWCpf-Q251_BA........ 20" xfId="58937" xr:uid="{00000000-0005-0000-0000-00007F000000}"/>
    <cellStyle name="_NEWCpf-Q251_BA........ 21" xfId="58938" xr:uid="{00000000-0005-0000-0000-000080000000}"/>
    <cellStyle name="_NEWCpf-Q251_BA........ 22" xfId="58939" xr:uid="{00000000-0005-0000-0000-000081000000}"/>
    <cellStyle name="_NEWCpf-Q251_BA........ 23" xfId="58940" xr:uid="{00000000-0005-0000-0000-000082000000}"/>
    <cellStyle name="_NEWCpf-Q251_BA........ 24" xfId="58941" xr:uid="{00000000-0005-0000-0000-000083000000}"/>
    <cellStyle name="_NEWCpf-Q251_BA........ 3" xfId="58942" xr:uid="{00000000-0005-0000-0000-000084000000}"/>
    <cellStyle name="_NEWCpf-Q251_BA........ 4" xfId="58943" xr:uid="{00000000-0005-0000-0000-000085000000}"/>
    <cellStyle name="_NEWCpf-Q251_BA........ 5" xfId="58944" xr:uid="{00000000-0005-0000-0000-000086000000}"/>
    <cellStyle name="_NEWCpf-Q251_BA........ 6" xfId="58945" xr:uid="{00000000-0005-0000-0000-000087000000}"/>
    <cellStyle name="_NEWCpf-Q251_BA........ 7" xfId="58946" xr:uid="{00000000-0005-0000-0000-000088000000}"/>
    <cellStyle name="_NEWCpf-Q251_BA........ 8" xfId="58947" xr:uid="{00000000-0005-0000-0000-000089000000}"/>
    <cellStyle name="_NEWCpf-Q251_BA........ 9" xfId="58948" xr:uid="{00000000-0005-0000-0000-00008A000000}"/>
    <cellStyle name="_Sp-abc" xfId="58949" xr:uid="{00000000-0005-0000-0000-00008B000000}"/>
    <cellStyle name="_Sp-abc 10" xfId="58950" xr:uid="{00000000-0005-0000-0000-00008C000000}"/>
    <cellStyle name="_Sp-abc 11" xfId="58951" xr:uid="{00000000-0005-0000-0000-00008D000000}"/>
    <cellStyle name="_Sp-abc 12" xfId="58952" xr:uid="{00000000-0005-0000-0000-00008E000000}"/>
    <cellStyle name="_Sp-abc 13" xfId="58953" xr:uid="{00000000-0005-0000-0000-00008F000000}"/>
    <cellStyle name="_Sp-abc 14" xfId="58954" xr:uid="{00000000-0005-0000-0000-000090000000}"/>
    <cellStyle name="_Sp-abc 15" xfId="58955" xr:uid="{00000000-0005-0000-0000-000091000000}"/>
    <cellStyle name="_Sp-abc 16" xfId="58956" xr:uid="{00000000-0005-0000-0000-000092000000}"/>
    <cellStyle name="_Sp-abc 17" xfId="58957" xr:uid="{00000000-0005-0000-0000-000093000000}"/>
    <cellStyle name="_Sp-abc 18" xfId="58958" xr:uid="{00000000-0005-0000-0000-000094000000}"/>
    <cellStyle name="_Sp-abc 19" xfId="58959" xr:uid="{00000000-0005-0000-0000-000095000000}"/>
    <cellStyle name="_Sp-abc 2" xfId="58960" xr:uid="{00000000-0005-0000-0000-000096000000}"/>
    <cellStyle name="_Sp-abc 2 2" xfId="58961" xr:uid="{00000000-0005-0000-0000-000097000000}"/>
    <cellStyle name="_Sp-abc 20" xfId="58962" xr:uid="{00000000-0005-0000-0000-000098000000}"/>
    <cellStyle name="_Sp-abc 21" xfId="58963" xr:uid="{00000000-0005-0000-0000-000099000000}"/>
    <cellStyle name="_Sp-abc 22" xfId="58964" xr:uid="{00000000-0005-0000-0000-00009A000000}"/>
    <cellStyle name="_Sp-abc 23" xfId="58965" xr:uid="{00000000-0005-0000-0000-00009B000000}"/>
    <cellStyle name="_Sp-abc 24" xfId="58966" xr:uid="{00000000-0005-0000-0000-00009C000000}"/>
    <cellStyle name="_Sp-abc 25" xfId="58967" xr:uid="{00000000-0005-0000-0000-00009D000000}"/>
    <cellStyle name="_Sp-abc 26" xfId="58968" xr:uid="{00000000-0005-0000-0000-00009E000000}"/>
    <cellStyle name="_Sp-abc 3" xfId="58969" xr:uid="{00000000-0005-0000-0000-00009F000000}"/>
    <cellStyle name="_Sp-abc 3 2" xfId="58970" xr:uid="{00000000-0005-0000-0000-0000A0000000}"/>
    <cellStyle name="_Sp-abc 4" xfId="58971" xr:uid="{00000000-0005-0000-0000-0000A1000000}"/>
    <cellStyle name="_Sp-abc 5" xfId="58972" xr:uid="{00000000-0005-0000-0000-0000A2000000}"/>
    <cellStyle name="_Sp-abc 6" xfId="58973" xr:uid="{00000000-0005-0000-0000-0000A3000000}"/>
    <cellStyle name="_Sp-abc 7" xfId="58974" xr:uid="{00000000-0005-0000-0000-0000A4000000}"/>
    <cellStyle name="_Sp-abc 8" xfId="58975" xr:uid="{00000000-0005-0000-0000-0000A5000000}"/>
    <cellStyle name="_Sp-abc 9" xfId="58976" xr:uid="{00000000-0005-0000-0000-0000A6000000}"/>
    <cellStyle name="_Sp-abc_TAX 4 -5  ม.ค.-มี.ค.54 j" xfId="58977" xr:uid="{00000000-0005-0000-0000-0000A7000000}"/>
    <cellStyle name="_sup 19" xfId="58978" xr:uid="{00000000-0005-0000-0000-0000A8000000}"/>
    <cellStyle name="_sup 19 2" xfId="58979" xr:uid="{00000000-0005-0000-0000-0000A9000000}"/>
    <cellStyle name="_sup19&amp;fs17" xfId="58980" xr:uid="{00000000-0005-0000-0000-0000AA000000}"/>
    <cellStyle name="_sup19&amp;fs17(ไตรมาส 3ปี 51)" xfId="58981" xr:uid="{00000000-0005-0000-0000-0000AB000000}"/>
    <cellStyle name="_sup19&amp;fs17(ไตรมาส 3ปี 52)" xfId="58982" xr:uid="{00000000-0005-0000-0000-0000AC000000}"/>
    <cellStyle name="_sup19&amp;fs17(ไตรมาส 3ปี 52)(1)" xfId="58983" xr:uid="{00000000-0005-0000-0000-0000AD000000}"/>
    <cellStyle name="_SUP19,FS17รวมQ253 New Form" xfId="58984" xr:uid="{00000000-0005-0000-0000-0000AE000000}"/>
    <cellStyle name="_SUP19.1_19.2รวม Q1ปี2553" xfId="58985" xr:uid="{00000000-0005-0000-0000-0000AF000000}"/>
    <cellStyle name="_SUP19.1สัญญาเช่าโกดัง-Q151-(From_Ya)" xfId="58986" xr:uid="{00000000-0005-0000-0000-0000B0000000}"/>
    <cellStyle name="_SUP19_Q1_51-CPF FOOD รวม" xfId="58987" xr:uid="{00000000-0005-0000-0000-0000B1000000}"/>
    <cellStyle name="_SUP19_Q1_51-PAT" xfId="58988" xr:uid="{00000000-0005-0000-0000-0000B2000000}"/>
    <cellStyle name="_SUP19_Q4_50-CPNE11" xfId="58989" xr:uid="{00000000-0005-0000-0000-0000B3000000}"/>
    <cellStyle name="_ttt" xfId="58990" xr:uid="{00000000-0005-0000-0000-0000B4000000}"/>
    <cellStyle name="_แบบฟอร์ม SUP19.2A" xfId="58991" xr:uid="{00000000-0005-0000-0000-0000B5000000}"/>
    <cellStyle name="_แบบฟอร์มที่มีการแก้ไขเพิ่มใน Q1-51" xfId="58992" xr:uid="{00000000-0005-0000-0000-0000B6000000}"/>
    <cellStyle name="_แบบฟอร์มที่มีการแก้ไขเพิ่มใน Q1-51 10" xfId="58993" xr:uid="{00000000-0005-0000-0000-0000B7000000}"/>
    <cellStyle name="_แบบฟอร์มที่มีการแก้ไขเพิ่มใน Q1-51 11" xfId="58994" xr:uid="{00000000-0005-0000-0000-0000B8000000}"/>
    <cellStyle name="_แบบฟอร์มที่มีการแก้ไขเพิ่มใน Q1-51 12" xfId="58995" xr:uid="{00000000-0005-0000-0000-0000B9000000}"/>
    <cellStyle name="_แบบฟอร์มที่มีการแก้ไขเพิ่มใน Q1-51 13" xfId="58996" xr:uid="{00000000-0005-0000-0000-0000BA000000}"/>
    <cellStyle name="_แบบฟอร์มที่มีการแก้ไขเพิ่มใน Q1-51 14" xfId="58997" xr:uid="{00000000-0005-0000-0000-0000BB000000}"/>
    <cellStyle name="_แบบฟอร์มที่มีการแก้ไขเพิ่มใน Q1-51 15" xfId="58998" xr:uid="{00000000-0005-0000-0000-0000BC000000}"/>
    <cellStyle name="_แบบฟอร์มที่มีการแก้ไขเพิ่มใน Q1-51 16" xfId="58999" xr:uid="{00000000-0005-0000-0000-0000BD000000}"/>
    <cellStyle name="_แบบฟอร์มที่มีการแก้ไขเพิ่มใน Q1-51 17" xfId="59000" xr:uid="{00000000-0005-0000-0000-0000BE000000}"/>
    <cellStyle name="_แบบฟอร์มที่มีการแก้ไขเพิ่มใน Q1-51 18" xfId="59001" xr:uid="{00000000-0005-0000-0000-0000BF000000}"/>
    <cellStyle name="_แบบฟอร์มที่มีการแก้ไขเพิ่มใน Q1-51 19" xfId="59002" xr:uid="{00000000-0005-0000-0000-0000C0000000}"/>
    <cellStyle name="_แบบฟอร์มที่มีการแก้ไขเพิ่มใน Q1-51 2" xfId="59003" xr:uid="{00000000-0005-0000-0000-0000C1000000}"/>
    <cellStyle name="_แบบฟอร์มที่มีการแก้ไขเพิ่มใน Q1-51 20" xfId="59004" xr:uid="{00000000-0005-0000-0000-0000C2000000}"/>
    <cellStyle name="_แบบฟอร์มที่มีการแก้ไขเพิ่มใน Q1-51 21" xfId="59005" xr:uid="{00000000-0005-0000-0000-0000C3000000}"/>
    <cellStyle name="_แบบฟอร์มที่มีการแก้ไขเพิ่มใน Q1-51 22" xfId="59006" xr:uid="{00000000-0005-0000-0000-0000C4000000}"/>
    <cellStyle name="_แบบฟอร์มที่มีการแก้ไขเพิ่มใน Q1-51 23" xfId="59007" xr:uid="{00000000-0005-0000-0000-0000C5000000}"/>
    <cellStyle name="_แบบฟอร์มที่มีการแก้ไขเพิ่มใน Q1-51 24" xfId="59008" xr:uid="{00000000-0005-0000-0000-0000C6000000}"/>
    <cellStyle name="_แบบฟอร์มที่มีการแก้ไขเพิ่มใน Q1-51 25" xfId="59009" xr:uid="{00000000-0005-0000-0000-0000C7000000}"/>
    <cellStyle name="_แบบฟอร์มที่มีการแก้ไขเพิ่มใน Q1-51 26" xfId="59010" xr:uid="{00000000-0005-0000-0000-0000C8000000}"/>
    <cellStyle name="_แบบฟอร์มที่มีการแก้ไขเพิ่มใน Q1-51 3" xfId="59011" xr:uid="{00000000-0005-0000-0000-0000C9000000}"/>
    <cellStyle name="_แบบฟอร์มที่มีการแก้ไขเพิ่มใน Q1-51 4" xfId="59012" xr:uid="{00000000-0005-0000-0000-0000CA000000}"/>
    <cellStyle name="_แบบฟอร์มที่มีการแก้ไขเพิ่มใน Q1-51 5" xfId="59013" xr:uid="{00000000-0005-0000-0000-0000CB000000}"/>
    <cellStyle name="_แบบฟอร์มที่มีการแก้ไขเพิ่มใน Q1-51 6" xfId="59014" xr:uid="{00000000-0005-0000-0000-0000CC000000}"/>
    <cellStyle name="_แบบฟอร์มที่มีการแก้ไขเพิ่มใน Q1-51 7" xfId="59015" xr:uid="{00000000-0005-0000-0000-0000CD000000}"/>
    <cellStyle name="_แบบฟอร์มที่มีการแก้ไขเพิ่มใน Q1-51 8" xfId="59016" xr:uid="{00000000-0005-0000-0000-0000CE000000}"/>
    <cellStyle name="_แบบฟอร์มที่มีการแก้ไขเพิ่มใน Q1-51 9" xfId="59017" xr:uid="{00000000-0005-0000-0000-0000CF000000}"/>
    <cellStyle name="_ตัวอย่างการกรอก Fs17   Sup 19 New16" xfId="59018" xr:uid="{00000000-0005-0000-0000-0000D0000000}"/>
    <cellStyle name="_ตัวอย่างการกรอก Fs17   Sup 19 New9" xfId="59019" xr:uid="{00000000-0005-0000-0000-0000D1000000}"/>
    <cellStyle name="_ตัวอย่างการตอบผลต่างภาระผูกพัน" xfId="59020" xr:uid="{00000000-0005-0000-0000-0000D2000000}"/>
    <cellStyle name="_ฟอร์ม FS17 เพิ่มเติม" xfId="59021" xr:uid="{00000000-0005-0000-0000-0000D3000000}"/>
    <cellStyle name="_รถยนต์" xfId="59022" xr:uid="{00000000-0005-0000-0000-0000D4000000}"/>
    <cellStyle name="_รถยนต์ 2" xfId="59023" xr:uid="{00000000-0005-0000-0000-0000D5000000}"/>
    <cellStyle name="_รถยนต์ 3" xfId="59024" xr:uid="{00000000-0005-0000-0000-0000D6000000}"/>
    <cellStyle name="_รถยนต์ 4" xfId="59025" xr:uid="{00000000-0005-0000-0000-0000D7000000}"/>
    <cellStyle name="_รวมสัญญาเช่า CPF Q1_53" xfId="59026" xr:uid="{00000000-0005-0000-0000-0000D8000000}"/>
    <cellStyle name="0,0_x000d__x000a_NA_x000d__x000a_" xfId="59027" xr:uid="{00000000-0005-0000-0000-0000D9000000}"/>
    <cellStyle name="0,0_x000d__x000a_NA_x000d__x000a_ 10" xfId="59028" xr:uid="{00000000-0005-0000-0000-0000DA000000}"/>
    <cellStyle name="0,0_x000d__x000a_NA_x000d__x000a_ 11" xfId="59029" xr:uid="{00000000-0005-0000-0000-0000DB000000}"/>
    <cellStyle name="0,0_x000d__x000a_NA_x000d__x000a_ 12" xfId="59030" xr:uid="{00000000-0005-0000-0000-0000DC000000}"/>
    <cellStyle name="0,0_x000d__x000a_NA_x000d__x000a_ 13" xfId="59031" xr:uid="{00000000-0005-0000-0000-0000DD000000}"/>
    <cellStyle name="0,0_x000d__x000a_NA_x000d__x000a_ 2" xfId="59032" xr:uid="{00000000-0005-0000-0000-0000DE000000}"/>
    <cellStyle name="0,0_x000d__x000a_NA_x000d__x000a_ 2 2" xfId="59033" xr:uid="{00000000-0005-0000-0000-0000DF000000}"/>
    <cellStyle name="0,0_x000d__x000a_NA_x000d__x000a_ 2 2 2" xfId="59034" xr:uid="{00000000-0005-0000-0000-0000E0000000}"/>
    <cellStyle name="0,0_x000d__x000a_NA_x000d__x000a_ 2 2 3" xfId="59035" xr:uid="{00000000-0005-0000-0000-0000E1000000}"/>
    <cellStyle name="0,0_x000d__x000a_NA_x000d__x000a_ 2 3" xfId="59036" xr:uid="{00000000-0005-0000-0000-0000E2000000}"/>
    <cellStyle name="0,0_x000d__x000a_NA_x000d__x000a_ 2 4" xfId="59037" xr:uid="{00000000-0005-0000-0000-0000E3000000}"/>
    <cellStyle name="0,0_x000d__x000a_NA_x000d__x000a_ 2 5" xfId="59038" xr:uid="{00000000-0005-0000-0000-0000E4000000}"/>
    <cellStyle name="0,0_x000d__x000a_NA_x000d__x000a_ 2 6" xfId="59039" xr:uid="{00000000-0005-0000-0000-0000E5000000}"/>
    <cellStyle name="0,0_x000d__x000a_NA_x000d__x000a_ 3" xfId="59040" xr:uid="{00000000-0005-0000-0000-0000E6000000}"/>
    <cellStyle name="0,0_x000d__x000a_NA_x000d__x000a_ 3 2" xfId="59041" xr:uid="{00000000-0005-0000-0000-0000E7000000}"/>
    <cellStyle name="0,0_x000d__x000a_NA_x000d__x000a_ 3 2 2" xfId="59042" xr:uid="{00000000-0005-0000-0000-0000E8000000}"/>
    <cellStyle name="0,0_x000d__x000a_NA_x000d__x000a_ 3 3" xfId="59043" xr:uid="{00000000-0005-0000-0000-0000E9000000}"/>
    <cellStyle name="0,0_x000d__x000a_NA_x000d__x000a_ 3 4" xfId="59044" xr:uid="{00000000-0005-0000-0000-0000EA000000}"/>
    <cellStyle name="0,0_x000d__x000a_NA_x000d__x000a_ 4" xfId="59045" xr:uid="{00000000-0005-0000-0000-0000EB000000}"/>
    <cellStyle name="0,0_x000d__x000a_NA_x000d__x000a_ 4 2" xfId="59046" xr:uid="{00000000-0005-0000-0000-0000EC000000}"/>
    <cellStyle name="0,0_x000d__x000a_NA_x000d__x000a_ 4 3" xfId="59047" xr:uid="{00000000-0005-0000-0000-0000ED000000}"/>
    <cellStyle name="0,0_x000d__x000a_NA_x000d__x000a_ 5" xfId="59048" xr:uid="{00000000-0005-0000-0000-0000EE000000}"/>
    <cellStyle name="0,0_x000d__x000a_NA_x000d__x000a_ 5 2" xfId="59049" xr:uid="{00000000-0005-0000-0000-0000EF000000}"/>
    <cellStyle name="0,0_x000d__x000a_NA_x000d__x000a_ 5 3" xfId="59050" xr:uid="{00000000-0005-0000-0000-0000F0000000}"/>
    <cellStyle name="0,0_x000d__x000a_NA_x000d__x000a_ 6" xfId="59051" xr:uid="{00000000-0005-0000-0000-0000F1000000}"/>
    <cellStyle name="0,0_x000d__x000a_NA_x000d__x000a_ 6 2" xfId="59052" xr:uid="{00000000-0005-0000-0000-0000F2000000}"/>
    <cellStyle name="0,0_x000d__x000a_NA_x000d__x000a_ 7" xfId="59053" xr:uid="{00000000-0005-0000-0000-0000F3000000}"/>
    <cellStyle name="0,0_x000d__x000a_NA_x000d__x000a_ 8" xfId="59054" xr:uid="{00000000-0005-0000-0000-0000F4000000}"/>
    <cellStyle name="0,0_x000d__x000a_NA_x000d__x000a_ 9" xfId="59055" xr:uid="{00000000-0005-0000-0000-0000F5000000}"/>
    <cellStyle name="0,0_x000d__x000a_NA_x000d__x000a__~2292832" xfId="59056" xr:uid="{00000000-0005-0000-0000-0000F6000000}"/>
    <cellStyle name="20% - ?????? 1" xfId="59057" xr:uid="{00000000-0005-0000-0000-0000F7000000}"/>
    <cellStyle name="20% - ?????? 2" xfId="59058" xr:uid="{00000000-0005-0000-0000-0000F8000000}"/>
    <cellStyle name="20% - ?????? 3" xfId="59059" xr:uid="{00000000-0005-0000-0000-0000F9000000}"/>
    <cellStyle name="20% - ?????? 4" xfId="59060" xr:uid="{00000000-0005-0000-0000-0000FA000000}"/>
    <cellStyle name="20% - ?????? 5" xfId="59061" xr:uid="{00000000-0005-0000-0000-0000FB000000}"/>
    <cellStyle name="20% - ?????? 6" xfId="59062" xr:uid="{00000000-0005-0000-0000-0000FC000000}"/>
    <cellStyle name="20% - ??1" xfId="59063" xr:uid="{00000000-0005-0000-0000-0000FD000000}"/>
    <cellStyle name="20% - ??2" xfId="59064" xr:uid="{00000000-0005-0000-0000-0000FE000000}"/>
    <cellStyle name="20% - ??3" xfId="59065" xr:uid="{00000000-0005-0000-0000-0000FF000000}"/>
    <cellStyle name="20% - ??4" xfId="59066" xr:uid="{00000000-0005-0000-0000-000000010000}"/>
    <cellStyle name="20% - ??5" xfId="59067" xr:uid="{00000000-0005-0000-0000-000001010000}"/>
    <cellStyle name="20% - ??6" xfId="59068" xr:uid="{00000000-0005-0000-0000-000002010000}"/>
    <cellStyle name="20% - Accent1 2" xfId="25" xr:uid="{00000000-0005-0000-0000-000003010000}"/>
    <cellStyle name="20% - Accent1 2 2" xfId="59070" xr:uid="{00000000-0005-0000-0000-000004010000}"/>
    <cellStyle name="20% - Accent1 2 3" xfId="59069" xr:uid="{00000000-0005-0000-0000-000005010000}"/>
    <cellStyle name="20% - Accent1 3" xfId="59071" xr:uid="{00000000-0005-0000-0000-000006010000}"/>
    <cellStyle name="20% - Accent1 4" xfId="59072" xr:uid="{00000000-0005-0000-0000-000007010000}"/>
    <cellStyle name="20% - Accent1 5" xfId="59073" xr:uid="{00000000-0005-0000-0000-000008010000}"/>
    <cellStyle name="20% - Accent1 5 2" xfId="61023" xr:uid="{00000000-0005-0000-0000-000009010000}"/>
    <cellStyle name="20% - Accent1 5 3" xfId="61169" xr:uid="{00000000-0005-0000-0000-00000A010000}"/>
    <cellStyle name="20% - Accent1 5 4" xfId="61313" xr:uid="{00000000-0005-0000-0000-00000B010000}"/>
    <cellStyle name="20% - Accent1 5 5" xfId="61457" xr:uid="{00000000-0005-0000-0000-00000C010000}"/>
    <cellStyle name="20% - Accent1 5 6" xfId="61601" xr:uid="{00000000-0005-0000-0000-00000D010000}"/>
    <cellStyle name="20% - Accent1 5 7" xfId="61745" xr:uid="{00000000-0005-0000-0000-00000E010000}"/>
    <cellStyle name="20% - Accent2 2" xfId="59074" xr:uid="{00000000-0005-0000-0000-00000F010000}"/>
    <cellStyle name="20% - Accent2 2 2" xfId="59075" xr:uid="{00000000-0005-0000-0000-000010010000}"/>
    <cellStyle name="20% - Accent2 3" xfId="59076" xr:uid="{00000000-0005-0000-0000-000011010000}"/>
    <cellStyle name="20% - Accent2 4" xfId="59077" xr:uid="{00000000-0005-0000-0000-000012010000}"/>
    <cellStyle name="20% - Accent2 5" xfId="59078" xr:uid="{00000000-0005-0000-0000-000013010000}"/>
    <cellStyle name="20% - Accent2 5 2" xfId="61024" xr:uid="{00000000-0005-0000-0000-000014010000}"/>
    <cellStyle name="20% - Accent2 5 3" xfId="61170" xr:uid="{00000000-0005-0000-0000-000015010000}"/>
    <cellStyle name="20% - Accent2 5 4" xfId="61314" xr:uid="{00000000-0005-0000-0000-000016010000}"/>
    <cellStyle name="20% - Accent2 5 5" xfId="61458" xr:uid="{00000000-0005-0000-0000-000017010000}"/>
    <cellStyle name="20% - Accent2 5 6" xfId="61602" xr:uid="{00000000-0005-0000-0000-000018010000}"/>
    <cellStyle name="20% - Accent2 5 7" xfId="61746" xr:uid="{00000000-0005-0000-0000-000019010000}"/>
    <cellStyle name="20% - Accent3 2" xfId="59079" xr:uid="{00000000-0005-0000-0000-00001A010000}"/>
    <cellStyle name="20% - Accent3 2 2" xfId="59080" xr:uid="{00000000-0005-0000-0000-00001B010000}"/>
    <cellStyle name="20% - Accent3 3" xfId="59081" xr:uid="{00000000-0005-0000-0000-00001C010000}"/>
    <cellStyle name="20% - Accent3 4" xfId="59082" xr:uid="{00000000-0005-0000-0000-00001D010000}"/>
    <cellStyle name="20% - Accent3 5" xfId="59083" xr:uid="{00000000-0005-0000-0000-00001E010000}"/>
    <cellStyle name="20% - Accent3 5 2" xfId="61025" xr:uid="{00000000-0005-0000-0000-00001F010000}"/>
    <cellStyle name="20% - Accent3 5 3" xfId="61171" xr:uid="{00000000-0005-0000-0000-000020010000}"/>
    <cellStyle name="20% - Accent3 5 4" xfId="61315" xr:uid="{00000000-0005-0000-0000-000021010000}"/>
    <cellStyle name="20% - Accent3 5 5" xfId="61459" xr:uid="{00000000-0005-0000-0000-000022010000}"/>
    <cellStyle name="20% - Accent3 5 6" xfId="61603" xr:uid="{00000000-0005-0000-0000-000023010000}"/>
    <cellStyle name="20% - Accent3 5 7" xfId="61747" xr:uid="{00000000-0005-0000-0000-000024010000}"/>
    <cellStyle name="20% - Accent4 2" xfId="59084" xr:uid="{00000000-0005-0000-0000-000025010000}"/>
    <cellStyle name="20% - Accent4 2 2" xfId="59085" xr:uid="{00000000-0005-0000-0000-000026010000}"/>
    <cellStyle name="20% - Accent4 3" xfId="59086" xr:uid="{00000000-0005-0000-0000-000027010000}"/>
    <cellStyle name="20% - Accent4 4" xfId="59087" xr:uid="{00000000-0005-0000-0000-000028010000}"/>
    <cellStyle name="20% - Accent4 5" xfId="59088" xr:uid="{00000000-0005-0000-0000-000029010000}"/>
    <cellStyle name="20% - Accent4 5 2" xfId="61026" xr:uid="{00000000-0005-0000-0000-00002A010000}"/>
    <cellStyle name="20% - Accent4 5 3" xfId="61172" xr:uid="{00000000-0005-0000-0000-00002B010000}"/>
    <cellStyle name="20% - Accent4 5 4" xfId="61316" xr:uid="{00000000-0005-0000-0000-00002C010000}"/>
    <cellStyle name="20% - Accent4 5 5" xfId="61460" xr:uid="{00000000-0005-0000-0000-00002D010000}"/>
    <cellStyle name="20% - Accent4 5 6" xfId="61604" xr:uid="{00000000-0005-0000-0000-00002E010000}"/>
    <cellStyle name="20% - Accent4 5 7" xfId="61748" xr:uid="{00000000-0005-0000-0000-00002F010000}"/>
    <cellStyle name="20% - Accent5 2" xfId="59089" xr:uid="{00000000-0005-0000-0000-000030010000}"/>
    <cellStyle name="20% - Accent5 2 2" xfId="59090" xr:uid="{00000000-0005-0000-0000-000031010000}"/>
    <cellStyle name="20% - Accent5 3" xfId="59091" xr:uid="{00000000-0005-0000-0000-000032010000}"/>
    <cellStyle name="20% - Accent5 4" xfId="59092" xr:uid="{00000000-0005-0000-0000-000033010000}"/>
    <cellStyle name="20% - Accent5 5" xfId="59093" xr:uid="{00000000-0005-0000-0000-000034010000}"/>
    <cellStyle name="20% - Accent5 5 2" xfId="61027" xr:uid="{00000000-0005-0000-0000-000035010000}"/>
    <cellStyle name="20% - Accent5 5 3" xfId="61173" xr:uid="{00000000-0005-0000-0000-000036010000}"/>
    <cellStyle name="20% - Accent5 5 4" xfId="61317" xr:uid="{00000000-0005-0000-0000-000037010000}"/>
    <cellStyle name="20% - Accent5 5 5" xfId="61461" xr:uid="{00000000-0005-0000-0000-000038010000}"/>
    <cellStyle name="20% - Accent5 5 6" xfId="61605" xr:uid="{00000000-0005-0000-0000-000039010000}"/>
    <cellStyle name="20% - Accent5 5 7" xfId="61749" xr:uid="{00000000-0005-0000-0000-00003A010000}"/>
    <cellStyle name="20% - Accent6 2" xfId="59094" xr:uid="{00000000-0005-0000-0000-00003B010000}"/>
    <cellStyle name="20% - Accent6 2 2" xfId="59095" xr:uid="{00000000-0005-0000-0000-00003C010000}"/>
    <cellStyle name="20% - Accent6 3" xfId="59096" xr:uid="{00000000-0005-0000-0000-00003D010000}"/>
    <cellStyle name="20% - Accent6 4" xfId="59097" xr:uid="{00000000-0005-0000-0000-00003E010000}"/>
    <cellStyle name="20% - Accent6 5" xfId="59098" xr:uid="{00000000-0005-0000-0000-00003F010000}"/>
    <cellStyle name="20% - Accent6 5 2" xfId="61028" xr:uid="{00000000-0005-0000-0000-000040010000}"/>
    <cellStyle name="20% - Accent6 5 3" xfId="61174" xr:uid="{00000000-0005-0000-0000-000041010000}"/>
    <cellStyle name="20% - Accent6 5 4" xfId="61318" xr:uid="{00000000-0005-0000-0000-000042010000}"/>
    <cellStyle name="20% - Accent6 5 5" xfId="61462" xr:uid="{00000000-0005-0000-0000-000043010000}"/>
    <cellStyle name="20% - Accent6 5 6" xfId="61606" xr:uid="{00000000-0005-0000-0000-000044010000}"/>
    <cellStyle name="20% - Accent6 5 7" xfId="61750" xr:uid="{00000000-0005-0000-0000-000045010000}"/>
    <cellStyle name="20% - Акцент1 2" xfId="37" xr:uid="{00000000-0005-0000-0000-000046010000}"/>
    <cellStyle name="20% - Акцент1 2 2" xfId="59099" xr:uid="{00000000-0005-0000-0000-000047010000}"/>
    <cellStyle name="20% - Акцент1 2 3" xfId="61029" xr:uid="{00000000-0005-0000-0000-000048010000}"/>
    <cellStyle name="20% - Акцент1 2 4" xfId="61175" xr:uid="{00000000-0005-0000-0000-000049010000}"/>
    <cellStyle name="20% - Акцент1 2 5" xfId="61319" xr:uid="{00000000-0005-0000-0000-00004A010000}"/>
    <cellStyle name="20% - Акцент1 2 6" xfId="61463" xr:uid="{00000000-0005-0000-0000-00004B010000}"/>
    <cellStyle name="20% - Акцент1 2 7" xfId="61607" xr:uid="{00000000-0005-0000-0000-00004C010000}"/>
    <cellStyle name="20% - Акцент1 2 8" xfId="61751" xr:uid="{00000000-0005-0000-0000-00004D010000}"/>
    <cellStyle name="20% - Акцент2 2" xfId="59100" xr:uid="{00000000-0005-0000-0000-00004E010000}"/>
    <cellStyle name="20% - Акцент2 2 2" xfId="61030" xr:uid="{00000000-0005-0000-0000-00004F010000}"/>
    <cellStyle name="20% - Акцент2 2 3" xfId="61176" xr:uid="{00000000-0005-0000-0000-000050010000}"/>
    <cellStyle name="20% - Акцент2 2 4" xfId="61320" xr:uid="{00000000-0005-0000-0000-000051010000}"/>
    <cellStyle name="20% - Акцент2 2 5" xfId="61464" xr:uid="{00000000-0005-0000-0000-000052010000}"/>
    <cellStyle name="20% - Акцент2 2 6" xfId="61608" xr:uid="{00000000-0005-0000-0000-000053010000}"/>
    <cellStyle name="20% - Акцент2 2 7" xfId="61752" xr:uid="{00000000-0005-0000-0000-000054010000}"/>
    <cellStyle name="20% - Акцент3 2" xfId="59101" xr:uid="{00000000-0005-0000-0000-000055010000}"/>
    <cellStyle name="20% - Акцент3 2 2" xfId="61031" xr:uid="{00000000-0005-0000-0000-000056010000}"/>
    <cellStyle name="20% - Акцент3 2 3" xfId="61177" xr:uid="{00000000-0005-0000-0000-000057010000}"/>
    <cellStyle name="20% - Акцент3 2 4" xfId="61321" xr:uid="{00000000-0005-0000-0000-000058010000}"/>
    <cellStyle name="20% - Акцент3 2 5" xfId="61465" xr:uid="{00000000-0005-0000-0000-000059010000}"/>
    <cellStyle name="20% - Акцент3 2 6" xfId="61609" xr:uid="{00000000-0005-0000-0000-00005A010000}"/>
    <cellStyle name="20% - Акцент3 2 7" xfId="61753" xr:uid="{00000000-0005-0000-0000-00005B010000}"/>
    <cellStyle name="20% - Акцент4 2" xfId="59102" xr:uid="{00000000-0005-0000-0000-00005C010000}"/>
    <cellStyle name="20% - Акцент4 2 2" xfId="61032" xr:uid="{00000000-0005-0000-0000-00005D010000}"/>
    <cellStyle name="20% - Акцент4 2 3" xfId="61178" xr:uid="{00000000-0005-0000-0000-00005E010000}"/>
    <cellStyle name="20% - Акцент4 2 4" xfId="61322" xr:uid="{00000000-0005-0000-0000-00005F010000}"/>
    <cellStyle name="20% - Акцент4 2 5" xfId="61466" xr:uid="{00000000-0005-0000-0000-000060010000}"/>
    <cellStyle name="20% - Акцент4 2 6" xfId="61610" xr:uid="{00000000-0005-0000-0000-000061010000}"/>
    <cellStyle name="20% - Акцент4 2 7" xfId="61754" xr:uid="{00000000-0005-0000-0000-000062010000}"/>
    <cellStyle name="20% - Акцент5 2" xfId="59103" xr:uid="{00000000-0005-0000-0000-000063010000}"/>
    <cellStyle name="20% - Акцент5 2 2" xfId="61033" xr:uid="{00000000-0005-0000-0000-000064010000}"/>
    <cellStyle name="20% - Акцент5 2 3" xfId="61179" xr:uid="{00000000-0005-0000-0000-000065010000}"/>
    <cellStyle name="20% - Акцент5 2 4" xfId="61323" xr:uid="{00000000-0005-0000-0000-000066010000}"/>
    <cellStyle name="20% - Акцент5 2 5" xfId="61467" xr:uid="{00000000-0005-0000-0000-000067010000}"/>
    <cellStyle name="20% - Акцент5 2 6" xfId="61611" xr:uid="{00000000-0005-0000-0000-000068010000}"/>
    <cellStyle name="20% - Акцент5 2 7" xfId="61755" xr:uid="{00000000-0005-0000-0000-000069010000}"/>
    <cellStyle name="20% - Акцент6 2" xfId="59104" xr:uid="{00000000-0005-0000-0000-00006A010000}"/>
    <cellStyle name="20% - Акцент6 2 2" xfId="61034" xr:uid="{00000000-0005-0000-0000-00006B010000}"/>
    <cellStyle name="20% - Акцент6 2 3" xfId="61180" xr:uid="{00000000-0005-0000-0000-00006C010000}"/>
    <cellStyle name="20% - Акцент6 2 4" xfId="61324" xr:uid="{00000000-0005-0000-0000-00006D010000}"/>
    <cellStyle name="20% - Акцент6 2 5" xfId="61468" xr:uid="{00000000-0005-0000-0000-00006E010000}"/>
    <cellStyle name="20% - Акцент6 2 6" xfId="61612" xr:uid="{00000000-0005-0000-0000-00006F010000}"/>
    <cellStyle name="20% - Акцент6 2 7" xfId="61756" xr:uid="{00000000-0005-0000-0000-000070010000}"/>
    <cellStyle name="20% - ส่วนที่ถูกเน้น1" xfId="59105" xr:uid="{00000000-0005-0000-0000-000071010000}"/>
    <cellStyle name="20% - ส่วนที่ถูกเน้น1 2" xfId="59106" xr:uid="{00000000-0005-0000-0000-000072010000}"/>
    <cellStyle name="20% - ส่วนที่ถูกเน้น1 2 2" xfId="59107" xr:uid="{00000000-0005-0000-0000-000073010000}"/>
    <cellStyle name="20% - ส่วนที่ถูกเน้น2" xfId="59108" xr:uid="{00000000-0005-0000-0000-000074010000}"/>
    <cellStyle name="20% - ส่วนที่ถูกเน้น2 2" xfId="59109" xr:uid="{00000000-0005-0000-0000-000075010000}"/>
    <cellStyle name="20% - ส่วนที่ถูกเน้น2 2 2" xfId="59110" xr:uid="{00000000-0005-0000-0000-000076010000}"/>
    <cellStyle name="20% - ส่วนที่ถูกเน้น3" xfId="59111" xr:uid="{00000000-0005-0000-0000-000077010000}"/>
    <cellStyle name="20% - ส่วนที่ถูกเน้น3 2" xfId="59112" xr:uid="{00000000-0005-0000-0000-000078010000}"/>
    <cellStyle name="20% - ส่วนที่ถูกเน้น3 2 2" xfId="59113" xr:uid="{00000000-0005-0000-0000-000079010000}"/>
    <cellStyle name="20% - ส่วนที่ถูกเน้น4" xfId="59114" xr:uid="{00000000-0005-0000-0000-00007A010000}"/>
    <cellStyle name="20% - ส่วนที่ถูกเน้น4 2" xfId="59115" xr:uid="{00000000-0005-0000-0000-00007B010000}"/>
    <cellStyle name="20% - ส่วนที่ถูกเน้น4 2 2" xfId="59116" xr:uid="{00000000-0005-0000-0000-00007C010000}"/>
    <cellStyle name="20% - ส่วนที่ถูกเน้น5" xfId="59117" xr:uid="{00000000-0005-0000-0000-00007D010000}"/>
    <cellStyle name="20% - ส่วนที่ถูกเน้น5 2" xfId="59118" xr:uid="{00000000-0005-0000-0000-00007E010000}"/>
    <cellStyle name="20% - ส่วนที่ถูกเน้น5 2 2" xfId="59119" xr:uid="{00000000-0005-0000-0000-00007F010000}"/>
    <cellStyle name="20% - ส่วนที่ถูกเน้น6" xfId="59120" xr:uid="{00000000-0005-0000-0000-000080010000}"/>
    <cellStyle name="20% - ส่วนที่ถูกเน้น6 2" xfId="59121" xr:uid="{00000000-0005-0000-0000-000081010000}"/>
    <cellStyle name="20% - ส่วนที่ถูกเน้น6 2 2" xfId="59122" xr:uid="{00000000-0005-0000-0000-000082010000}"/>
    <cellStyle name="20% - 强调文字颜色 1" xfId="59123" xr:uid="{00000000-0005-0000-0000-000083010000}"/>
    <cellStyle name="20% - 强调文字颜色 1 2" xfId="59124" xr:uid="{00000000-0005-0000-0000-000084010000}"/>
    <cellStyle name="20% - 强调文字颜色 2" xfId="59125" xr:uid="{00000000-0005-0000-0000-000085010000}"/>
    <cellStyle name="20% - 强调文字颜色 2 2" xfId="59126" xr:uid="{00000000-0005-0000-0000-000086010000}"/>
    <cellStyle name="20% - 强调文字颜色 3" xfId="59127" xr:uid="{00000000-0005-0000-0000-000087010000}"/>
    <cellStyle name="20% - 强调文字颜色 3 2" xfId="59128" xr:uid="{00000000-0005-0000-0000-000088010000}"/>
    <cellStyle name="20% - 强调文字颜色 4" xfId="59129" xr:uid="{00000000-0005-0000-0000-000089010000}"/>
    <cellStyle name="20% - 强调文字颜色 4 2" xfId="59130" xr:uid="{00000000-0005-0000-0000-00008A010000}"/>
    <cellStyle name="20% - 强调文字颜色 5" xfId="59131" xr:uid="{00000000-0005-0000-0000-00008B010000}"/>
    <cellStyle name="20% - 强调文字颜色 5 2" xfId="59132" xr:uid="{00000000-0005-0000-0000-00008C010000}"/>
    <cellStyle name="20% - 强调文字颜色 6" xfId="59133" xr:uid="{00000000-0005-0000-0000-00008D010000}"/>
    <cellStyle name="20% - 强调文字颜色 6 2" xfId="59134" xr:uid="{00000000-0005-0000-0000-00008E010000}"/>
    <cellStyle name="20% - 輔色1 2" xfId="59135" xr:uid="{00000000-0005-0000-0000-00008F010000}"/>
    <cellStyle name="20% - 輔色1 3" xfId="59136" xr:uid="{00000000-0005-0000-0000-000090010000}"/>
    <cellStyle name="20% - 輔色2 2" xfId="59137" xr:uid="{00000000-0005-0000-0000-000091010000}"/>
    <cellStyle name="20% - 輔色2 3" xfId="59138" xr:uid="{00000000-0005-0000-0000-000092010000}"/>
    <cellStyle name="20% - 輔色3 2" xfId="59139" xr:uid="{00000000-0005-0000-0000-000093010000}"/>
    <cellStyle name="20% - 輔色3 3" xfId="59140" xr:uid="{00000000-0005-0000-0000-000094010000}"/>
    <cellStyle name="20% - 輔色4 2" xfId="59141" xr:uid="{00000000-0005-0000-0000-000095010000}"/>
    <cellStyle name="20% - 輔色4 3" xfId="59142" xr:uid="{00000000-0005-0000-0000-000096010000}"/>
    <cellStyle name="20% - 輔色5 2" xfId="59143" xr:uid="{00000000-0005-0000-0000-000097010000}"/>
    <cellStyle name="20% - 輔色5 3" xfId="59144" xr:uid="{00000000-0005-0000-0000-000098010000}"/>
    <cellStyle name="20% - 輔色6 2" xfId="59145" xr:uid="{00000000-0005-0000-0000-000099010000}"/>
    <cellStyle name="20% - 輔色6 3" xfId="59146" xr:uid="{00000000-0005-0000-0000-00009A010000}"/>
    <cellStyle name="40% - ?????? 1" xfId="59147" xr:uid="{00000000-0005-0000-0000-00009B010000}"/>
    <cellStyle name="40% - ?????? 2" xfId="59148" xr:uid="{00000000-0005-0000-0000-00009C010000}"/>
    <cellStyle name="40% - ?????? 3" xfId="59149" xr:uid="{00000000-0005-0000-0000-00009D010000}"/>
    <cellStyle name="40% - ?????? 4" xfId="59150" xr:uid="{00000000-0005-0000-0000-00009E010000}"/>
    <cellStyle name="40% - ?????? 5" xfId="59151" xr:uid="{00000000-0005-0000-0000-00009F010000}"/>
    <cellStyle name="40% - ?????? 6" xfId="59152" xr:uid="{00000000-0005-0000-0000-0000A0010000}"/>
    <cellStyle name="40% - ??1" xfId="59153" xr:uid="{00000000-0005-0000-0000-0000A1010000}"/>
    <cellStyle name="40% - ??2" xfId="59154" xr:uid="{00000000-0005-0000-0000-0000A2010000}"/>
    <cellStyle name="40% - ??3" xfId="59155" xr:uid="{00000000-0005-0000-0000-0000A3010000}"/>
    <cellStyle name="40% - ??4" xfId="59156" xr:uid="{00000000-0005-0000-0000-0000A4010000}"/>
    <cellStyle name="40% - ??5" xfId="59157" xr:uid="{00000000-0005-0000-0000-0000A5010000}"/>
    <cellStyle name="40% - ??6" xfId="59158" xr:uid="{00000000-0005-0000-0000-0000A6010000}"/>
    <cellStyle name="40% - Accent1 2" xfId="59159" xr:uid="{00000000-0005-0000-0000-0000A7010000}"/>
    <cellStyle name="40% - Accent1 2 2" xfId="59160" xr:uid="{00000000-0005-0000-0000-0000A8010000}"/>
    <cellStyle name="40% - Accent1 3" xfId="59161" xr:uid="{00000000-0005-0000-0000-0000A9010000}"/>
    <cellStyle name="40% - Accent1 4" xfId="59162" xr:uid="{00000000-0005-0000-0000-0000AA010000}"/>
    <cellStyle name="40% - Accent1 5" xfId="59163" xr:uid="{00000000-0005-0000-0000-0000AB010000}"/>
    <cellStyle name="40% - Accent1 5 2" xfId="61035" xr:uid="{00000000-0005-0000-0000-0000AC010000}"/>
    <cellStyle name="40% - Accent1 5 3" xfId="61181" xr:uid="{00000000-0005-0000-0000-0000AD010000}"/>
    <cellStyle name="40% - Accent1 5 4" xfId="61325" xr:uid="{00000000-0005-0000-0000-0000AE010000}"/>
    <cellStyle name="40% - Accent1 5 5" xfId="61469" xr:uid="{00000000-0005-0000-0000-0000AF010000}"/>
    <cellStyle name="40% - Accent1 5 6" xfId="61613" xr:uid="{00000000-0005-0000-0000-0000B0010000}"/>
    <cellStyle name="40% - Accent1 5 7" xfId="61757" xr:uid="{00000000-0005-0000-0000-0000B1010000}"/>
    <cellStyle name="40% - Accent2 2" xfId="59164" xr:uid="{00000000-0005-0000-0000-0000B2010000}"/>
    <cellStyle name="40% - Accent2 2 2" xfId="59165" xr:uid="{00000000-0005-0000-0000-0000B3010000}"/>
    <cellStyle name="40% - Accent2 3" xfId="59166" xr:uid="{00000000-0005-0000-0000-0000B4010000}"/>
    <cellStyle name="40% - Accent2 4" xfId="59167" xr:uid="{00000000-0005-0000-0000-0000B5010000}"/>
    <cellStyle name="40% - Accent2 5" xfId="59168" xr:uid="{00000000-0005-0000-0000-0000B6010000}"/>
    <cellStyle name="40% - Accent2 5 2" xfId="61036" xr:uid="{00000000-0005-0000-0000-0000B7010000}"/>
    <cellStyle name="40% - Accent2 5 3" xfId="61182" xr:uid="{00000000-0005-0000-0000-0000B8010000}"/>
    <cellStyle name="40% - Accent2 5 4" xfId="61326" xr:uid="{00000000-0005-0000-0000-0000B9010000}"/>
    <cellStyle name="40% - Accent2 5 5" xfId="61470" xr:uid="{00000000-0005-0000-0000-0000BA010000}"/>
    <cellStyle name="40% - Accent2 5 6" xfId="61614" xr:uid="{00000000-0005-0000-0000-0000BB010000}"/>
    <cellStyle name="40% - Accent2 5 7" xfId="61758" xr:uid="{00000000-0005-0000-0000-0000BC010000}"/>
    <cellStyle name="40% - Accent3 2" xfId="59169" xr:uid="{00000000-0005-0000-0000-0000BD010000}"/>
    <cellStyle name="40% - Accent3 2 2" xfId="59170" xr:uid="{00000000-0005-0000-0000-0000BE010000}"/>
    <cellStyle name="40% - Accent3 3" xfId="59171" xr:uid="{00000000-0005-0000-0000-0000BF010000}"/>
    <cellStyle name="40% - Accent3 4" xfId="59172" xr:uid="{00000000-0005-0000-0000-0000C0010000}"/>
    <cellStyle name="40% - Accent3 5" xfId="59173" xr:uid="{00000000-0005-0000-0000-0000C1010000}"/>
    <cellStyle name="40% - Accent3 5 2" xfId="61037" xr:uid="{00000000-0005-0000-0000-0000C2010000}"/>
    <cellStyle name="40% - Accent3 5 3" xfId="61183" xr:uid="{00000000-0005-0000-0000-0000C3010000}"/>
    <cellStyle name="40% - Accent3 5 4" xfId="61327" xr:uid="{00000000-0005-0000-0000-0000C4010000}"/>
    <cellStyle name="40% - Accent3 5 5" xfId="61471" xr:uid="{00000000-0005-0000-0000-0000C5010000}"/>
    <cellStyle name="40% - Accent3 5 6" xfId="61615" xr:uid="{00000000-0005-0000-0000-0000C6010000}"/>
    <cellStyle name="40% - Accent3 5 7" xfId="61759" xr:uid="{00000000-0005-0000-0000-0000C7010000}"/>
    <cellStyle name="40% - Accent4 2" xfId="59174" xr:uid="{00000000-0005-0000-0000-0000C8010000}"/>
    <cellStyle name="40% - Accent4 2 2" xfId="59175" xr:uid="{00000000-0005-0000-0000-0000C9010000}"/>
    <cellStyle name="40% - Accent4 3" xfId="59176" xr:uid="{00000000-0005-0000-0000-0000CA010000}"/>
    <cellStyle name="40% - Accent4 4" xfId="59177" xr:uid="{00000000-0005-0000-0000-0000CB010000}"/>
    <cellStyle name="40% - Accent4 5" xfId="59178" xr:uid="{00000000-0005-0000-0000-0000CC010000}"/>
    <cellStyle name="40% - Accent4 5 2" xfId="61038" xr:uid="{00000000-0005-0000-0000-0000CD010000}"/>
    <cellStyle name="40% - Accent4 5 3" xfId="61184" xr:uid="{00000000-0005-0000-0000-0000CE010000}"/>
    <cellStyle name="40% - Accent4 5 4" xfId="61328" xr:uid="{00000000-0005-0000-0000-0000CF010000}"/>
    <cellStyle name="40% - Accent4 5 5" xfId="61472" xr:uid="{00000000-0005-0000-0000-0000D0010000}"/>
    <cellStyle name="40% - Accent4 5 6" xfId="61616" xr:uid="{00000000-0005-0000-0000-0000D1010000}"/>
    <cellStyle name="40% - Accent4 5 7" xfId="61760" xr:uid="{00000000-0005-0000-0000-0000D2010000}"/>
    <cellStyle name="40% - Accent5 2" xfId="59179" xr:uid="{00000000-0005-0000-0000-0000D3010000}"/>
    <cellStyle name="40% - Accent5 2 2" xfId="59180" xr:uid="{00000000-0005-0000-0000-0000D4010000}"/>
    <cellStyle name="40% - Accent5 3" xfId="59181" xr:uid="{00000000-0005-0000-0000-0000D5010000}"/>
    <cellStyle name="40% - Accent5 4" xfId="59182" xr:uid="{00000000-0005-0000-0000-0000D6010000}"/>
    <cellStyle name="40% - Accent5 5" xfId="59183" xr:uid="{00000000-0005-0000-0000-0000D7010000}"/>
    <cellStyle name="40% - Accent5 5 2" xfId="61039" xr:uid="{00000000-0005-0000-0000-0000D8010000}"/>
    <cellStyle name="40% - Accent5 5 3" xfId="61185" xr:uid="{00000000-0005-0000-0000-0000D9010000}"/>
    <cellStyle name="40% - Accent5 5 4" xfId="61329" xr:uid="{00000000-0005-0000-0000-0000DA010000}"/>
    <cellStyle name="40% - Accent5 5 5" xfId="61473" xr:uid="{00000000-0005-0000-0000-0000DB010000}"/>
    <cellStyle name="40% - Accent5 5 6" xfId="61617" xr:uid="{00000000-0005-0000-0000-0000DC010000}"/>
    <cellStyle name="40% - Accent5 5 7" xfId="61761" xr:uid="{00000000-0005-0000-0000-0000DD010000}"/>
    <cellStyle name="40% - Accent6 2" xfId="59184" xr:uid="{00000000-0005-0000-0000-0000DE010000}"/>
    <cellStyle name="40% - Accent6 2 2" xfId="59185" xr:uid="{00000000-0005-0000-0000-0000DF010000}"/>
    <cellStyle name="40% - Accent6 3" xfId="59186" xr:uid="{00000000-0005-0000-0000-0000E0010000}"/>
    <cellStyle name="40% - Accent6 4" xfId="59187" xr:uid="{00000000-0005-0000-0000-0000E1010000}"/>
    <cellStyle name="40% - Accent6 5" xfId="59188" xr:uid="{00000000-0005-0000-0000-0000E2010000}"/>
    <cellStyle name="40% - Accent6 5 2" xfId="61040" xr:uid="{00000000-0005-0000-0000-0000E3010000}"/>
    <cellStyle name="40% - Accent6 5 3" xfId="61186" xr:uid="{00000000-0005-0000-0000-0000E4010000}"/>
    <cellStyle name="40% - Accent6 5 4" xfId="61330" xr:uid="{00000000-0005-0000-0000-0000E5010000}"/>
    <cellStyle name="40% - Accent6 5 5" xfId="61474" xr:uid="{00000000-0005-0000-0000-0000E6010000}"/>
    <cellStyle name="40% - Accent6 5 6" xfId="61618" xr:uid="{00000000-0005-0000-0000-0000E7010000}"/>
    <cellStyle name="40% - Accent6 5 7" xfId="61762" xr:uid="{00000000-0005-0000-0000-0000E8010000}"/>
    <cellStyle name="40% - Акцент1 2" xfId="59189" xr:uid="{00000000-0005-0000-0000-0000E9010000}"/>
    <cellStyle name="40% - Акцент1 2 2" xfId="61041" xr:uid="{00000000-0005-0000-0000-0000EA010000}"/>
    <cellStyle name="40% - Акцент1 2 3" xfId="61187" xr:uid="{00000000-0005-0000-0000-0000EB010000}"/>
    <cellStyle name="40% - Акцент1 2 4" xfId="61331" xr:uid="{00000000-0005-0000-0000-0000EC010000}"/>
    <cellStyle name="40% - Акцент1 2 5" xfId="61475" xr:uid="{00000000-0005-0000-0000-0000ED010000}"/>
    <cellStyle name="40% - Акцент1 2 6" xfId="61619" xr:uid="{00000000-0005-0000-0000-0000EE010000}"/>
    <cellStyle name="40% - Акцент1 2 7" xfId="61763" xr:uid="{00000000-0005-0000-0000-0000EF010000}"/>
    <cellStyle name="40% - Акцент2 2" xfId="59190" xr:uid="{00000000-0005-0000-0000-0000F0010000}"/>
    <cellStyle name="40% - Акцент2 2 2" xfId="61042" xr:uid="{00000000-0005-0000-0000-0000F1010000}"/>
    <cellStyle name="40% - Акцент2 2 3" xfId="61188" xr:uid="{00000000-0005-0000-0000-0000F2010000}"/>
    <cellStyle name="40% - Акцент2 2 4" xfId="61332" xr:uid="{00000000-0005-0000-0000-0000F3010000}"/>
    <cellStyle name="40% - Акцент2 2 5" xfId="61476" xr:uid="{00000000-0005-0000-0000-0000F4010000}"/>
    <cellStyle name="40% - Акцент2 2 6" xfId="61620" xr:uid="{00000000-0005-0000-0000-0000F5010000}"/>
    <cellStyle name="40% - Акцент2 2 7" xfId="61764" xr:uid="{00000000-0005-0000-0000-0000F6010000}"/>
    <cellStyle name="40% - Акцент3 2" xfId="59191" xr:uid="{00000000-0005-0000-0000-0000F7010000}"/>
    <cellStyle name="40% - Акцент3 2 2" xfId="61043" xr:uid="{00000000-0005-0000-0000-0000F8010000}"/>
    <cellStyle name="40% - Акцент3 2 3" xfId="61189" xr:uid="{00000000-0005-0000-0000-0000F9010000}"/>
    <cellStyle name="40% - Акцент3 2 4" xfId="61333" xr:uid="{00000000-0005-0000-0000-0000FA010000}"/>
    <cellStyle name="40% - Акцент3 2 5" xfId="61477" xr:uid="{00000000-0005-0000-0000-0000FB010000}"/>
    <cellStyle name="40% - Акцент3 2 6" xfId="61621" xr:uid="{00000000-0005-0000-0000-0000FC010000}"/>
    <cellStyle name="40% - Акцент3 2 7" xfId="61765" xr:uid="{00000000-0005-0000-0000-0000FD010000}"/>
    <cellStyle name="40% - Акцент4 2" xfId="59192" xr:uid="{00000000-0005-0000-0000-0000FE010000}"/>
    <cellStyle name="40% - Акцент4 2 2" xfId="61044" xr:uid="{00000000-0005-0000-0000-0000FF010000}"/>
    <cellStyle name="40% - Акцент4 2 3" xfId="61190" xr:uid="{00000000-0005-0000-0000-000000020000}"/>
    <cellStyle name="40% - Акцент4 2 4" xfId="61334" xr:uid="{00000000-0005-0000-0000-000001020000}"/>
    <cellStyle name="40% - Акцент4 2 5" xfId="61478" xr:uid="{00000000-0005-0000-0000-000002020000}"/>
    <cellStyle name="40% - Акцент4 2 6" xfId="61622" xr:uid="{00000000-0005-0000-0000-000003020000}"/>
    <cellStyle name="40% - Акцент4 2 7" xfId="61766" xr:uid="{00000000-0005-0000-0000-000004020000}"/>
    <cellStyle name="40% - Акцент5 2" xfId="59193" xr:uid="{00000000-0005-0000-0000-000005020000}"/>
    <cellStyle name="40% - Акцент5 2 2" xfId="61045" xr:uid="{00000000-0005-0000-0000-000006020000}"/>
    <cellStyle name="40% - Акцент5 2 3" xfId="61191" xr:uid="{00000000-0005-0000-0000-000007020000}"/>
    <cellStyle name="40% - Акцент5 2 4" xfId="61335" xr:uid="{00000000-0005-0000-0000-000008020000}"/>
    <cellStyle name="40% - Акцент5 2 5" xfId="61479" xr:uid="{00000000-0005-0000-0000-000009020000}"/>
    <cellStyle name="40% - Акцент5 2 6" xfId="61623" xr:uid="{00000000-0005-0000-0000-00000A020000}"/>
    <cellStyle name="40% - Акцент5 2 7" xfId="61767" xr:uid="{00000000-0005-0000-0000-00000B020000}"/>
    <cellStyle name="40% - Акцент6 2" xfId="59194" xr:uid="{00000000-0005-0000-0000-00000C020000}"/>
    <cellStyle name="40% - Акцент6 2 2" xfId="61046" xr:uid="{00000000-0005-0000-0000-00000D020000}"/>
    <cellStyle name="40% - Акцент6 2 3" xfId="61192" xr:uid="{00000000-0005-0000-0000-00000E020000}"/>
    <cellStyle name="40% - Акцент6 2 4" xfId="61336" xr:uid="{00000000-0005-0000-0000-00000F020000}"/>
    <cellStyle name="40% - Акцент6 2 5" xfId="61480" xr:uid="{00000000-0005-0000-0000-000010020000}"/>
    <cellStyle name="40% - Акцент6 2 6" xfId="61624" xr:uid="{00000000-0005-0000-0000-000011020000}"/>
    <cellStyle name="40% - Акцент6 2 7" xfId="61768" xr:uid="{00000000-0005-0000-0000-000012020000}"/>
    <cellStyle name="40% - ส่วนที่ถูกเน้น1" xfId="59195" xr:uid="{00000000-0005-0000-0000-000013020000}"/>
    <cellStyle name="40% - ส่วนที่ถูกเน้น1 2" xfId="59196" xr:uid="{00000000-0005-0000-0000-000014020000}"/>
    <cellStyle name="40% - ส่วนที่ถูกเน้น1 2 2" xfId="59197" xr:uid="{00000000-0005-0000-0000-000015020000}"/>
    <cellStyle name="40% - ส่วนที่ถูกเน้น2" xfId="59198" xr:uid="{00000000-0005-0000-0000-000016020000}"/>
    <cellStyle name="40% - ส่วนที่ถูกเน้น2 2" xfId="59199" xr:uid="{00000000-0005-0000-0000-000017020000}"/>
    <cellStyle name="40% - ส่วนที่ถูกเน้น2 2 2" xfId="59200" xr:uid="{00000000-0005-0000-0000-000018020000}"/>
    <cellStyle name="40% - ส่วนที่ถูกเน้น3" xfId="59201" xr:uid="{00000000-0005-0000-0000-000019020000}"/>
    <cellStyle name="40% - ส่วนที่ถูกเน้น3 2" xfId="59202" xr:uid="{00000000-0005-0000-0000-00001A020000}"/>
    <cellStyle name="40% - ส่วนที่ถูกเน้น3 2 2" xfId="59203" xr:uid="{00000000-0005-0000-0000-00001B020000}"/>
    <cellStyle name="40% - ส่วนที่ถูกเน้น4" xfId="59204" xr:uid="{00000000-0005-0000-0000-00001C020000}"/>
    <cellStyle name="40% - ส่วนที่ถูกเน้น4 2" xfId="59205" xr:uid="{00000000-0005-0000-0000-00001D020000}"/>
    <cellStyle name="40% - ส่วนที่ถูกเน้น4 2 2" xfId="59206" xr:uid="{00000000-0005-0000-0000-00001E020000}"/>
    <cellStyle name="40% - ส่วนที่ถูกเน้น5" xfId="59207" xr:uid="{00000000-0005-0000-0000-00001F020000}"/>
    <cellStyle name="40% - ส่วนที่ถูกเน้น5 2" xfId="59208" xr:uid="{00000000-0005-0000-0000-000020020000}"/>
    <cellStyle name="40% - ส่วนที่ถูกเน้น5 2 2" xfId="59209" xr:uid="{00000000-0005-0000-0000-000021020000}"/>
    <cellStyle name="40% - ส่วนที่ถูกเน้น6" xfId="59210" xr:uid="{00000000-0005-0000-0000-000022020000}"/>
    <cellStyle name="40% - ส่วนที่ถูกเน้น6 2" xfId="59211" xr:uid="{00000000-0005-0000-0000-000023020000}"/>
    <cellStyle name="40% - ส่วนที่ถูกเน้น6 2 2" xfId="59212" xr:uid="{00000000-0005-0000-0000-000024020000}"/>
    <cellStyle name="40% - 强调文字颜色 1" xfId="59213" xr:uid="{00000000-0005-0000-0000-000025020000}"/>
    <cellStyle name="40% - 强调文字颜色 1 2" xfId="59214" xr:uid="{00000000-0005-0000-0000-000026020000}"/>
    <cellStyle name="40% - 强调文字颜色 2" xfId="59215" xr:uid="{00000000-0005-0000-0000-000027020000}"/>
    <cellStyle name="40% - 强调文字颜色 2 2" xfId="59216" xr:uid="{00000000-0005-0000-0000-000028020000}"/>
    <cellStyle name="40% - 强调文字颜色 3" xfId="59217" xr:uid="{00000000-0005-0000-0000-000029020000}"/>
    <cellStyle name="40% - 强调文字颜色 3 2" xfId="59218" xr:uid="{00000000-0005-0000-0000-00002A020000}"/>
    <cellStyle name="40% - 强调文字颜色 4" xfId="59219" xr:uid="{00000000-0005-0000-0000-00002B020000}"/>
    <cellStyle name="40% - 强调文字颜色 4 2" xfId="59220" xr:uid="{00000000-0005-0000-0000-00002C020000}"/>
    <cellStyle name="40% - 强调文字颜色 5" xfId="59221" xr:uid="{00000000-0005-0000-0000-00002D020000}"/>
    <cellStyle name="40% - 强调文字颜色 5 2" xfId="59222" xr:uid="{00000000-0005-0000-0000-00002E020000}"/>
    <cellStyle name="40% - 强调文字颜色 6" xfId="59223" xr:uid="{00000000-0005-0000-0000-00002F020000}"/>
    <cellStyle name="40% - 强调文字颜色 6 2" xfId="59224" xr:uid="{00000000-0005-0000-0000-000030020000}"/>
    <cellStyle name="40% - 輔色1 2" xfId="59225" xr:uid="{00000000-0005-0000-0000-000031020000}"/>
    <cellStyle name="40% - 輔色1 3" xfId="59226" xr:uid="{00000000-0005-0000-0000-000032020000}"/>
    <cellStyle name="40% - 輔色2 2" xfId="59227" xr:uid="{00000000-0005-0000-0000-000033020000}"/>
    <cellStyle name="40% - 輔色2 3" xfId="59228" xr:uid="{00000000-0005-0000-0000-000034020000}"/>
    <cellStyle name="40% - 輔色3 2" xfId="59229" xr:uid="{00000000-0005-0000-0000-000035020000}"/>
    <cellStyle name="40% - 輔色3 3" xfId="59230" xr:uid="{00000000-0005-0000-0000-000036020000}"/>
    <cellStyle name="40% - 輔色4 2" xfId="59231" xr:uid="{00000000-0005-0000-0000-000037020000}"/>
    <cellStyle name="40% - 輔色4 3" xfId="59232" xr:uid="{00000000-0005-0000-0000-000038020000}"/>
    <cellStyle name="40% - 輔色5 2" xfId="59233" xr:uid="{00000000-0005-0000-0000-000039020000}"/>
    <cellStyle name="40% - 輔色5 3" xfId="59234" xr:uid="{00000000-0005-0000-0000-00003A020000}"/>
    <cellStyle name="40% - 輔色6 2" xfId="59235" xr:uid="{00000000-0005-0000-0000-00003B020000}"/>
    <cellStyle name="40% - 輔色6 3" xfId="59236" xr:uid="{00000000-0005-0000-0000-00003C020000}"/>
    <cellStyle name="60% - ?????? 1" xfId="59237" xr:uid="{00000000-0005-0000-0000-00003D020000}"/>
    <cellStyle name="60% - ?????? 2" xfId="59238" xr:uid="{00000000-0005-0000-0000-00003E020000}"/>
    <cellStyle name="60% - ?????? 3" xfId="59239" xr:uid="{00000000-0005-0000-0000-00003F020000}"/>
    <cellStyle name="60% - ?????? 4" xfId="59240" xr:uid="{00000000-0005-0000-0000-000040020000}"/>
    <cellStyle name="60% - ?????? 5" xfId="59241" xr:uid="{00000000-0005-0000-0000-000041020000}"/>
    <cellStyle name="60% - ?????? 6" xfId="59242" xr:uid="{00000000-0005-0000-0000-000042020000}"/>
    <cellStyle name="60% - ??1" xfId="59243" xr:uid="{00000000-0005-0000-0000-000043020000}"/>
    <cellStyle name="60% - ??2" xfId="59244" xr:uid="{00000000-0005-0000-0000-000044020000}"/>
    <cellStyle name="60% - ??3" xfId="59245" xr:uid="{00000000-0005-0000-0000-000045020000}"/>
    <cellStyle name="60% - ??4" xfId="59246" xr:uid="{00000000-0005-0000-0000-000046020000}"/>
    <cellStyle name="60% - ??5" xfId="59247" xr:uid="{00000000-0005-0000-0000-000047020000}"/>
    <cellStyle name="60% - ??6" xfId="59248" xr:uid="{00000000-0005-0000-0000-000048020000}"/>
    <cellStyle name="60% - Accent1 2" xfId="59249" xr:uid="{00000000-0005-0000-0000-000049020000}"/>
    <cellStyle name="60% - Accent1 2 2" xfId="59250" xr:uid="{00000000-0005-0000-0000-00004A020000}"/>
    <cellStyle name="60% - Accent1 3" xfId="59251" xr:uid="{00000000-0005-0000-0000-00004B020000}"/>
    <cellStyle name="60% - Accent1 4" xfId="59252" xr:uid="{00000000-0005-0000-0000-00004C020000}"/>
    <cellStyle name="60% - Accent1 5" xfId="59253" xr:uid="{00000000-0005-0000-0000-00004D020000}"/>
    <cellStyle name="60% - Accent2 2" xfId="59254" xr:uid="{00000000-0005-0000-0000-00004E020000}"/>
    <cellStyle name="60% - Accent2 2 2" xfId="59255" xr:uid="{00000000-0005-0000-0000-00004F020000}"/>
    <cellStyle name="60% - Accent2 3" xfId="59256" xr:uid="{00000000-0005-0000-0000-000050020000}"/>
    <cellStyle name="60% - Accent2 4" xfId="59257" xr:uid="{00000000-0005-0000-0000-000051020000}"/>
    <cellStyle name="60% - Accent2 5" xfId="59258" xr:uid="{00000000-0005-0000-0000-000052020000}"/>
    <cellStyle name="60% - Accent3 2" xfId="59259" xr:uid="{00000000-0005-0000-0000-000053020000}"/>
    <cellStyle name="60% - Accent3 2 2" xfId="59260" xr:uid="{00000000-0005-0000-0000-000054020000}"/>
    <cellStyle name="60% - Accent3 3" xfId="59261" xr:uid="{00000000-0005-0000-0000-000055020000}"/>
    <cellStyle name="60% - Accent3 4" xfId="59262" xr:uid="{00000000-0005-0000-0000-000056020000}"/>
    <cellStyle name="60% - Accent3 5" xfId="59263" xr:uid="{00000000-0005-0000-0000-000057020000}"/>
    <cellStyle name="60% - Accent4 2" xfId="59264" xr:uid="{00000000-0005-0000-0000-000058020000}"/>
    <cellStyle name="60% - Accent4 2 2" xfId="59265" xr:uid="{00000000-0005-0000-0000-000059020000}"/>
    <cellStyle name="60% - Accent4 3" xfId="59266" xr:uid="{00000000-0005-0000-0000-00005A020000}"/>
    <cellStyle name="60% - Accent4 4" xfId="59267" xr:uid="{00000000-0005-0000-0000-00005B020000}"/>
    <cellStyle name="60% - Accent4 5" xfId="59268" xr:uid="{00000000-0005-0000-0000-00005C020000}"/>
    <cellStyle name="60% - Accent5 2" xfId="59269" xr:uid="{00000000-0005-0000-0000-00005D020000}"/>
    <cellStyle name="60% - Accent5 2 2" xfId="59270" xr:uid="{00000000-0005-0000-0000-00005E020000}"/>
    <cellStyle name="60% - Accent5 3" xfId="59271" xr:uid="{00000000-0005-0000-0000-00005F020000}"/>
    <cellStyle name="60% - Accent5 4" xfId="59272" xr:uid="{00000000-0005-0000-0000-000060020000}"/>
    <cellStyle name="60% - Accent5 5" xfId="59273" xr:uid="{00000000-0005-0000-0000-000061020000}"/>
    <cellStyle name="60% - Accent6 2" xfId="59274" xr:uid="{00000000-0005-0000-0000-000062020000}"/>
    <cellStyle name="60% - Accent6 2 2" xfId="59275" xr:uid="{00000000-0005-0000-0000-000063020000}"/>
    <cellStyle name="60% - Accent6 3" xfId="59276" xr:uid="{00000000-0005-0000-0000-000064020000}"/>
    <cellStyle name="60% - Accent6 4" xfId="59277" xr:uid="{00000000-0005-0000-0000-000065020000}"/>
    <cellStyle name="60% - Accent6 5" xfId="59278" xr:uid="{00000000-0005-0000-0000-000066020000}"/>
    <cellStyle name="60% - ส่วนที่ถูกเน้น1" xfId="59279" xr:uid="{00000000-0005-0000-0000-000067020000}"/>
    <cellStyle name="60% - ส่วนที่ถูกเน้น1 2" xfId="59280" xr:uid="{00000000-0005-0000-0000-000068020000}"/>
    <cellStyle name="60% - ส่วนที่ถูกเน้น1 2 2" xfId="59281" xr:uid="{00000000-0005-0000-0000-000069020000}"/>
    <cellStyle name="60% - ส่วนที่ถูกเน้น2" xfId="59282" xr:uid="{00000000-0005-0000-0000-00006A020000}"/>
    <cellStyle name="60% - ส่วนที่ถูกเน้น2 2" xfId="59283" xr:uid="{00000000-0005-0000-0000-00006B020000}"/>
    <cellStyle name="60% - ส่วนที่ถูกเน้น2 2 2" xfId="59284" xr:uid="{00000000-0005-0000-0000-00006C020000}"/>
    <cellStyle name="60% - ส่วนที่ถูกเน้น3" xfId="59285" xr:uid="{00000000-0005-0000-0000-00006D020000}"/>
    <cellStyle name="60% - ส่วนที่ถูกเน้น3 2" xfId="59286" xr:uid="{00000000-0005-0000-0000-00006E020000}"/>
    <cellStyle name="60% - ส่วนที่ถูกเน้น3 2 2" xfId="59287" xr:uid="{00000000-0005-0000-0000-00006F020000}"/>
    <cellStyle name="60% - ส่วนที่ถูกเน้น4" xfId="59288" xr:uid="{00000000-0005-0000-0000-000070020000}"/>
    <cellStyle name="60% - ส่วนที่ถูกเน้น4 2" xfId="59289" xr:uid="{00000000-0005-0000-0000-000071020000}"/>
    <cellStyle name="60% - ส่วนที่ถูกเน้น4 2 2" xfId="59290" xr:uid="{00000000-0005-0000-0000-000072020000}"/>
    <cellStyle name="60% - ส่วนที่ถูกเน้น5" xfId="59291" xr:uid="{00000000-0005-0000-0000-000073020000}"/>
    <cellStyle name="60% - ส่วนที่ถูกเน้น5 2" xfId="59292" xr:uid="{00000000-0005-0000-0000-000074020000}"/>
    <cellStyle name="60% - ส่วนที่ถูกเน้น5 2 2" xfId="59293" xr:uid="{00000000-0005-0000-0000-000075020000}"/>
    <cellStyle name="60% - ส่วนที่ถูกเน้น6" xfId="59294" xr:uid="{00000000-0005-0000-0000-000076020000}"/>
    <cellStyle name="60% - ส่วนที่ถูกเน้น6 2" xfId="59295" xr:uid="{00000000-0005-0000-0000-000077020000}"/>
    <cellStyle name="60% - ส่วนที่ถูกเน้น6 2 2" xfId="59296" xr:uid="{00000000-0005-0000-0000-000078020000}"/>
    <cellStyle name="60% - 强调文字颜色 1" xfId="59297" xr:uid="{00000000-0005-0000-0000-000079020000}"/>
    <cellStyle name="60% - 强调文字颜色 1 2" xfId="59298" xr:uid="{00000000-0005-0000-0000-00007A020000}"/>
    <cellStyle name="60% - 强调文字颜色 2" xfId="59299" xr:uid="{00000000-0005-0000-0000-00007B020000}"/>
    <cellStyle name="60% - 强调文字颜色 2 2" xfId="59300" xr:uid="{00000000-0005-0000-0000-00007C020000}"/>
    <cellStyle name="60% - 强调文字颜色 3" xfId="59301" xr:uid="{00000000-0005-0000-0000-00007D020000}"/>
    <cellStyle name="60% - 强调文字颜色 3 2" xfId="59302" xr:uid="{00000000-0005-0000-0000-00007E020000}"/>
    <cellStyle name="60% - 强调文字颜色 4" xfId="59303" xr:uid="{00000000-0005-0000-0000-00007F020000}"/>
    <cellStyle name="60% - 强调文字颜色 4 2" xfId="59304" xr:uid="{00000000-0005-0000-0000-000080020000}"/>
    <cellStyle name="60% - 强调文字颜色 5" xfId="59305" xr:uid="{00000000-0005-0000-0000-000081020000}"/>
    <cellStyle name="60% - 强调文字颜色 5 2" xfId="59306" xr:uid="{00000000-0005-0000-0000-000082020000}"/>
    <cellStyle name="60% - 强调文字颜色 6" xfId="59307" xr:uid="{00000000-0005-0000-0000-000083020000}"/>
    <cellStyle name="60% - 强调文字颜色 6 2" xfId="59308" xr:uid="{00000000-0005-0000-0000-000084020000}"/>
    <cellStyle name="60% - 輔色1 2" xfId="59309" xr:uid="{00000000-0005-0000-0000-000085020000}"/>
    <cellStyle name="60% - 輔色1 3" xfId="59310" xr:uid="{00000000-0005-0000-0000-000086020000}"/>
    <cellStyle name="60% - 輔色2 2" xfId="59311" xr:uid="{00000000-0005-0000-0000-000087020000}"/>
    <cellStyle name="60% - 輔色2 3" xfId="59312" xr:uid="{00000000-0005-0000-0000-000088020000}"/>
    <cellStyle name="60% - 輔色3 2" xfId="59313" xr:uid="{00000000-0005-0000-0000-000089020000}"/>
    <cellStyle name="60% - 輔色3 3" xfId="59314" xr:uid="{00000000-0005-0000-0000-00008A020000}"/>
    <cellStyle name="60% - 輔色4 2" xfId="59315" xr:uid="{00000000-0005-0000-0000-00008B020000}"/>
    <cellStyle name="60% - 輔色4 3" xfId="59316" xr:uid="{00000000-0005-0000-0000-00008C020000}"/>
    <cellStyle name="60% - 輔色5 2" xfId="59317" xr:uid="{00000000-0005-0000-0000-00008D020000}"/>
    <cellStyle name="60% - 輔色5 3" xfId="59318" xr:uid="{00000000-0005-0000-0000-00008E020000}"/>
    <cellStyle name="60% - 輔色6 2" xfId="59319" xr:uid="{00000000-0005-0000-0000-00008F020000}"/>
    <cellStyle name="60% - 輔色6 3" xfId="59320" xr:uid="{00000000-0005-0000-0000-000090020000}"/>
    <cellStyle name="75" xfId="59321" xr:uid="{00000000-0005-0000-0000-000091020000}"/>
    <cellStyle name="75 10" xfId="59322" xr:uid="{00000000-0005-0000-0000-000092020000}"/>
    <cellStyle name="75 11" xfId="59323" xr:uid="{00000000-0005-0000-0000-000093020000}"/>
    <cellStyle name="75 12" xfId="59324" xr:uid="{00000000-0005-0000-0000-000094020000}"/>
    <cellStyle name="75 13" xfId="59325" xr:uid="{00000000-0005-0000-0000-000095020000}"/>
    <cellStyle name="75 14" xfId="59326" xr:uid="{00000000-0005-0000-0000-000096020000}"/>
    <cellStyle name="75 15" xfId="59327" xr:uid="{00000000-0005-0000-0000-000097020000}"/>
    <cellStyle name="75 16" xfId="59328" xr:uid="{00000000-0005-0000-0000-000098020000}"/>
    <cellStyle name="75 17" xfId="59329" xr:uid="{00000000-0005-0000-0000-000099020000}"/>
    <cellStyle name="75 18" xfId="59330" xr:uid="{00000000-0005-0000-0000-00009A020000}"/>
    <cellStyle name="75 19" xfId="59331" xr:uid="{00000000-0005-0000-0000-00009B020000}"/>
    <cellStyle name="75 2" xfId="59332" xr:uid="{00000000-0005-0000-0000-00009C020000}"/>
    <cellStyle name="75 2 2" xfId="59333" xr:uid="{00000000-0005-0000-0000-00009D020000}"/>
    <cellStyle name="75 2 3" xfId="59334" xr:uid="{00000000-0005-0000-0000-00009E020000}"/>
    <cellStyle name="75 3" xfId="59335" xr:uid="{00000000-0005-0000-0000-00009F020000}"/>
    <cellStyle name="75 4" xfId="59336" xr:uid="{00000000-0005-0000-0000-0000A0020000}"/>
    <cellStyle name="75 5" xfId="59337" xr:uid="{00000000-0005-0000-0000-0000A1020000}"/>
    <cellStyle name="75 6" xfId="59338" xr:uid="{00000000-0005-0000-0000-0000A2020000}"/>
    <cellStyle name="75 7" xfId="59339" xr:uid="{00000000-0005-0000-0000-0000A3020000}"/>
    <cellStyle name="75 8" xfId="59340" xr:uid="{00000000-0005-0000-0000-0000A4020000}"/>
    <cellStyle name="75 9" xfId="59341" xr:uid="{00000000-0005-0000-0000-0000A5020000}"/>
    <cellStyle name="75_1_FS10_10.1_เงินให้กู้ยืมและเงินให้กู้ยืม_Q254_2" xfId="59342" xr:uid="{00000000-0005-0000-0000-0000A6020000}"/>
    <cellStyle name="Accent1 2" xfId="59343" xr:uid="{00000000-0005-0000-0000-0000A7020000}"/>
    <cellStyle name="Accent1 2 2" xfId="59344" xr:uid="{00000000-0005-0000-0000-0000A8020000}"/>
    <cellStyle name="Accent1 3" xfId="59345" xr:uid="{00000000-0005-0000-0000-0000A9020000}"/>
    <cellStyle name="Accent1 4" xfId="59346" xr:uid="{00000000-0005-0000-0000-0000AA020000}"/>
    <cellStyle name="Accent1 5" xfId="59347" xr:uid="{00000000-0005-0000-0000-0000AB020000}"/>
    <cellStyle name="Accent2 2" xfId="59348" xr:uid="{00000000-0005-0000-0000-0000AC020000}"/>
    <cellStyle name="Accent2 2 2" xfId="59349" xr:uid="{00000000-0005-0000-0000-0000AD020000}"/>
    <cellStyle name="Accent2 3" xfId="59350" xr:uid="{00000000-0005-0000-0000-0000AE020000}"/>
    <cellStyle name="Accent2 4" xfId="59351" xr:uid="{00000000-0005-0000-0000-0000AF020000}"/>
    <cellStyle name="Accent2 5" xfId="59352" xr:uid="{00000000-0005-0000-0000-0000B0020000}"/>
    <cellStyle name="Accent3 2" xfId="26" xr:uid="{00000000-0005-0000-0000-0000B1020000}"/>
    <cellStyle name="Accent3 2 2" xfId="59354" xr:uid="{00000000-0005-0000-0000-0000B2020000}"/>
    <cellStyle name="Accent3 2 3" xfId="59353" xr:uid="{00000000-0005-0000-0000-0000B3020000}"/>
    <cellStyle name="Accent3 3" xfId="59355" xr:uid="{00000000-0005-0000-0000-0000B4020000}"/>
    <cellStyle name="Accent3 4" xfId="59356" xr:uid="{00000000-0005-0000-0000-0000B5020000}"/>
    <cellStyle name="Accent3 5" xfId="59357" xr:uid="{00000000-0005-0000-0000-0000B6020000}"/>
    <cellStyle name="Accent4 2" xfId="59358" xr:uid="{00000000-0005-0000-0000-0000B7020000}"/>
    <cellStyle name="Accent4 2 2" xfId="59359" xr:uid="{00000000-0005-0000-0000-0000B8020000}"/>
    <cellStyle name="Accent4 3" xfId="59360" xr:uid="{00000000-0005-0000-0000-0000B9020000}"/>
    <cellStyle name="Accent4 4" xfId="59361" xr:uid="{00000000-0005-0000-0000-0000BA020000}"/>
    <cellStyle name="Accent4 5" xfId="59362" xr:uid="{00000000-0005-0000-0000-0000BB020000}"/>
    <cellStyle name="Accent5 2" xfId="27" xr:uid="{00000000-0005-0000-0000-0000BC020000}"/>
    <cellStyle name="Accent5 2 2" xfId="59364" xr:uid="{00000000-0005-0000-0000-0000BD020000}"/>
    <cellStyle name="Accent5 2 3" xfId="59363" xr:uid="{00000000-0005-0000-0000-0000BE020000}"/>
    <cellStyle name="Accent5 3" xfId="59365" xr:uid="{00000000-0005-0000-0000-0000BF020000}"/>
    <cellStyle name="Accent5 4" xfId="59366" xr:uid="{00000000-0005-0000-0000-0000C0020000}"/>
    <cellStyle name="Accent5 5" xfId="59367" xr:uid="{00000000-0005-0000-0000-0000C1020000}"/>
    <cellStyle name="Accent6 2" xfId="59368" xr:uid="{00000000-0005-0000-0000-0000C2020000}"/>
    <cellStyle name="Accent6 2 2" xfId="59369" xr:uid="{00000000-0005-0000-0000-0000C3020000}"/>
    <cellStyle name="Accent6 3" xfId="59370" xr:uid="{00000000-0005-0000-0000-0000C4020000}"/>
    <cellStyle name="Accent6 4" xfId="59371" xr:uid="{00000000-0005-0000-0000-0000C5020000}"/>
    <cellStyle name="Accent6 5" xfId="59372" xr:uid="{00000000-0005-0000-0000-0000C6020000}"/>
    <cellStyle name="Bad 2" xfId="59373" xr:uid="{00000000-0005-0000-0000-0000C7020000}"/>
    <cellStyle name="Bad 2 2" xfId="59374" xr:uid="{00000000-0005-0000-0000-0000C8020000}"/>
    <cellStyle name="Bad 3" xfId="59375" xr:uid="{00000000-0005-0000-0000-0000C9020000}"/>
    <cellStyle name="Bad 4" xfId="59376" xr:uid="{00000000-0005-0000-0000-0000CA020000}"/>
    <cellStyle name="Bad 5" xfId="59377" xr:uid="{00000000-0005-0000-0000-0000CB020000}"/>
    <cellStyle name="brooklny" xfId="59378" xr:uid="{00000000-0005-0000-0000-0000CC020000}"/>
    <cellStyle name="Calculation 2" xfId="59379" xr:uid="{00000000-0005-0000-0000-0000CD020000}"/>
    <cellStyle name="Calculation 2 2" xfId="59380" xr:uid="{00000000-0005-0000-0000-0000CE020000}"/>
    <cellStyle name="Calculation 3" xfId="59381" xr:uid="{00000000-0005-0000-0000-0000CF020000}"/>
    <cellStyle name="Calculation 4" xfId="59382" xr:uid="{00000000-0005-0000-0000-0000D0020000}"/>
    <cellStyle name="Calculation 5" xfId="59383" xr:uid="{00000000-0005-0000-0000-0000D1020000}"/>
    <cellStyle name="Check Cell 2" xfId="59384" xr:uid="{00000000-0005-0000-0000-0000D2020000}"/>
    <cellStyle name="Check Cell 2 2" xfId="59385" xr:uid="{00000000-0005-0000-0000-0000D3020000}"/>
    <cellStyle name="Check Cell 3" xfId="59386" xr:uid="{00000000-0005-0000-0000-0000D4020000}"/>
    <cellStyle name="Check Cell 4" xfId="59387" xr:uid="{00000000-0005-0000-0000-0000D5020000}"/>
    <cellStyle name="Check Cell 5" xfId="59388" xr:uid="{00000000-0005-0000-0000-0000D6020000}"/>
    <cellStyle name="Comma" xfId="1" builtinId="3"/>
    <cellStyle name="Comma [0] 2" xfId="59389" xr:uid="{00000000-0005-0000-0000-0000D7020000}"/>
    <cellStyle name="Comma [0] 2 2" xfId="61047" xr:uid="{00000000-0005-0000-0000-0000D8020000}"/>
    <cellStyle name="Comma [0] 2 3" xfId="61193" xr:uid="{00000000-0005-0000-0000-0000D9020000}"/>
    <cellStyle name="Comma [0] 2 4" xfId="61337" xr:uid="{00000000-0005-0000-0000-0000DA020000}"/>
    <cellStyle name="Comma [0] 2 5" xfId="61481" xr:uid="{00000000-0005-0000-0000-0000DB020000}"/>
    <cellStyle name="Comma [0] 2 6" xfId="61625" xr:uid="{00000000-0005-0000-0000-0000DC020000}"/>
    <cellStyle name="Comma [0] 2 7" xfId="61769" xr:uid="{00000000-0005-0000-0000-0000DD020000}"/>
    <cellStyle name="Comma [0] 3" xfId="59390" xr:uid="{00000000-0005-0000-0000-0000DE020000}"/>
    <cellStyle name="Comma [0] 4" xfId="59391" xr:uid="{00000000-0005-0000-0000-0000DF020000}"/>
    <cellStyle name="Comma 10" xfId="59392" xr:uid="{00000000-0005-0000-0000-0000E0020000}"/>
    <cellStyle name="Comma 10 2" xfId="59393" xr:uid="{00000000-0005-0000-0000-0000E1020000}"/>
    <cellStyle name="Comma 10 2 2" xfId="59394" xr:uid="{00000000-0005-0000-0000-0000E2020000}"/>
    <cellStyle name="Comma 10 2 3" xfId="59395" xr:uid="{00000000-0005-0000-0000-0000E3020000}"/>
    <cellStyle name="Comma 10 2 3 2" xfId="61048" xr:uid="{00000000-0005-0000-0000-0000E4020000}"/>
    <cellStyle name="Comma 10 2 3 3" xfId="61194" xr:uid="{00000000-0005-0000-0000-0000E5020000}"/>
    <cellStyle name="Comma 10 2 3 4" xfId="61338" xr:uid="{00000000-0005-0000-0000-0000E6020000}"/>
    <cellStyle name="Comma 10 2 3 5" xfId="61482" xr:uid="{00000000-0005-0000-0000-0000E7020000}"/>
    <cellStyle name="Comma 10 2 3 6" xfId="61626" xr:uid="{00000000-0005-0000-0000-0000E8020000}"/>
    <cellStyle name="Comma 10 2 3 7" xfId="61770" xr:uid="{00000000-0005-0000-0000-0000E9020000}"/>
    <cellStyle name="Comma 10 2 4" xfId="59396" xr:uid="{00000000-0005-0000-0000-0000EA020000}"/>
    <cellStyle name="Comma 10 3" xfId="59397" xr:uid="{00000000-0005-0000-0000-0000EB020000}"/>
    <cellStyle name="Comma 10 3 2" xfId="59398" xr:uid="{00000000-0005-0000-0000-0000EC020000}"/>
    <cellStyle name="Comma 10 3 2 2" xfId="61049" xr:uid="{00000000-0005-0000-0000-0000ED020000}"/>
    <cellStyle name="Comma 10 3 2 3" xfId="61195" xr:uid="{00000000-0005-0000-0000-0000EE020000}"/>
    <cellStyle name="Comma 10 3 2 4" xfId="61339" xr:uid="{00000000-0005-0000-0000-0000EF020000}"/>
    <cellStyle name="Comma 10 3 2 5" xfId="61483" xr:uid="{00000000-0005-0000-0000-0000F0020000}"/>
    <cellStyle name="Comma 10 3 2 6" xfId="61627" xr:uid="{00000000-0005-0000-0000-0000F1020000}"/>
    <cellStyle name="Comma 10 3 2 7" xfId="61771" xr:uid="{00000000-0005-0000-0000-0000F2020000}"/>
    <cellStyle name="Comma 10 4" xfId="59399" xr:uid="{00000000-0005-0000-0000-0000F3020000}"/>
    <cellStyle name="Comma 10 4 2" xfId="61050" xr:uid="{00000000-0005-0000-0000-0000F4020000}"/>
    <cellStyle name="Comma 10 4 3" xfId="61196" xr:uid="{00000000-0005-0000-0000-0000F5020000}"/>
    <cellStyle name="Comma 10 4 4" xfId="61340" xr:uid="{00000000-0005-0000-0000-0000F6020000}"/>
    <cellStyle name="Comma 10 4 5" xfId="61484" xr:uid="{00000000-0005-0000-0000-0000F7020000}"/>
    <cellStyle name="Comma 10 4 6" xfId="61628" xr:uid="{00000000-0005-0000-0000-0000F8020000}"/>
    <cellStyle name="Comma 10 4 7" xfId="61772" xr:uid="{00000000-0005-0000-0000-0000F9020000}"/>
    <cellStyle name="Comma 10 5" xfId="59400" xr:uid="{00000000-0005-0000-0000-0000FA020000}"/>
    <cellStyle name="Comma 10 6" xfId="59401" xr:uid="{00000000-0005-0000-0000-0000FB020000}"/>
    <cellStyle name="Comma 10 6 2" xfId="61051" xr:uid="{00000000-0005-0000-0000-0000FC020000}"/>
    <cellStyle name="Comma 10 6 3" xfId="61197" xr:uid="{00000000-0005-0000-0000-0000FD020000}"/>
    <cellStyle name="Comma 10 6 4" xfId="61341" xr:uid="{00000000-0005-0000-0000-0000FE020000}"/>
    <cellStyle name="Comma 10 6 5" xfId="61485" xr:uid="{00000000-0005-0000-0000-0000FF020000}"/>
    <cellStyle name="Comma 10 6 6" xfId="61629" xr:uid="{00000000-0005-0000-0000-000000030000}"/>
    <cellStyle name="Comma 10 6 7" xfId="61773" xr:uid="{00000000-0005-0000-0000-000001030000}"/>
    <cellStyle name="Comma 11" xfId="59402" xr:uid="{00000000-0005-0000-0000-000002030000}"/>
    <cellStyle name="Comma 11 2" xfId="59403" xr:uid="{00000000-0005-0000-0000-000003030000}"/>
    <cellStyle name="Comma 11 2 2" xfId="59404" xr:uid="{00000000-0005-0000-0000-000004030000}"/>
    <cellStyle name="Comma 11 2 2 2" xfId="59405" xr:uid="{00000000-0005-0000-0000-000005030000}"/>
    <cellStyle name="Comma 11 2 2 2 2" xfId="61052" xr:uid="{00000000-0005-0000-0000-000006030000}"/>
    <cellStyle name="Comma 11 2 2 2 3" xfId="61198" xr:uid="{00000000-0005-0000-0000-000007030000}"/>
    <cellStyle name="Comma 11 2 2 2 4" xfId="61342" xr:uid="{00000000-0005-0000-0000-000008030000}"/>
    <cellStyle name="Comma 11 2 2 2 5" xfId="61486" xr:uid="{00000000-0005-0000-0000-000009030000}"/>
    <cellStyle name="Comma 11 2 2 2 6" xfId="61630" xr:uid="{00000000-0005-0000-0000-00000A030000}"/>
    <cellStyle name="Comma 11 2 2 2 7" xfId="61774" xr:uid="{00000000-0005-0000-0000-00000B030000}"/>
    <cellStyle name="Comma 11 2 3" xfId="59406" xr:uid="{00000000-0005-0000-0000-00000C030000}"/>
    <cellStyle name="Comma 11 2 3 2" xfId="61053" xr:uid="{00000000-0005-0000-0000-00000D030000}"/>
    <cellStyle name="Comma 11 2 3 3" xfId="61199" xr:uid="{00000000-0005-0000-0000-00000E030000}"/>
    <cellStyle name="Comma 11 2 3 4" xfId="61343" xr:uid="{00000000-0005-0000-0000-00000F030000}"/>
    <cellStyle name="Comma 11 2 3 5" xfId="61487" xr:uid="{00000000-0005-0000-0000-000010030000}"/>
    <cellStyle name="Comma 11 2 3 6" xfId="61631" xr:uid="{00000000-0005-0000-0000-000011030000}"/>
    <cellStyle name="Comma 11 2 3 7" xfId="61775" xr:uid="{00000000-0005-0000-0000-000012030000}"/>
    <cellStyle name="Comma 11 2 4" xfId="59407" xr:uid="{00000000-0005-0000-0000-000013030000}"/>
    <cellStyle name="Comma 11 2 5" xfId="59408" xr:uid="{00000000-0005-0000-0000-000014030000}"/>
    <cellStyle name="Comma 11 3" xfId="59409" xr:uid="{00000000-0005-0000-0000-000015030000}"/>
    <cellStyle name="Comma 11 3 2" xfId="59410" xr:uid="{00000000-0005-0000-0000-000016030000}"/>
    <cellStyle name="Comma 11 3 2 2" xfId="61054" xr:uid="{00000000-0005-0000-0000-000017030000}"/>
    <cellStyle name="Comma 11 3 2 3" xfId="61200" xr:uid="{00000000-0005-0000-0000-000018030000}"/>
    <cellStyle name="Comma 11 3 2 4" xfId="61344" xr:uid="{00000000-0005-0000-0000-000019030000}"/>
    <cellStyle name="Comma 11 3 2 5" xfId="61488" xr:uid="{00000000-0005-0000-0000-00001A030000}"/>
    <cellStyle name="Comma 11 3 2 6" xfId="61632" xr:uid="{00000000-0005-0000-0000-00001B030000}"/>
    <cellStyle name="Comma 11 3 2 7" xfId="61776" xr:uid="{00000000-0005-0000-0000-00001C030000}"/>
    <cellStyle name="Comma 11 4" xfId="59411" xr:uid="{00000000-0005-0000-0000-00001D030000}"/>
    <cellStyle name="Comma 11 4 2" xfId="61055" xr:uid="{00000000-0005-0000-0000-00001E030000}"/>
    <cellStyle name="Comma 11 4 3" xfId="61201" xr:uid="{00000000-0005-0000-0000-00001F030000}"/>
    <cellStyle name="Comma 11 4 4" xfId="61345" xr:uid="{00000000-0005-0000-0000-000020030000}"/>
    <cellStyle name="Comma 11 4 5" xfId="61489" xr:uid="{00000000-0005-0000-0000-000021030000}"/>
    <cellStyle name="Comma 11 4 6" xfId="61633" xr:uid="{00000000-0005-0000-0000-000022030000}"/>
    <cellStyle name="Comma 11 4 7" xfId="61777" xr:uid="{00000000-0005-0000-0000-000023030000}"/>
    <cellStyle name="Comma 12" xfId="59412" xr:uid="{00000000-0005-0000-0000-000024030000}"/>
    <cellStyle name="Comma 12 2" xfId="59413" xr:uid="{00000000-0005-0000-0000-000025030000}"/>
    <cellStyle name="Comma 12 2 2" xfId="59414" xr:uid="{00000000-0005-0000-0000-000026030000}"/>
    <cellStyle name="Comma 12 2 2 2" xfId="61056" xr:uid="{00000000-0005-0000-0000-000027030000}"/>
    <cellStyle name="Comma 12 2 2 3" xfId="61202" xr:uid="{00000000-0005-0000-0000-000028030000}"/>
    <cellStyle name="Comma 12 2 2 4" xfId="61346" xr:uid="{00000000-0005-0000-0000-000029030000}"/>
    <cellStyle name="Comma 12 2 2 5" xfId="61490" xr:uid="{00000000-0005-0000-0000-00002A030000}"/>
    <cellStyle name="Comma 12 2 2 6" xfId="61634" xr:uid="{00000000-0005-0000-0000-00002B030000}"/>
    <cellStyle name="Comma 12 2 2 7" xfId="61778" xr:uid="{00000000-0005-0000-0000-00002C030000}"/>
    <cellStyle name="Comma 12 3" xfId="59415" xr:uid="{00000000-0005-0000-0000-00002D030000}"/>
    <cellStyle name="Comma 12 3 2" xfId="59416" xr:uid="{00000000-0005-0000-0000-00002E030000}"/>
    <cellStyle name="Comma 12 3 2 2" xfId="61057" xr:uid="{00000000-0005-0000-0000-00002F030000}"/>
    <cellStyle name="Comma 12 3 2 3" xfId="61203" xr:uid="{00000000-0005-0000-0000-000030030000}"/>
    <cellStyle name="Comma 12 3 2 4" xfId="61347" xr:uid="{00000000-0005-0000-0000-000031030000}"/>
    <cellStyle name="Comma 12 3 2 5" xfId="61491" xr:uid="{00000000-0005-0000-0000-000032030000}"/>
    <cellStyle name="Comma 12 3 2 6" xfId="61635" xr:uid="{00000000-0005-0000-0000-000033030000}"/>
    <cellStyle name="Comma 12 3 2 7" xfId="61779" xr:uid="{00000000-0005-0000-0000-000034030000}"/>
    <cellStyle name="Comma 12 4" xfId="59417" xr:uid="{00000000-0005-0000-0000-000035030000}"/>
    <cellStyle name="Comma 12 4 2" xfId="61058" xr:uid="{00000000-0005-0000-0000-000036030000}"/>
    <cellStyle name="Comma 12 4 3" xfId="61204" xr:uid="{00000000-0005-0000-0000-000037030000}"/>
    <cellStyle name="Comma 12 4 4" xfId="61348" xr:uid="{00000000-0005-0000-0000-000038030000}"/>
    <cellStyle name="Comma 12 4 5" xfId="61492" xr:uid="{00000000-0005-0000-0000-000039030000}"/>
    <cellStyle name="Comma 12 4 6" xfId="61636" xr:uid="{00000000-0005-0000-0000-00003A030000}"/>
    <cellStyle name="Comma 12 4 7" xfId="61780" xr:uid="{00000000-0005-0000-0000-00003B030000}"/>
    <cellStyle name="Comma 12 5" xfId="59418" xr:uid="{00000000-0005-0000-0000-00003C030000}"/>
    <cellStyle name="Comma 13" xfId="59419" xr:uid="{00000000-0005-0000-0000-00003D030000}"/>
    <cellStyle name="Comma 13 2" xfId="59420" xr:uid="{00000000-0005-0000-0000-00003E030000}"/>
    <cellStyle name="Comma 13 3" xfId="59421" xr:uid="{00000000-0005-0000-0000-00003F030000}"/>
    <cellStyle name="Comma 13 4" xfId="59422" xr:uid="{00000000-0005-0000-0000-000040030000}"/>
    <cellStyle name="Comma 13 4 2" xfId="61059" xr:uid="{00000000-0005-0000-0000-000041030000}"/>
    <cellStyle name="Comma 13 4 3" xfId="61205" xr:uid="{00000000-0005-0000-0000-000042030000}"/>
    <cellStyle name="Comma 13 4 4" xfId="61349" xr:uid="{00000000-0005-0000-0000-000043030000}"/>
    <cellStyle name="Comma 13 4 5" xfId="61493" xr:uid="{00000000-0005-0000-0000-000044030000}"/>
    <cellStyle name="Comma 13 4 6" xfId="61637" xr:uid="{00000000-0005-0000-0000-000045030000}"/>
    <cellStyle name="Comma 13 4 7" xfId="61781" xr:uid="{00000000-0005-0000-0000-000046030000}"/>
    <cellStyle name="Comma 13 5" xfId="59423" xr:uid="{00000000-0005-0000-0000-000047030000}"/>
    <cellStyle name="Comma 14" xfId="59424" xr:uid="{00000000-0005-0000-0000-000048030000}"/>
    <cellStyle name="Comma 14 10" xfId="59425" xr:uid="{00000000-0005-0000-0000-000049030000}"/>
    <cellStyle name="Comma 14 10 2" xfId="59426" xr:uid="{00000000-0005-0000-0000-00004A030000}"/>
    <cellStyle name="Comma 14 10 2 2" xfId="59427" xr:uid="{00000000-0005-0000-0000-00004B030000}"/>
    <cellStyle name="Comma 14 10 2 2 2" xfId="61061" xr:uid="{00000000-0005-0000-0000-00004C030000}"/>
    <cellStyle name="Comma 14 10 2 2 3" xfId="61207" xr:uid="{00000000-0005-0000-0000-00004D030000}"/>
    <cellStyle name="Comma 14 10 2 2 4" xfId="61351" xr:uid="{00000000-0005-0000-0000-00004E030000}"/>
    <cellStyle name="Comma 14 10 2 2 5" xfId="61495" xr:uid="{00000000-0005-0000-0000-00004F030000}"/>
    <cellStyle name="Comma 14 10 2 2 6" xfId="61639" xr:uid="{00000000-0005-0000-0000-000050030000}"/>
    <cellStyle name="Comma 14 10 2 2 7" xfId="61783" xr:uid="{00000000-0005-0000-0000-000051030000}"/>
    <cellStyle name="Comma 14 10 2 3" xfId="61060" xr:uid="{00000000-0005-0000-0000-000052030000}"/>
    <cellStyle name="Comma 14 10 2 4" xfId="61206" xr:uid="{00000000-0005-0000-0000-000053030000}"/>
    <cellStyle name="Comma 14 10 2 5" xfId="61350" xr:uid="{00000000-0005-0000-0000-000054030000}"/>
    <cellStyle name="Comma 14 10 2 6" xfId="61494" xr:uid="{00000000-0005-0000-0000-000055030000}"/>
    <cellStyle name="Comma 14 10 2 7" xfId="61638" xr:uid="{00000000-0005-0000-0000-000056030000}"/>
    <cellStyle name="Comma 14 10 2 8" xfId="61782" xr:uid="{00000000-0005-0000-0000-000057030000}"/>
    <cellStyle name="Comma 14 10 3" xfId="59428" xr:uid="{00000000-0005-0000-0000-000058030000}"/>
    <cellStyle name="Comma 14 11" xfId="59429" xr:uid="{00000000-0005-0000-0000-000059030000}"/>
    <cellStyle name="Comma 14 11 2" xfId="61062" xr:uid="{00000000-0005-0000-0000-00005A030000}"/>
    <cellStyle name="Comma 14 11 3" xfId="61208" xr:uid="{00000000-0005-0000-0000-00005B030000}"/>
    <cellStyle name="Comma 14 11 4" xfId="61352" xr:uid="{00000000-0005-0000-0000-00005C030000}"/>
    <cellStyle name="Comma 14 11 5" xfId="61496" xr:uid="{00000000-0005-0000-0000-00005D030000}"/>
    <cellStyle name="Comma 14 11 6" xfId="61640" xr:uid="{00000000-0005-0000-0000-00005E030000}"/>
    <cellStyle name="Comma 14 11 7" xfId="61784" xr:uid="{00000000-0005-0000-0000-00005F030000}"/>
    <cellStyle name="Comma 14 12" xfId="59430" xr:uid="{00000000-0005-0000-0000-000060030000}"/>
    <cellStyle name="Comma 14 2" xfId="59431" xr:uid="{00000000-0005-0000-0000-000061030000}"/>
    <cellStyle name="Comma 14 2 2" xfId="59432" xr:uid="{00000000-0005-0000-0000-000062030000}"/>
    <cellStyle name="Comma 14 2 2 2" xfId="59433" xr:uid="{00000000-0005-0000-0000-000063030000}"/>
    <cellStyle name="Comma 14 2 2 2 2" xfId="59434" xr:uid="{00000000-0005-0000-0000-000064030000}"/>
    <cellStyle name="Comma 14 2 2 2 2 2" xfId="61064" xr:uid="{00000000-0005-0000-0000-000065030000}"/>
    <cellStyle name="Comma 14 2 2 2 2 3" xfId="61210" xr:uid="{00000000-0005-0000-0000-000066030000}"/>
    <cellStyle name="Comma 14 2 2 2 2 4" xfId="61354" xr:uid="{00000000-0005-0000-0000-000067030000}"/>
    <cellStyle name="Comma 14 2 2 2 2 5" xfId="61498" xr:uid="{00000000-0005-0000-0000-000068030000}"/>
    <cellStyle name="Comma 14 2 2 2 2 6" xfId="61642" xr:uid="{00000000-0005-0000-0000-000069030000}"/>
    <cellStyle name="Comma 14 2 2 2 2 7" xfId="61786" xr:uid="{00000000-0005-0000-0000-00006A030000}"/>
    <cellStyle name="Comma 14 2 2 2 3" xfId="61063" xr:uid="{00000000-0005-0000-0000-00006B030000}"/>
    <cellStyle name="Comma 14 2 2 2 4" xfId="61209" xr:uid="{00000000-0005-0000-0000-00006C030000}"/>
    <cellStyle name="Comma 14 2 2 2 5" xfId="61353" xr:uid="{00000000-0005-0000-0000-00006D030000}"/>
    <cellStyle name="Comma 14 2 2 2 6" xfId="61497" xr:uid="{00000000-0005-0000-0000-00006E030000}"/>
    <cellStyle name="Comma 14 2 2 2 7" xfId="61641" xr:uid="{00000000-0005-0000-0000-00006F030000}"/>
    <cellStyle name="Comma 14 2 2 2 8" xfId="61785" xr:uid="{00000000-0005-0000-0000-000070030000}"/>
    <cellStyle name="Comma 14 2 2 3" xfId="59435" xr:uid="{00000000-0005-0000-0000-000071030000}"/>
    <cellStyle name="Comma 14 3" xfId="59436" xr:uid="{00000000-0005-0000-0000-000072030000}"/>
    <cellStyle name="Comma 14 4" xfId="59437" xr:uid="{00000000-0005-0000-0000-000073030000}"/>
    <cellStyle name="Comma 14 5" xfId="59438" xr:uid="{00000000-0005-0000-0000-000074030000}"/>
    <cellStyle name="Comma 14 6" xfId="59439" xr:uid="{00000000-0005-0000-0000-000075030000}"/>
    <cellStyle name="Comma 14 7" xfId="59440" xr:uid="{00000000-0005-0000-0000-000076030000}"/>
    <cellStyle name="Comma 14 8" xfId="59441" xr:uid="{00000000-0005-0000-0000-000077030000}"/>
    <cellStyle name="Comma 14 9" xfId="59442" xr:uid="{00000000-0005-0000-0000-000078030000}"/>
    <cellStyle name="Comma 15" xfId="59443" xr:uid="{00000000-0005-0000-0000-000079030000}"/>
    <cellStyle name="Comma 15 2" xfId="59444" xr:uid="{00000000-0005-0000-0000-00007A030000}"/>
    <cellStyle name="Comma 15 2 2" xfId="59445" xr:uid="{00000000-0005-0000-0000-00007B030000}"/>
    <cellStyle name="Comma 15 2 2 2" xfId="59446" xr:uid="{00000000-0005-0000-0000-00007C030000}"/>
    <cellStyle name="Comma 15 2 2 2 2" xfId="61066" xr:uid="{00000000-0005-0000-0000-00007D030000}"/>
    <cellStyle name="Comma 15 2 2 2 3" xfId="61212" xr:uid="{00000000-0005-0000-0000-00007E030000}"/>
    <cellStyle name="Comma 15 2 2 2 4" xfId="61356" xr:uid="{00000000-0005-0000-0000-00007F030000}"/>
    <cellStyle name="Comma 15 2 2 2 5" xfId="61500" xr:uid="{00000000-0005-0000-0000-000080030000}"/>
    <cellStyle name="Comma 15 2 2 2 6" xfId="61644" xr:uid="{00000000-0005-0000-0000-000081030000}"/>
    <cellStyle name="Comma 15 2 2 2 7" xfId="61788" xr:uid="{00000000-0005-0000-0000-000082030000}"/>
    <cellStyle name="Comma 15 2 2 3" xfId="61065" xr:uid="{00000000-0005-0000-0000-000083030000}"/>
    <cellStyle name="Comma 15 2 2 4" xfId="61211" xr:uid="{00000000-0005-0000-0000-000084030000}"/>
    <cellStyle name="Comma 15 2 2 5" xfId="61355" xr:uid="{00000000-0005-0000-0000-000085030000}"/>
    <cellStyle name="Comma 15 2 2 6" xfId="61499" xr:uid="{00000000-0005-0000-0000-000086030000}"/>
    <cellStyle name="Comma 15 2 2 7" xfId="61643" xr:uid="{00000000-0005-0000-0000-000087030000}"/>
    <cellStyle name="Comma 15 2 2 8" xfId="61787" xr:uid="{00000000-0005-0000-0000-000088030000}"/>
    <cellStyle name="Comma 15 3" xfId="59447" xr:uid="{00000000-0005-0000-0000-000089030000}"/>
    <cellStyle name="Comma 15 3 2" xfId="59448" xr:uid="{00000000-0005-0000-0000-00008A030000}"/>
    <cellStyle name="Comma 15 3 2 2" xfId="61067" xr:uid="{00000000-0005-0000-0000-00008B030000}"/>
    <cellStyle name="Comma 15 3 2 3" xfId="61213" xr:uid="{00000000-0005-0000-0000-00008C030000}"/>
    <cellStyle name="Comma 15 3 2 4" xfId="61357" xr:uid="{00000000-0005-0000-0000-00008D030000}"/>
    <cellStyle name="Comma 15 3 2 5" xfId="61501" xr:uid="{00000000-0005-0000-0000-00008E030000}"/>
    <cellStyle name="Comma 15 3 2 6" xfId="61645" xr:uid="{00000000-0005-0000-0000-00008F030000}"/>
    <cellStyle name="Comma 15 3 2 7" xfId="61789" xr:uid="{00000000-0005-0000-0000-000090030000}"/>
    <cellStyle name="Comma 15 4" xfId="59449" xr:uid="{00000000-0005-0000-0000-000091030000}"/>
    <cellStyle name="Comma 15 4 2" xfId="59450" xr:uid="{00000000-0005-0000-0000-000092030000}"/>
    <cellStyle name="Comma 16" xfId="59451" xr:uid="{00000000-0005-0000-0000-000093030000}"/>
    <cellStyle name="Comma 16 2" xfId="59452" xr:uid="{00000000-0005-0000-0000-000094030000}"/>
    <cellStyle name="Comma 17" xfId="59453" xr:uid="{00000000-0005-0000-0000-000095030000}"/>
    <cellStyle name="Comma 17 2" xfId="59454" xr:uid="{00000000-0005-0000-0000-000096030000}"/>
    <cellStyle name="Comma 18" xfId="59455" xr:uid="{00000000-0005-0000-0000-000097030000}"/>
    <cellStyle name="Comma 18 2" xfId="59456" xr:uid="{00000000-0005-0000-0000-000098030000}"/>
    <cellStyle name="Comma 19" xfId="59457" xr:uid="{00000000-0005-0000-0000-000099030000}"/>
    <cellStyle name="Comma 19 2" xfId="59458" xr:uid="{00000000-0005-0000-0000-00009A030000}"/>
    <cellStyle name="Comma 19 2 2" xfId="61068" xr:uid="{00000000-0005-0000-0000-00009B030000}"/>
    <cellStyle name="Comma 19 2 3" xfId="61214" xr:uid="{00000000-0005-0000-0000-00009C030000}"/>
    <cellStyle name="Comma 19 2 4" xfId="61358" xr:uid="{00000000-0005-0000-0000-00009D030000}"/>
    <cellStyle name="Comma 19 2 5" xfId="61502" xr:uid="{00000000-0005-0000-0000-00009E030000}"/>
    <cellStyle name="Comma 19 2 6" xfId="61646" xr:uid="{00000000-0005-0000-0000-00009F030000}"/>
    <cellStyle name="Comma 19 2 7" xfId="61790" xr:uid="{00000000-0005-0000-0000-0000A0030000}"/>
    <cellStyle name="Comma 19 3" xfId="59459" xr:uid="{00000000-0005-0000-0000-0000A1030000}"/>
    <cellStyle name="Comma 2" xfId="6" xr:uid="{00000000-0005-0000-0000-0000A2030000}"/>
    <cellStyle name="Comma 2 2" xfId="53456" xr:uid="{00000000-0005-0000-0000-0000A3030000}"/>
    <cellStyle name="Comma 2 2 10" xfId="61647" xr:uid="{00000000-0005-0000-0000-0000A4030000}"/>
    <cellStyle name="Comma 2 2 11" xfId="61791" xr:uid="{00000000-0005-0000-0000-0000A5030000}"/>
    <cellStyle name="Comma 2 2 2" xfId="59461" xr:uid="{00000000-0005-0000-0000-0000A6030000}"/>
    <cellStyle name="Comma 2 2 2 2" xfId="59462" xr:uid="{00000000-0005-0000-0000-0000A7030000}"/>
    <cellStyle name="Comma 2 2 2 3" xfId="59463" xr:uid="{00000000-0005-0000-0000-0000A8030000}"/>
    <cellStyle name="Comma 2 2 2 3 2" xfId="61070" xr:uid="{00000000-0005-0000-0000-0000A9030000}"/>
    <cellStyle name="Comma 2 2 2 3 3" xfId="61216" xr:uid="{00000000-0005-0000-0000-0000AA030000}"/>
    <cellStyle name="Comma 2 2 2 3 4" xfId="61360" xr:uid="{00000000-0005-0000-0000-0000AB030000}"/>
    <cellStyle name="Comma 2 2 2 3 5" xfId="61504" xr:uid="{00000000-0005-0000-0000-0000AC030000}"/>
    <cellStyle name="Comma 2 2 2 3 6" xfId="61648" xr:uid="{00000000-0005-0000-0000-0000AD030000}"/>
    <cellStyle name="Comma 2 2 2 3 7" xfId="61792" xr:uid="{00000000-0005-0000-0000-0000AE030000}"/>
    <cellStyle name="Comma 2 2 3" xfId="59464" xr:uid="{00000000-0005-0000-0000-0000AF030000}"/>
    <cellStyle name="Comma 2 2 4" xfId="59465" xr:uid="{00000000-0005-0000-0000-0000B0030000}"/>
    <cellStyle name="Comma 2 2 5" xfId="59460" xr:uid="{00000000-0005-0000-0000-0000B1030000}"/>
    <cellStyle name="Comma 2 2 6" xfId="61069" xr:uid="{00000000-0005-0000-0000-0000B2030000}"/>
    <cellStyle name="Comma 2 2 7" xfId="61215" xr:uid="{00000000-0005-0000-0000-0000B3030000}"/>
    <cellStyle name="Comma 2 2 8" xfId="61359" xr:uid="{00000000-0005-0000-0000-0000B4030000}"/>
    <cellStyle name="Comma 2 2 9" xfId="61503" xr:uid="{00000000-0005-0000-0000-0000B5030000}"/>
    <cellStyle name="Comma 2 3" xfId="58808" xr:uid="{00000000-0005-0000-0000-0000B6030000}"/>
    <cellStyle name="Comma 2 3 2" xfId="59467" xr:uid="{00000000-0005-0000-0000-0000B7030000}"/>
    <cellStyle name="Comma 2 3 2 2" xfId="59468" xr:uid="{00000000-0005-0000-0000-0000B8030000}"/>
    <cellStyle name="Comma 2 3 3" xfId="59469" xr:uid="{00000000-0005-0000-0000-0000B9030000}"/>
    <cellStyle name="Comma 2 3 4" xfId="59470" xr:uid="{00000000-0005-0000-0000-0000BA030000}"/>
    <cellStyle name="Comma 2 3 5" xfId="59471" xr:uid="{00000000-0005-0000-0000-0000BB030000}"/>
    <cellStyle name="Comma 2 3 6" xfId="59472" xr:uid="{00000000-0005-0000-0000-0000BC030000}"/>
    <cellStyle name="Comma 2 3 7" xfId="59466" xr:uid="{00000000-0005-0000-0000-0000BD030000}"/>
    <cellStyle name="Comma 2 4" xfId="59473" xr:uid="{00000000-0005-0000-0000-0000BE030000}"/>
    <cellStyle name="Comma 2 4 2" xfId="59474" xr:uid="{00000000-0005-0000-0000-0000BF030000}"/>
    <cellStyle name="Comma 2 4 2 2" xfId="59475" xr:uid="{00000000-0005-0000-0000-0000C0030000}"/>
    <cellStyle name="Comma 2 4 3" xfId="59476" xr:uid="{00000000-0005-0000-0000-0000C1030000}"/>
    <cellStyle name="Comma 2 4 4" xfId="59477" xr:uid="{00000000-0005-0000-0000-0000C2030000}"/>
    <cellStyle name="Comma 2 4 5" xfId="59478" xr:uid="{00000000-0005-0000-0000-0000C3030000}"/>
    <cellStyle name="Comma 2 5" xfId="59479" xr:uid="{00000000-0005-0000-0000-0000C4030000}"/>
    <cellStyle name="Comma 2 5 10" xfId="61793" xr:uid="{00000000-0005-0000-0000-0000C5030000}"/>
    <cellStyle name="Comma 2 5 2" xfId="59480" xr:uid="{00000000-0005-0000-0000-0000C6030000}"/>
    <cellStyle name="Comma 2 5 2 2" xfId="59481" xr:uid="{00000000-0005-0000-0000-0000C7030000}"/>
    <cellStyle name="Comma 2 5 2 2 2" xfId="61072" xr:uid="{00000000-0005-0000-0000-0000C8030000}"/>
    <cellStyle name="Comma 2 5 2 2 3" xfId="61218" xr:uid="{00000000-0005-0000-0000-0000C9030000}"/>
    <cellStyle name="Comma 2 5 2 2 4" xfId="61362" xr:uid="{00000000-0005-0000-0000-0000CA030000}"/>
    <cellStyle name="Comma 2 5 2 2 5" xfId="61506" xr:uid="{00000000-0005-0000-0000-0000CB030000}"/>
    <cellStyle name="Comma 2 5 2 2 6" xfId="61650" xr:uid="{00000000-0005-0000-0000-0000CC030000}"/>
    <cellStyle name="Comma 2 5 2 2 7" xfId="61794" xr:uid="{00000000-0005-0000-0000-0000CD030000}"/>
    <cellStyle name="Comma 2 5 3" xfId="59482" xr:uid="{00000000-0005-0000-0000-0000CE030000}"/>
    <cellStyle name="Comma 2 5 3 2" xfId="61073" xr:uid="{00000000-0005-0000-0000-0000CF030000}"/>
    <cellStyle name="Comma 2 5 3 3" xfId="61219" xr:uid="{00000000-0005-0000-0000-0000D0030000}"/>
    <cellStyle name="Comma 2 5 3 4" xfId="61363" xr:uid="{00000000-0005-0000-0000-0000D1030000}"/>
    <cellStyle name="Comma 2 5 3 5" xfId="61507" xr:uid="{00000000-0005-0000-0000-0000D2030000}"/>
    <cellStyle name="Comma 2 5 3 6" xfId="61651" xr:uid="{00000000-0005-0000-0000-0000D3030000}"/>
    <cellStyle name="Comma 2 5 3 7" xfId="61795" xr:uid="{00000000-0005-0000-0000-0000D4030000}"/>
    <cellStyle name="Comma 2 5 4" xfId="59483" xr:uid="{00000000-0005-0000-0000-0000D5030000}"/>
    <cellStyle name="Comma 2 5 4 2" xfId="61074" xr:uid="{00000000-0005-0000-0000-0000D6030000}"/>
    <cellStyle name="Comma 2 5 4 3" xfId="61220" xr:uid="{00000000-0005-0000-0000-0000D7030000}"/>
    <cellStyle name="Comma 2 5 4 4" xfId="61364" xr:uid="{00000000-0005-0000-0000-0000D8030000}"/>
    <cellStyle name="Comma 2 5 4 5" xfId="61508" xr:uid="{00000000-0005-0000-0000-0000D9030000}"/>
    <cellStyle name="Comma 2 5 4 6" xfId="61652" xr:uid="{00000000-0005-0000-0000-0000DA030000}"/>
    <cellStyle name="Comma 2 5 4 7" xfId="61796" xr:uid="{00000000-0005-0000-0000-0000DB030000}"/>
    <cellStyle name="Comma 2 5 5" xfId="61071" xr:uid="{00000000-0005-0000-0000-0000DC030000}"/>
    <cellStyle name="Comma 2 5 6" xfId="61217" xr:uid="{00000000-0005-0000-0000-0000DD030000}"/>
    <cellStyle name="Comma 2 5 7" xfId="61361" xr:uid="{00000000-0005-0000-0000-0000DE030000}"/>
    <cellStyle name="Comma 2 5 8" xfId="61505" xr:uid="{00000000-0005-0000-0000-0000DF030000}"/>
    <cellStyle name="Comma 2 5 9" xfId="61649" xr:uid="{00000000-0005-0000-0000-0000E0030000}"/>
    <cellStyle name="Comma 2 6" xfId="59484" xr:uid="{00000000-0005-0000-0000-0000E1030000}"/>
    <cellStyle name="Comma 2 6 2" xfId="59485" xr:uid="{00000000-0005-0000-0000-0000E2030000}"/>
    <cellStyle name="Comma 2 6 2 2" xfId="61075" xr:uid="{00000000-0005-0000-0000-0000E3030000}"/>
    <cellStyle name="Comma 2 6 2 3" xfId="61221" xr:uid="{00000000-0005-0000-0000-0000E4030000}"/>
    <cellStyle name="Comma 2 6 2 4" xfId="61365" xr:uid="{00000000-0005-0000-0000-0000E5030000}"/>
    <cellStyle name="Comma 2 6 2 5" xfId="61509" xr:uid="{00000000-0005-0000-0000-0000E6030000}"/>
    <cellStyle name="Comma 2 6 2 6" xfId="61653" xr:uid="{00000000-0005-0000-0000-0000E7030000}"/>
    <cellStyle name="Comma 2 6 2 7" xfId="61797" xr:uid="{00000000-0005-0000-0000-0000E8030000}"/>
    <cellStyle name="Comma 2 6 3" xfId="59486" xr:uid="{00000000-0005-0000-0000-0000E9030000}"/>
    <cellStyle name="Comma 2 7" xfId="59487" xr:uid="{00000000-0005-0000-0000-0000EA030000}"/>
    <cellStyle name="Comma 2_1_FS10_10.1_เงินให้กู้ยืมและเงินให้กู้ยืม_Q254_2" xfId="59488" xr:uid="{00000000-0005-0000-0000-0000EB030000}"/>
    <cellStyle name="Comma 20" xfId="59489" xr:uid="{00000000-0005-0000-0000-0000EC030000}"/>
    <cellStyle name="Comma 20 2" xfId="59490" xr:uid="{00000000-0005-0000-0000-0000ED030000}"/>
    <cellStyle name="Comma 20 2 2" xfId="61076" xr:uid="{00000000-0005-0000-0000-0000EE030000}"/>
    <cellStyle name="Comma 20 2 3" xfId="61222" xr:uid="{00000000-0005-0000-0000-0000EF030000}"/>
    <cellStyle name="Comma 20 2 4" xfId="61366" xr:uid="{00000000-0005-0000-0000-0000F0030000}"/>
    <cellStyle name="Comma 20 2 5" xfId="61510" xr:uid="{00000000-0005-0000-0000-0000F1030000}"/>
    <cellStyle name="Comma 20 2 6" xfId="61654" xr:uid="{00000000-0005-0000-0000-0000F2030000}"/>
    <cellStyle name="Comma 20 2 7" xfId="61798" xr:uid="{00000000-0005-0000-0000-0000F3030000}"/>
    <cellStyle name="Comma 20 3" xfId="59491" xr:uid="{00000000-0005-0000-0000-0000F4030000}"/>
    <cellStyle name="Comma 21" xfId="59492" xr:uid="{00000000-0005-0000-0000-0000F5030000}"/>
    <cellStyle name="Comma 21 2" xfId="59493" xr:uid="{00000000-0005-0000-0000-0000F6030000}"/>
    <cellStyle name="Comma 21 2 2" xfId="61077" xr:uid="{00000000-0005-0000-0000-0000F7030000}"/>
    <cellStyle name="Comma 21 2 3" xfId="61223" xr:uid="{00000000-0005-0000-0000-0000F8030000}"/>
    <cellStyle name="Comma 21 2 4" xfId="61367" xr:uid="{00000000-0005-0000-0000-0000F9030000}"/>
    <cellStyle name="Comma 21 2 5" xfId="61511" xr:uid="{00000000-0005-0000-0000-0000FA030000}"/>
    <cellStyle name="Comma 21 2 6" xfId="61655" xr:uid="{00000000-0005-0000-0000-0000FB030000}"/>
    <cellStyle name="Comma 21 2 7" xfId="61799" xr:uid="{00000000-0005-0000-0000-0000FC030000}"/>
    <cellStyle name="Comma 21 3" xfId="59494" xr:uid="{00000000-0005-0000-0000-0000FD030000}"/>
    <cellStyle name="Comma 22" xfId="59495" xr:uid="{00000000-0005-0000-0000-0000FE030000}"/>
    <cellStyle name="Comma 22 2" xfId="59496" xr:uid="{00000000-0005-0000-0000-0000FF030000}"/>
    <cellStyle name="Comma 22 2 2" xfId="61078" xr:uid="{00000000-0005-0000-0000-000000040000}"/>
    <cellStyle name="Comma 22 2 3" xfId="61224" xr:uid="{00000000-0005-0000-0000-000001040000}"/>
    <cellStyle name="Comma 22 2 4" xfId="61368" xr:uid="{00000000-0005-0000-0000-000002040000}"/>
    <cellStyle name="Comma 22 2 5" xfId="61512" xr:uid="{00000000-0005-0000-0000-000003040000}"/>
    <cellStyle name="Comma 22 2 6" xfId="61656" xr:uid="{00000000-0005-0000-0000-000004040000}"/>
    <cellStyle name="Comma 22 2 7" xfId="61800" xr:uid="{00000000-0005-0000-0000-000005040000}"/>
    <cellStyle name="Comma 22 3" xfId="59497" xr:uid="{00000000-0005-0000-0000-000006040000}"/>
    <cellStyle name="Comma 23" xfId="59498" xr:uid="{00000000-0005-0000-0000-000007040000}"/>
    <cellStyle name="Comma 23 2" xfId="59499" xr:uid="{00000000-0005-0000-0000-000008040000}"/>
    <cellStyle name="Comma 23 2 2" xfId="61079" xr:uid="{00000000-0005-0000-0000-000009040000}"/>
    <cellStyle name="Comma 23 2 3" xfId="61225" xr:uid="{00000000-0005-0000-0000-00000A040000}"/>
    <cellStyle name="Comma 23 2 4" xfId="61369" xr:uid="{00000000-0005-0000-0000-00000B040000}"/>
    <cellStyle name="Comma 23 2 5" xfId="61513" xr:uid="{00000000-0005-0000-0000-00000C040000}"/>
    <cellStyle name="Comma 23 2 6" xfId="61657" xr:uid="{00000000-0005-0000-0000-00000D040000}"/>
    <cellStyle name="Comma 23 2 7" xfId="61801" xr:uid="{00000000-0005-0000-0000-00000E040000}"/>
    <cellStyle name="Comma 23 3" xfId="21" xr:uid="{00000000-0005-0000-0000-00000F040000}"/>
    <cellStyle name="Comma 23 3 2" xfId="59500" xr:uid="{00000000-0005-0000-0000-000010040000}"/>
    <cellStyle name="Comma 24" xfId="59501" xr:uid="{00000000-0005-0000-0000-000011040000}"/>
    <cellStyle name="Comma 24 2" xfId="59502" xr:uid="{00000000-0005-0000-0000-000012040000}"/>
    <cellStyle name="Comma 24 2 2" xfId="61080" xr:uid="{00000000-0005-0000-0000-000013040000}"/>
    <cellStyle name="Comma 24 2 3" xfId="61226" xr:uid="{00000000-0005-0000-0000-000014040000}"/>
    <cellStyle name="Comma 24 2 4" xfId="61370" xr:uid="{00000000-0005-0000-0000-000015040000}"/>
    <cellStyle name="Comma 24 2 5" xfId="61514" xr:uid="{00000000-0005-0000-0000-000016040000}"/>
    <cellStyle name="Comma 24 2 6" xfId="61658" xr:uid="{00000000-0005-0000-0000-000017040000}"/>
    <cellStyle name="Comma 24 2 7" xfId="61802" xr:uid="{00000000-0005-0000-0000-000018040000}"/>
    <cellStyle name="Comma 24 3" xfId="59503" xr:uid="{00000000-0005-0000-0000-000019040000}"/>
    <cellStyle name="Comma 25" xfId="59504" xr:uid="{00000000-0005-0000-0000-00001A040000}"/>
    <cellStyle name="Comma 25 2" xfId="59505" xr:uid="{00000000-0005-0000-0000-00001B040000}"/>
    <cellStyle name="Comma 25 2 2" xfId="61081" xr:uid="{00000000-0005-0000-0000-00001C040000}"/>
    <cellStyle name="Comma 25 2 3" xfId="61227" xr:uid="{00000000-0005-0000-0000-00001D040000}"/>
    <cellStyle name="Comma 25 2 4" xfId="61371" xr:uid="{00000000-0005-0000-0000-00001E040000}"/>
    <cellStyle name="Comma 25 2 5" xfId="61515" xr:uid="{00000000-0005-0000-0000-00001F040000}"/>
    <cellStyle name="Comma 25 2 6" xfId="61659" xr:uid="{00000000-0005-0000-0000-000020040000}"/>
    <cellStyle name="Comma 25 2 7" xfId="61803" xr:uid="{00000000-0005-0000-0000-000021040000}"/>
    <cellStyle name="Comma 25 3" xfId="59506" xr:uid="{00000000-0005-0000-0000-000022040000}"/>
    <cellStyle name="Comma 26" xfId="59507" xr:uid="{00000000-0005-0000-0000-000023040000}"/>
    <cellStyle name="Comma 26 2" xfId="59508" xr:uid="{00000000-0005-0000-0000-000024040000}"/>
    <cellStyle name="Comma 26 2 2" xfId="61082" xr:uid="{00000000-0005-0000-0000-000025040000}"/>
    <cellStyle name="Comma 26 2 3" xfId="61228" xr:uid="{00000000-0005-0000-0000-000026040000}"/>
    <cellStyle name="Comma 26 2 4" xfId="61372" xr:uid="{00000000-0005-0000-0000-000027040000}"/>
    <cellStyle name="Comma 26 2 5" xfId="61516" xr:uid="{00000000-0005-0000-0000-000028040000}"/>
    <cellStyle name="Comma 26 2 6" xfId="61660" xr:uid="{00000000-0005-0000-0000-000029040000}"/>
    <cellStyle name="Comma 26 2 7" xfId="61804" xr:uid="{00000000-0005-0000-0000-00002A040000}"/>
    <cellStyle name="Comma 26 3" xfId="59509" xr:uid="{00000000-0005-0000-0000-00002B040000}"/>
    <cellStyle name="Comma 27" xfId="59510" xr:uid="{00000000-0005-0000-0000-00002C040000}"/>
    <cellStyle name="Comma 27 2" xfId="59511" xr:uid="{00000000-0005-0000-0000-00002D040000}"/>
    <cellStyle name="Comma 27 2 2" xfId="61083" xr:uid="{00000000-0005-0000-0000-00002E040000}"/>
    <cellStyle name="Comma 27 2 3" xfId="61229" xr:uid="{00000000-0005-0000-0000-00002F040000}"/>
    <cellStyle name="Comma 27 2 4" xfId="61373" xr:uid="{00000000-0005-0000-0000-000030040000}"/>
    <cellStyle name="Comma 27 2 5" xfId="61517" xr:uid="{00000000-0005-0000-0000-000031040000}"/>
    <cellStyle name="Comma 27 2 6" xfId="61661" xr:uid="{00000000-0005-0000-0000-000032040000}"/>
    <cellStyle name="Comma 27 2 7" xfId="61805" xr:uid="{00000000-0005-0000-0000-000033040000}"/>
    <cellStyle name="Comma 27 3" xfId="59512" xr:uid="{00000000-0005-0000-0000-000034040000}"/>
    <cellStyle name="Comma 28" xfId="59513" xr:uid="{00000000-0005-0000-0000-000035040000}"/>
    <cellStyle name="Comma 28 2" xfId="59514" xr:uid="{00000000-0005-0000-0000-000036040000}"/>
    <cellStyle name="Comma 29" xfId="59515" xr:uid="{00000000-0005-0000-0000-000037040000}"/>
    <cellStyle name="Comma 29 2" xfId="59516" xr:uid="{00000000-0005-0000-0000-000038040000}"/>
    <cellStyle name="Comma 3" xfId="11" xr:uid="{00000000-0005-0000-0000-000039040000}"/>
    <cellStyle name="Comma 3 10" xfId="61890" xr:uid="{00000000-0005-0000-0000-00003A040000}"/>
    <cellStyle name="Comma 3 2" xfId="58807" xr:uid="{00000000-0005-0000-0000-00003B040000}"/>
    <cellStyle name="Comma 3 2 2" xfId="59518" xr:uid="{00000000-0005-0000-0000-00003C040000}"/>
    <cellStyle name="Comma 3 2 2 2" xfId="59519" xr:uid="{00000000-0005-0000-0000-00003D040000}"/>
    <cellStyle name="Comma 3 2 2 2 2" xfId="61084" xr:uid="{00000000-0005-0000-0000-00003E040000}"/>
    <cellStyle name="Comma 3 2 2 2 3" xfId="61230" xr:uid="{00000000-0005-0000-0000-00003F040000}"/>
    <cellStyle name="Comma 3 2 2 2 4" xfId="61374" xr:uid="{00000000-0005-0000-0000-000040040000}"/>
    <cellStyle name="Comma 3 2 2 2 5" xfId="61518" xr:uid="{00000000-0005-0000-0000-000041040000}"/>
    <cellStyle name="Comma 3 2 2 2 6" xfId="61662" xr:uid="{00000000-0005-0000-0000-000042040000}"/>
    <cellStyle name="Comma 3 2 2 2 7" xfId="61806" xr:uid="{00000000-0005-0000-0000-000043040000}"/>
    <cellStyle name="Comma 3 2 3" xfId="59520" xr:uid="{00000000-0005-0000-0000-000044040000}"/>
    <cellStyle name="Comma 3 2 4" xfId="59521" xr:uid="{00000000-0005-0000-0000-000045040000}"/>
    <cellStyle name="Comma 3 2 4 2" xfId="59522" xr:uid="{00000000-0005-0000-0000-000046040000}"/>
    <cellStyle name="Comma 3 2 4 2 2" xfId="61085" xr:uid="{00000000-0005-0000-0000-000047040000}"/>
    <cellStyle name="Comma 3 2 4 2 3" xfId="61231" xr:uid="{00000000-0005-0000-0000-000048040000}"/>
    <cellStyle name="Comma 3 2 4 2 4" xfId="61375" xr:uid="{00000000-0005-0000-0000-000049040000}"/>
    <cellStyle name="Comma 3 2 4 2 5" xfId="61519" xr:uid="{00000000-0005-0000-0000-00004A040000}"/>
    <cellStyle name="Comma 3 2 4 2 6" xfId="61663" xr:uid="{00000000-0005-0000-0000-00004B040000}"/>
    <cellStyle name="Comma 3 2 4 2 7" xfId="61807" xr:uid="{00000000-0005-0000-0000-00004C040000}"/>
    <cellStyle name="Comma 3 2 5" xfId="59523" xr:uid="{00000000-0005-0000-0000-00004D040000}"/>
    <cellStyle name="Comma 3 2 5 2" xfId="61086" xr:uid="{00000000-0005-0000-0000-00004E040000}"/>
    <cellStyle name="Comma 3 2 5 3" xfId="61232" xr:uid="{00000000-0005-0000-0000-00004F040000}"/>
    <cellStyle name="Comma 3 2 5 4" xfId="61376" xr:uid="{00000000-0005-0000-0000-000050040000}"/>
    <cellStyle name="Comma 3 2 5 5" xfId="61520" xr:uid="{00000000-0005-0000-0000-000051040000}"/>
    <cellStyle name="Comma 3 2 5 6" xfId="61664" xr:uid="{00000000-0005-0000-0000-000052040000}"/>
    <cellStyle name="Comma 3 2 5 7" xfId="61808" xr:uid="{00000000-0005-0000-0000-000053040000}"/>
    <cellStyle name="Comma 3 2 6" xfId="59524" xr:uid="{00000000-0005-0000-0000-000054040000}"/>
    <cellStyle name="Comma 3 2 6 2" xfId="61087" xr:uid="{00000000-0005-0000-0000-000055040000}"/>
    <cellStyle name="Comma 3 2 6 3" xfId="61233" xr:uid="{00000000-0005-0000-0000-000056040000}"/>
    <cellStyle name="Comma 3 2 6 4" xfId="61377" xr:uid="{00000000-0005-0000-0000-000057040000}"/>
    <cellStyle name="Comma 3 2 6 5" xfId="61521" xr:uid="{00000000-0005-0000-0000-000058040000}"/>
    <cellStyle name="Comma 3 2 6 6" xfId="61665" xr:uid="{00000000-0005-0000-0000-000059040000}"/>
    <cellStyle name="Comma 3 2 6 7" xfId="61809" xr:uid="{00000000-0005-0000-0000-00005A040000}"/>
    <cellStyle name="Comma 3 2 7" xfId="59525" xr:uid="{00000000-0005-0000-0000-00005B040000}"/>
    <cellStyle name="Comma 3 3" xfId="59526" xr:uid="{00000000-0005-0000-0000-00005C040000}"/>
    <cellStyle name="Comma 3 3 2" xfId="59527" xr:uid="{00000000-0005-0000-0000-00005D040000}"/>
    <cellStyle name="Comma 3 3 2 2" xfId="61088" xr:uid="{00000000-0005-0000-0000-00005E040000}"/>
    <cellStyle name="Comma 3 3 2 3" xfId="61234" xr:uid="{00000000-0005-0000-0000-00005F040000}"/>
    <cellStyle name="Comma 3 3 2 4" xfId="61378" xr:uid="{00000000-0005-0000-0000-000060040000}"/>
    <cellStyle name="Comma 3 3 2 5" xfId="61522" xr:uid="{00000000-0005-0000-0000-000061040000}"/>
    <cellStyle name="Comma 3 3 2 6" xfId="61666" xr:uid="{00000000-0005-0000-0000-000062040000}"/>
    <cellStyle name="Comma 3 3 2 7" xfId="61810" xr:uid="{00000000-0005-0000-0000-000063040000}"/>
    <cellStyle name="Comma 3 3 3" xfId="59528" xr:uid="{00000000-0005-0000-0000-000064040000}"/>
    <cellStyle name="Comma 3 3 3 2" xfId="61089" xr:uid="{00000000-0005-0000-0000-000065040000}"/>
    <cellStyle name="Comma 3 3 3 3" xfId="61235" xr:uid="{00000000-0005-0000-0000-000066040000}"/>
    <cellStyle name="Comma 3 3 3 4" xfId="61379" xr:uid="{00000000-0005-0000-0000-000067040000}"/>
    <cellStyle name="Comma 3 3 3 5" xfId="61523" xr:uid="{00000000-0005-0000-0000-000068040000}"/>
    <cellStyle name="Comma 3 3 3 6" xfId="61667" xr:uid="{00000000-0005-0000-0000-000069040000}"/>
    <cellStyle name="Comma 3 3 3 7" xfId="61811" xr:uid="{00000000-0005-0000-0000-00006A040000}"/>
    <cellStyle name="Comma 3 4" xfId="59529" xr:uid="{00000000-0005-0000-0000-00006B040000}"/>
    <cellStyle name="Comma 3 4 2" xfId="59530" xr:uid="{00000000-0005-0000-0000-00006C040000}"/>
    <cellStyle name="Comma 3 4 2 2" xfId="61090" xr:uid="{00000000-0005-0000-0000-00006D040000}"/>
    <cellStyle name="Comma 3 4 2 3" xfId="61236" xr:uid="{00000000-0005-0000-0000-00006E040000}"/>
    <cellStyle name="Comma 3 4 2 4" xfId="61380" xr:uid="{00000000-0005-0000-0000-00006F040000}"/>
    <cellStyle name="Comma 3 4 2 5" xfId="61524" xr:uid="{00000000-0005-0000-0000-000070040000}"/>
    <cellStyle name="Comma 3 4 2 6" xfId="61668" xr:uid="{00000000-0005-0000-0000-000071040000}"/>
    <cellStyle name="Comma 3 4 2 7" xfId="61812" xr:uid="{00000000-0005-0000-0000-000072040000}"/>
    <cellStyle name="Comma 3 5" xfId="59531" xr:uid="{00000000-0005-0000-0000-000073040000}"/>
    <cellStyle name="Comma 3 6" xfId="59532" xr:uid="{00000000-0005-0000-0000-000074040000}"/>
    <cellStyle name="Comma 3 7" xfId="59533" xr:uid="{00000000-0005-0000-0000-000075040000}"/>
    <cellStyle name="Comma 3 7 2" xfId="59534" xr:uid="{00000000-0005-0000-0000-000076040000}"/>
    <cellStyle name="Comma 3 7 2 2" xfId="61091" xr:uid="{00000000-0005-0000-0000-000077040000}"/>
    <cellStyle name="Comma 3 7 2 3" xfId="61237" xr:uid="{00000000-0005-0000-0000-000078040000}"/>
    <cellStyle name="Comma 3 7 2 4" xfId="61381" xr:uid="{00000000-0005-0000-0000-000079040000}"/>
    <cellStyle name="Comma 3 7 2 5" xfId="61525" xr:uid="{00000000-0005-0000-0000-00007A040000}"/>
    <cellStyle name="Comma 3 7 2 6" xfId="61669" xr:uid="{00000000-0005-0000-0000-00007B040000}"/>
    <cellStyle name="Comma 3 7 2 7" xfId="61813" xr:uid="{00000000-0005-0000-0000-00007C040000}"/>
    <cellStyle name="Comma 3 8" xfId="59535" xr:uid="{00000000-0005-0000-0000-00007D040000}"/>
    <cellStyle name="Comma 3 8 2" xfId="61092" xr:uid="{00000000-0005-0000-0000-00007E040000}"/>
    <cellStyle name="Comma 3 8 3" xfId="61238" xr:uid="{00000000-0005-0000-0000-00007F040000}"/>
    <cellStyle name="Comma 3 8 4" xfId="61382" xr:uid="{00000000-0005-0000-0000-000080040000}"/>
    <cellStyle name="Comma 3 8 5" xfId="61526" xr:uid="{00000000-0005-0000-0000-000081040000}"/>
    <cellStyle name="Comma 3 8 6" xfId="61670" xr:uid="{00000000-0005-0000-0000-000082040000}"/>
    <cellStyle name="Comma 3 8 7" xfId="61814" xr:uid="{00000000-0005-0000-0000-000083040000}"/>
    <cellStyle name="Comma 3 9" xfId="59517" xr:uid="{00000000-0005-0000-0000-000084040000}"/>
    <cellStyle name="Comma 3_1_FS10B_Q154" xfId="59536" xr:uid="{00000000-0005-0000-0000-000085040000}"/>
    <cellStyle name="Comma 30" xfId="59537" xr:uid="{00000000-0005-0000-0000-000086040000}"/>
    <cellStyle name="Comma 30 2" xfId="59538" xr:uid="{00000000-0005-0000-0000-000087040000}"/>
    <cellStyle name="Comma 31" xfId="59539" xr:uid="{00000000-0005-0000-0000-000088040000}"/>
    <cellStyle name="Comma 31 2" xfId="59540" xr:uid="{00000000-0005-0000-0000-000089040000}"/>
    <cellStyle name="Comma 32" xfId="59541" xr:uid="{00000000-0005-0000-0000-00008A040000}"/>
    <cellStyle name="Comma 32 2" xfId="59542" xr:uid="{00000000-0005-0000-0000-00008B040000}"/>
    <cellStyle name="Comma 33" xfId="59543" xr:uid="{00000000-0005-0000-0000-00008C040000}"/>
    <cellStyle name="Comma 33 2" xfId="59544" xr:uid="{00000000-0005-0000-0000-00008D040000}"/>
    <cellStyle name="Comma 33 2 2" xfId="61094" xr:uid="{00000000-0005-0000-0000-00008E040000}"/>
    <cellStyle name="Comma 33 2 3" xfId="61240" xr:uid="{00000000-0005-0000-0000-00008F040000}"/>
    <cellStyle name="Comma 33 2 4" xfId="61384" xr:uid="{00000000-0005-0000-0000-000090040000}"/>
    <cellStyle name="Comma 33 2 5" xfId="61528" xr:uid="{00000000-0005-0000-0000-000091040000}"/>
    <cellStyle name="Comma 33 2 6" xfId="61672" xr:uid="{00000000-0005-0000-0000-000092040000}"/>
    <cellStyle name="Comma 33 2 7" xfId="61816" xr:uid="{00000000-0005-0000-0000-000093040000}"/>
    <cellStyle name="Comma 33 3" xfId="59545" xr:uid="{00000000-0005-0000-0000-000094040000}"/>
    <cellStyle name="Comma 33 4" xfId="61093" xr:uid="{00000000-0005-0000-0000-000095040000}"/>
    <cellStyle name="Comma 33 5" xfId="61239" xr:uid="{00000000-0005-0000-0000-000096040000}"/>
    <cellStyle name="Comma 33 6" xfId="61383" xr:uid="{00000000-0005-0000-0000-000097040000}"/>
    <cellStyle name="Comma 33 7" xfId="61527" xr:uid="{00000000-0005-0000-0000-000098040000}"/>
    <cellStyle name="Comma 33 8" xfId="61671" xr:uid="{00000000-0005-0000-0000-000099040000}"/>
    <cellStyle name="Comma 33 9" xfId="61815" xr:uid="{00000000-0005-0000-0000-00009A040000}"/>
    <cellStyle name="Comma 34" xfId="59546" xr:uid="{00000000-0005-0000-0000-00009B040000}"/>
    <cellStyle name="Comma 35" xfId="59547" xr:uid="{00000000-0005-0000-0000-00009C040000}"/>
    <cellStyle name="Comma 36" xfId="59548" xr:uid="{00000000-0005-0000-0000-00009D040000}"/>
    <cellStyle name="Comma 37" xfId="59549" xr:uid="{00000000-0005-0000-0000-00009E040000}"/>
    <cellStyle name="Comma 38" xfId="59550" xr:uid="{00000000-0005-0000-0000-00009F040000}"/>
    <cellStyle name="Comma 38 2" xfId="59551" xr:uid="{00000000-0005-0000-0000-0000A0040000}"/>
    <cellStyle name="Comma 38 2 2" xfId="61095" xr:uid="{00000000-0005-0000-0000-0000A1040000}"/>
    <cellStyle name="Comma 38 2 3" xfId="61241" xr:uid="{00000000-0005-0000-0000-0000A2040000}"/>
    <cellStyle name="Comma 38 2 4" xfId="61385" xr:uid="{00000000-0005-0000-0000-0000A3040000}"/>
    <cellStyle name="Comma 38 2 5" xfId="61529" xr:uid="{00000000-0005-0000-0000-0000A4040000}"/>
    <cellStyle name="Comma 38 2 6" xfId="61673" xr:uid="{00000000-0005-0000-0000-0000A5040000}"/>
    <cellStyle name="Comma 38 2 7" xfId="61817" xr:uid="{00000000-0005-0000-0000-0000A6040000}"/>
    <cellStyle name="Comma 39" xfId="59552" xr:uid="{00000000-0005-0000-0000-0000A7040000}"/>
    <cellStyle name="Comma 39 2" xfId="59553" xr:uid="{00000000-0005-0000-0000-0000A8040000}"/>
    <cellStyle name="Comma 39 2 2" xfId="59554" xr:uid="{00000000-0005-0000-0000-0000A9040000}"/>
    <cellStyle name="Comma 39 2 2 2" xfId="61097" xr:uid="{00000000-0005-0000-0000-0000AA040000}"/>
    <cellStyle name="Comma 39 2 2 3" xfId="61243" xr:uid="{00000000-0005-0000-0000-0000AB040000}"/>
    <cellStyle name="Comma 39 2 2 4" xfId="61387" xr:uid="{00000000-0005-0000-0000-0000AC040000}"/>
    <cellStyle name="Comma 39 2 2 5" xfId="61531" xr:uid="{00000000-0005-0000-0000-0000AD040000}"/>
    <cellStyle name="Comma 39 2 2 6" xfId="61675" xr:uid="{00000000-0005-0000-0000-0000AE040000}"/>
    <cellStyle name="Comma 39 2 2 7" xfId="61819" xr:uid="{00000000-0005-0000-0000-0000AF040000}"/>
    <cellStyle name="Comma 39 2 3" xfId="61096" xr:uid="{00000000-0005-0000-0000-0000B0040000}"/>
    <cellStyle name="Comma 39 2 4" xfId="61242" xr:uid="{00000000-0005-0000-0000-0000B1040000}"/>
    <cellStyle name="Comma 39 2 5" xfId="61386" xr:uid="{00000000-0005-0000-0000-0000B2040000}"/>
    <cellStyle name="Comma 39 2 6" xfId="61530" xr:uid="{00000000-0005-0000-0000-0000B3040000}"/>
    <cellStyle name="Comma 39 2 7" xfId="61674" xr:uid="{00000000-0005-0000-0000-0000B4040000}"/>
    <cellStyle name="Comma 39 2 8" xfId="61818" xr:uid="{00000000-0005-0000-0000-0000B5040000}"/>
    <cellStyle name="Comma 39 3" xfId="59555" xr:uid="{00000000-0005-0000-0000-0000B6040000}"/>
    <cellStyle name="Comma 4" xfId="23" xr:uid="{00000000-0005-0000-0000-0000B7040000}"/>
    <cellStyle name="Comma 4 10" xfId="61532" xr:uid="{00000000-0005-0000-0000-0000B8040000}"/>
    <cellStyle name="Comma 4 11" xfId="61676" xr:uid="{00000000-0005-0000-0000-0000B9040000}"/>
    <cellStyle name="Comma 4 12" xfId="61820" xr:uid="{00000000-0005-0000-0000-0000BA040000}"/>
    <cellStyle name="Comma 4 2" xfId="59557" xr:uid="{00000000-0005-0000-0000-0000BB040000}"/>
    <cellStyle name="Comma 4 2 2" xfId="59558" xr:uid="{00000000-0005-0000-0000-0000BC040000}"/>
    <cellStyle name="Comma 4 2 2 2" xfId="59559" xr:uid="{00000000-0005-0000-0000-0000BD040000}"/>
    <cellStyle name="Comma 4 2 2 3" xfId="59560" xr:uid="{00000000-0005-0000-0000-0000BE040000}"/>
    <cellStyle name="Comma 4 2 2 3 2" xfId="61099" xr:uid="{00000000-0005-0000-0000-0000BF040000}"/>
    <cellStyle name="Comma 4 2 2 3 3" xfId="61245" xr:uid="{00000000-0005-0000-0000-0000C0040000}"/>
    <cellStyle name="Comma 4 2 2 3 4" xfId="61389" xr:uid="{00000000-0005-0000-0000-0000C1040000}"/>
    <cellStyle name="Comma 4 2 2 3 5" xfId="61533" xr:uid="{00000000-0005-0000-0000-0000C2040000}"/>
    <cellStyle name="Comma 4 2 2 3 6" xfId="61677" xr:uid="{00000000-0005-0000-0000-0000C3040000}"/>
    <cellStyle name="Comma 4 2 2 3 7" xfId="61821" xr:uid="{00000000-0005-0000-0000-0000C4040000}"/>
    <cellStyle name="Comma 4 2 3" xfId="59561" xr:uid="{00000000-0005-0000-0000-0000C5040000}"/>
    <cellStyle name="Comma 4 2 3 2" xfId="59562" xr:uid="{00000000-0005-0000-0000-0000C6040000}"/>
    <cellStyle name="Comma 4 2 3 2 2" xfId="61100" xr:uid="{00000000-0005-0000-0000-0000C7040000}"/>
    <cellStyle name="Comma 4 2 3 2 3" xfId="61246" xr:uid="{00000000-0005-0000-0000-0000C8040000}"/>
    <cellStyle name="Comma 4 2 3 2 4" xfId="61390" xr:uid="{00000000-0005-0000-0000-0000C9040000}"/>
    <cellStyle name="Comma 4 2 3 2 5" xfId="61534" xr:uid="{00000000-0005-0000-0000-0000CA040000}"/>
    <cellStyle name="Comma 4 2 3 2 6" xfId="61678" xr:uid="{00000000-0005-0000-0000-0000CB040000}"/>
    <cellStyle name="Comma 4 2 3 2 7" xfId="61822" xr:uid="{00000000-0005-0000-0000-0000CC040000}"/>
    <cellStyle name="Comma 4 2 4" xfId="59563" xr:uid="{00000000-0005-0000-0000-0000CD040000}"/>
    <cellStyle name="Comma 4 2 4 2" xfId="59564" xr:uid="{00000000-0005-0000-0000-0000CE040000}"/>
    <cellStyle name="Comma 4 2 4 2 2" xfId="61101" xr:uid="{00000000-0005-0000-0000-0000CF040000}"/>
    <cellStyle name="Comma 4 2 4 2 3" xfId="61247" xr:uid="{00000000-0005-0000-0000-0000D0040000}"/>
    <cellStyle name="Comma 4 2 4 2 4" xfId="61391" xr:uid="{00000000-0005-0000-0000-0000D1040000}"/>
    <cellStyle name="Comma 4 2 4 2 5" xfId="61535" xr:uid="{00000000-0005-0000-0000-0000D2040000}"/>
    <cellStyle name="Comma 4 2 4 2 6" xfId="61679" xr:uid="{00000000-0005-0000-0000-0000D3040000}"/>
    <cellStyle name="Comma 4 2 4 2 7" xfId="61823" xr:uid="{00000000-0005-0000-0000-0000D4040000}"/>
    <cellStyle name="Comma 4 2 5" xfId="59565" xr:uid="{00000000-0005-0000-0000-0000D5040000}"/>
    <cellStyle name="Comma 4 2 5 2" xfId="59566" xr:uid="{00000000-0005-0000-0000-0000D6040000}"/>
    <cellStyle name="Comma 4 2 5 2 2" xfId="61102" xr:uid="{00000000-0005-0000-0000-0000D7040000}"/>
    <cellStyle name="Comma 4 2 5 2 3" xfId="61248" xr:uid="{00000000-0005-0000-0000-0000D8040000}"/>
    <cellStyle name="Comma 4 2 5 2 4" xfId="61392" xr:uid="{00000000-0005-0000-0000-0000D9040000}"/>
    <cellStyle name="Comma 4 2 5 2 5" xfId="61536" xr:uid="{00000000-0005-0000-0000-0000DA040000}"/>
    <cellStyle name="Comma 4 2 5 2 6" xfId="61680" xr:uid="{00000000-0005-0000-0000-0000DB040000}"/>
    <cellStyle name="Comma 4 2 5 2 7" xfId="61824" xr:uid="{00000000-0005-0000-0000-0000DC040000}"/>
    <cellStyle name="Comma 4 2 6" xfId="59567" xr:uid="{00000000-0005-0000-0000-0000DD040000}"/>
    <cellStyle name="Comma 4 2 6 2" xfId="59568" xr:uid="{00000000-0005-0000-0000-0000DE040000}"/>
    <cellStyle name="Comma 4 2 7" xfId="59569" xr:uid="{00000000-0005-0000-0000-0000DF040000}"/>
    <cellStyle name="Comma 4 2 7 2" xfId="61103" xr:uid="{00000000-0005-0000-0000-0000E0040000}"/>
    <cellStyle name="Comma 4 2 7 3" xfId="61249" xr:uid="{00000000-0005-0000-0000-0000E1040000}"/>
    <cellStyle name="Comma 4 2 7 4" xfId="61393" xr:uid="{00000000-0005-0000-0000-0000E2040000}"/>
    <cellStyle name="Comma 4 2 7 5" xfId="61537" xr:uid="{00000000-0005-0000-0000-0000E3040000}"/>
    <cellStyle name="Comma 4 2 7 6" xfId="61681" xr:uid="{00000000-0005-0000-0000-0000E4040000}"/>
    <cellStyle name="Comma 4 2 7 7" xfId="61825" xr:uid="{00000000-0005-0000-0000-0000E5040000}"/>
    <cellStyle name="Comma 4 2 8" xfId="59570" xr:uid="{00000000-0005-0000-0000-0000E6040000}"/>
    <cellStyle name="Comma 4 2 9" xfId="59571" xr:uid="{00000000-0005-0000-0000-0000E7040000}"/>
    <cellStyle name="Comma 4 3" xfId="59572" xr:uid="{00000000-0005-0000-0000-0000E8040000}"/>
    <cellStyle name="Comma 4 3 2" xfId="59573" xr:uid="{00000000-0005-0000-0000-0000E9040000}"/>
    <cellStyle name="Comma 4 4" xfId="59574" xr:uid="{00000000-0005-0000-0000-0000EA040000}"/>
    <cellStyle name="Comma 4 4 2" xfId="59575" xr:uid="{00000000-0005-0000-0000-0000EB040000}"/>
    <cellStyle name="Comma 4 4 3" xfId="59576" xr:uid="{00000000-0005-0000-0000-0000EC040000}"/>
    <cellStyle name="Comma 4 5" xfId="59577" xr:uid="{00000000-0005-0000-0000-0000ED040000}"/>
    <cellStyle name="Comma 4 6" xfId="59556" xr:uid="{00000000-0005-0000-0000-0000EE040000}"/>
    <cellStyle name="Comma 4 7" xfId="61098" xr:uid="{00000000-0005-0000-0000-0000EF040000}"/>
    <cellStyle name="Comma 4 8" xfId="61244" xr:uid="{00000000-0005-0000-0000-0000F0040000}"/>
    <cellStyle name="Comma 4 9" xfId="61388" xr:uid="{00000000-0005-0000-0000-0000F1040000}"/>
    <cellStyle name="Comma 4_FS8 (แก้ไข)" xfId="59578" xr:uid="{00000000-0005-0000-0000-0000F2040000}"/>
    <cellStyle name="Comma 40" xfId="59579" xr:uid="{00000000-0005-0000-0000-0000F3040000}"/>
    <cellStyle name="Comma 40 2" xfId="59580" xr:uid="{00000000-0005-0000-0000-0000F4040000}"/>
    <cellStyle name="Comma 40 2 2" xfId="61104" xr:uid="{00000000-0005-0000-0000-0000F5040000}"/>
    <cellStyle name="Comma 40 2 3" xfId="61250" xr:uid="{00000000-0005-0000-0000-0000F6040000}"/>
    <cellStyle name="Comma 40 2 4" xfId="61394" xr:uid="{00000000-0005-0000-0000-0000F7040000}"/>
    <cellStyle name="Comma 40 2 5" xfId="61538" xr:uid="{00000000-0005-0000-0000-0000F8040000}"/>
    <cellStyle name="Comma 40 2 6" xfId="61682" xr:uid="{00000000-0005-0000-0000-0000F9040000}"/>
    <cellStyle name="Comma 40 2 7" xfId="61826" xr:uid="{00000000-0005-0000-0000-0000FA040000}"/>
    <cellStyle name="Comma 41" xfId="59581" xr:uid="{00000000-0005-0000-0000-0000FB040000}"/>
    <cellStyle name="Comma 41 2" xfId="59582" xr:uid="{00000000-0005-0000-0000-0000FC040000}"/>
    <cellStyle name="Comma 41 2 2" xfId="61105" xr:uid="{00000000-0005-0000-0000-0000FD040000}"/>
    <cellStyle name="Comma 41 2 3" xfId="61251" xr:uid="{00000000-0005-0000-0000-0000FE040000}"/>
    <cellStyle name="Comma 41 2 4" xfId="61395" xr:uid="{00000000-0005-0000-0000-0000FF040000}"/>
    <cellStyle name="Comma 41 2 5" xfId="61539" xr:uid="{00000000-0005-0000-0000-000000050000}"/>
    <cellStyle name="Comma 41 2 6" xfId="61683" xr:uid="{00000000-0005-0000-0000-000001050000}"/>
    <cellStyle name="Comma 41 2 7" xfId="61827" xr:uid="{00000000-0005-0000-0000-000002050000}"/>
    <cellStyle name="Comma 42" xfId="59583" xr:uid="{00000000-0005-0000-0000-000003050000}"/>
    <cellStyle name="Comma 43" xfId="59584" xr:uid="{00000000-0005-0000-0000-000004050000}"/>
    <cellStyle name="Comma 43 2" xfId="61106" xr:uid="{00000000-0005-0000-0000-000005050000}"/>
    <cellStyle name="Comma 43 3" xfId="61252" xr:uid="{00000000-0005-0000-0000-000006050000}"/>
    <cellStyle name="Comma 43 4" xfId="61396" xr:uid="{00000000-0005-0000-0000-000007050000}"/>
    <cellStyle name="Comma 43 5" xfId="61540" xr:uid="{00000000-0005-0000-0000-000008050000}"/>
    <cellStyle name="Comma 43 6" xfId="61684" xr:uid="{00000000-0005-0000-0000-000009050000}"/>
    <cellStyle name="Comma 43 7" xfId="61828" xr:uid="{00000000-0005-0000-0000-00000A050000}"/>
    <cellStyle name="Comma 44" xfId="59585" xr:uid="{00000000-0005-0000-0000-00000B050000}"/>
    <cellStyle name="Comma 44 2" xfId="59586" xr:uid="{00000000-0005-0000-0000-00000C050000}"/>
    <cellStyle name="Comma 44 2 2" xfId="61108" xr:uid="{00000000-0005-0000-0000-00000D050000}"/>
    <cellStyle name="Comma 44 2 3" xfId="61254" xr:uid="{00000000-0005-0000-0000-00000E050000}"/>
    <cellStyle name="Comma 44 2 4" xfId="61398" xr:uid="{00000000-0005-0000-0000-00000F050000}"/>
    <cellStyle name="Comma 44 2 5" xfId="61542" xr:uid="{00000000-0005-0000-0000-000010050000}"/>
    <cellStyle name="Comma 44 2 6" xfId="61686" xr:uid="{00000000-0005-0000-0000-000011050000}"/>
    <cellStyle name="Comma 44 2 7" xfId="61830" xr:uid="{00000000-0005-0000-0000-000012050000}"/>
    <cellStyle name="Comma 44 3" xfId="61107" xr:uid="{00000000-0005-0000-0000-000013050000}"/>
    <cellStyle name="Comma 44 4" xfId="61253" xr:uid="{00000000-0005-0000-0000-000014050000}"/>
    <cellStyle name="Comma 44 5" xfId="61397" xr:uid="{00000000-0005-0000-0000-000015050000}"/>
    <cellStyle name="Comma 44 6" xfId="61541" xr:uid="{00000000-0005-0000-0000-000016050000}"/>
    <cellStyle name="Comma 44 7" xfId="61685" xr:uid="{00000000-0005-0000-0000-000017050000}"/>
    <cellStyle name="Comma 44 8" xfId="61829" xr:uid="{00000000-0005-0000-0000-000018050000}"/>
    <cellStyle name="Comma 45" xfId="59587" xr:uid="{00000000-0005-0000-0000-000019050000}"/>
    <cellStyle name="Comma 46" xfId="59588" xr:uid="{00000000-0005-0000-0000-00001A050000}"/>
    <cellStyle name="Comma 47" xfId="59589" xr:uid="{00000000-0005-0000-0000-00001B050000}"/>
    <cellStyle name="Comma 48" xfId="59590" xr:uid="{00000000-0005-0000-0000-00001C050000}"/>
    <cellStyle name="Comma 5" xfId="48" xr:uid="{00000000-0005-0000-0000-00001D050000}"/>
    <cellStyle name="Comma 5 2" xfId="59592" xr:uid="{00000000-0005-0000-0000-00001E050000}"/>
    <cellStyle name="Comma 5 2 2" xfId="59593" xr:uid="{00000000-0005-0000-0000-00001F050000}"/>
    <cellStyle name="Comma 5 2 2 2" xfId="59594" xr:uid="{00000000-0005-0000-0000-000020050000}"/>
    <cellStyle name="Comma 5 2 2 2 2" xfId="61109" xr:uid="{00000000-0005-0000-0000-000021050000}"/>
    <cellStyle name="Comma 5 2 2 2 3" xfId="61255" xr:uid="{00000000-0005-0000-0000-000022050000}"/>
    <cellStyle name="Comma 5 2 2 2 4" xfId="61399" xr:uid="{00000000-0005-0000-0000-000023050000}"/>
    <cellStyle name="Comma 5 2 2 2 5" xfId="61543" xr:uid="{00000000-0005-0000-0000-000024050000}"/>
    <cellStyle name="Comma 5 2 2 2 6" xfId="61687" xr:uid="{00000000-0005-0000-0000-000025050000}"/>
    <cellStyle name="Comma 5 2 2 2 7" xfId="61831" xr:uid="{00000000-0005-0000-0000-000026050000}"/>
    <cellStyle name="Comma 5 2 3" xfId="59595" xr:uid="{00000000-0005-0000-0000-000027050000}"/>
    <cellStyle name="Comma 5 2 3 2" xfId="61110" xr:uid="{00000000-0005-0000-0000-000028050000}"/>
    <cellStyle name="Comma 5 2 3 3" xfId="61256" xr:uid="{00000000-0005-0000-0000-000029050000}"/>
    <cellStyle name="Comma 5 2 3 4" xfId="61400" xr:uid="{00000000-0005-0000-0000-00002A050000}"/>
    <cellStyle name="Comma 5 2 3 5" xfId="61544" xr:uid="{00000000-0005-0000-0000-00002B050000}"/>
    <cellStyle name="Comma 5 2 3 6" xfId="61688" xr:uid="{00000000-0005-0000-0000-00002C050000}"/>
    <cellStyle name="Comma 5 2 3 7" xfId="61832" xr:uid="{00000000-0005-0000-0000-00002D050000}"/>
    <cellStyle name="Comma 5 2 4" xfId="59596" xr:uid="{00000000-0005-0000-0000-00002E050000}"/>
    <cellStyle name="Comma 5 3" xfId="59597" xr:uid="{00000000-0005-0000-0000-00002F050000}"/>
    <cellStyle name="Comma 5 3 2" xfId="59598" xr:uid="{00000000-0005-0000-0000-000030050000}"/>
    <cellStyle name="Comma 5 3 2 2" xfId="59599" xr:uid="{00000000-0005-0000-0000-000031050000}"/>
    <cellStyle name="Comma 5 3 2 2 2" xfId="61111" xr:uid="{00000000-0005-0000-0000-000032050000}"/>
    <cellStyle name="Comma 5 3 2 2 3" xfId="61257" xr:uid="{00000000-0005-0000-0000-000033050000}"/>
    <cellStyle name="Comma 5 3 2 2 4" xfId="61401" xr:uid="{00000000-0005-0000-0000-000034050000}"/>
    <cellStyle name="Comma 5 3 2 2 5" xfId="61545" xr:uid="{00000000-0005-0000-0000-000035050000}"/>
    <cellStyle name="Comma 5 3 2 2 6" xfId="61689" xr:uid="{00000000-0005-0000-0000-000036050000}"/>
    <cellStyle name="Comma 5 3 2 2 7" xfId="61833" xr:uid="{00000000-0005-0000-0000-000037050000}"/>
    <cellStyle name="Comma 5 3 3" xfId="59600" xr:uid="{00000000-0005-0000-0000-000038050000}"/>
    <cellStyle name="Comma 5 3 3 2" xfId="61112" xr:uid="{00000000-0005-0000-0000-000039050000}"/>
    <cellStyle name="Comma 5 3 3 3" xfId="61258" xr:uid="{00000000-0005-0000-0000-00003A050000}"/>
    <cellStyle name="Comma 5 3 3 4" xfId="61402" xr:uid="{00000000-0005-0000-0000-00003B050000}"/>
    <cellStyle name="Comma 5 3 3 5" xfId="61546" xr:uid="{00000000-0005-0000-0000-00003C050000}"/>
    <cellStyle name="Comma 5 3 3 6" xfId="61690" xr:uid="{00000000-0005-0000-0000-00003D050000}"/>
    <cellStyle name="Comma 5 3 3 7" xfId="61834" xr:uid="{00000000-0005-0000-0000-00003E050000}"/>
    <cellStyle name="Comma 5 3 4" xfId="59601" xr:uid="{00000000-0005-0000-0000-00003F050000}"/>
    <cellStyle name="Comma 5 3 4 2" xfId="61113" xr:uid="{00000000-0005-0000-0000-000040050000}"/>
    <cellStyle name="Comma 5 3 4 3" xfId="61259" xr:uid="{00000000-0005-0000-0000-000041050000}"/>
    <cellStyle name="Comma 5 3 4 4" xfId="61403" xr:uid="{00000000-0005-0000-0000-000042050000}"/>
    <cellStyle name="Comma 5 3 4 5" xfId="61547" xr:uid="{00000000-0005-0000-0000-000043050000}"/>
    <cellStyle name="Comma 5 3 4 6" xfId="61691" xr:uid="{00000000-0005-0000-0000-000044050000}"/>
    <cellStyle name="Comma 5 3 4 7" xfId="61835" xr:uid="{00000000-0005-0000-0000-000045050000}"/>
    <cellStyle name="Comma 5 4" xfId="59602" xr:uid="{00000000-0005-0000-0000-000046050000}"/>
    <cellStyle name="Comma 5 4 2" xfId="59603" xr:uid="{00000000-0005-0000-0000-000047050000}"/>
    <cellStyle name="Comma 5 4 2 2" xfId="61114" xr:uid="{00000000-0005-0000-0000-000048050000}"/>
    <cellStyle name="Comma 5 4 2 3" xfId="61260" xr:uid="{00000000-0005-0000-0000-000049050000}"/>
    <cellStyle name="Comma 5 4 2 4" xfId="61404" xr:uid="{00000000-0005-0000-0000-00004A050000}"/>
    <cellStyle name="Comma 5 4 2 5" xfId="61548" xr:uid="{00000000-0005-0000-0000-00004B050000}"/>
    <cellStyle name="Comma 5 4 2 6" xfId="61692" xr:uid="{00000000-0005-0000-0000-00004C050000}"/>
    <cellStyle name="Comma 5 4 2 7" xfId="61836" xr:uid="{00000000-0005-0000-0000-00004D050000}"/>
    <cellStyle name="Comma 5 5" xfId="59604" xr:uid="{00000000-0005-0000-0000-00004E050000}"/>
    <cellStyle name="Comma 5 5 2" xfId="59605" xr:uid="{00000000-0005-0000-0000-00004F050000}"/>
    <cellStyle name="Comma 5 5 2 2" xfId="61115" xr:uid="{00000000-0005-0000-0000-000050050000}"/>
    <cellStyle name="Comma 5 5 2 3" xfId="61261" xr:uid="{00000000-0005-0000-0000-000051050000}"/>
    <cellStyle name="Comma 5 5 2 4" xfId="61405" xr:uid="{00000000-0005-0000-0000-000052050000}"/>
    <cellStyle name="Comma 5 5 2 5" xfId="61549" xr:uid="{00000000-0005-0000-0000-000053050000}"/>
    <cellStyle name="Comma 5 5 2 6" xfId="61693" xr:uid="{00000000-0005-0000-0000-000054050000}"/>
    <cellStyle name="Comma 5 5 2 7" xfId="61837" xr:uid="{00000000-0005-0000-0000-000055050000}"/>
    <cellStyle name="Comma 5 6" xfId="59591" xr:uid="{00000000-0005-0000-0000-000056050000}"/>
    <cellStyle name="Comma 5_1_FS10_10.1_เงินให้กู้ยืมและเงินให้กู้ยืม_Q254_2" xfId="59606" xr:uid="{00000000-0005-0000-0000-000057050000}"/>
    <cellStyle name="Comma 6" xfId="58806" xr:uid="{00000000-0005-0000-0000-000058050000}"/>
    <cellStyle name="Comma 6 10" xfId="61893" xr:uid="{00000000-0005-0000-0000-000059050000}"/>
    <cellStyle name="Comma 6 2" xfId="59608" xr:uid="{00000000-0005-0000-0000-00005A050000}"/>
    <cellStyle name="Comma 6 2 2" xfId="59609" xr:uid="{00000000-0005-0000-0000-00005B050000}"/>
    <cellStyle name="Comma 6 2 2 2" xfId="59610" xr:uid="{00000000-0005-0000-0000-00005C050000}"/>
    <cellStyle name="Comma 6 2 2 2 2" xfId="61116" xr:uid="{00000000-0005-0000-0000-00005D050000}"/>
    <cellStyle name="Comma 6 2 2 2 3" xfId="61262" xr:uid="{00000000-0005-0000-0000-00005E050000}"/>
    <cellStyle name="Comma 6 2 2 2 4" xfId="61406" xr:uid="{00000000-0005-0000-0000-00005F050000}"/>
    <cellStyle name="Comma 6 2 2 2 5" xfId="61550" xr:uid="{00000000-0005-0000-0000-000060050000}"/>
    <cellStyle name="Comma 6 2 2 2 6" xfId="61694" xr:uid="{00000000-0005-0000-0000-000061050000}"/>
    <cellStyle name="Comma 6 2 2 2 7" xfId="61838" xr:uid="{00000000-0005-0000-0000-000062050000}"/>
    <cellStyle name="Comma 6 2 3" xfId="59611" xr:uid="{00000000-0005-0000-0000-000063050000}"/>
    <cellStyle name="Comma 6 2 3 2" xfId="61117" xr:uid="{00000000-0005-0000-0000-000064050000}"/>
    <cellStyle name="Comma 6 2 3 3" xfId="61263" xr:uid="{00000000-0005-0000-0000-000065050000}"/>
    <cellStyle name="Comma 6 2 3 4" xfId="61407" xr:uid="{00000000-0005-0000-0000-000066050000}"/>
    <cellStyle name="Comma 6 2 3 5" xfId="61551" xr:uid="{00000000-0005-0000-0000-000067050000}"/>
    <cellStyle name="Comma 6 2 3 6" xfId="61695" xr:uid="{00000000-0005-0000-0000-000068050000}"/>
    <cellStyle name="Comma 6 2 3 7" xfId="61839" xr:uid="{00000000-0005-0000-0000-000069050000}"/>
    <cellStyle name="Comma 6 2 4" xfId="59612" xr:uid="{00000000-0005-0000-0000-00006A050000}"/>
    <cellStyle name="Comma 6 2 4 2" xfId="61118" xr:uid="{00000000-0005-0000-0000-00006B050000}"/>
    <cellStyle name="Comma 6 2 4 3" xfId="61264" xr:uid="{00000000-0005-0000-0000-00006C050000}"/>
    <cellStyle name="Comma 6 2 4 4" xfId="61408" xr:uid="{00000000-0005-0000-0000-00006D050000}"/>
    <cellStyle name="Comma 6 2 4 5" xfId="61552" xr:uid="{00000000-0005-0000-0000-00006E050000}"/>
    <cellStyle name="Comma 6 2 4 6" xfId="61696" xr:uid="{00000000-0005-0000-0000-00006F050000}"/>
    <cellStyle name="Comma 6 2 4 7" xfId="61840" xr:uid="{00000000-0005-0000-0000-000070050000}"/>
    <cellStyle name="Comma 6 2_เงินลงทุน&amp;เงินกู้-ให้กู้Q354" xfId="59613" xr:uid="{00000000-0005-0000-0000-000071050000}"/>
    <cellStyle name="Comma 6 3" xfId="59614" xr:uid="{00000000-0005-0000-0000-000072050000}"/>
    <cellStyle name="Comma 6 3 2" xfId="59615" xr:uid="{00000000-0005-0000-0000-000073050000}"/>
    <cellStyle name="Comma 6 3 2 2" xfId="61119" xr:uid="{00000000-0005-0000-0000-000074050000}"/>
    <cellStyle name="Comma 6 3 2 3" xfId="61265" xr:uid="{00000000-0005-0000-0000-000075050000}"/>
    <cellStyle name="Comma 6 3 2 4" xfId="61409" xr:uid="{00000000-0005-0000-0000-000076050000}"/>
    <cellStyle name="Comma 6 3 2 5" xfId="61553" xr:uid="{00000000-0005-0000-0000-000077050000}"/>
    <cellStyle name="Comma 6 3 2 6" xfId="61697" xr:uid="{00000000-0005-0000-0000-000078050000}"/>
    <cellStyle name="Comma 6 3 2 7" xfId="61841" xr:uid="{00000000-0005-0000-0000-000079050000}"/>
    <cellStyle name="Comma 6 4" xfId="59616" xr:uid="{00000000-0005-0000-0000-00007A050000}"/>
    <cellStyle name="Comma 6 4 2" xfId="59617" xr:uid="{00000000-0005-0000-0000-00007B050000}"/>
    <cellStyle name="Comma 6 4 2 2" xfId="61121" xr:uid="{00000000-0005-0000-0000-00007C050000}"/>
    <cellStyle name="Comma 6 4 2 3" xfId="61267" xr:uid="{00000000-0005-0000-0000-00007D050000}"/>
    <cellStyle name="Comma 6 4 2 4" xfId="61411" xr:uid="{00000000-0005-0000-0000-00007E050000}"/>
    <cellStyle name="Comma 6 4 2 5" xfId="61555" xr:uid="{00000000-0005-0000-0000-00007F050000}"/>
    <cellStyle name="Comma 6 4 2 6" xfId="61699" xr:uid="{00000000-0005-0000-0000-000080050000}"/>
    <cellStyle name="Comma 6 4 2 7" xfId="61843" xr:uid="{00000000-0005-0000-0000-000081050000}"/>
    <cellStyle name="Comma 6 4 3" xfId="61120" xr:uid="{00000000-0005-0000-0000-000082050000}"/>
    <cellStyle name="Comma 6 4 4" xfId="61266" xr:uid="{00000000-0005-0000-0000-000083050000}"/>
    <cellStyle name="Comma 6 4 5" xfId="61410" xr:uid="{00000000-0005-0000-0000-000084050000}"/>
    <cellStyle name="Comma 6 4 6" xfId="61554" xr:uid="{00000000-0005-0000-0000-000085050000}"/>
    <cellStyle name="Comma 6 4 7" xfId="61698" xr:uid="{00000000-0005-0000-0000-000086050000}"/>
    <cellStyle name="Comma 6 4 8" xfId="61842" xr:uid="{00000000-0005-0000-0000-000087050000}"/>
    <cellStyle name="Comma 6 5" xfId="59607" xr:uid="{00000000-0005-0000-0000-000088050000}"/>
    <cellStyle name="Comma 6 6" xfId="61016" xr:uid="{00000000-0005-0000-0000-000089050000}"/>
    <cellStyle name="Comma 6 7" xfId="61017" xr:uid="{00000000-0005-0000-0000-00008A050000}"/>
    <cellStyle name="Comma 6 8" xfId="61015" xr:uid="{00000000-0005-0000-0000-00008B050000}"/>
    <cellStyle name="Comma 6 9" xfId="61018" xr:uid="{00000000-0005-0000-0000-00008C050000}"/>
    <cellStyle name="Comma 6_1_FS10B_Q154" xfId="59618" xr:uid="{00000000-0005-0000-0000-00008D050000}"/>
    <cellStyle name="Comma 7" xfId="59619" xr:uid="{00000000-0005-0000-0000-00008E050000}"/>
    <cellStyle name="Comma 7 2" xfId="59620" xr:uid="{00000000-0005-0000-0000-00008F050000}"/>
    <cellStyle name="Comma 7 2 2" xfId="59621" xr:uid="{00000000-0005-0000-0000-000090050000}"/>
    <cellStyle name="Comma 7 2 2 2" xfId="61122" xr:uid="{00000000-0005-0000-0000-000091050000}"/>
    <cellStyle name="Comma 7 2 2 3" xfId="61268" xr:uid="{00000000-0005-0000-0000-000092050000}"/>
    <cellStyle name="Comma 7 2 2 4" xfId="61412" xr:uid="{00000000-0005-0000-0000-000093050000}"/>
    <cellStyle name="Comma 7 2 2 5" xfId="61556" xr:uid="{00000000-0005-0000-0000-000094050000}"/>
    <cellStyle name="Comma 7 2 2 6" xfId="61700" xr:uid="{00000000-0005-0000-0000-000095050000}"/>
    <cellStyle name="Comma 7 2 2 7" xfId="61844" xr:uid="{00000000-0005-0000-0000-000096050000}"/>
    <cellStyle name="Comma 7 3" xfId="59622" xr:uid="{00000000-0005-0000-0000-000097050000}"/>
    <cellStyle name="Comma 7 3 2" xfId="59623" xr:uid="{00000000-0005-0000-0000-000098050000}"/>
    <cellStyle name="Comma 7 3 2 2" xfId="61124" xr:uid="{00000000-0005-0000-0000-000099050000}"/>
    <cellStyle name="Comma 7 3 2 3" xfId="61270" xr:uid="{00000000-0005-0000-0000-00009A050000}"/>
    <cellStyle name="Comma 7 3 2 4" xfId="61414" xr:uid="{00000000-0005-0000-0000-00009B050000}"/>
    <cellStyle name="Comma 7 3 2 5" xfId="61558" xr:uid="{00000000-0005-0000-0000-00009C050000}"/>
    <cellStyle name="Comma 7 3 2 6" xfId="61702" xr:uid="{00000000-0005-0000-0000-00009D050000}"/>
    <cellStyle name="Comma 7 3 2 7" xfId="61846" xr:uid="{00000000-0005-0000-0000-00009E050000}"/>
    <cellStyle name="Comma 7 3 3" xfId="61123" xr:uid="{00000000-0005-0000-0000-00009F050000}"/>
    <cellStyle name="Comma 7 3 4" xfId="61269" xr:uid="{00000000-0005-0000-0000-0000A0050000}"/>
    <cellStyle name="Comma 7 3 5" xfId="61413" xr:uid="{00000000-0005-0000-0000-0000A1050000}"/>
    <cellStyle name="Comma 7 3 6" xfId="61557" xr:uid="{00000000-0005-0000-0000-0000A2050000}"/>
    <cellStyle name="Comma 7 3 7" xfId="61701" xr:uid="{00000000-0005-0000-0000-0000A3050000}"/>
    <cellStyle name="Comma 7 3 8" xfId="61845" xr:uid="{00000000-0005-0000-0000-0000A4050000}"/>
    <cellStyle name="Comma 7 4" xfId="59624" xr:uid="{00000000-0005-0000-0000-0000A5050000}"/>
    <cellStyle name="Comma 7 4 2" xfId="61125" xr:uid="{00000000-0005-0000-0000-0000A6050000}"/>
    <cellStyle name="Comma 7 4 3" xfId="61271" xr:uid="{00000000-0005-0000-0000-0000A7050000}"/>
    <cellStyle name="Comma 7 4 4" xfId="61415" xr:uid="{00000000-0005-0000-0000-0000A8050000}"/>
    <cellStyle name="Comma 7 4 5" xfId="61559" xr:uid="{00000000-0005-0000-0000-0000A9050000}"/>
    <cellStyle name="Comma 7 4 6" xfId="61703" xr:uid="{00000000-0005-0000-0000-0000AA050000}"/>
    <cellStyle name="Comma 7 4 7" xfId="61847" xr:uid="{00000000-0005-0000-0000-0000AB050000}"/>
    <cellStyle name="Comma 8" xfId="59625" xr:uid="{00000000-0005-0000-0000-0000AC050000}"/>
    <cellStyle name="Comma 8 2" xfId="59626" xr:uid="{00000000-0005-0000-0000-0000AD050000}"/>
    <cellStyle name="Comma 8 2 10" xfId="61848" xr:uid="{00000000-0005-0000-0000-0000AE050000}"/>
    <cellStyle name="Comma 8 2 2" xfId="59627" xr:uid="{00000000-0005-0000-0000-0000AF050000}"/>
    <cellStyle name="Comma 8 2 2 2" xfId="59628" xr:uid="{00000000-0005-0000-0000-0000B0050000}"/>
    <cellStyle name="Comma 8 2 2 2 2" xfId="61127" xr:uid="{00000000-0005-0000-0000-0000B1050000}"/>
    <cellStyle name="Comma 8 2 2 2 3" xfId="61273" xr:uid="{00000000-0005-0000-0000-0000B2050000}"/>
    <cellStyle name="Comma 8 2 2 2 4" xfId="61417" xr:uid="{00000000-0005-0000-0000-0000B3050000}"/>
    <cellStyle name="Comma 8 2 2 2 5" xfId="61561" xr:uid="{00000000-0005-0000-0000-0000B4050000}"/>
    <cellStyle name="Comma 8 2 2 2 6" xfId="61705" xr:uid="{00000000-0005-0000-0000-0000B5050000}"/>
    <cellStyle name="Comma 8 2 2 2 7" xfId="61849" xr:uid="{00000000-0005-0000-0000-0000B6050000}"/>
    <cellStyle name="Comma 8 2 3" xfId="59629" xr:uid="{00000000-0005-0000-0000-0000B7050000}"/>
    <cellStyle name="Comma 8 2 3 2" xfId="61128" xr:uid="{00000000-0005-0000-0000-0000B8050000}"/>
    <cellStyle name="Comma 8 2 3 3" xfId="61274" xr:uid="{00000000-0005-0000-0000-0000B9050000}"/>
    <cellStyle name="Comma 8 2 3 4" xfId="61418" xr:uid="{00000000-0005-0000-0000-0000BA050000}"/>
    <cellStyle name="Comma 8 2 3 5" xfId="61562" xr:uid="{00000000-0005-0000-0000-0000BB050000}"/>
    <cellStyle name="Comma 8 2 3 6" xfId="61706" xr:uid="{00000000-0005-0000-0000-0000BC050000}"/>
    <cellStyle name="Comma 8 2 3 7" xfId="61850" xr:uid="{00000000-0005-0000-0000-0000BD050000}"/>
    <cellStyle name="Comma 8 2 4" xfId="59630" xr:uid="{00000000-0005-0000-0000-0000BE050000}"/>
    <cellStyle name="Comma 8 2 5" xfId="61126" xr:uid="{00000000-0005-0000-0000-0000BF050000}"/>
    <cellStyle name="Comma 8 2 6" xfId="61272" xr:uid="{00000000-0005-0000-0000-0000C0050000}"/>
    <cellStyle name="Comma 8 2 7" xfId="61416" xr:uid="{00000000-0005-0000-0000-0000C1050000}"/>
    <cellStyle name="Comma 8 2 8" xfId="61560" xr:uid="{00000000-0005-0000-0000-0000C2050000}"/>
    <cellStyle name="Comma 8 2 9" xfId="61704" xr:uid="{00000000-0005-0000-0000-0000C3050000}"/>
    <cellStyle name="Comma 8 3" xfId="59631" xr:uid="{00000000-0005-0000-0000-0000C4050000}"/>
    <cellStyle name="Comma 8 3 2" xfId="59632" xr:uid="{00000000-0005-0000-0000-0000C5050000}"/>
    <cellStyle name="Comma 8 3 2 2" xfId="61130" xr:uid="{00000000-0005-0000-0000-0000C6050000}"/>
    <cellStyle name="Comma 8 3 2 3" xfId="61276" xr:uid="{00000000-0005-0000-0000-0000C7050000}"/>
    <cellStyle name="Comma 8 3 2 4" xfId="61420" xr:uid="{00000000-0005-0000-0000-0000C8050000}"/>
    <cellStyle name="Comma 8 3 2 5" xfId="61564" xr:uid="{00000000-0005-0000-0000-0000C9050000}"/>
    <cellStyle name="Comma 8 3 2 6" xfId="61708" xr:uid="{00000000-0005-0000-0000-0000CA050000}"/>
    <cellStyle name="Comma 8 3 2 7" xfId="61852" xr:uid="{00000000-0005-0000-0000-0000CB050000}"/>
    <cellStyle name="Comma 8 3 3" xfId="61129" xr:uid="{00000000-0005-0000-0000-0000CC050000}"/>
    <cellStyle name="Comma 8 3 4" xfId="61275" xr:uid="{00000000-0005-0000-0000-0000CD050000}"/>
    <cellStyle name="Comma 8 3 5" xfId="61419" xr:uid="{00000000-0005-0000-0000-0000CE050000}"/>
    <cellStyle name="Comma 8 3 6" xfId="61563" xr:uid="{00000000-0005-0000-0000-0000CF050000}"/>
    <cellStyle name="Comma 8 3 7" xfId="61707" xr:uid="{00000000-0005-0000-0000-0000D0050000}"/>
    <cellStyle name="Comma 8 3 8" xfId="61851" xr:uid="{00000000-0005-0000-0000-0000D1050000}"/>
    <cellStyle name="Comma 8 4" xfId="59633" xr:uid="{00000000-0005-0000-0000-0000D2050000}"/>
    <cellStyle name="Comma 8 4 2" xfId="59634" xr:uid="{00000000-0005-0000-0000-0000D3050000}"/>
    <cellStyle name="Comma 8 4 2 2" xfId="61131" xr:uid="{00000000-0005-0000-0000-0000D4050000}"/>
    <cellStyle name="Comma 8 4 2 3" xfId="61277" xr:uid="{00000000-0005-0000-0000-0000D5050000}"/>
    <cellStyle name="Comma 8 4 2 4" xfId="61421" xr:uid="{00000000-0005-0000-0000-0000D6050000}"/>
    <cellStyle name="Comma 8 4 2 5" xfId="61565" xr:uid="{00000000-0005-0000-0000-0000D7050000}"/>
    <cellStyle name="Comma 8 4 2 6" xfId="61709" xr:uid="{00000000-0005-0000-0000-0000D8050000}"/>
    <cellStyle name="Comma 8 4 2 7" xfId="61853" xr:uid="{00000000-0005-0000-0000-0000D9050000}"/>
    <cellStyle name="Comma 8 5" xfId="59635" xr:uid="{00000000-0005-0000-0000-0000DA050000}"/>
    <cellStyle name="Comma 8 5 2" xfId="61132" xr:uid="{00000000-0005-0000-0000-0000DB050000}"/>
    <cellStyle name="Comma 8 5 3" xfId="61278" xr:uid="{00000000-0005-0000-0000-0000DC050000}"/>
    <cellStyle name="Comma 8 5 4" xfId="61422" xr:uid="{00000000-0005-0000-0000-0000DD050000}"/>
    <cellStyle name="Comma 8 5 5" xfId="61566" xr:uid="{00000000-0005-0000-0000-0000DE050000}"/>
    <cellStyle name="Comma 8 5 6" xfId="61710" xr:uid="{00000000-0005-0000-0000-0000DF050000}"/>
    <cellStyle name="Comma 8 5 7" xfId="61854" xr:uid="{00000000-0005-0000-0000-0000E0050000}"/>
    <cellStyle name="Comma 8 6" xfId="59636" xr:uid="{00000000-0005-0000-0000-0000E1050000}"/>
    <cellStyle name="Comma 8 7" xfId="59637" xr:uid="{00000000-0005-0000-0000-0000E2050000}"/>
    <cellStyle name="Comma 9" xfId="59638" xr:uid="{00000000-0005-0000-0000-0000E3050000}"/>
    <cellStyle name="Comma 9 2" xfId="59639" xr:uid="{00000000-0005-0000-0000-0000E4050000}"/>
    <cellStyle name="Comma 9 2 2" xfId="59640" xr:uid="{00000000-0005-0000-0000-0000E5050000}"/>
    <cellStyle name="Comma 9 2 2 2" xfId="61134" xr:uid="{00000000-0005-0000-0000-0000E6050000}"/>
    <cellStyle name="Comma 9 2 2 3" xfId="61280" xr:uid="{00000000-0005-0000-0000-0000E7050000}"/>
    <cellStyle name="Comma 9 2 2 4" xfId="61424" xr:uid="{00000000-0005-0000-0000-0000E8050000}"/>
    <cellStyle name="Comma 9 2 2 5" xfId="61568" xr:uid="{00000000-0005-0000-0000-0000E9050000}"/>
    <cellStyle name="Comma 9 2 2 6" xfId="61712" xr:uid="{00000000-0005-0000-0000-0000EA050000}"/>
    <cellStyle name="Comma 9 2 2 7" xfId="61856" xr:uid="{00000000-0005-0000-0000-0000EB050000}"/>
    <cellStyle name="Comma 9 2 3" xfId="59641" xr:uid="{00000000-0005-0000-0000-0000EC050000}"/>
    <cellStyle name="Comma 9 2 4" xfId="61133" xr:uid="{00000000-0005-0000-0000-0000ED050000}"/>
    <cellStyle name="Comma 9 2 5" xfId="61279" xr:uid="{00000000-0005-0000-0000-0000EE050000}"/>
    <cellStyle name="Comma 9 2 6" xfId="61423" xr:uid="{00000000-0005-0000-0000-0000EF050000}"/>
    <cellStyle name="Comma 9 2 7" xfId="61567" xr:uid="{00000000-0005-0000-0000-0000F0050000}"/>
    <cellStyle name="Comma 9 2 8" xfId="61711" xr:uid="{00000000-0005-0000-0000-0000F1050000}"/>
    <cellStyle name="Comma 9 2 9" xfId="61855" xr:uid="{00000000-0005-0000-0000-0000F2050000}"/>
    <cellStyle name="Comma 9 3" xfId="59642" xr:uid="{00000000-0005-0000-0000-0000F3050000}"/>
    <cellStyle name="Comma 9 4" xfId="59643" xr:uid="{00000000-0005-0000-0000-0000F4050000}"/>
    <cellStyle name="Comma 9 4 2" xfId="61135" xr:uid="{00000000-0005-0000-0000-0000F5050000}"/>
    <cellStyle name="Comma 9 4 3" xfId="61281" xr:uid="{00000000-0005-0000-0000-0000F6050000}"/>
    <cellStyle name="Comma 9 4 4" xfId="61425" xr:uid="{00000000-0005-0000-0000-0000F7050000}"/>
    <cellStyle name="Comma 9 4 5" xfId="61569" xr:uid="{00000000-0005-0000-0000-0000F8050000}"/>
    <cellStyle name="Comma 9 4 6" xfId="61713" xr:uid="{00000000-0005-0000-0000-0000F9050000}"/>
    <cellStyle name="Comma 9 4 7" xfId="61857" xr:uid="{00000000-0005-0000-0000-0000FA050000}"/>
    <cellStyle name="Comma 9 5" xfId="59644" xr:uid="{00000000-0005-0000-0000-0000FB050000}"/>
    <cellStyle name="Comma 9 6" xfId="59645" xr:uid="{00000000-0005-0000-0000-0000FC050000}"/>
    <cellStyle name="comma zerodec" xfId="59646" xr:uid="{00000000-0005-0000-0000-0000FD050000}"/>
    <cellStyle name="comma zerodec 10" xfId="59647" xr:uid="{00000000-0005-0000-0000-0000FE050000}"/>
    <cellStyle name="comma zerodec 11" xfId="59648" xr:uid="{00000000-0005-0000-0000-0000FF050000}"/>
    <cellStyle name="comma zerodec 12" xfId="59649" xr:uid="{00000000-0005-0000-0000-000000060000}"/>
    <cellStyle name="comma zerodec 13" xfId="59650" xr:uid="{00000000-0005-0000-0000-000001060000}"/>
    <cellStyle name="comma zerodec 14" xfId="59651" xr:uid="{00000000-0005-0000-0000-000002060000}"/>
    <cellStyle name="comma zerodec 15" xfId="59652" xr:uid="{00000000-0005-0000-0000-000003060000}"/>
    <cellStyle name="comma zerodec 16" xfId="59653" xr:uid="{00000000-0005-0000-0000-000004060000}"/>
    <cellStyle name="comma zerodec 17" xfId="59654" xr:uid="{00000000-0005-0000-0000-000005060000}"/>
    <cellStyle name="comma zerodec 18" xfId="59655" xr:uid="{00000000-0005-0000-0000-000006060000}"/>
    <cellStyle name="comma zerodec 19" xfId="59656" xr:uid="{00000000-0005-0000-0000-000007060000}"/>
    <cellStyle name="comma zerodec 2" xfId="59657" xr:uid="{00000000-0005-0000-0000-000008060000}"/>
    <cellStyle name="comma zerodec 2 2" xfId="59658" xr:uid="{00000000-0005-0000-0000-000009060000}"/>
    <cellStyle name="comma zerodec 2 3" xfId="59659" xr:uid="{00000000-0005-0000-0000-00000A060000}"/>
    <cellStyle name="comma zerodec 20" xfId="59660" xr:uid="{00000000-0005-0000-0000-00000B060000}"/>
    <cellStyle name="comma zerodec 3" xfId="59661" xr:uid="{00000000-0005-0000-0000-00000C060000}"/>
    <cellStyle name="comma zerodec 4" xfId="59662" xr:uid="{00000000-0005-0000-0000-00000D060000}"/>
    <cellStyle name="comma zerodec 5" xfId="59663" xr:uid="{00000000-0005-0000-0000-00000E060000}"/>
    <cellStyle name="comma zerodec 6" xfId="59664" xr:uid="{00000000-0005-0000-0000-00000F060000}"/>
    <cellStyle name="comma zerodec 7" xfId="59665" xr:uid="{00000000-0005-0000-0000-000010060000}"/>
    <cellStyle name="comma zerodec 8" xfId="59666" xr:uid="{00000000-0005-0000-0000-000011060000}"/>
    <cellStyle name="comma zerodec 9" xfId="59667" xr:uid="{00000000-0005-0000-0000-000012060000}"/>
    <cellStyle name="comma zerodec_1_FS10_10.1_เงินให้กู้ยืมและเงินให้กู้ยืม_Q254_2" xfId="59668" xr:uid="{00000000-0005-0000-0000-000013060000}"/>
    <cellStyle name="Comma0" xfId="59669" xr:uid="{00000000-0005-0000-0000-000014060000}"/>
    <cellStyle name="Comma0 2" xfId="59670" xr:uid="{00000000-0005-0000-0000-000015060000}"/>
    <cellStyle name="Comma0 3" xfId="59671" xr:uid="{00000000-0005-0000-0000-000016060000}"/>
    <cellStyle name="Currency 2" xfId="59672" xr:uid="{00000000-0005-0000-0000-000017060000}"/>
    <cellStyle name="Currency 2 2" xfId="59673" xr:uid="{00000000-0005-0000-0000-000018060000}"/>
    <cellStyle name="Currency 3" xfId="59674" xr:uid="{00000000-0005-0000-0000-000019060000}"/>
    <cellStyle name="Currency0" xfId="59675" xr:uid="{00000000-0005-0000-0000-00001A060000}"/>
    <cellStyle name="Currency0 2" xfId="59676" xr:uid="{00000000-0005-0000-0000-00001B060000}"/>
    <cellStyle name="Currency0 3" xfId="59677" xr:uid="{00000000-0005-0000-0000-00001C060000}"/>
    <cellStyle name="Currency1" xfId="59678" xr:uid="{00000000-0005-0000-0000-00001D060000}"/>
    <cellStyle name="Currency1 10" xfId="59679" xr:uid="{00000000-0005-0000-0000-00001E060000}"/>
    <cellStyle name="Currency1 11" xfId="59680" xr:uid="{00000000-0005-0000-0000-00001F060000}"/>
    <cellStyle name="Currency1 12" xfId="59681" xr:uid="{00000000-0005-0000-0000-000020060000}"/>
    <cellStyle name="Currency1 13" xfId="59682" xr:uid="{00000000-0005-0000-0000-000021060000}"/>
    <cellStyle name="Currency1 14" xfId="59683" xr:uid="{00000000-0005-0000-0000-000022060000}"/>
    <cellStyle name="Currency1 15" xfId="59684" xr:uid="{00000000-0005-0000-0000-000023060000}"/>
    <cellStyle name="Currency1 16" xfId="59685" xr:uid="{00000000-0005-0000-0000-000024060000}"/>
    <cellStyle name="Currency1 17" xfId="59686" xr:uid="{00000000-0005-0000-0000-000025060000}"/>
    <cellStyle name="Currency1 18" xfId="59687" xr:uid="{00000000-0005-0000-0000-000026060000}"/>
    <cellStyle name="Currency1 19" xfId="59688" xr:uid="{00000000-0005-0000-0000-000027060000}"/>
    <cellStyle name="Currency1 2" xfId="59689" xr:uid="{00000000-0005-0000-0000-000028060000}"/>
    <cellStyle name="Currency1 2 2" xfId="59690" xr:uid="{00000000-0005-0000-0000-000029060000}"/>
    <cellStyle name="Currency1 2 3" xfId="59691" xr:uid="{00000000-0005-0000-0000-00002A060000}"/>
    <cellStyle name="Currency1 20" xfId="59692" xr:uid="{00000000-0005-0000-0000-00002B060000}"/>
    <cellStyle name="Currency1 3" xfId="59693" xr:uid="{00000000-0005-0000-0000-00002C060000}"/>
    <cellStyle name="Currency1 4" xfId="59694" xr:uid="{00000000-0005-0000-0000-00002D060000}"/>
    <cellStyle name="Currency1 5" xfId="59695" xr:uid="{00000000-0005-0000-0000-00002E060000}"/>
    <cellStyle name="Currency1 6" xfId="59696" xr:uid="{00000000-0005-0000-0000-00002F060000}"/>
    <cellStyle name="Currency1 7" xfId="59697" xr:uid="{00000000-0005-0000-0000-000030060000}"/>
    <cellStyle name="Currency1 8" xfId="59698" xr:uid="{00000000-0005-0000-0000-000031060000}"/>
    <cellStyle name="Currency1 9" xfId="59699" xr:uid="{00000000-0005-0000-0000-000032060000}"/>
    <cellStyle name="Currency1_1_FS10_10.1_เงินให้กู้ยืมและเงินให้กู้ยืม_Q254_2" xfId="59700" xr:uid="{00000000-0005-0000-0000-000033060000}"/>
    <cellStyle name="Date" xfId="59701" xr:uid="{00000000-0005-0000-0000-000034060000}"/>
    <cellStyle name="Date 2" xfId="59702" xr:uid="{00000000-0005-0000-0000-000035060000}"/>
    <cellStyle name="Date 3" xfId="59703" xr:uid="{00000000-0005-0000-0000-000036060000}"/>
    <cellStyle name="Dollar (zero dec)" xfId="59704" xr:uid="{00000000-0005-0000-0000-000037060000}"/>
    <cellStyle name="Dollar (zero dec) 10" xfId="59705" xr:uid="{00000000-0005-0000-0000-000038060000}"/>
    <cellStyle name="Dollar (zero dec) 11" xfId="59706" xr:uid="{00000000-0005-0000-0000-000039060000}"/>
    <cellStyle name="Dollar (zero dec) 12" xfId="59707" xr:uid="{00000000-0005-0000-0000-00003A060000}"/>
    <cellStyle name="Dollar (zero dec) 13" xfId="59708" xr:uid="{00000000-0005-0000-0000-00003B060000}"/>
    <cellStyle name="Dollar (zero dec) 14" xfId="59709" xr:uid="{00000000-0005-0000-0000-00003C060000}"/>
    <cellStyle name="Dollar (zero dec) 15" xfId="59710" xr:uid="{00000000-0005-0000-0000-00003D060000}"/>
    <cellStyle name="Dollar (zero dec) 16" xfId="59711" xr:uid="{00000000-0005-0000-0000-00003E060000}"/>
    <cellStyle name="Dollar (zero dec) 17" xfId="59712" xr:uid="{00000000-0005-0000-0000-00003F060000}"/>
    <cellStyle name="Dollar (zero dec) 18" xfId="59713" xr:uid="{00000000-0005-0000-0000-000040060000}"/>
    <cellStyle name="Dollar (zero dec) 19" xfId="59714" xr:uid="{00000000-0005-0000-0000-000041060000}"/>
    <cellStyle name="Dollar (zero dec) 2" xfId="59715" xr:uid="{00000000-0005-0000-0000-000042060000}"/>
    <cellStyle name="Dollar (zero dec) 2 2" xfId="59716" xr:uid="{00000000-0005-0000-0000-000043060000}"/>
    <cellStyle name="Dollar (zero dec) 2 3" xfId="59717" xr:uid="{00000000-0005-0000-0000-000044060000}"/>
    <cellStyle name="Dollar (zero dec) 20" xfId="59718" xr:uid="{00000000-0005-0000-0000-000045060000}"/>
    <cellStyle name="Dollar (zero dec) 3" xfId="59719" xr:uid="{00000000-0005-0000-0000-000046060000}"/>
    <cellStyle name="Dollar (zero dec) 4" xfId="59720" xr:uid="{00000000-0005-0000-0000-000047060000}"/>
    <cellStyle name="Dollar (zero dec) 5" xfId="59721" xr:uid="{00000000-0005-0000-0000-000048060000}"/>
    <cellStyle name="Dollar (zero dec) 6" xfId="59722" xr:uid="{00000000-0005-0000-0000-000049060000}"/>
    <cellStyle name="Dollar (zero dec) 7" xfId="59723" xr:uid="{00000000-0005-0000-0000-00004A060000}"/>
    <cellStyle name="Dollar (zero dec) 8" xfId="59724" xr:uid="{00000000-0005-0000-0000-00004B060000}"/>
    <cellStyle name="Dollar (zero dec) 9" xfId="59725" xr:uid="{00000000-0005-0000-0000-00004C060000}"/>
    <cellStyle name="Dollar (zero dec)_1_FS10_10.1_เงินให้กู้ยืมและเงินให้กู้ยืม_Q254_2" xfId="59726" xr:uid="{00000000-0005-0000-0000-00004D060000}"/>
    <cellStyle name="er Staff (1)_pldt_2_pldt" xfId="59727" xr:uid="{00000000-0005-0000-0000-00004E060000}"/>
    <cellStyle name="Excel Built-in Normal" xfId="59728" xr:uid="{00000000-0005-0000-0000-00004F060000}"/>
    <cellStyle name="Excel Built-in Normal 2" xfId="59729" xr:uid="{00000000-0005-0000-0000-000050060000}"/>
    <cellStyle name="Explanatory Text 2" xfId="28" xr:uid="{00000000-0005-0000-0000-000051060000}"/>
    <cellStyle name="Explanatory Text 2 2" xfId="59731" xr:uid="{00000000-0005-0000-0000-000052060000}"/>
    <cellStyle name="Explanatory Text 2 3" xfId="59730" xr:uid="{00000000-0005-0000-0000-000053060000}"/>
    <cellStyle name="Explanatory Text 3" xfId="59732" xr:uid="{00000000-0005-0000-0000-000054060000}"/>
    <cellStyle name="Explanatory Text 4" xfId="59733" xr:uid="{00000000-0005-0000-0000-000055060000}"/>
    <cellStyle name="Explanatory Text 5" xfId="59734" xr:uid="{00000000-0005-0000-0000-000056060000}"/>
    <cellStyle name="F2" xfId="59735" xr:uid="{00000000-0005-0000-0000-000057060000}"/>
    <cellStyle name="Fixed" xfId="59736" xr:uid="{00000000-0005-0000-0000-000058060000}"/>
    <cellStyle name="Fixed 2" xfId="59737" xr:uid="{00000000-0005-0000-0000-000059060000}"/>
    <cellStyle name="Fixed 3" xfId="59738" xr:uid="{00000000-0005-0000-0000-00005A060000}"/>
    <cellStyle name="Format Number Column" xfId="59739" xr:uid="{00000000-0005-0000-0000-00005B060000}"/>
    <cellStyle name="Format Number Column 2" xfId="59740" xr:uid="{00000000-0005-0000-0000-00005C060000}"/>
    <cellStyle name="Format Number Column 3" xfId="59741" xr:uid="{00000000-0005-0000-0000-00005D060000}"/>
    <cellStyle name="Frame Relay Template" xfId="59742" xr:uid="{00000000-0005-0000-0000-00005E060000}"/>
    <cellStyle name="Frame Relay Template 2" xfId="59743" xr:uid="{00000000-0005-0000-0000-00005F060000}"/>
    <cellStyle name="Frame Relay Template 3" xfId="59744" xr:uid="{00000000-0005-0000-0000-000060060000}"/>
    <cellStyle name="Good 2" xfId="59745" xr:uid="{00000000-0005-0000-0000-000061060000}"/>
    <cellStyle name="Good 2 2" xfId="59746" xr:uid="{00000000-0005-0000-0000-000062060000}"/>
    <cellStyle name="Good 3" xfId="59747" xr:uid="{00000000-0005-0000-0000-000063060000}"/>
    <cellStyle name="Good 4" xfId="59748" xr:uid="{00000000-0005-0000-0000-000064060000}"/>
    <cellStyle name="Good 5" xfId="59749" xr:uid="{00000000-0005-0000-0000-000065060000}"/>
    <cellStyle name="Grey" xfId="59750" xr:uid="{00000000-0005-0000-0000-000066060000}"/>
    <cellStyle name="Grey 2" xfId="59751" xr:uid="{00000000-0005-0000-0000-000067060000}"/>
    <cellStyle name="Grey 2 2" xfId="59752" xr:uid="{00000000-0005-0000-0000-000068060000}"/>
    <cellStyle name="Grey 3" xfId="59753" xr:uid="{00000000-0005-0000-0000-000069060000}"/>
    <cellStyle name="Header1" xfId="59754" xr:uid="{00000000-0005-0000-0000-00006A060000}"/>
    <cellStyle name="Header1 2" xfId="59755" xr:uid="{00000000-0005-0000-0000-00006B060000}"/>
    <cellStyle name="Header1 3" xfId="59756" xr:uid="{00000000-0005-0000-0000-00006C060000}"/>
    <cellStyle name="Header2" xfId="59757" xr:uid="{00000000-0005-0000-0000-00006D060000}"/>
    <cellStyle name="Header2 2" xfId="59758" xr:uid="{00000000-0005-0000-0000-00006E060000}"/>
    <cellStyle name="Header2 3" xfId="59759" xr:uid="{00000000-0005-0000-0000-00006F060000}"/>
    <cellStyle name="Heading 1 2" xfId="29" xr:uid="{00000000-0005-0000-0000-000070060000}"/>
    <cellStyle name="Heading 1 2 2" xfId="59761" xr:uid="{00000000-0005-0000-0000-000071060000}"/>
    <cellStyle name="Heading 1 2 3" xfId="59760" xr:uid="{00000000-0005-0000-0000-000072060000}"/>
    <cellStyle name="Heading 1 3" xfId="59762" xr:uid="{00000000-0005-0000-0000-000073060000}"/>
    <cellStyle name="Heading 1 4" xfId="59763" xr:uid="{00000000-0005-0000-0000-000074060000}"/>
    <cellStyle name="Heading 1 5" xfId="59764" xr:uid="{00000000-0005-0000-0000-000075060000}"/>
    <cellStyle name="Heading 2 2" xfId="59765" xr:uid="{00000000-0005-0000-0000-000076060000}"/>
    <cellStyle name="Heading 2 2 2" xfId="59766" xr:uid="{00000000-0005-0000-0000-000077060000}"/>
    <cellStyle name="Heading 2 3" xfId="59767" xr:uid="{00000000-0005-0000-0000-000078060000}"/>
    <cellStyle name="Heading 2 4" xfId="59768" xr:uid="{00000000-0005-0000-0000-000079060000}"/>
    <cellStyle name="Heading 2 5" xfId="59769" xr:uid="{00000000-0005-0000-0000-00007A060000}"/>
    <cellStyle name="Heading 3 2" xfId="30" xr:uid="{00000000-0005-0000-0000-00007B060000}"/>
    <cellStyle name="Heading 3 2 2" xfId="59771" xr:uid="{00000000-0005-0000-0000-00007C060000}"/>
    <cellStyle name="Heading 3 2 3" xfId="59770" xr:uid="{00000000-0005-0000-0000-00007D060000}"/>
    <cellStyle name="Heading 3 3" xfId="59772" xr:uid="{00000000-0005-0000-0000-00007E060000}"/>
    <cellStyle name="Heading 3 4" xfId="59773" xr:uid="{00000000-0005-0000-0000-00007F060000}"/>
    <cellStyle name="Heading 3 5" xfId="59774" xr:uid="{00000000-0005-0000-0000-000080060000}"/>
    <cellStyle name="Heading 4 2" xfId="31" xr:uid="{00000000-0005-0000-0000-000081060000}"/>
    <cellStyle name="Heading 4 2 2" xfId="59776" xr:uid="{00000000-0005-0000-0000-000082060000}"/>
    <cellStyle name="Heading 4 2 3" xfId="59775" xr:uid="{00000000-0005-0000-0000-000083060000}"/>
    <cellStyle name="Heading 4 3" xfId="59777" xr:uid="{00000000-0005-0000-0000-000084060000}"/>
    <cellStyle name="Heading 4 4" xfId="59778" xr:uid="{00000000-0005-0000-0000-000085060000}"/>
    <cellStyle name="Heading 4 5" xfId="59779" xr:uid="{00000000-0005-0000-0000-000086060000}"/>
    <cellStyle name="Hyperlink" xfId="5" builtinId="8"/>
    <cellStyle name="Hyperlink 2" xfId="59780" xr:uid="{00000000-0005-0000-0000-000087060000}"/>
    <cellStyle name="Hyperlink 3" xfId="59781" xr:uid="{00000000-0005-0000-0000-000088060000}"/>
    <cellStyle name="Input [yellow]" xfId="59782" xr:uid="{00000000-0005-0000-0000-000089060000}"/>
    <cellStyle name="Input [yellow] 2" xfId="59783" xr:uid="{00000000-0005-0000-0000-00008A060000}"/>
    <cellStyle name="Input [yellow] 2 2" xfId="59784" xr:uid="{00000000-0005-0000-0000-00008B060000}"/>
    <cellStyle name="Input [yellow] 3" xfId="59785" xr:uid="{00000000-0005-0000-0000-00008C060000}"/>
    <cellStyle name="Input 10" xfId="59786" xr:uid="{00000000-0005-0000-0000-00008D060000}"/>
    <cellStyle name="Input 11" xfId="59787" xr:uid="{00000000-0005-0000-0000-00008E060000}"/>
    <cellStyle name="Input 12" xfId="59788" xr:uid="{00000000-0005-0000-0000-00008F060000}"/>
    <cellStyle name="Input 13" xfId="59789" xr:uid="{00000000-0005-0000-0000-000090060000}"/>
    <cellStyle name="Input 14" xfId="59790" xr:uid="{00000000-0005-0000-0000-000091060000}"/>
    <cellStyle name="Input 2" xfId="59791" xr:uid="{00000000-0005-0000-0000-000092060000}"/>
    <cellStyle name="Input 2 2" xfId="59792" xr:uid="{00000000-0005-0000-0000-000093060000}"/>
    <cellStyle name="Input 3" xfId="59793" xr:uid="{00000000-0005-0000-0000-000094060000}"/>
    <cellStyle name="Input 4" xfId="59794" xr:uid="{00000000-0005-0000-0000-000095060000}"/>
    <cellStyle name="Input 5" xfId="59795" xr:uid="{00000000-0005-0000-0000-000096060000}"/>
    <cellStyle name="Input 6" xfId="59796" xr:uid="{00000000-0005-0000-0000-000097060000}"/>
    <cellStyle name="Input 7" xfId="59797" xr:uid="{00000000-0005-0000-0000-000098060000}"/>
    <cellStyle name="Input 8" xfId="59798" xr:uid="{00000000-0005-0000-0000-000099060000}"/>
    <cellStyle name="Input 9" xfId="59799" xr:uid="{00000000-0005-0000-0000-00009A060000}"/>
    <cellStyle name="Item" xfId="59800" xr:uid="{00000000-0005-0000-0000-00009B060000}"/>
    <cellStyle name="Item 2" xfId="59801" xr:uid="{00000000-0005-0000-0000-00009C060000}"/>
    <cellStyle name="JJJ" xfId="59802" xr:uid="{00000000-0005-0000-0000-00009D060000}"/>
    <cellStyle name="JJJ 10" xfId="59803" xr:uid="{00000000-0005-0000-0000-00009E060000}"/>
    <cellStyle name="JJJ 11" xfId="59804" xr:uid="{00000000-0005-0000-0000-00009F060000}"/>
    <cellStyle name="JJJ 12" xfId="59805" xr:uid="{00000000-0005-0000-0000-0000A0060000}"/>
    <cellStyle name="JJJ 13" xfId="59806" xr:uid="{00000000-0005-0000-0000-0000A1060000}"/>
    <cellStyle name="JJJ 14" xfId="59807" xr:uid="{00000000-0005-0000-0000-0000A2060000}"/>
    <cellStyle name="JJJ 15" xfId="59808" xr:uid="{00000000-0005-0000-0000-0000A3060000}"/>
    <cellStyle name="JJJ 16" xfId="59809" xr:uid="{00000000-0005-0000-0000-0000A4060000}"/>
    <cellStyle name="JJJ 17" xfId="59810" xr:uid="{00000000-0005-0000-0000-0000A5060000}"/>
    <cellStyle name="JJJ 18" xfId="59811" xr:uid="{00000000-0005-0000-0000-0000A6060000}"/>
    <cellStyle name="JJJ 2" xfId="59812" xr:uid="{00000000-0005-0000-0000-0000A7060000}"/>
    <cellStyle name="JJJ 3" xfId="59813" xr:uid="{00000000-0005-0000-0000-0000A8060000}"/>
    <cellStyle name="JJJ 4" xfId="59814" xr:uid="{00000000-0005-0000-0000-0000A9060000}"/>
    <cellStyle name="JJJ 5" xfId="59815" xr:uid="{00000000-0005-0000-0000-0000AA060000}"/>
    <cellStyle name="JJJ 6" xfId="59816" xr:uid="{00000000-0005-0000-0000-0000AB060000}"/>
    <cellStyle name="JJJ 7" xfId="59817" xr:uid="{00000000-0005-0000-0000-0000AC060000}"/>
    <cellStyle name="JJJ 8" xfId="59818" xr:uid="{00000000-0005-0000-0000-0000AD060000}"/>
    <cellStyle name="JJJ 9" xfId="59819" xr:uid="{00000000-0005-0000-0000-0000AE060000}"/>
    <cellStyle name="JJJ_1_FS10_10.1_เงินให้กู้ยืมและเงินให้กู้ยืม_Q254_2" xfId="59820" xr:uid="{00000000-0005-0000-0000-0000AF060000}"/>
    <cellStyle name="Linked Cell 2" xfId="59821" xr:uid="{00000000-0005-0000-0000-0000B0060000}"/>
    <cellStyle name="Linked Cell 2 2" xfId="59822" xr:uid="{00000000-0005-0000-0000-0000B1060000}"/>
    <cellStyle name="Linked Cell 3" xfId="59823" xr:uid="{00000000-0005-0000-0000-0000B2060000}"/>
    <cellStyle name="Linked Cell 4" xfId="59824" xr:uid="{00000000-0005-0000-0000-0000B3060000}"/>
    <cellStyle name="Linked Cell 5" xfId="59825" xr:uid="{00000000-0005-0000-0000-0000B4060000}"/>
    <cellStyle name="Neutral 2" xfId="59826" xr:uid="{00000000-0005-0000-0000-0000B5060000}"/>
    <cellStyle name="Neutral 2 2" xfId="59827" xr:uid="{00000000-0005-0000-0000-0000B6060000}"/>
    <cellStyle name="Neutral 3" xfId="59828" xr:uid="{00000000-0005-0000-0000-0000B7060000}"/>
    <cellStyle name="Neutral 4" xfId="59829" xr:uid="{00000000-0005-0000-0000-0000B8060000}"/>
    <cellStyle name="Neutral 5" xfId="59830" xr:uid="{00000000-0005-0000-0000-0000B9060000}"/>
    <cellStyle name="no dec" xfId="59831" xr:uid="{00000000-0005-0000-0000-0000BA060000}"/>
    <cellStyle name="no dec 10" xfId="59832" xr:uid="{00000000-0005-0000-0000-0000BB060000}"/>
    <cellStyle name="no dec 11" xfId="59833" xr:uid="{00000000-0005-0000-0000-0000BC060000}"/>
    <cellStyle name="no dec 12" xfId="59834" xr:uid="{00000000-0005-0000-0000-0000BD060000}"/>
    <cellStyle name="no dec 13" xfId="59835" xr:uid="{00000000-0005-0000-0000-0000BE060000}"/>
    <cellStyle name="no dec 14" xfId="59836" xr:uid="{00000000-0005-0000-0000-0000BF060000}"/>
    <cellStyle name="no dec 15" xfId="59837" xr:uid="{00000000-0005-0000-0000-0000C0060000}"/>
    <cellStyle name="no dec 16" xfId="59838" xr:uid="{00000000-0005-0000-0000-0000C1060000}"/>
    <cellStyle name="no dec 17" xfId="59839" xr:uid="{00000000-0005-0000-0000-0000C2060000}"/>
    <cellStyle name="no dec 18" xfId="59840" xr:uid="{00000000-0005-0000-0000-0000C3060000}"/>
    <cellStyle name="no dec 2" xfId="59841" xr:uid="{00000000-0005-0000-0000-0000C4060000}"/>
    <cellStyle name="no dec 3" xfId="59842" xr:uid="{00000000-0005-0000-0000-0000C5060000}"/>
    <cellStyle name="no dec 4" xfId="59843" xr:uid="{00000000-0005-0000-0000-0000C6060000}"/>
    <cellStyle name="no dec 5" xfId="59844" xr:uid="{00000000-0005-0000-0000-0000C7060000}"/>
    <cellStyle name="no dec 6" xfId="59845" xr:uid="{00000000-0005-0000-0000-0000C8060000}"/>
    <cellStyle name="no dec 7" xfId="59846" xr:uid="{00000000-0005-0000-0000-0000C9060000}"/>
    <cellStyle name="no dec 8" xfId="59847" xr:uid="{00000000-0005-0000-0000-0000CA060000}"/>
    <cellStyle name="no dec 9" xfId="59848" xr:uid="{00000000-0005-0000-0000-0000CB060000}"/>
    <cellStyle name="no dec_1_FS10_10.1_เงินให้กู้ยืมและเงินให้กู้ยืม_Q254_2" xfId="59849" xr:uid="{00000000-0005-0000-0000-0000CC060000}"/>
    <cellStyle name="Normal" xfId="0" builtinId="0"/>
    <cellStyle name="Normal - Style1" xfId="59850" xr:uid="{00000000-0005-0000-0000-0000CD060000}"/>
    <cellStyle name="Normal - Style1 2" xfId="59851" xr:uid="{00000000-0005-0000-0000-0000CE060000}"/>
    <cellStyle name="Normal - Style1 2 2" xfId="59852" xr:uid="{00000000-0005-0000-0000-0000CF060000}"/>
    <cellStyle name="Normal - Style1 3" xfId="59853" xr:uid="{00000000-0005-0000-0000-0000D0060000}"/>
    <cellStyle name="Normal 10" xfId="59854" xr:uid="{00000000-0005-0000-0000-0000D1060000}"/>
    <cellStyle name="Normal 10 2" xfId="59855" xr:uid="{00000000-0005-0000-0000-0000D2060000}"/>
    <cellStyle name="Normal 10 2 2" xfId="59856" xr:uid="{00000000-0005-0000-0000-0000D3060000}"/>
    <cellStyle name="Normal 10 2 3" xfId="59857" xr:uid="{00000000-0005-0000-0000-0000D4060000}"/>
    <cellStyle name="Normal 10 2 4" xfId="59858" xr:uid="{00000000-0005-0000-0000-0000D5060000}"/>
    <cellStyle name="Normal 10 3" xfId="59859" xr:uid="{00000000-0005-0000-0000-0000D6060000}"/>
    <cellStyle name="Normal 10 3 2" xfId="59860" xr:uid="{00000000-0005-0000-0000-0000D7060000}"/>
    <cellStyle name="Normal 10 3 3" xfId="59861" xr:uid="{00000000-0005-0000-0000-0000D8060000}"/>
    <cellStyle name="Normal 10 4" xfId="59862" xr:uid="{00000000-0005-0000-0000-0000D9060000}"/>
    <cellStyle name="Normal 10 4 2" xfId="59863" xr:uid="{00000000-0005-0000-0000-0000DA060000}"/>
    <cellStyle name="Normal 10 5" xfId="59864" xr:uid="{00000000-0005-0000-0000-0000DB060000}"/>
    <cellStyle name="Normal 11" xfId="59865" xr:uid="{00000000-0005-0000-0000-0000DC060000}"/>
    <cellStyle name="Normal 11 2" xfId="59866" xr:uid="{00000000-0005-0000-0000-0000DD060000}"/>
    <cellStyle name="Normal 11 3" xfId="59867" xr:uid="{00000000-0005-0000-0000-0000DE060000}"/>
    <cellStyle name="Normal 11 4" xfId="59868" xr:uid="{00000000-0005-0000-0000-0000DF060000}"/>
    <cellStyle name="Normal 12" xfId="59869" xr:uid="{00000000-0005-0000-0000-0000E0060000}"/>
    <cellStyle name="Normal 12 2" xfId="59870" xr:uid="{00000000-0005-0000-0000-0000E1060000}"/>
    <cellStyle name="Normal 12 3" xfId="59871" xr:uid="{00000000-0005-0000-0000-0000E2060000}"/>
    <cellStyle name="Normal 13" xfId="59872" xr:uid="{00000000-0005-0000-0000-0000E3060000}"/>
    <cellStyle name="Normal 13 2" xfId="59873" xr:uid="{00000000-0005-0000-0000-0000E4060000}"/>
    <cellStyle name="Normal 13 3" xfId="59874" xr:uid="{00000000-0005-0000-0000-0000E5060000}"/>
    <cellStyle name="Normal 13 4" xfId="59875" xr:uid="{00000000-0005-0000-0000-0000E6060000}"/>
    <cellStyle name="Normal 13_Interest Loan receivable-11" xfId="59876" xr:uid="{00000000-0005-0000-0000-0000E7060000}"/>
    <cellStyle name="Normal 14" xfId="59877" xr:uid="{00000000-0005-0000-0000-0000E8060000}"/>
    <cellStyle name="Normal 14 2" xfId="59878" xr:uid="{00000000-0005-0000-0000-0000E9060000}"/>
    <cellStyle name="Normal 15" xfId="59879" xr:uid="{00000000-0005-0000-0000-0000EA060000}"/>
    <cellStyle name="Normal 15 2" xfId="59880" xr:uid="{00000000-0005-0000-0000-0000EB060000}"/>
    <cellStyle name="Normal 15 3" xfId="59881" xr:uid="{00000000-0005-0000-0000-0000EC060000}"/>
    <cellStyle name="Normal 16" xfId="59882" xr:uid="{00000000-0005-0000-0000-0000ED060000}"/>
    <cellStyle name="Normal 16 2" xfId="59883" xr:uid="{00000000-0005-0000-0000-0000EE060000}"/>
    <cellStyle name="Normal 16 3" xfId="59884" xr:uid="{00000000-0005-0000-0000-0000EF060000}"/>
    <cellStyle name="Normal 16 3 2" xfId="59885" xr:uid="{00000000-0005-0000-0000-0000F0060000}"/>
    <cellStyle name="Normal 17" xfId="59886" xr:uid="{00000000-0005-0000-0000-0000F1060000}"/>
    <cellStyle name="Normal 17 2" xfId="59887" xr:uid="{00000000-0005-0000-0000-0000F2060000}"/>
    <cellStyle name="Normal 18" xfId="59888" xr:uid="{00000000-0005-0000-0000-0000F3060000}"/>
    <cellStyle name="Normal 18 2" xfId="59889" xr:uid="{00000000-0005-0000-0000-0000F4060000}"/>
    <cellStyle name="Normal 19" xfId="59890" xr:uid="{00000000-0005-0000-0000-0000F5060000}"/>
    <cellStyle name="Normal 19 2" xfId="59891" xr:uid="{00000000-0005-0000-0000-0000F6060000}"/>
    <cellStyle name="Normal 19 2 2" xfId="59892" xr:uid="{00000000-0005-0000-0000-0000F7060000}"/>
    <cellStyle name="Normal 19 2 2 2" xfId="59893" xr:uid="{00000000-0005-0000-0000-0000F8060000}"/>
    <cellStyle name="Normal 19 2 2 2 2" xfId="59894" xr:uid="{00000000-0005-0000-0000-0000F9060000}"/>
    <cellStyle name="Normal 19 2 2 3" xfId="59895" xr:uid="{00000000-0005-0000-0000-0000FA060000}"/>
    <cellStyle name="Normal 19 2 3" xfId="59896" xr:uid="{00000000-0005-0000-0000-0000FB060000}"/>
    <cellStyle name="Normal 2" xfId="3" xr:uid="{00000000-0005-0000-0000-0000FC060000}"/>
    <cellStyle name="Normal 2 10" xfId="59898" xr:uid="{00000000-0005-0000-0000-0000FD060000}"/>
    <cellStyle name="Normal 2 11" xfId="59899" xr:uid="{00000000-0005-0000-0000-0000FE060000}"/>
    <cellStyle name="Normal 2 12" xfId="59900" xr:uid="{00000000-0005-0000-0000-0000FF060000}"/>
    <cellStyle name="Normal 2 13" xfId="59901" xr:uid="{00000000-0005-0000-0000-000000070000}"/>
    <cellStyle name="Normal 2 14" xfId="59902" xr:uid="{00000000-0005-0000-0000-000001070000}"/>
    <cellStyle name="Normal 2 15" xfId="59903" xr:uid="{00000000-0005-0000-0000-000002070000}"/>
    <cellStyle name="Normal 2 16" xfId="59897" xr:uid="{00000000-0005-0000-0000-000003070000}"/>
    <cellStyle name="Normal 2 17" xfId="61888" xr:uid="{00000000-0005-0000-0000-000004070000}"/>
    <cellStyle name="Normal 2 2" xfId="58805" xr:uid="{00000000-0005-0000-0000-000005070000}"/>
    <cellStyle name="Normal 2 2 2" xfId="59905" xr:uid="{00000000-0005-0000-0000-000006070000}"/>
    <cellStyle name="Normal 2 2 3" xfId="59906" xr:uid="{00000000-0005-0000-0000-000007070000}"/>
    <cellStyle name="Normal 2 2 4" xfId="59907" xr:uid="{00000000-0005-0000-0000-000008070000}"/>
    <cellStyle name="Normal 2 2 5" xfId="59908" xr:uid="{00000000-0005-0000-0000-000009070000}"/>
    <cellStyle name="Normal 2 2 6" xfId="59909" xr:uid="{00000000-0005-0000-0000-00000A070000}"/>
    <cellStyle name="Normal 2 2 7" xfId="59910" xr:uid="{00000000-0005-0000-0000-00000B070000}"/>
    <cellStyle name="Normal 2 2 8" xfId="59904" xr:uid="{00000000-0005-0000-0000-00000C070000}"/>
    <cellStyle name="Normal 2 3" xfId="59911" xr:uid="{00000000-0005-0000-0000-00000D070000}"/>
    <cellStyle name="Normal 2 3 2" xfId="59912" xr:uid="{00000000-0005-0000-0000-00000E070000}"/>
    <cellStyle name="Normal 2 4" xfId="59913" xr:uid="{00000000-0005-0000-0000-00000F070000}"/>
    <cellStyle name="Normal 2 5" xfId="59914" xr:uid="{00000000-0005-0000-0000-000010070000}"/>
    <cellStyle name="Normal 2 6" xfId="59915" xr:uid="{00000000-0005-0000-0000-000011070000}"/>
    <cellStyle name="Normal 2 7" xfId="59916" xr:uid="{00000000-0005-0000-0000-000012070000}"/>
    <cellStyle name="Normal 2 8" xfId="59917" xr:uid="{00000000-0005-0000-0000-000013070000}"/>
    <cellStyle name="Normal 2 9" xfId="59918" xr:uid="{00000000-0005-0000-0000-000014070000}"/>
    <cellStyle name="Normal 2_117 (รวมทั้งบริษัท) Q2.54_2011.07.11 10.26" xfId="59919" xr:uid="{00000000-0005-0000-0000-000015070000}"/>
    <cellStyle name="Normal 20" xfId="59920" xr:uid="{00000000-0005-0000-0000-000016070000}"/>
    <cellStyle name="Normal 20 2" xfId="59921" xr:uid="{00000000-0005-0000-0000-000017070000}"/>
    <cellStyle name="Normal 21" xfId="59922" xr:uid="{00000000-0005-0000-0000-000018070000}"/>
    <cellStyle name="Normal 21 2" xfId="59923" xr:uid="{00000000-0005-0000-0000-000019070000}"/>
    <cellStyle name="Normal 22" xfId="59924" xr:uid="{00000000-0005-0000-0000-00001A070000}"/>
    <cellStyle name="Normal 22 2" xfId="59925" xr:uid="{00000000-0005-0000-0000-00001B070000}"/>
    <cellStyle name="Normal 23" xfId="59926" xr:uid="{00000000-0005-0000-0000-00001C070000}"/>
    <cellStyle name="Normal 23 2" xfId="20" xr:uid="{00000000-0005-0000-0000-00001D070000}"/>
    <cellStyle name="Normal 24" xfId="59927" xr:uid="{00000000-0005-0000-0000-00001E070000}"/>
    <cellStyle name="Normal 25" xfId="59928" xr:uid="{00000000-0005-0000-0000-00001F070000}"/>
    <cellStyle name="Normal 26" xfId="59929" xr:uid="{00000000-0005-0000-0000-000020070000}"/>
    <cellStyle name="Normal 27" xfId="59930" xr:uid="{00000000-0005-0000-0000-000021070000}"/>
    <cellStyle name="Normal 28" xfId="59931" xr:uid="{00000000-0005-0000-0000-000022070000}"/>
    <cellStyle name="Normal 29" xfId="59932" xr:uid="{00000000-0005-0000-0000-000023070000}"/>
    <cellStyle name="Normal 3" xfId="12" xr:uid="{00000000-0005-0000-0000-000024070000}"/>
    <cellStyle name="Normal 3 10" xfId="61889" xr:uid="{00000000-0005-0000-0000-000025070000}"/>
    <cellStyle name="Normal 3 2" xfId="59934" xr:uid="{00000000-0005-0000-0000-000026070000}"/>
    <cellStyle name="Normal 3 2 2" xfId="59935" xr:uid="{00000000-0005-0000-0000-000027070000}"/>
    <cellStyle name="Normal 3 3" xfId="59936" xr:uid="{00000000-0005-0000-0000-000028070000}"/>
    <cellStyle name="Normal 3 4" xfId="59937" xr:uid="{00000000-0005-0000-0000-000029070000}"/>
    <cellStyle name="Normal 3 5" xfId="59938" xr:uid="{00000000-0005-0000-0000-00002A070000}"/>
    <cellStyle name="Normal 3 6" xfId="59939" xr:uid="{00000000-0005-0000-0000-00002B070000}"/>
    <cellStyle name="Normal 3 6 2" xfId="59940" xr:uid="{00000000-0005-0000-0000-00002C070000}"/>
    <cellStyle name="Normal 3 7" xfId="59941" xr:uid="{00000000-0005-0000-0000-00002D070000}"/>
    <cellStyle name="Normal 3 8" xfId="59942" xr:uid="{00000000-0005-0000-0000-00002E070000}"/>
    <cellStyle name="Normal 3 9" xfId="59933" xr:uid="{00000000-0005-0000-0000-00002F070000}"/>
    <cellStyle name="Normal 3_117 (รวมทั้งบริษัท) Q2.54_2011.07.11 10.26" xfId="59943" xr:uid="{00000000-0005-0000-0000-000030070000}"/>
    <cellStyle name="Normal 30" xfId="59944" xr:uid="{00000000-0005-0000-0000-000031070000}"/>
    <cellStyle name="Normal 31" xfId="59945" xr:uid="{00000000-0005-0000-0000-000032070000}"/>
    <cellStyle name="Normal 31 2" xfId="59946" xr:uid="{00000000-0005-0000-0000-000033070000}"/>
    <cellStyle name="Normal 32" xfId="59947" xr:uid="{00000000-0005-0000-0000-000034070000}"/>
    <cellStyle name="Normal 32 2" xfId="59948" xr:uid="{00000000-0005-0000-0000-000035070000}"/>
    <cellStyle name="Normal 32 3" xfId="59949" xr:uid="{00000000-0005-0000-0000-000036070000}"/>
    <cellStyle name="Normal 33" xfId="59950" xr:uid="{00000000-0005-0000-0000-000037070000}"/>
    <cellStyle name="Normal 33 2" xfId="59951" xr:uid="{00000000-0005-0000-0000-000038070000}"/>
    <cellStyle name="Normal 33 3" xfId="59952" xr:uid="{00000000-0005-0000-0000-000039070000}"/>
    <cellStyle name="Normal 34" xfId="59953" xr:uid="{00000000-0005-0000-0000-00003A070000}"/>
    <cellStyle name="Normal 34 2" xfId="59954" xr:uid="{00000000-0005-0000-0000-00003B070000}"/>
    <cellStyle name="Normal 34 3" xfId="59955" xr:uid="{00000000-0005-0000-0000-00003C070000}"/>
    <cellStyle name="Normal 34_Q3-54-SUP" xfId="59956" xr:uid="{00000000-0005-0000-0000-00003D070000}"/>
    <cellStyle name="Normal 35" xfId="59957" xr:uid="{00000000-0005-0000-0000-00003E070000}"/>
    <cellStyle name="Normal 36" xfId="59958" xr:uid="{00000000-0005-0000-0000-00003F070000}"/>
    <cellStyle name="Normal 37" xfId="59959" xr:uid="{00000000-0005-0000-0000-000040070000}"/>
    <cellStyle name="Normal 38" xfId="59960" xr:uid="{00000000-0005-0000-0000-000041070000}"/>
    <cellStyle name="Normal 39" xfId="59961" xr:uid="{00000000-0005-0000-0000-000042070000}"/>
    <cellStyle name="Normal 39 2" xfId="59962" xr:uid="{00000000-0005-0000-0000-000043070000}"/>
    <cellStyle name="Normal 4" xfId="22" xr:uid="{00000000-0005-0000-0000-000044070000}"/>
    <cellStyle name="Normal 4 2" xfId="59964" xr:uid="{00000000-0005-0000-0000-000045070000}"/>
    <cellStyle name="Normal 4 2 2" xfId="59965" xr:uid="{00000000-0005-0000-0000-000046070000}"/>
    <cellStyle name="Normal 4 2 3" xfId="59966" xr:uid="{00000000-0005-0000-0000-000047070000}"/>
    <cellStyle name="Normal 4 3" xfId="59967" xr:uid="{00000000-0005-0000-0000-000048070000}"/>
    <cellStyle name="Normal 4 3 2" xfId="59968" xr:uid="{00000000-0005-0000-0000-000049070000}"/>
    <cellStyle name="Normal 4 4" xfId="59969" xr:uid="{00000000-0005-0000-0000-00004A070000}"/>
    <cellStyle name="Normal 4 4 2" xfId="59970" xr:uid="{00000000-0005-0000-0000-00004B070000}"/>
    <cellStyle name="Normal 4 5" xfId="59971" xr:uid="{00000000-0005-0000-0000-00004C070000}"/>
    <cellStyle name="Normal 4 6" xfId="59972" xr:uid="{00000000-0005-0000-0000-00004D070000}"/>
    <cellStyle name="Normal 4 7" xfId="59963" xr:uid="{00000000-0005-0000-0000-00004E070000}"/>
    <cellStyle name="Normal 4_1332" xfId="59973" xr:uid="{00000000-0005-0000-0000-00004F070000}"/>
    <cellStyle name="Normal 40" xfId="59974" xr:uid="{00000000-0005-0000-0000-000050070000}"/>
    <cellStyle name="Normal 41" xfId="59975" xr:uid="{00000000-0005-0000-0000-000051070000}"/>
    <cellStyle name="Normal 42" xfId="59976" xr:uid="{00000000-0005-0000-0000-000052070000}"/>
    <cellStyle name="Normal 43" xfId="59977" xr:uid="{00000000-0005-0000-0000-000053070000}"/>
    <cellStyle name="Normal 44" xfId="59978" xr:uid="{00000000-0005-0000-0000-000054070000}"/>
    <cellStyle name="Normal 45" xfId="59979" xr:uid="{00000000-0005-0000-0000-000055070000}"/>
    <cellStyle name="Normal 46" xfId="59980" xr:uid="{00000000-0005-0000-0000-000056070000}"/>
    <cellStyle name="Normal 47" xfId="59981" xr:uid="{00000000-0005-0000-0000-000057070000}"/>
    <cellStyle name="Normal 48" xfId="59982" xr:uid="{00000000-0005-0000-0000-000058070000}"/>
    <cellStyle name="Normal 49" xfId="59983" xr:uid="{00000000-0005-0000-0000-000059070000}"/>
    <cellStyle name="Normal 5" xfId="24" xr:uid="{00000000-0005-0000-0000-00005A070000}"/>
    <cellStyle name="Normal 5 2" xfId="59985" xr:uid="{00000000-0005-0000-0000-00005B070000}"/>
    <cellStyle name="Normal 5 2 2" xfId="59986" xr:uid="{00000000-0005-0000-0000-00005C070000}"/>
    <cellStyle name="Normal 5 3" xfId="59987" xr:uid="{00000000-0005-0000-0000-00005D070000}"/>
    <cellStyle name="Normal 5 3 2" xfId="59988" xr:uid="{00000000-0005-0000-0000-00005E070000}"/>
    <cellStyle name="Normal 5 4" xfId="59989" xr:uid="{00000000-0005-0000-0000-00005F070000}"/>
    <cellStyle name="Normal 5 4 2" xfId="59990" xr:uid="{00000000-0005-0000-0000-000060070000}"/>
    <cellStyle name="Normal 5 5" xfId="59991" xr:uid="{00000000-0005-0000-0000-000061070000}"/>
    <cellStyle name="Normal 5 6" xfId="59992" xr:uid="{00000000-0005-0000-0000-000062070000}"/>
    <cellStyle name="Normal 5 7" xfId="59984" xr:uid="{00000000-0005-0000-0000-000063070000}"/>
    <cellStyle name="Normal 5_1332" xfId="59993" xr:uid="{00000000-0005-0000-0000-000064070000}"/>
    <cellStyle name="Normal 50" xfId="59994" xr:uid="{00000000-0005-0000-0000-000065070000}"/>
    <cellStyle name="Normal 51" xfId="59995" xr:uid="{00000000-0005-0000-0000-000066070000}"/>
    <cellStyle name="Normal 52" xfId="59996" xr:uid="{00000000-0005-0000-0000-000067070000}"/>
    <cellStyle name="Normal 53" xfId="59997" xr:uid="{00000000-0005-0000-0000-000068070000}"/>
    <cellStyle name="Normal 54" xfId="59998" xr:uid="{00000000-0005-0000-0000-000069070000}"/>
    <cellStyle name="Normal 55" xfId="59999" xr:uid="{00000000-0005-0000-0000-00006A070000}"/>
    <cellStyle name="Normal 6" xfId="60000" xr:uid="{00000000-0005-0000-0000-00006B070000}"/>
    <cellStyle name="Normal 6 2" xfId="60001" xr:uid="{00000000-0005-0000-0000-00006C070000}"/>
    <cellStyle name="Normal 6 3" xfId="60002" xr:uid="{00000000-0005-0000-0000-00006D070000}"/>
    <cellStyle name="Normal 6 4" xfId="60003" xr:uid="{00000000-0005-0000-0000-00006E070000}"/>
    <cellStyle name="Normal 7" xfId="60004" xr:uid="{00000000-0005-0000-0000-00006F070000}"/>
    <cellStyle name="Normal 7 2" xfId="60005" xr:uid="{00000000-0005-0000-0000-000070070000}"/>
    <cellStyle name="Normal 7_FORM_conso_ปรับปรุง_Q1_54_update" xfId="60006" xr:uid="{00000000-0005-0000-0000-000071070000}"/>
    <cellStyle name="Normal 8" xfId="60007" xr:uid="{00000000-0005-0000-0000-000072070000}"/>
    <cellStyle name="Normal 8 2" xfId="60008" xr:uid="{00000000-0005-0000-0000-000073070000}"/>
    <cellStyle name="Normal 8 2 2" xfId="60009" xr:uid="{00000000-0005-0000-0000-000074070000}"/>
    <cellStyle name="Normal 8 3" xfId="60010" xr:uid="{00000000-0005-0000-0000-000075070000}"/>
    <cellStyle name="Normal 8 3 2" xfId="60011" xr:uid="{00000000-0005-0000-0000-000076070000}"/>
    <cellStyle name="Normal 8 4" xfId="60012" xr:uid="{00000000-0005-0000-0000-000077070000}"/>
    <cellStyle name="Normal 8 5" xfId="60013" xr:uid="{00000000-0005-0000-0000-000078070000}"/>
    <cellStyle name="Normal 8_FS8 (แก้ไข)" xfId="60014" xr:uid="{00000000-0005-0000-0000-000079070000}"/>
    <cellStyle name="Normal 9" xfId="60015" xr:uid="{00000000-0005-0000-0000-00007A070000}"/>
    <cellStyle name="Normal 9 2" xfId="60016" xr:uid="{00000000-0005-0000-0000-00007B070000}"/>
    <cellStyle name="Normal 9 2 2" xfId="60017" xr:uid="{00000000-0005-0000-0000-00007C070000}"/>
    <cellStyle name="Normal 9 2 3" xfId="60018" xr:uid="{00000000-0005-0000-0000-00007D070000}"/>
    <cellStyle name="Normal 9 3" xfId="60019" xr:uid="{00000000-0005-0000-0000-00007E070000}"/>
    <cellStyle name="Normal 9 3 2" xfId="60020" xr:uid="{00000000-0005-0000-0000-00007F070000}"/>
    <cellStyle name="Normal 9 4" xfId="60021" xr:uid="{00000000-0005-0000-0000-000080070000}"/>
    <cellStyle name="Normal 9_Interest Loan receivable-11" xfId="60022" xr:uid="{00000000-0005-0000-0000-000081070000}"/>
    <cellStyle name="Normal_Book1" xfId="15" xr:uid="{00000000-0005-0000-0000-000082070000}"/>
    <cellStyle name="Normal_cash_flow - เงินกู้ในประเทศ" xfId="13" xr:uid="{00000000-0005-0000-0000-000083070000}"/>
    <cellStyle name="Normal_เงินกู้จากธนาคาร 2" xfId="14" xr:uid="{00000000-0005-0000-0000-000084070000}"/>
    <cellStyle name="Note 2" xfId="60023" xr:uid="{00000000-0005-0000-0000-000085070000}"/>
    <cellStyle name="Note 2 2" xfId="60024" xr:uid="{00000000-0005-0000-0000-000086070000}"/>
    <cellStyle name="Note 2 3" xfId="60025" xr:uid="{00000000-0005-0000-0000-000087070000}"/>
    <cellStyle name="Note 3" xfId="60026" xr:uid="{00000000-0005-0000-0000-000088070000}"/>
    <cellStyle name="Note 4" xfId="60027" xr:uid="{00000000-0005-0000-0000-000089070000}"/>
    <cellStyle name="Note 5" xfId="60028" xr:uid="{00000000-0005-0000-0000-00008A070000}"/>
    <cellStyle name="Note 6" xfId="60029" xr:uid="{00000000-0005-0000-0000-00008B070000}"/>
    <cellStyle name="nuch" xfId="60030" xr:uid="{00000000-0005-0000-0000-00008C070000}"/>
    <cellStyle name="nuch 10" xfId="60031" xr:uid="{00000000-0005-0000-0000-00008D070000}"/>
    <cellStyle name="nuch 11" xfId="60032" xr:uid="{00000000-0005-0000-0000-00008E070000}"/>
    <cellStyle name="nuch 12" xfId="60033" xr:uid="{00000000-0005-0000-0000-00008F070000}"/>
    <cellStyle name="nuch 13" xfId="60034" xr:uid="{00000000-0005-0000-0000-000090070000}"/>
    <cellStyle name="nuch 14" xfId="60035" xr:uid="{00000000-0005-0000-0000-000091070000}"/>
    <cellStyle name="nuch 15" xfId="60036" xr:uid="{00000000-0005-0000-0000-000092070000}"/>
    <cellStyle name="nuch 16" xfId="60037" xr:uid="{00000000-0005-0000-0000-000093070000}"/>
    <cellStyle name="nuch 17" xfId="60038" xr:uid="{00000000-0005-0000-0000-000094070000}"/>
    <cellStyle name="nuch 18" xfId="60039" xr:uid="{00000000-0005-0000-0000-000095070000}"/>
    <cellStyle name="nuch 2" xfId="60040" xr:uid="{00000000-0005-0000-0000-000096070000}"/>
    <cellStyle name="nuch 3" xfId="60041" xr:uid="{00000000-0005-0000-0000-000097070000}"/>
    <cellStyle name="nuch 4" xfId="60042" xr:uid="{00000000-0005-0000-0000-000098070000}"/>
    <cellStyle name="nuch 5" xfId="60043" xr:uid="{00000000-0005-0000-0000-000099070000}"/>
    <cellStyle name="nuch 6" xfId="60044" xr:uid="{00000000-0005-0000-0000-00009A070000}"/>
    <cellStyle name="nuch 7" xfId="60045" xr:uid="{00000000-0005-0000-0000-00009B070000}"/>
    <cellStyle name="nuch 8" xfId="60046" xr:uid="{00000000-0005-0000-0000-00009C070000}"/>
    <cellStyle name="nuch 9" xfId="60047" xr:uid="{00000000-0005-0000-0000-00009D070000}"/>
    <cellStyle name="nuch_1_FS10_10.1_เงินให้กู้ยืมและเงินให้กู้ยืม_Q254_2" xfId="60048" xr:uid="{00000000-0005-0000-0000-00009E070000}"/>
    <cellStyle name="Option" xfId="60049" xr:uid="{00000000-0005-0000-0000-00009F070000}"/>
    <cellStyle name="Option 2" xfId="60050" xr:uid="{00000000-0005-0000-0000-0000A0070000}"/>
    <cellStyle name="Option 3" xfId="60051" xr:uid="{00000000-0005-0000-0000-0000A1070000}"/>
    <cellStyle name="Output 2" xfId="60052" xr:uid="{00000000-0005-0000-0000-0000A2070000}"/>
    <cellStyle name="Output 2 2" xfId="60053" xr:uid="{00000000-0005-0000-0000-0000A3070000}"/>
    <cellStyle name="Output 3" xfId="60054" xr:uid="{00000000-0005-0000-0000-0000A4070000}"/>
    <cellStyle name="Output 4" xfId="60055" xr:uid="{00000000-0005-0000-0000-0000A5070000}"/>
    <cellStyle name="Output 5" xfId="60056" xr:uid="{00000000-0005-0000-0000-0000A6070000}"/>
    <cellStyle name="Percent" xfId="2" builtinId="5"/>
    <cellStyle name="Percent [2]" xfId="60057" xr:uid="{00000000-0005-0000-0000-0000A7070000}"/>
    <cellStyle name="Percent [2] 10" xfId="60058" xr:uid="{00000000-0005-0000-0000-0000A8070000}"/>
    <cellStyle name="Percent [2] 11" xfId="60059" xr:uid="{00000000-0005-0000-0000-0000A9070000}"/>
    <cellStyle name="Percent [2] 12" xfId="60060" xr:uid="{00000000-0005-0000-0000-0000AA070000}"/>
    <cellStyle name="Percent [2] 13" xfId="60061" xr:uid="{00000000-0005-0000-0000-0000AB070000}"/>
    <cellStyle name="Percent [2] 14" xfId="60062" xr:uid="{00000000-0005-0000-0000-0000AC070000}"/>
    <cellStyle name="Percent [2] 15" xfId="60063" xr:uid="{00000000-0005-0000-0000-0000AD070000}"/>
    <cellStyle name="Percent [2] 16" xfId="60064" xr:uid="{00000000-0005-0000-0000-0000AE070000}"/>
    <cellStyle name="Percent [2] 17" xfId="60065" xr:uid="{00000000-0005-0000-0000-0000AF070000}"/>
    <cellStyle name="Percent [2] 18" xfId="60066" xr:uid="{00000000-0005-0000-0000-0000B0070000}"/>
    <cellStyle name="Percent [2] 2" xfId="60067" xr:uid="{00000000-0005-0000-0000-0000B1070000}"/>
    <cellStyle name="Percent [2] 3" xfId="60068" xr:uid="{00000000-0005-0000-0000-0000B2070000}"/>
    <cellStyle name="Percent [2] 4" xfId="60069" xr:uid="{00000000-0005-0000-0000-0000B3070000}"/>
    <cellStyle name="Percent [2] 5" xfId="60070" xr:uid="{00000000-0005-0000-0000-0000B4070000}"/>
    <cellStyle name="Percent [2] 6" xfId="60071" xr:uid="{00000000-0005-0000-0000-0000B5070000}"/>
    <cellStyle name="Percent [2] 7" xfId="60072" xr:uid="{00000000-0005-0000-0000-0000B6070000}"/>
    <cellStyle name="Percent [2] 8" xfId="60073" xr:uid="{00000000-0005-0000-0000-0000B7070000}"/>
    <cellStyle name="Percent [2] 9" xfId="60074" xr:uid="{00000000-0005-0000-0000-0000B8070000}"/>
    <cellStyle name="Percent 10" xfId="60075" xr:uid="{00000000-0005-0000-0000-0000B9070000}"/>
    <cellStyle name="Percent 10 2" xfId="60076" xr:uid="{00000000-0005-0000-0000-0000BA070000}"/>
    <cellStyle name="Percent 11" xfId="60077" xr:uid="{00000000-0005-0000-0000-0000BB070000}"/>
    <cellStyle name="Percent 12" xfId="60078" xr:uid="{00000000-0005-0000-0000-0000BC070000}"/>
    <cellStyle name="Percent 13" xfId="60079" xr:uid="{00000000-0005-0000-0000-0000BD070000}"/>
    <cellStyle name="Percent 14" xfId="60080" xr:uid="{00000000-0005-0000-0000-0000BE070000}"/>
    <cellStyle name="Percent 14 2" xfId="60081" xr:uid="{00000000-0005-0000-0000-0000BF070000}"/>
    <cellStyle name="Percent 14 3" xfId="60082" xr:uid="{00000000-0005-0000-0000-0000C0070000}"/>
    <cellStyle name="Percent 14 4" xfId="60083" xr:uid="{00000000-0005-0000-0000-0000C1070000}"/>
    <cellStyle name="Percent 14 5" xfId="60084" xr:uid="{00000000-0005-0000-0000-0000C2070000}"/>
    <cellStyle name="Percent 15" xfId="60085" xr:uid="{00000000-0005-0000-0000-0000C3070000}"/>
    <cellStyle name="Percent 16" xfId="60086" xr:uid="{00000000-0005-0000-0000-0000C4070000}"/>
    <cellStyle name="Percent 2" xfId="58804" xr:uid="{00000000-0005-0000-0000-0000C5070000}"/>
    <cellStyle name="Percent 2 2" xfId="60088" xr:uid="{00000000-0005-0000-0000-0000C6070000}"/>
    <cellStyle name="Percent 2 3" xfId="60087" xr:uid="{00000000-0005-0000-0000-0000C7070000}"/>
    <cellStyle name="Percent 3" xfId="60089" xr:uid="{00000000-0005-0000-0000-0000C8070000}"/>
    <cellStyle name="Percent 3 2" xfId="60090" xr:uid="{00000000-0005-0000-0000-0000C9070000}"/>
    <cellStyle name="Percent 3 3" xfId="60091" xr:uid="{00000000-0005-0000-0000-0000CA070000}"/>
    <cellStyle name="Percent 3 4" xfId="60092" xr:uid="{00000000-0005-0000-0000-0000CB070000}"/>
    <cellStyle name="Percent 4" xfId="60093" xr:uid="{00000000-0005-0000-0000-0000CC070000}"/>
    <cellStyle name="Percent 4 2" xfId="60094" xr:uid="{00000000-0005-0000-0000-0000CD070000}"/>
    <cellStyle name="Percent 5" xfId="60095" xr:uid="{00000000-0005-0000-0000-0000CE070000}"/>
    <cellStyle name="Percent 5 2" xfId="60096" xr:uid="{00000000-0005-0000-0000-0000CF070000}"/>
    <cellStyle name="Percent 6" xfId="60097" xr:uid="{00000000-0005-0000-0000-0000D0070000}"/>
    <cellStyle name="Percent 6 2" xfId="60098" xr:uid="{00000000-0005-0000-0000-0000D1070000}"/>
    <cellStyle name="Percent 7" xfId="60099" xr:uid="{00000000-0005-0000-0000-0000D2070000}"/>
    <cellStyle name="Percent 8" xfId="60100" xr:uid="{00000000-0005-0000-0000-0000D3070000}"/>
    <cellStyle name="Percent 8 2" xfId="60101" xr:uid="{00000000-0005-0000-0000-0000D4070000}"/>
    <cellStyle name="Percent 9" xfId="60102" xr:uid="{00000000-0005-0000-0000-0000D5070000}"/>
    <cellStyle name="Percent 9 2" xfId="60103" xr:uid="{00000000-0005-0000-0000-0000D6070000}"/>
    <cellStyle name="pldt" xfId="60104" xr:uid="{00000000-0005-0000-0000-0000D7070000}"/>
    <cellStyle name="pldt 10" xfId="60105" xr:uid="{00000000-0005-0000-0000-0000D8070000}"/>
    <cellStyle name="pldt 11" xfId="60106" xr:uid="{00000000-0005-0000-0000-0000D9070000}"/>
    <cellStyle name="pldt 12" xfId="60107" xr:uid="{00000000-0005-0000-0000-0000DA070000}"/>
    <cellStyle name="pldt 13" xfId="60108" xr:uid="{00000000-0005-0000-0000-0000DB070000}"/>
    <cellStyle name="pldt 14" xfId="60109" xr:uid="{00000000-0005-0000-0000-0000DC070000}"/>
    <cellStyle name="pldt 15" xfId="60110" xr:uid="{00000000-0005-0000-0000-0000DD070000}"/>
    <cellStyle name="pldt 16" xfId="60111" xr:uid="{00000000-0005-0000-0000-0000DE070000}"/>
    <cellStyle name="pldt 17" xfId="60112" xr:uid="{00000000-0005-0000-0000-0000DF070000}"/>
    <cellStyle name="pldt 18" xfId="60113" xr:uid="{00000000-0005-0000-0000-0000E0070000}"/>
    <cellStyle name="pldt 19" xfId="60114" xr:uid="{00000000-0005-0000-0000-0000E1070000}"/>
    <cellStyle name="pldt 2" xfId="60115" xr:uid="{00000000-0005-0000-0000-0000E2070000}"/>
    <cellStyle name="pldt 20" xfId="60116" xr:uid="{00000000-0005-0000-0000-0000E3070000}"/>
    <cellStyle name="pldt 21" xfId="60117" xr:uid="{00000000-0005-0000-0000-0000E4070000}"/>
    <cellStyle name="pldt 22" xfId="60118" xr:uid="{00000000-0005-0000-0000-0000E5070000}"/>
    <cellStyle name="pldt 23" xfId="60119" xr:uid="{00000000-0005-0000-0000-0000E6070000}"/>
    <cellStyle name="pldt 24" xfId="60120" xr:uid="{00000000-0005-0000-0000-0000E7070000}"/>
    <cellStyle name="pldt 25" xfId="60121" xr:uid="{00000000-0005-0000-0000-0000E8070000}"/>
    <cellStyle name="pldt 26" xfId="60122" xr:uid="{00000000-0005-0000-0000-0000E9070000}"/>
    <cellStyle name="pldt 3" xfId="60123" xr:uid="{00000000-0005-0000-0000-0000EA070000}"/>
    <cellStyle name="pldt 4" xfId="60124" xr:uid="{00000000-0005-0000-0000-0000EB070000}"/>
    <cellStyle name="pldt 5" xfId="60125" xr:uid="{00000000-0005-0000-0000-0000EC070000}"/>
    <cellStyle name="pldt 6" xfId="60126" xr:uid="{00000000-0005-0000-0000-0000ED070000}"/>
    <cellStyle name="pldt 7" xfId="60127" xr:uid="{00000000-0005-0000-0000-0000EE070000}"/>
    <cellStyle name="pldt 8" xfId="60128" xr:uid="{00000000-0005-0000-0000-0000EF070000}"/>
    <cellStyle name="pldt 9" xfId="60129" xr:uid="{00000000-0005-0000-0000-0000F0070000}"/>
    <cellStyle name="Quantity" xfId="60130" xr:uid="{00000000-0005-0000-0000-0000F1070000}"/>
    <cellStyle name="Quantity 10" xfId="60131" xr:uid="{00000000-0005-0000-0000-0000F2070000}"/>
    <cellStyle name="Quantity 11" xfId="60132" xr:uid="{00000000-0005-0000-0000-0000F3070000}"/>
    <cellStyle name="Quantity 12" xfId="60133" xr:uid="{00000000-0005-0000-0000-0000F4070000}"/>
    <cellStyle name="Quantity 13" xfId="60134" xr:uid="{00000000-0005-0000-0000-0000F5070000}"/>
    <cellStyle name="Quantity 14" xfId="60135" xr:uid="{00000000-0005-0000-0000-0000F6070000}"/>
    <cellStyle name="Quantity 15" xfId="60136" xr:uid="{00000000-0005-0000-0000-0000F7070000}"/>
    <cellStyle name="Quantity 16" xfId="60137" xr:uid="{00000000-0005-0000-0000-0000F8070000}"/>
    <cellStyle name="Quantity 17" xfId="60138" xr:uid="{00000000-0005-0000-0000-0000F9070000}"/>
    <cellStyle name="Quantity 18" xfId="60139" xr:uid="{00000000-0005-0000-0000-0000FA070000}"/>
    <cellStyle name="Quantity 2" xfId="60140" xr:uid="{00000000-0005-0000-0000-0000FB070000}"/>
    <cellStyle name="Quantity 3" xfId="60141" xr:uid="{00000000-0005-0000-0000-0000FC070000}"/>
    <cellStyle name="Quantity 4" xfId="60142" xr:uid="{00000000-0005-0000-0000-0000FD070000}"/>
    <cellStyle name="Quantity 5" xfId="60143" xr:uid="{00000000-0005-0000-0000-0000FE070000}"/>
    <cellStyle name="Quantity 6" xfId="60144" xr:uid="{00000000-0005-0000-0000-0000FF070000}"/>
    <cellStyle name="Quantity 7" xfId="60145" xr:uid="{00000000-0005-0000-0000-000000080000}"/>
    <cellStyle name="Quantity 8" xfId="60146" xr:uid="{00000000-0005-0000-0000-000001080000}"/>
    <cellStyle name="Quantity 9" xfId="60147" xr:uid="{00000000-0005-0000-0000-000002080000}"/>
    <cellStyle name="Quantity_1_FS10_10.1_เงินให้กู้ยืมและเงินให้กู้ยืม_Q254_2" xfId="60148" xr:uid="{00000000-0005-0000-0000-000003080000}"/>
    <cellStyle name="SAPBEXaggData" xfId="60149" xr:uid="{00000000-0005-0000-0000-000004080000}"/>
    <cellStyle name="SAPBEXaggDataEmph" xfId="60150" xr:uid="{00000000-0005-0000-0000-000005080000}"/>
    <cellStyle name="SAPBEXaggItem" xfId="60151" xr:uid="{00000000-0005-0000-0000-000006080000}"/>
    <cellStyle name="SAPBEXaggItemX" xfId="60152" xr:uid="{00000000-0005-0000-0000-000007080000}"/>
    <cellStyle name="SAPBEXchaText" xfId="60153" xr:uid="{00000000-0005-0000-0000-000008080000}"/>
    <cellStyle name="SAPBEXchaText 10" xfId="60154" xr:uid="{00000000-0005-0000-0000-000009080000}"/>
    <cellStyle name="SAPBEXchaText 11" xfId="60155" xr:uid="{00000000-0005-0000-0000-00000A080000}"/>
    <cellStyle name="SAPBEXchaText 12" xfId="60156" xr:uid="{00000000-0005-0000-0000-00000B080000}"/>
    <cellStyle name="SAPBEXchaText 13" xfId="60157" xr:uid="{00000000-0005-0000-0000-00000C080000}"/>
    <cellStyle name="SAPBEXchaText 14" xfId="60158" xr:uid="{00000000-0005-0000-0000-00000D080000}"/>
    <cellStyle name="SAPBEXchaText 15" xfId="60159" xr:uid="{00000000-0005-0000-0000-00000E080000}"/>
    <cellStyle name="SAPBEXchaText 16" xfId="60160" xr:uid="{00000000-0005-0000-0000-00000F080000}"/>
    <cellStyle name="SAPBEXchaText 17" xfId="60161" xr:uid="{00000000-0005-0000-0000-000010080000}"/>
    <cellStyle name="SAPBEXchaText 18" xfId="60162" xr:uid="{00000000-0005-0000-0000-000011080000}"/>
    <cellStyle name="SAPBEXchaText 2" xfId="60163" xr:uid="{00000000-0005-0000-0000-000012080000}"/>
    <cellStyle name="SAPBEXchaText 3" xfId="60164" xr:uid="{00000000-0005-0000-0000-000013080000}"/>
    <cellStyle name="SAPBEXchaText 4" xfId="60165" xr:uid="{00000000-0005-0000-0000-000014080000}"/>
    <cellStyle name="SAPBEXchaText 5" xfId="60166" xr:uid="{00000000-0005-0000-0000-000015080000}"/>
    <cellStyle name="SAPBEXchaText 6" xfId="60167" xr:uid="{00000000-0005-0000-0000-000016080000}"/>
    <cellStyle name="SAPBEXchaText 7" xfId="60168" xr:uid="{00000000-0005-0000-0000-000017080000}"/>
    <cellStyle name="SAPBEXchaText 8" xfId="60169" xr:uid="{00000000-0005-0000-0000-000018080000}"/>
    <cellStyle name="SAPBEXchaText 9" xfId="60170" xr:uid="{00000000-0005-0000-0000-000019080000}"/>
    <cellStyle name="SAPBEXchaText_1_FS10_10.1_เงินให้กู้ยืมและเงินให้กู้ยืม_Q254_2" xfId="60171" xr:uid="{00000000-0005-0000-0000-00001A080000}"/>
    <cellStyle name="SAPBEXexcBad7" xfId="60172" xr:uid="{00000000-0005-0000-0000-00001B080000}"/>
    <cellStyle name="SAPBEXexcBad8" xfId="60173" xr:uid="{00000000-0005-0000-0000-00001C080000}"/>
    <cellStyle name="SAPBEXexcBad9" xfId="60174" xr:uid="{00000000-0005-0000-0000-00001D080000}"/>
    <cellStyle name="SAPBEXexcCritical4" xfId="60175" xr:uid="{00000000-0005-0000-0000-00001E080000}"/>
    <cellStyle name="SAPBEXexcCritical5" xfId="60176" xr:uid="{00000000-0005-0000-0000-00001F080000}"/>
    <cellStyle name="SAPBEXexcCritical6" xfId="60177" xr:uid="{00000000-0005-0000-0000-000020080000}"/>
    <cellStyle name="SAPBEXexcGood1" xfId="60178" xr:uid="{00000000-0005-0000-0000-000021080000}"/>
    <cellStyle name="SAPBEXexcGood2" xfId="60179" xr:uid="{00000000-0005-0000-0000-000022080000}"/>
    <cellStyle name="SAPBEXexcGood3" xfId="60180" xr:uid="{00000000-0005-0000-0000-000023080000}"/>
    <cellStyle name="SAPBEXfilterDrill" xfId="60181" xr:uid="{00000000-0005-0000-0000-000024080000}"/>
    <cellStyle name="SAPBEXfilterItem" xfId="60182" xr:uid="{00000000-0005-0000-0000-000025080000}"/>
    <cellStyle name="SAPBEXfilterText" xfId="60183" xr:uid="{00000000-0005-0000-0000-000026080000}"/>
    <cellStyle name="SAPBEXfilterText 10" xfId="60184" xr:uid="{00000000-0005-0000-0000-000027080000}"/>
    <cellStyle name="SAPBEXfilterText 11" xfId="60185" xr:uid="{00000000-0005-0000-0000-000028080000}"/>
    <cellStyle name="SAPBEXfilterText 12" xfId="60186" xr:uid="{00000000-0005-0000-0000-000029080000}"/>
    <cellStyle name="SAPBEXfilterText 13" xfId="60187" xr:uid="{00000000-0005-0000-0000-00002A080000}"/>
    <cellStyle name="SAPBEXfilterText 14" xfId="60188" xr:uid="{00000000-0005-0000-0000-00002B080000}"/>
    <cellStyle name="SAPBEXfilterText 15" xfId="60189" xr:uid="{00000000-0005-0000-0000-00002C080000}"/>
    <cellStyle name="SAPBEXfilterText 16" xfId="60190" xr:uid="{00000000-0005-0000-0000-00002D080000}"/>
    <cellStyle name="SAPBEXfilterText 17" xfId="60191" xr:uid="{00000000-0005-0000-0000-00002E080000}"/>
    <cellStyle name="SAPBEXfilterText 18" xfId="60192" xr:uid="{00000000-0005-0000-0000-00002F080000}"/>
    <cellStyle name="SAPBEXfilterText 2" xfId="60193" xr:uid="{00000000-0005-0000-0000-000030080000}"/>
    <cellStyle name="SAPBEXfilterText 3" xfId="60194" xr:uid="{00000000-0005-0000-0000-000031080000}"/>
    <cellStyle name="SAPBEXfilterText 4" xfId="60195" xr:uid="{00000000-0005-0000-0000-000032080000}"/>
    <cellStyle name="SAPBEXfilterText 5" xfId="60196" xr:uid="{00000000-0005-0000-0000-000033080000}"/>
    <cellStyle name="SAPBEXfilterText 6" xfId="60197" xr:uid="{00000000-0005-0000-0000-000034080000}"/>
    <cellStyle name="SAPBEXfilterText 7" xfId="60198" xr:uid="{00000000-0005-0000-0000-000035080000}"/>
    <cellStyle name="SAPBEXfilterText 8" xfId="60199" xr:uid="{00000000-0005-0000-0000-000036080000}"/>
    <cellStyle name="SAPBEXfilterText 9" xfId="60200" xr:uid="{00000000-0005-0000-0000-000037080000}"/>
    <cellStyle name="SAPBEXfilterText_1_FS10_10.1_เงินให้กู้ยืมและเงินให้กู้ยืม_Q254_2" xfId="60201" xr:uid="{00000000-0005-0000-0000-000038080000}"/>
    <cellStyle name="SAPBEXformats" xfId="60202" xr:uid="{00000000-0005-0000-0000-000039080000}"/>
    <cellStyle name="SAPBEXformats 10" xfId="60203" xr:uid="{00000000-0005-0000-0000-00003A080000}"/>
    <cellStyle name="SAPBEXformats 11" xfId="60204" xr:uid="{00000000-0005-0000-0000-00003B080000}"/>
    <cellStyle name="SAPBEXformats 12" xfId="60205" xr:uid="{00000000-0005-0000-0000-00003C080000}"/>
    <cellStyle name="SAPBEXformats 13" xfId="60206" xr:uid="{00000000-0005-0000-0000-00003D080000}"/>
    <cellStyle name="SAPBEXformats 14" xfId="60207" xr:uid="{00000000-0005-0000-0000-00003E080000}"/>
    <cellStyle name="SAPBEXformats 15" xfId="60208" xr:uid="{00000000-0005-0000-0000-00003F080000}"/>
    <cellStyle name="SAPBEXformats 16" xfId="60209" xr:uid="{00000000-0005-0000-0000-000040080000}"/>
    <cellStyle name="SAPBEXformats 17" xfId="60210" xr:uid="{00000000-0005-0000-0000-000041080000}"/>
    <cellStyle name="SAPBEXformats 18" xfId="60211" xr:uid="{00000000-0005-0000-0000-000042080000}"/>
    <cellStyle name="SAPBEXformats 2" xfId="60212" xr:uid="{00000000-0005-0000-0000-000043080000}"/>
    <cellStyle name="SAPBEXformats 3" xfId="60213" xr:uid="{00000000-0005-0000-0000-000044080000}"/>
    <cellStyle name="SAPBEXformats 4" xfId="60214" xr:uid="{00000000-0005-0000-0000-000045080000}"/>
    <cellStyle name="SAPBEXformats 5" xfId="60215" xr:uid="{00000000-0005-0000-0000-000046080000}"/>
    <cellStyle name="SAPBEXformats 6" xfId="60216" xr:uid="{00000000-0005-0000-0000-000047080000}"/>
    <cellStyle name="SAPBEXformats 7" xfId="60217" xr:uid="{00000000-0005-0000-0000-000048080000}"/>
    <cellStyle name="SAPBEXformats 8" xfId="60218" xr:uid="{00000000-0005-0000-0000-000049080000}"/>
    <cellStyle name="SAPBEXformats 9" xfId="60219" xr:uid="{00000000-0005-0000-0000-00004A080000}"/>
    <cellStyle name="SAPBEXformats_1_FS10_10.1_เงินให้กู้ยืมและเงินให้กู้ยืม_Q254_2" xfId="60220" xr:uid="{00000000-0005-0000-0000-00004B080000}"/>
    <cellStyle name="SAPBEXheaderItem" xfId="60221" xr:uid="{00000000-0005-0000-0000-00004C080000}"/>
    <cellStyle name="SAPBEXheaderItem 10" xfId="60222" xr:uid="{00000000-0005-0000-0000-00004D080000}"/>
    <cellStyle name="SAPBEXheaderItem 11" xfId="60223" xr:uid="{00000000-0005-0000-0000-00004E080000}"/>
    <cellStyle name="SAPBEXheaderItem 12" xfId="60224" xr:uid="{00000000-0005-0000-0000-00004F080000}"/>
    <cellStyle name="SAPBEXheaderItem 13" xfId="60225" xr:uid="{00000000-0005-0000-0000-000050080000}"/>
    <cellStyle name="SAPBEXheaderItem 14" xfId="60226" xr:uid="{00000000-0005-0000-0000-000051080000}"/>
    <cellStyle name="SAPBEXheaderItem 15" xfId="60227" xr:uid="{00000000-0005-0000-0000-000052080000}"/>
    <cellStyle name="SAPBEXheaderItem 16" xfId="60228" xr:uid="{00000000-0005-0000-0000-000053080000}"/>
    <cellStyle name="SAPBEXheaderItem 17" xfId="60229" xr:uid="{00000000-0005-0000-0000-000054080000}"/>
    <cellStyle name="SAPBEXheaderItem 18" xfId="60230" xr:uid="{00000000-0005-0000-0000-000055080000}"/>
    <cellStyle name="SAPBEXheaderItem 19" xfId="60231" xr:uid="{00000000-0005-0000-0000-000056080000}"/>
    <cellStyle name="SAPBEXheaderItem 2" xfId="60232" xr:uid="{00000000-0005-0000-0000-000057080000}"/>
    <cellStyle name="SAPBEXheaderItem 20" xfId="60233" xr:uid="{00000000-0005-0000-0000-000058080000}"/>
    <cellStyle name="SAPBEXheaderItem 21" xfId="60234" xr:uid="{00000000-0005-0000-0000-000059080000}"/>
    <cellStyle name="SAPBEXheaderItem 22" xfId="60235" xr:uid="{00000000-0005-0000-0000-00005A080000}"/>
    <cellStyle name="SAPBEXheaderItem 23" xfId="60236" xr:uid="{00000000-0005-0000-0000-00005B080000}"/>
    <cellStyle name="SAPBEXheaderItem 24" xfId="60237" xr:uid="{00000000-0005-0000-0000-00005C080000}"/>
    <cellStyle name="SAPBEXheaderItem 3" xfId="60238" xr:uid="{00000000-0005-0000-0000-00005D080000}"/>
    <cellStyle name="SAPBEXheaderItem 4" xfId="60239" xr:uid="{00000000-0005-0000-0000-00005E080000}"/>
    <cellStyle name="SAPBEXheaderItem 5" xfId="60240" xr:uid="{00000000-0005-0000-0000-00005F080000}"/>
    <cellStyle name="SAPBEXheaderItem 6" xfId="60241" xr:uid="{00000000-0005-0000-0000-000060080000}"/>
    <cellStyle name="SAPBEXheaderItem 7" xfId="60242" xr:uid="{00000000-0005-0000-0000-000061080000}"/>
    <cellStyle name="SAPBEXheaderItem 8" xfId="60243" xr:uid="{00000000-0005-0000-0000-000062080000}"/>
    <cellStyle name="SAPBEXheaderItem 9" xfId="60244" xr:uid="{00000000-0005-0000-0000-000063080000}"/>
    <cellStyle name="SAPBEXheaderItem_1_FS10_10.1_เงินให้กู้ยืมและเงินให้กู้ยืม_Q254_2" xfId="60245" xr:uid="{00000000-0005-0000-0000-000064080000}"/>
    <cellStyle name="SAPBEXheaderText" xfId="60246" xr:uid="{00000000-0005-0000-0000-000065080000}"/>
    <cellStyle name="SAPBEXheaderText 10" xfId="60247" xr:uid="{00000000-0005-0000-0000-000066080000}"/>
    <cellStyle name="SAPBEXheaderText 11" xfId="60248" xr:uid="{00000000-0005-0000-0000-000067080000}"/>
    <cellStyle name="SAPBEXheaderText 12" xfId="60249" xr:uid="{00000000-0005-0000-0000-000068080000}"/>
    <cellStyle name="SAPBEXheaderText 13" xfId="60250" xr:uid="{00000000-0005-0000-0000-000069080000}"/>
    <cellStyle name="SAPBEXheaderText 14" xfId="60251" xr:uid="{00000000-0005-0000-0000-00006A080000}"/>
    <cellStyle name="SAPBEXheaderText 15" xfId="60252" xr:uid="{00000000-0005-0000-0000-00006B080000}"/>
    <cellStyle name="SAPBEXheaderText 16" xfId="60253" xr:uid="{00000000-0005-0000-0000-00006C080000}"/>
    <cellStyle name="SAPBEXheaderText 17" xfId="60254" xr:uid="{00000000-0005-0000-0000-00006D080000}"/>
    <cellStyle name="SAPBEXheaderText 18" xfId="60255" xr:uid="{00000000-0005-0000-0000-00006E080000}"/>
    <cellStyle name="SAPBEXheaderText 19" xfId="60256" xr:uid="{00000000-0005-0000-0000-00006F080000}"/>
    <cellStyle name="SAPBEXheaderText 2" xfId="60257" xr:uid="{00000000-0005-0000-0000-000070080000}"/>
    <cellStyle name="SAPBEXheaderText 20" xfId="60258" xr:uid="{00000000-0005-0000-0000-000071080000}"/>
    <cellStyle name="SAPBEXheaderText 21" xfId="60259" xr:uid="{00000000-0005-0000-0000-000072080000}"/>
    <cellStyle name="SAPBEXheaderText 22" xfId="60260" xr:uid="{00000000-0005-0000-0000-000073080000}"/>
    <cellStyle name="SAPBEXheaderText 23" xfId="60261" xr:uid="{00000000-0005-0000-0000-000074080000}"/>
    <cellStyle name="SAPBEXheaderText 24" xfId="60262" xr:uid="{00000000-0005-0000-0000-000075080000}"/>
    <cellStyle name="SAPBEXheaderText 3" xfId="60263" xr:uid="{00000000-0005-0000-0000-000076080000}"/>
    <cellStyle name="SAPBEXheaderText 4" xfId="60264" xr:uid="{00000000-0005-0000-0000-000077080000}"/>
    <cellStyle name="SAPBEXheaderText 5" xfId="60265" xr:uid="{00000000-0005-0000-0000-000078080000}"/>
    <cellStyle name="SAPBEXheaderText 6" xfId="60266" xr:uid="{00000000-0005-0000-0000-000079080000}"/>
    <cellStyle name="SAPBEXheaderText 7" xfId="60267" xr:uid="{00000000-0005-0000-0000-00007A080000}"/>
    <cellStyle name="SAPBEXheaderText 8" xfId="60268" xr:uid="{00000000-0005-0000-0000-00007B080000}"/>
    <cellStyle name="SAPBEXheaderText 9" xfId="60269" xr:uid="{00000000-0005-0000-0000-00007C080000}"/>
    <cellStyle name="SAPBEXheaderText_1_FS10_10.1_เงินให้กู้ยืมและเงินให้กู้ยืม_Q254_2" xfId="60270" xr:uid="{00000000-0005-0000-0000-00007D080000}"/>
    <cellStyle name="SAPBEXHLevel0" xfId="60271" xr:uid="{00000000-0005-0000-0000-00007E080000}"/>
    <cellStyle name="SAPBEXHLevel0 10" xfId="60272" xr:uid="{00000000-0005-0000-0000-00007F080000}"/>
    <cellStyle name="SAPBEXHLevel0 11" xfId="60273" xr:uid="{00000000-0005-0000-0000-000080080000}"/>
    <cellStyle name="SAPBEXHLevel0 12" xfId="60274" xr:uid="{00000000-0005-0000-0000-000081080000}"/>
    <cellStyle name="SAPBEXHLevel0 13" xfId="60275" xr:uid="{00000000-0005-0000-0000-000082080000}"/>
    <cellStyle name="SAPBEXHLevel0 14" xfId="60276" xr:uid="{00000000-0005-0000-0000-000083080000}"/>
    <cellStyle name="SAPBEXHLevel0 15" xfId="60277" xr:uid="{00000000-0005-0000-0000-000084080000}"/>
    <cellStyle name="SAPBEXHLevel0 16" xfId="60278" xr:uid="{00000000-0005-0000-0000-000085080000}"/>
    <cellStyle name="SAPBEXHLevel0 17" xfId="60279" xr:uid="{00000000-0005-0000-0000-000086080000}"/>
    <cellStyle name="SAPBEXHLevel0 18" xfId="60280" xr:uid="{00000000-0005-0000-0000-000087080000}"/>
    <cellStyle name="SAPBEXHLevel0 2" xfId="60281" xr:uid="{00000000-0005-0000-0000-000088080000}"/>
    <cellStyle name="SAPBEXHLevel0 3" xfId="60282" xr:uid="{00000000-0005-0000-0000-000089080000}"/>
    <cellStyle name="SAPBEXHLevel0 4" xfId="60283" xr:uid="{00000000-0005-0000-0000-00008A080000}"/>
    <cellStyle name="SAPBEXHLevel0 5" xfId="60284" xr:uid="{00000000-0005-0000-0000-00008B080000}"/>
    <cellStyle name="SAPBEXHLevel0 6" xfId="60285" xr:uid="{00000000-0005-0000-0000-00008C080000}"/>
    <cellStyle name="SAPBEXHLevel0 7" xfId="60286" xr:uid="{00000000-0005-0000-0000-00008D080000}"/>
    <cellStyle name="SAPBEXHLevel0 8" xfId="60287" xr:uid="{00000000-0005-0000-0000-00008E080000}"/>
    <cellStyle name="SAPBEXHLevel0 9" xfId="60288" xr:uid="{00000000-0005-0000-0000-00008F080000}"/>
    <cellStyle name="SAPBEXHLevel0_1_FS10_10.1_เงินให้กู้ยืมและเงินให้กู้ยืม_Q254_2" xfId="60289" xr:uid="{00000000-0005-0000-0000-000090080000}"/>
    <cellStyle name="SAPBEXHLevel0X" xfId="60290" xr:uid="{00000000-0005-0000-0000-000091080000}"/>
    <cellStyle name="SAPBEXHLevel0X 10" xfId="60291" xr:uid="{00000000-0005-0000-0000-000092080000}"/>
    <cellStyle name="SAPBEXHLevel0X 11" xfId="60292" xr:uid="{00000000-0005-0000-0000-000093080000}"/>
    <cellStyle name="SAPBEXHLevel0X 12" xfId="60293" xr:uid="{00000000-0005-0000-0000-000094080000}"/>
    <cellStyle name="SAPBEXHLevel0X 13" xfId="60294" xr:uid="{00000000-0005-0000-0000-000095080000}"/>
    <cellStyle name="SAPBEXHLevel0X 14" xfId="60295" xr:uid="{00000000-0005-0000-0000-000096080000}"/>
    <cellStyle name="SAPBEXHLevel0X 15" xfId="60296" xr:uid="{00000000-0005-0000-0000-000097080000}"/>
    <cellStyle name="SAPBEXHLevel0X 16" xfId="60297" xr:uid="{00000000-0005-0000-0000-000098080000}"/>
    <cellStyle name="SAPBEXHLevel0X 17" xfId="60298" xr:uid="{00000000-0005-0000-0000-000099080000}"/>
    <cellStyle name="SAPBEXHLevel0X 18" xfId="60299" xr:uid="{00000000-0005-0000-0000-00009A080000}"/>
    <cellStyle name="SAPBEXHLevel0X 2" xfId="60300" xr:uid="{00000000-0005-0000-0000-00009B080000}"/>
    <cellStyle name="SAPBEXHLevel0X 3" xfId="60301" xr:uid="{00000000-0005-0000-0000-00009C080000}"/>
    <cellStyle name="SAPBEXHLevel0X 4" xfId="60302" xr:uid="{00000000-0005-0000-0000-00009D080000}"/>
    <cellStyle name="SAPBEXHLevel0X 5" xfId="60303" xr:uid="{00000000-0005-0000-0000-00009E080000}"/>
    <cellStyle name="SAPBEXHLevel0X 6" xfId="60304" xr:uid="{00000000-0005-0000-0000-00009F080000}"/>
    <cellStyle name="SAPBEXHLevel0X 7" xfId="60305" xr:uid="{00000000-0005-0000-0000-0000A0080000}"/>
    <cellStyle name="SAPBEXHLevel0X 8" xfId="60306" xr:uid="{00000000-0005-0000-0000-0000A1080000}"/>
    <cellStyle name="SAPBEXHLevel0X 9" xfId="60307" xr:uid="{00000000-0005-0000-0000-0000A2080000}"/>
    <cellStyle name="SAPBEXHLevel0X_1_FS10_10.1_เงินให้กู้ยืมและเงินให้กู้ยืม_Q254_2" xfId="60308" xr:uid="{00000000-0005-0000-0000-0000A3080000}"/>
    <cellStyle name="SAPBEXHLevel1" xfId="60309" xr:uid="{00000000-0005-0000-0000-0000A4080000}"/>
    <cellStyle name="SAPBEXHLevel1 10" xfId="60310" xr:uid="{00000000-0005-0000-0000-0000A5080000}"/>
    <cellStyle name="SAPBEXHLevel1 11" xfId="60311" xr:uid="{00000000-0005-0000-0000-0000A6080000}"/>
    <cellStyle name="SAPBEXHLevel1 12" xfId="60312" xr:uid="{00000000-0005-0000-0000-0000A7080000}"/>
    <cellStyle name="SAPBEXHLevel1 13" xfId="60313" xr:uid="{00000000-0005-0000-0000-0000A8080000}"/>
    <cellStyle name="SAPBEXHLevel1 14" xfId="60314" xr:uid="{00000000-0005-0000-0000-0000A9080000}"/>
    <cellStyle name="SAPBEXHLevel1 15" xfId="60315" xr:uid="{00000000-0005-0000-0000-0000AA080000}"/>
    <cellStyle name="SAPBEXHLevel1 16" xfId="60316" xr:uid="{00000000-0005-0000-0000-0000AB080000}"/>
    <cellStyle name="SAPBEXHLevel1 17" xfId="60317" xr:uid="{00000000-0005-0000-0000-0000AC080000}"/>
    <cellStyle name="SAPBEXHLevel1 18" xfId="60318" xr:uid="{00000000-0005-0000-0000-0000AD080000}"/>
    <cellStyle name="SAPBEXHLevel1 2" xfId="60319" xr:uid="{00000000-0005-0000-0000-0000AE080000}"/>
    <cellStyle name="SAPBEXHLevel1 3" xfId="60320" xr:uid="{00000000-0005-0000-0000-0000AF080000}"/>
    <cellStyle name="SAPBEXHLevel1 4" xfId="60321" xr:uid="{00000000-0005-0000-0000-0000B0080000}"/>
    <cellStyle name="SAPBEXHLevel1 5" xfId="60322" xr:uid="{00000000-0005-0000-0000-0000B1080000}"/>
    <cellStyle name="SAPBEXHLevel1 6" xfId="60323" xr:uid="{00000000-0005-0000-0000-0000B2080000}"/>
    <cellStyle name="SAPBEXHLevel1 7" xfId="60324" xr:uid="{00000000-0005-0000-0000-0000B3080000}"/>
    <cellStyle name="SAPBEXHLevel1 8" xfId="60325" xr:uid="{00000000-0005-0000-0000-0000B4080000}"/>
    <cellStyle name="SAPBEXHLevel1 9" xfId="60326" xr:uid="{00000000-0005-0000-0000-0000B5080000}"/>
    <cellStyle name="SAPBEXHLevel1_1_FS10_10.1_เงินให้กู้ยืมและเงินให้กู้ยืม_Q254_2" xfId="60327" xr:uid="{00000000-0005-0000-0000-0000B6080000}"/>
    <cellStyle name="SAPBEXHLevel1X" xfId="60328" xr:uid="{00000000-0005-0000-0000-0000B7080000}"/>
    <cellStyle name="SAPBEXHLevel1X 10" xfId="60329" xr:uid="{00000000-0005-0000-0000-0000B8080000}"/>
    <cellStyle name="SAPBEXHLevel1X 11" xfId="60330" xr:uid="{00000000-0005-0000-0000-0000B9080000}"/>
    <cellStyle name="SAPBEXHLevel1X 12" xfId="60331" xr:uid="{00000000-0005-0000-0000-0000BA080000}"/>
    <cellStyle name="SAPBEXHLevel1X 13" xfId="60332" xr:uid="{00000000-0005-0000-0000-0000BB080000}"/>
    <cellStyle name="SAPBEXHLevel1X 14" xfId="60333" xr:uid="{00000000-0005-0000-0000-0000BC080000}"/>
    <cellStyle name="SAPBEXHLevel1X 15" xfId="60334" xr:uid="{00000000-0005-0000-0000-0000BD080000}"/>
    <cellStyle name="SAPBEXHLevel1X 16" xfId="60335" xr:uid="{00000000-0005-0000-0000-0000BE080000}"/>
    <cellStyle name="SAPBEXHLevel1X 17" xfId="60336" xr:uid="{00000000-0005-0000-0000-0000BF080000}"/>
    <cellStyle name="SAPBEXHLevel1X 18" xfId="60337" xr:uid="{00000000-0005-0000-0000-0000C0080000}"/>
    <cellStyle name="SAPBEXHLevel1X 2" xfId="60338" xr:uid="{00000000-0005-0000-0000-0000C1080000}"/>
    <cellStyle name="SAPBEXHLevel1X 3" xfId="60339" xr:uid="{00000000-0005-0000-0000-0000C2080000}"/>
    <cellStyle name="SAPBEXHLevel1X 4" xfId="60340" xr:uid="{00000000-0005-0000-0000-0000C3080000}"/>
    <cellStyle name="SAPBEXHLevel1X 5" xfId="60341" xr:uid="{00000000-0005-0000-0000-0000C4080000}"/>
    <cellStyle name="SAPBEXHLevel1X 6" xfId="60342" xr:uid="{00000000-0005-0000-0000-0000C5080000}"/>
    <cellStyle name="SAPBEXHLevel1X 7" xfId="60343" xr:uid="{00000000-0005-0000-0000-0000C6080000}"/>
    <cellStyle name="SAPBEXHLevel1X 8" xfId="60344" xr:uid="{00000000-0005-0000-0000-0000C7080000}"/>
    <cellStyle name="SAPBEXHLevel1X 9" xfId="60345" xr:uid="{00000000-0005-0000-0000-0000C8080000}"/>
    <cellStyle name="SAPBEXHLevel1X_1_FS10_10.1_เงินให้กู้ยืมและเงินให้กู้ยืม_Q254_2" xfId="60346" xr:uid="{00000000-0005-0000-0000-0000C9080000}"/>
    <cellStyle name="SAPBEXHLevel2" xfId="60347" xr:uid="{00000000-0005-0000-0000-0000CA080000}"/>
    <cellStyle name="SAPBEXHLevel2 10" xfId="60348" xr:uid="{00000000-0005-0000-0000-0000CB080000}"/>
    <cellStyle name="SAPBEXHLevel2 11" xfId="60349" xr:uid="{00000000-0005-0000-0000-0000CC080000}"/>
    <cellStyle name="SAPBEXHLevel2 12" xfId="60350" xr:uid="{00000000-0005-0000-0000-0000CD080000}"/>
    <cellStyle name="SAPBEXHLevel2 13" xfId="60351" xr:uid="{00000000-0005-0000-0000-0000CE080000}"/>
    <cellStyle name="SAPBEXHLevel2 14" xfId="60352" xr:uid="{00000000-0005-0000-0000-0000CF080000}"/>
    <cellStyle name="SAPBEXHLevel2 15" xfId="60353" xr:uid="{00000000-0005-0000-0000-0000D0080000}"/>
    <cellStyle name="SAPBEXHLevel2 16" xfId="60354" xr:uid="{00000000-0005-0000-0000-0000D1080000}"/>
    <cellStyle name="SAPBEXHLevel2 17" xfId="60355" xr:uid="{00000000-0005-0000-0000-0000D2080000}"/>
    <cellStyle name="SAPBEXHLevel2 18" xfId="60356" xr:uid="{00000000-0005-0000-0000-0000D3080000}"/>
    <cellStyle name="SAPBEXHLevel2 2" xfId="60357" xr:uid="{00000000-0005-0000-0000-0000D4080000}"/>
    <cellStyle name="SAPBEXHLevel2 3" xfId="60358" xr:uid="{00000000-0005-0000-0000-0000D5080000}"/>
    <cellStyle name="SAPBEXHLevel2 4" xfId="60359" xr:uid="{00000000-0005-0000-0000-0000D6080000}"/>
    <cellStyle name="SAPBEXHLevel2 5" xfId="60360" xr:uid="{00000000-0005-0000-0000-0000D7080000}"/>
    <cellStyle name="SAPBEXHLevel2 6" xfId="60361" xr:uid="{00000000-0005-0000-0000-0000D8080000}"/>
    <cellStyle name="SAPBEXHLevel2 7" xfId="60362" xr:uid="{00000000-0005-0000-0000-0000D9080000}"/>
    <cellStyle name="SAPBEXHLevel2 8" xfId="60363" xr:uid="{00000000-0005-0000-0000-0000DA080000}"/>
    <cellStyle name="SAPBEXHLevel2 9" xfId="60364" xr:uid="{00000000-0005-0000-0000-0000DB080000}"/>
    <cellStyle name="SAPBEXHLevel2_1_FS10_10.1_เงินให้กู้ยืมและเงินให้กู้ยืม_Q254_2" xfId="60365" xr:uid="{00000000-0005-0000-0000-0000DC080000}"/>
    <cellStyle name="SAPBEXHLevel2X" xfId="60366" xr:uid="{00000000-0005-0000-0000-0000DD080000}"/>
    <cellStyle name="SAPBEXHLevel2X 10" xfId="60367" xr:uid="{00000000-0005-0000-0000-0000DE080000}"/>
    <cellStyle name="SAPBEXHLevel2X 11" xfId="60368" xr:uid="{00000000-0005-0000-0000-0000DF080000}"/>
    <cellStyle name="SAPBEXHLevel2X 12" xfId="60369" xr:uid="{00000000-0005-0000-0000-0000E0080000}"/>
    <cellStyle name="SAPBEXHLevel2X 13" xfId="60370" xr:uid="{00000000-0005-0000-0000-0000E1080000}"/>
    <cellStyle name="SAPBEXHLevel2X 14" xfId="60371" xr:uid="{00000000-0005-0000-0000-0000E2080000}"/>
    <cellStyle name="SAPBEXHLevel2X 15" xfId="60372" xr:uid="{00000000-0005-0000-0000-0000E3080000}"/>
    <cellStyle name="SAPBEXHLevel2X 16" xfId="60373" xr:uid="{00000000-0005-0000-0000-0000E4080000}"/>
    <cellStyle name="SAPBEXHLevel2X 17" xfId="60374" xr:uid="{00000000-0005-0000-0000-0000E5080000}"/>
    <cellStyle name="SAPBEXHLevel2X 18" xfId="60375" xr:uid="{00000000-0005-0000-0000-0000E6080000}"/>
    <cellStyle name="SAPBEXHLevel2X 2" xfId="60376" xr:uid="{00000000-0005-0000-0000-0000E7080000}"/>
    <cellStyle name="SAPBEXHLevel2X 3" xfId="60377" xr:uid="{00000000-0005-0000-0000-0000E8080000}"/>
    <cellStyle name="SAPBEXHLevel2X 4" xfId="60378" xr:uid="{00000000-0005-0000-0000-0000E9080000}"/>
    <cellStyle name="SAPBEXHLevel2X 5" xfId="60379" xr:uid="{00000000-0005-0000-0000-0000EA080000}"/>
    <cellStyle name="SAPBEXHLevel2X 6" xfId="60380" xr:uid="{00000000-0005-0000-0000-0000EB080000}"/>
    <cellStyle name="SAPBEXHLevel2X 7" xfId="60381" xr:uid="{00000000-0005-0000-0000-0000EC080000}"/>
    <cellStyle name="SAPBEXHLevel2X 8" xfId="60382" xr:uid="{00000000-0005-0000-0000-0000ED080000}"/>
    <cellStyle name="SAPBEXHLevel2X 9" xfId="60383" xr:uid="{00000000-0005-0000-0000-0000EE080000}"/>
    <cellStyle name="SAPBEXHLevel2X_1_FS10_10.1_เงินให้กู้ยืมและเงินให้กู้ยืม_Q254_2" xfId="60384" xr:uid="{00000000-0005-0000-0000-0000EF080000}"/>
    <cellStyle name="SAPBEXHLevel3" xfId="60385" xr:uid="{00000000-0005-0000-0000-0000F0080000}"/>
    <cellStyle name="SAPBEXHLevel3 10" xfId="60386" xr:uid="{00000000-0005-0000-0000-0000F1080000}"/>
    <cellStyle name="SAPBEXHLevel3 11" xfId="60387" xr:uid="{00000000-0005-0000-0000-0000F2080000}"/>
    <cellStyle name="SAPBEXHLevel3 12" xfId="60388" xr:uid="{00000000-0005-0000-0000-0000F3080000}"/>
    <cellStyle name="SAPBEXHLevel3 13" xfId="60389" xr:uid="{00000000-0005-0000-0000-0000F4080000}"/>
    <cellStyle name="SAPBEXHLevel3 14" xfId="60390" xr:uid="{00000000-0005-0000-0000-0000F5080000}"/>
    <cellStyle name="SAPBEXHLevel3 15" xfId="60391" xr:uid="{00000000-0005-0000-0000-0000F6080000}"/>
    <cellStyle name="SAPBEXHLevel3 16" xfId="60392" xr:uid="{00000000-0005-0000-0000-0000F7080000}"/>
    <cellStyle name="SAPBEXHLevel3 17" xfId="60393" xr:uid="{00000000-0005-0000-0000-0000F8080000}"/>
    <cellStyle name="SAPBEXHLevel3 18" xfId="60394" xr:uid="{00000000-0005-0000-0000-0000F9080000}"/>
    <cellStyle name="SAPBEXHLevel3 2" xfId="60395" xr:uid="{00000000-0005-0000-0000-0000FA080000}"/>
    <cellStyle name="SAPBEXHLevel3 3" xfId="60396" xr:uid="{00000000-0005-0000-0000-0000FB080000}"/>
    <cellStyle name="SAPBEXHLevel3 4" xfId="60397" xr:uid="{00000000-0005-0000-0000-0000FC080000}"/>
    <cellStyle name="SAPBEXHLevel3 5" xfId="60398" xr:uid="{00000000-0005-0000-0000-0000FD080000}"/>
    <cellStyle name="SAPBEXHLevel3 6" xfId="60399" xr:uid="{00000000-0005-0000-0000-0000FE080000}"/>
    <cellStyle name="SAPBEXHLevel3 7" xfId="60400" xr:uid="{00000000-0005-0000-0000-0000FF080000}"/>
    <cellStyle name="SAPBEXHLevel3 8" xfId="60401" xr:uid="{00000000-0005-0000-0000-000000090000}"/>
    <cellStyle name="SAPBEXHLevel3 9" xfId="60402" xr:uid="{00000000-0005-0000-0000-000001090000}"/>
    <cellStyle name="SAPBEXHLevel3_1_FS10_10.1_เงินให้กู้ยืมและเงินให้กู้ยืม_Q254_2" xfId="60403" xr:uid="{00000000-0005-0000-0000-000002090000}"/>
    <cellStyle name="SAPBEXHLevel3X" xfId="60404" xr:uid="{00000000-0005-0000-0000-000003090000}"/>
    <cellStyle name="SAPBEXHLevel3X 10" xfId="60405" xr:uid="{00000000-0005-0000-0000-000004090000}"/>
    <cellStyle name="SAPBEXHLevel3X 11" xfId="60406" xr:uid="{00000000-0005-0000-0000-000005090000}"/>
    <cellStyle name="SAPBEXHLevel3X 12" xfId="60407" xr:uid="{00000000-0005-0000-0000-000006090000}"/>
    <cellStyle name="SAPBEXHLevel3X 13" xfId="60408" xr:uid="{00000000-0005-0000-0000-000007090000}"/>
    <cellStyle name="SAPBEXHLevel3X 14" xfId="60409" xr:uid="{00000000-0005-0000-0000-000008090000}"/>
    <cellStyle name="SAPBEXHLevel3X 15" xfId="60410" xr:uid="{00000000-0005-0000-0000-000009090000}"/>
    <cellStyle name="SAPBEXHLevel3X 16" xfId="60411" xr:uid="{00000000-0005-0000-0000-00000A090000}"/>
    <cellStyle name="SAPBEXHLevel3X 17" xfId="60412" xr:uid="{00000000-0005-0000-0000-00000B090000}"/>
    <cellStyle name="SAPBEXHLevel3X 18" xfId="60413" xr:uid="{00000000-0005-0000-0000-00000C090000}"/>
    <cellStyle name="SAPBEXHLevel3X 2" xfId="60414" xr:uid="{00000000-0005-0000-0000-00000D090000}"/>
    <cellStyle name="SAPBEXHLevel3X 3" xfId="60415" xr:uid="{00000000-0005-0000-0000-00000E090000}"/>
    <cellStyle name="SAPBEXHLevel3X 4" xfId="60416" xr:uid="{00000000-0005-0000-0000-00000F090000}"/>
    <cellStyle name="SAPBEXHLevel3X 5" xfId="60417" xr:uid="{00000000-0005-0000-0000-000010090000}"/>
    <cellStyle name="SAPBEXHLevel3X 6" xfId="60418" xr:uid="{00000000-0005-0000-0000-000011090000}"/>
    <cellStyle name="SAPBEXHLevel3X 7" xfId="60419" xr:uid="{00000000-0005-0000-0000-000012090000}"/>
    <cellStyle name="SAPBEXHLevel3X 8" xfId="60420" xr:uid="{00000000-0005-0000-0000-000013090000}"/>
    <cellStyle name="SAPBEXHLevel3X 9" xfId="60421" xr:uid="{00000000-0005-0000-0000-000014090000}"/>
    <cellStyle name="SAPBEXHLevel3X_1_FS10_10.1_เงินให้กู้ยืมและเงินให้กู้ยืม_Q254_2" xfId="60422" xr:uid="{00000000-0005-0000-0000-000015090000}"/>
    <cellStyle name="SAPBEXresData" xfId="60423" xr:uid="{00000000-0005-0000-0000-000016090000}"/>
    <cellStyle name="SAPBEXresDataEmph" xfId="60424" xr:uid="{00000000-0005-0000-0000-000017090000}"/>
    <cellStyle name="SAPBEXresItem" xfId="60425" xr:uid="{00000000-0005-0000-0000-000018090000}"/>
    <cellStyle name="SAPBEXresItemX" xfId="60426" xr:uid="{00000000-0005-0000-0000-000019090000}"/>
    <cellStyle name="SAPBEXstdData" xfId="60427" xr:uid="{00000000-0005-0000-0000-00001A090000}"/>
    <cellStyle name="SAPBEXstdDataEmph" xfId="60428" xr:uid="{00000000-0005-0000-0000-00001B090000}"/>
    <cellStyle name="SAPBEXstdItem" xfId="60429" xr:uid="{00000000-0005-0000-0000-00001C090000}"/>
    <cellStyle name="SAPBEXstdItem 10" xfId="60430" xr:uid="{00000000-0005-0000-0000-00001D090000}"/>
    <cellStyle name="SAPBEXstdItem 11" xfId="60431" xr:uid="{00000000-0005-0000-0000-00001E090000}"/>
    <cellStyle name="SAPBEXstdItem 12" xfId="60432" xr:uid="{00000000-0005-0000-0000-00001F090000}"/>
    <cellStyle name="SAPBEXstdItem 13" xfId="60433" xr:uid="{00000000-0005-0000-0000-000020090000}"/>
    <cellStyle name="SAPBEXstdItem 14" xfId="60434" xr:uid="{00000000-0005-0000-0000-000021090000}"/>
    <cellStyle name="SAPBEXstdItem 15" xfId="60435" xr:uid="{00000000-0005-0000-0000-000022090000}"/>
    <cellStyle name="SAPBEXstdItem 16" xfId="60436" xr:uid="{00000000-0005-0000-0000-000023090000}"/>
    <cellStyle name="SAPBEXstdItem 17" xfId="60437" xr:uid="{00000000-0005-0000-0000-000024090000}"/>
    <cellStyle name="SAPBEXstdItem 18" xfId="60438" xr:uid="{00000000-0005-0000-0000-000025090000}"/>
    <cellStyle name="SAPBEXstdItem 2" xfId="60439" xr:uid="{00000000-0005-0000-0000-000026090000}"/>
    <cellStyle name="SAPBEXstdItem 3" xfId="60440" xr:uid="{00000000-0005-0000-0000-000027090000}"/>
    <cellStyle name="SAPBEXstdItem 4" xfId="60441" xr:uid="{00000000-0005-0000-0000-000028090000}"/>
    <cellStyle name="SAPBEXstdItem 5" xfId="60442" xr:uid="{00000000-0005-0000-0000-000029090000}"/>
    <cellStyle name="SAPBEXstdItem 6" xfId="60443" xr:uid="{00000000-0005-0000-0000-00002A090000}"/>
    <cellStyle name="SAPBEXstdItem 7" xfId="60444" xr:uid="{00000000-0005-0000-0000-00002B090000}"/>
    <cellStyle name="SAPBEXstdItem 8" xfId="60445" xr:uid="{00000000-0005-0000-0000-00002C090000}"/>
    <cellStyle name="SAPBEXstdItem 9" xfId="60446" xr:uid="{00000000-0005-0000-0000-00002D090000}"/>
    <cellStyle name="SAPBEXstdItem_1_FS10_10.1_เงินให้กู้ยืมและเงินให้กู้ยืม_Q254_2" xfId="60447" xr:uid="{00000000-0005-0000-0000-00002E090000}"/>
    <cellStyle name="SAPBEXstdItemX" xfId="60448" xr:uid="{00000000-0005-0000-0000-00002F090000}"/>
    <cellStyle name="SAPBEXstdItemX 10" xfId="60449" xr:uid="{00000000-0005-0000-0000-000030090000}"/>
    <cellStyle name="SAPBEXstdItemX 11" xfId="60450" xr:uid="{00000000-0005-0000-0000-000031090000}"/>
    <cellStyle name="SAPBEXstdItemX 12" xfId="60451" xr:uid="{00000000-0005-0000-0000-000032090000}"/>
    <cellStyle name="SAPBEXstdItemX 13" xfId="60452" xr:uid="{00000000-0005-0000-0000-000033090000}"/>
    <cellStyle name="SAPBEXstdItemX 14" xfId="60453" xr:uid="{00000000-0005-0000-0000-000034090000}"/>
    <cellStyle name="SAPBEXstdItemX 15" xfId="60454" xr:uid="{00000000-0005-0000-0000-000035090000}"/>
    <cellStyle name="SAPBEXstdItemX 16" xfId="60455" xr:uid="{00000000-0005-0000-0000-000036090000}"/>
    <cellStyle name="SAPBEXstdItemX 17" xfId="60456" xr:uid="{00000000-0005-0000-0000-000037090000}"/>
    <cellStyle name="SAPBEXstdItemX 18" xfId="60457" xr:uid="{00000000-0005-0000-0000-000038090000}"/>
    <cellStyle name="SAPBEXstdItemX 2" xfId="60458" xr:uid="{00000000-0005-0000-0000-000039090000}"/>
    <cellStyle name="SAPBEXstdItemX 3" xfId="60459" xr:uid="{00000000-0005-0000-0000-00003A090000}"/>
    <cellStyle name="SAPBEXstdItemX 4" xfId="60460" xr:uid="{00000000-0005-0000-0000-00003B090000}"/>
    <cellStyle name="SAPBEXstdItemX 5" xfId="60461" xr:uid="{00000000-0005-0000-0000-00003C090000}"/>
    <cellStyle name="SAPBEXstdItemX 6" xfId="60462" xr:uid="{00000000-0005-0000-0000-00003D090000}"/>
    <cellStyle name="SAPBEXstdItemX 7" xfId="60463" xr:uid="{00000000-0005-0000-0000-00003E090000}"/>
    <cellStyle name="SAPBEXstdItemX 8" xfId="60464" xr:uid="{00000000-0005-0000-0000-00003F090000}"/>
    <cellStyle name="SAPBEXstdItemX 9" xfId="60465" xr:uid="{00000000-0005-0000-0000-000040090000}"/>
    <cellStyle name="SAPBEXstdItemX_1_FS10_10.1_เงินให้กู้ยืมและเงินให้กู้ยืม_Q254_2" xfId="60466" xr:uid="{00000000-0005-0000-0000-000041090000}"/>
    <cellStyle name="SAPBEXtitle" xfId="60467" xr:uid="{00000000-0005-0000-0000-000042090000}"/>
    <cellStyle name="SAPBEXtitle 10" xfId="60468" xr:uid="{00000000-0005-0000-0000-000043090000}"/>
    <cellStyle name="SAPBEXtitle 11" xfId="60469" xr:uid="{00000000-0005-0000-0000-000044090000}"/>
    <cellStyle name="SAPBEXtitle 12" xfId="60470" xr:uid="{00000000-0005-0000-0000-000045090000}"/>
    <cellStyle name="SAPBEXtitle 13" xfId="60471" xr:uid="{00000000-0005-0000-0000-000046090000}"/>
    <cellStyle name="SAPBEXtitle 14" xfId="60472" xr:uid="{00000000-0005-0000-0000-000047090000}"/>
    <cellStyle name="SAPBEXtitle 15" xfId="60473" xr:uid="{00000000-0005-0000-0000-000048090000}"/>
    <cellStyle name="SAPBEXtitle 16" xfId="60474" xr:uid="{00000000-0005-0000-0000-000049090000}"/>
    <cellStyle name="SAPBEXtitle 17" xfId="60475" xr:uid="{00000000-0005-0000-0000-00004A090000}"/>
    <cellStyle name="SAPBEXtitle 18" xfId="60476" xr:uid="{00000000-0005-0000-0000-00004B090000}"/>
    <cellStyle name="SAPBEXtitle 2" xfId="60477" xr:uid="{00000000-0005-0000-0000-00004C090000}"/>
    <cellStyle name="SAPBEXtitle 3" xfId="60478" xr:uid="{00000000-0005-0000-0000-00004D090000}"/>
    <cellStyle name="SAPBEXtitle 4" xfId="60479" xr:uid="{00000000-0005-0000-0000-00004E090000}"/>
    <cellStyle name="SAPBEXtitle 5" xfId="60480" xr:uid="{00000000-0005-0000-0000-00004F090000}"/>
    <cellStyle name="SAPBEXtitle 6" xfId="60481" xr:uid="{00000000-0005-0000-0000-000050090000}"/>
    <cellStyle name="SAPBEXtitle 7" xfId="60482" xr:uid="{00000000-0005-0000-0000-000051090000}"/>
    <cellStyle name="SAPBEXtitle 8" xfId="60483" xr:uid="{00000000-0005-0000-0000-000052090000}"/>
    <cellStyle name="SAPBEXtitle 9" xfId="60484" xr:uid="{00000000-0005-0000-0000-000053090000}"/>
    <cellStyle name="SAPBEXtitle_1_FS10_10.1_เงินให้กู้ยืมและเงินให้กู้ยืม_Q254_2" xfId="60485" xr:uid="{00000000-0005-0000-0000-000054090000}"/>
    <cellStyle name="SAPBEXundefined" xfId="60486" xr:uid="{00000000-0005-0000-0000-000055090000}"/>
    <cellStyle name="Section" xfId="60487" xr:uid="{00000000-0005-0000-0000-000056090000}"/>
    <cellStyle name="Section 2" xfId="60488" xr:uid="{00000000-0005-0000-0000-000057090000}"/>
    <cellStyle name="Style 1" xfId="60489" xr:uid="{00000000-0005-0000-0000-000058090000}"/>
    <cellStyle name="Style 1 10" xfId="60490" xr:uid="{00000000-0005-0000-0000-000059090000}"/>
    <cellStyle name="Style 1 2" xfId="60491" xr:uid="{00000000-0005-0000-0000-00005A090000}"/>
    <cellStyle name="Style 1 3" xfId="60492" xr:uid="{00000000-0005-0000-0000-00005B090000}"/>
    <cellStyle name="Style 1 4" xfId="60493" xr:uid="{00000000-0005-0000-0000-00005C090000}"/>
    <cellStyle name="Style 1 5" xfId="60494" xr:uid="{00000000-0005-0000-0000-00005D090000}"/>
    <cellStyle name="Style 1 6" xfId="60495" xr:uid="{00000000-0005-0000-0000-00005E090000}"/>
    <cellStyle name="Style 1 7" xfId="60496" xr:uid="{00000000-0005-0000-0000-00005F090000}"/>
    <cellStyle name="Style 1 8" xfId="60497" xr:uid="{00000000-0005-0000-0000-000060090000}"/>
    <cellStyle name="Style 1 9" xfId="60498" xr:uid="{00000000-0005-0000-0000-000061090000}"/>
    <cellStyle name="Title 2" xfId="32" xr:uid="{00000000-0005-0000-0000-000062090000}"/>
    <cellStyle name="Title 2 2" xfId="60500" xr:uid="{00000000-0005-0000-0000-000063090000}"/>
    <cellStyle name="Title 2 3" xfId="60499" xr:uid="{00000000-0005-0000-0000-000064090000}"/>
    <cellStyle name="Title 3" xfId="60501" xr:uid="{00000000-0005-0000-0000-000065090000}"/>
    <cellStyle name="Title 4" xfId="60502" xr:uid="{00000000-0005-0000-0000-000066090000}"/>
    <cellStyle name="Title 5" xfId="60503" xr:uid="{00000000-0005-0000-0000-000067090000}"/>
    <cellStyle name="Total 2" xfId="60504" xr:uid="{00000000-0005-0000-0000-000068090000}"/>
    <cellStyle name="Total 2 2" xfId="60505" xr:uid="{00000000-0005-0000-0000-000069090000}"/>
    <cellStyle name="Total 3" xfId="60506" xr:uid="{00000000-0005-0000-0000-00006A090000}"/>
    <cellStyle name="Total 4" xfId="60507" xr:uid="{00000000-0005-0000-0000-00006B090000}"/>
    <cellStyle name="Total 5" xfId="60508" xr:uid="{00000000-0005-0000-0000-00006C090000}"/>
    <cellStyle name="Warning Text 2" xfId="60509" xr:uid="{00000000-0005-0000-0000-00006D090000}"/>
    <cellStyle name="Warning Text 2 2" xfId="60510" xr:uid="{00000000-0005-0000-0000-00006E090000}"/>
    <cellStyle name="Warning Text 3" xfId="60511" xr:uid="{00000000-0005-0000-0000-00006F090000}"/>
    <cellStyle name="Warning Text 4" xfId="60512" xr:uid="{00000000-0005-0000-0000-000070090000}"/>
    <cellStyle name="Warning Text 5" xfId="60513" xr:uid="{00000000-0005-0000-0000-000071090000}"/>
    <cellStyle name="Акцент3 2" xfId="38" xr:uid="{00000000-0005-0000-0000-000072090000}"/>
    <cellStyle name="Акцент5 2" xfId="39" xr:uid="{00000000-0005-0000-0000-000073090000}"/>
    <cellStyle name="Заголовок 1 2" xfId="41" xr:uid="{00000000-0005-0000-0000-000075090000}"/>
    <cellStyle name="Заголовок 2 2" xfId="42" xr:uid="{00000000-0005-0000-0000-000076090000}"/>
    <cellStyle name="Заголовок 3 2" xfId="43" xr:uid="{00000000-0005-0000-0000-000077090000}"/>
    <cellStyle name="Заголовок 4 2" xfId="35" xr:uid="{00000000-0005-0000-0000-000078090000}"/>
    <cellStyle name="Заголовок 4 3" xfId="44" xr:uid="{00000000-0005-0000-0000-000079090000}"/>
    <cellStyle name="Заголовок 4 4" xfId="54" xr:uid="{00000000-0005-0000-0000-00007A090000}"/>
    <cellStyle name="Название 2" xfId="45" xr:uid="{00000000-0005-0000-0000-00007B090000}"/>
    <cellStyle name="Обычный 10" xfId="2141" xr:uid="{00000000-0005-0000-0000-00007D090000}"/>
    <cellStyle name="Обычный 10 10" xfId="2411" xr:uid="{00000000-0005-0000-0000-00007E090000}"/>
    <cellStyle name="Обычный 10 10 10" xfId="50475" xr:uid="{00000000-0005-0000-0000-00007F090000}"/>
    <cellStyle name="Обычный 10 10 2" xfId="7754" xr:uid="{00000000-0005-0000-0000-000080090000}"/>
    <cellStyle name="Обычный 10 10 2 2" xfId="55816" xr:uid="{00000000-0005-0000-0000-000081090000}"/>
    <cellStyle name="Обычный 10 10 3" xfId="13095" xr:uid="{00000000-0005-0000-0000-000082090000}"/>
    <cellStyle name="Обычный 10 10 4" xfId="18435" xr:uid="{00000000-0005-0000-0000-000083090000}"/>
    <cellStyle name="Обычный 10 10 5" xfId="23775" xr:uid="{00000000-0005-0000-0000-000084090000}"/>
    <cellStyle name="Обычный 10 10 6" xfId="29115" xr:uid="{00000000-0005-0000-0000-000085090000}"/>
    <cellStyle name="Обычный 10 10 7" xfId="34455" xr:uid="{00000000-0005-0000-0000-000086090000}"/>
    <cellStyle name="Обычный 10 10 8" xfId="39795" xr:uid="{00000000-0005-0000-0000-000087090000}"/>
    <cellStyle name="Обычный 10 10 9" xfId="45135" xr:uid="{00000000-0005-0000-0000-000088090000}"/>
    <cellStyle name="Обычный 10 100" xfId="5292" xr:uid="{00000000-0005-0000-0000-000089090000}"/>
    <cellStyle name="Обычный 10 100 10" xfId="53355" xr:uid="{00000000-0005-0000-0000-00008A090000}"/>
    <cellStyle name="Обычный 10 100 2" xfId="10635" xr:uid="{00000000-0005-0000-0000-00008B090000}"/>
    <cellStyle name="Обычный 10 100 2 2" xfId="58696" xr:uid="{00000000-0005-0000-0000-00008C090000}"/>
    <cellStyle name="Обычный 10 100 3" xfId="15975" xr:uid="{00000000-0005-0000-0000-00008D090000}"/>
    <cellStyle name="Обычный 10 100 4" xfId="21315" xr:uid="{00000000-0005-0000-0000-00008E090000}"/>
    <cellStyle name="Обычный 10 100 5" xfId="26655" xr:uid="{00000000-0005-0000-0000-00008F090000}"/>
    <cellStyle name="Обычный 10 100 6" xfId="31995" xr:uid="{00000000-0005-0000-0000-000090090000}"/>
    <cellStyle name="Обычный 10 100 7" xfId="37335" xr:uid="{00000000-0005-0000-0000-000091090000}"/>
    <cellStyle name="Обычный 10 100 8" xfId="42675" xr:uid="{00000000-0005-0000-0000-000092090000}"/>
    <cellStyle name="Обычный 10 100 9" xfId="48015" xr:uid="{00000000-0005-0000-0000-000093090000}"/>
    <cellStyle name="Обычный 10 101" xfId="5324" xr:uid="{00000000-0005-0000-0000-000094090000}"/>
    <cellStyle name="Обычный 10 101 10" xfId="53387" xr:uid="{00000000-0005-0000-0000-000095090000}"/>
    <cellStyle name="Обычный 10 101 2" xfId="10667" xr:uid="{00000000-0005-0000-0000-000096090000}"/>
    <cellStyle name="Обычный 10 101 2 2" xfId="58728" xr:uid="{00000000-0005-0000-0000-000097090000}"/>
    <cellStyle name="Обычный 10 101 3" xfId="16007" xr:uid="{00000000-0005-0000-0000-000098090000}"/>
    <cellStyle name="Обычный 10 101 4" xfId="21347" xr:uid="{00000000-0005-0000-0000-000099090000}"/>
    <cellStyle name="Обычный 10 101 5" xfId="26687" xr:uid="{00000000-0005-0000-0000-00009A090000}"/>
    <cellStyle name="Обычный 10 101 6" xfId="32027" xr:uid="{00000000-0005-0000-0000-00009B090000}"/>
    <cellStyle name="Обычный 10 101 7" xfId="37367" xr:uid="{00000000-0005-0000-0000-00009C090000}"/>
    <cellStyle name="Обычный 10 101 8" xfId="42707" xr:uid="{00000000-0005-0000-0000-00009D090000}"/>
    <cellStyle name="Обычный 10 101 9" xfId="48047" xr:uid="{00000000-0005-0000-0000-00009E090000}"/>
    <cellStyle name="Обычный 10 102" xfId="5356" xr:uid="{00000000-0005-0000-0000-00009F090000}"/>
    <cellStyle name="Обычный 10 102 10" xfId="53419" xr:uid="{00000000-0005-0000-0000-0000A0090000}"/>
    <cellStyle name="Обычный 10 102 2" xfId="10699" xr:uid="{00000000-0005-0000-0000-0000A1090000}"/>
    <cellStyle name="Обычный 10 102 2 2" xfId="58760" xr:uid="{00000000-0005-0000-0000-0000A2090000}"/>
    <cellStyle name="Обычный 10 102 3" xfId="16039" xr:uid="{00000000-0005-0000-0000-0000A3090000}"/>
    <cellStyle name="Обычный 10 102 4" xfId="21379" xr:uid="{00000000-0005-0000-0000-0000A4090000}"/>
    <cellStyle name="Обычный 10 102 5" xfId="26719" xr:uid="{00000000-0005-0000-0000-0000A5090000}"/>
    <cellStyle name="Обычный 10 102 6" xfId="32059" xr:uid="{00000000-0005-0000-0000-0000A6090000}"/>
    <cellStyle name="Обычный 10 102 7" xfId="37399" xr:uid="{00000000-0005-0000-0000-0000A7090000}"/>
    <cellStyle name="Обычный 10 102 8" xfId="42739" xr:uid="{00000000-0005-0000-0000-0000A8090000}"/>
    <cellStyle name="Обычный 10 102 9" xfId="48079" xr:uid="{00000000-0005-0000-0000-0000A9090000}"/>
    <cellStyle name="Обычный 10 103" xfId="5388" xr:uid="{00000000-0005-0000-0000-0000AA090000}"/>
    <cellStyle name="Обычный 10 103 10" xfId="53451" xr:uid="{00000000-0005-0000-0000-0000AB090000}"/>
    <cellStyle name="Обычный 10 103 2" xfId="10731" xr:uid="{00000000-0005-0000-0000-0000AC090000}"/>
    <cellStyle name="Обычный 10 103 2 2" xfId="58792" xr:uid="{00000000-0005-0000-0000-0000AD090000}"/>
    <cellStyle name="Обычный 10 103 3" xfId="16071" xr:uid="{00000000-0005-0000-0000-0000AE090000}"/>
    <cellStyle name="Обычный 10 103 4" xfId="21411" xr:uid="{00000000-0005-0000-0000-0000AF090000}"/>
    <cellStyle name="Обычный 10 103 5" xfId="26751" xr:uid="{00000000-0005-0000-0000-0000B0090000}"/>
    <cellStyle name="Обычный 10 103 6" xfId="32091" xr:uid="{00000000-0005-0000-0000-0000B1090000}"/>
    <cellStyle name="Обычный 10 103 7" xfId="37431" xr:uid="{00000000-0005-0000-0000-0000B2090000}"/>
    <cellStyle name="Обычный 10 103 8" xfId="42771" xr:uid="{00000000-0005-0000-0000-0000B3090000}"/>
    <cellStyle name="Обычный 10 103 9" xfId="48111" xr:uid="{00000000-0005-0000-0000-0000B4090000}"/>
    <cellStyle name="Обычный 10 104" xfId="7484" xr:uid="{00000000-0005-0000-0000-0000B5090000}"/>
    <cellStyle name="Обычный 10 104 2" xfId="55546" xr:uid="{00000000-0005-0000-0000-0000B6090000}"/>
    <cellStyle name="Обычный 10 105" xfId="12825" xr:uid="{00000000-0005-0000-0000-0000B7090000}"/>
    <cellStyle name="Обычный 10 106" xfId="18165" xr:uid="{00000000-0005-0000-0000-0000B8090000}"/>
    <cellStyle name="Обычный 10 107" xfId="23505" xr:uid="{00000000-0005-0000-0000-0000B9090000}"/>
    <cellStyle name="Обычный 10 108" xfId="28845" xr:uid="{00000000-0005-0000-0000-0000BA090000}"/>
    <cellStyle name="Обычный 10 109" xfId="34185" xr:uid="{00000000-0005-0000-0000-0000BB090000}"/>
    <cellStyle name="Обычный 10 11" xfId="2441" xr:uid="{00000000-0005-0000-0000-0000BC090000}"/>
    <cellStyle name="Обычный 10 11 10" xfId="50505" xr:uid="{00000000-0005-0000-0000-0000BD090000}"/>
    <cellStyle name="Обычный 10 11 2" xfId="7784" xr:uid="{00000000-0005-0000-0000-0000BE090000}"/>
    <cellStyle name="Обычный 10 11 2 2" xfId="55846" xr:uid="{00000000-0005-0000-0000-0000BF090000}"/>
    <cellStyle name="Обычный 10 11 3" xfId="13125" xr:uid="{00000000-0005-0000-0000-0000C0090000}"/>
    <cellStyle name="Обычный 10 11 4" xfId="18465" xr:uid="{00000000-0005-0000-0000-0000C1090000}"/>
    <cellStyle name="Обычный 10 11 5" xfId="23805" xr:uid="{00000000-0005-0000-0000-0000C2090000}"/>
    <cellStyle name="Обычный 10 11 6" xfId="29145" xr:uid="{00000000-0005-0000-0000-0000C3090000}"/>
    <cellStyle name="Обычный 10 11 7" xfId="34485" xr:uid="{00000000-0005-0000-0000-0000C4090000}"/>
    <cellStyle name="Обычный 10 11 8" xfId="39825" xr:uid="{00000000-0005-0000-0000-0000C5090000}"/>
    <cellStyle name="Обычный 10 11 9" xfId="45165" xr:uid="{00000000-0005-0000-0000-0000C6090000}"/>
    <cellStyle name="Обычный 10 110" xfId="39525" xr:uid="{00000000-0005-0000-0000-0000C7090000}"/>
    <cellStyle name="Обычный 10 111" xfId="44865" xr:uid="{00000000-0005-0000-0000-0000C8090000}"/>
    <cellStyle name="Обычный 10 112" xfId="50205" xr:uid="{00000000-0005-0000-0000-0000C9090000}"/>
    <cellStyle name="Обычный 10 12" xfId="2471" xr:uid="{00000000-0005-0000-0000-0000CA090000}"/>
    <cellStyle name="Обычный 10 12 10" xfId="50535" xr:uid="{00000000-0005-0000-0000-0000CB090000}"/>
    <cellStyle name="Обычный 10 12 2" xfId="7814" xr:uid="{00000000-0005-0000-0000-0000CC090000}"/>
    <cellStyle name="Обычный 10 12 2 2" xfId="55876" xr:uid="{00000000-0005-0000-0000-0000CD090000}"/>
    <cellStyle name="Обычный 10 12 3" xfId="13155" xr:uid="{00000000-0005-0000-0000-0000CE090000}"/>
    <cellStyle name="Обычный 10 12 4" xfId="18495" xr:uid="{00000000-0005-0000-0000-0000CF090000}"/>
    <cellStyle name="Обычный 10 12 5" xfId="23835" xr:uid="{00000000-0005-0000-0000-0000D0090000}"/>
    <cellStyle name="Обычный 10 12 6" xfId="29175" xr:uid="{00000000-0005-0000-0000-0000D1090000}"/>
    <cellStyle name="Обычный 10 12 7" xfId="34515" xr:uid="{00000000-0005-0000-0000-0000D2090000}"/>
    <cellStyle name="Обычный 10 12 8" xfId="39855" xr:uid="{00000000-0005-0000-0000-0000D3090000}"/>
    <cellStyle name="Обычный 10 12 9" xfId="45195" xr:uid="{00000000-0005-0000-0000-0000D4090000}"/>
    <cellStyle name="Обычный 10 13" xfId="2501" xr:uid="{00000000-0005-0000-0000-0000D5090000}"/>
    <cellStyle name="Обычный 10 13 10" xfId="50565" xr:uid="{00000000-0005-0000-0000-0000D6090000}"/>
    <cellStyle name="Обычный 10 13 2" xfId="7844" xr:uid="{00000000-0005-0000-0000-0000D7090000}"/>
    <cellStyle name="Обычный 10 13 2 2" xfId="55906" xr:uid="{00000000-0005-0000-0000-0000D8090000}"/>
    <cellStyle name="Обычный 10 13 3" xfId="13185" xr:uid="{00000000-0005-0000-0000-0000D9090000}"/>
    <cellStyle name="Обычный 10 13 4" xfId="18525" xr:uid="{00000000-0005-0000-0000-0000DA090000}"/>
    <cellStyle name="Обычный 10 13 5" xfId="23865" xr:uid="{00000000-0005-0000-0000-0000DB090000}"/>
    <cellStyle name="Обычный 10 13 6" xfId="29205" xr:uid="{00000000-0005-0000-0000-0000DC090000}"/>
    <cellStyle name="Обычный 10 13 7" xfId="34545" xr:uid="{00000000-0005-0000-0000-0000DD090000}"/>
    <cellStyle name="Обычный 10 13 8" xfId="39885" xr:uid="{00000000-0005-0000-0000-0000DE090000}"/>
    <cellStyle name="Обычный 10 13 9" xfId="45225" xr:uid="{00000000-0005-0000-0000-0000DF090000}"/>
    <cellStyle name="Обычный 10 14" xfId="2533" xr:uid="{00000000-0005-0000-0000-0000E0090000}"/>
    <cellStyle name="Обычный 10 14 10" xfId="50597" xr:uid="{00000000-0005-0000-0000-0000E1090000}"/>
    <cellStyle name="Обычный 10 14 2" xfId="7876" xr:uid="{00000000-0005-0000-0000-0000E2090000}"/>
    <cellStyle name="Обычный 10 14 2 2" xfId="55938" xr:uid="{00000000-0005-0000-0000-0000E3090000}"/>
    <cellStyle name="Обычный 10 14 3" xfId="13217" xr:uid="{00000000-0005-0000-0000-0000E4090000}"/>
    <cellStyle name="Обычный 10 14 4" xfId="18557" xr:uid="{00000000-0005-0000-0000-0000E5090000}"/>
    <cellStyle name="Обычный 10 14 5" xfId="23897" xr:uid="{00000000-0005-0000-0000-0000E6090000}"/>
    <cellStyle name="Обычный 10 14 6" xfId="29237" xr:uid="{00000000-0005-0000-0000-0000E7090000}"/>
    <cellStyle name="Обычный 10 14 7" xfId="34577" xr:uid="{00000000-0005-0000-0000-0000E8090000}"/>
    <cellStyle name="Обычный 10 14 8" xfId="39917" xr:uid="{00000000-0005-0000-0000-0000E9090000}"/>
    <cellStyle name="Обычный 10 14 9" xfId="45257" xr:uid="{00000000-0005-0000-0000-0000EA090000}"/>
    <cellStyle name="Обычный 10 15" xfId="2567" xr:uid="{00000000-0005-0000-0000-0000EB090000}"/>
    <cellStyle name="Обычный 10 15 10" xfId="50631" xr:uid="{00000000-0005-0000-0000-0000EC090000}"/>
    <cellStyle name="Обычный 10 15 2" xfId="7910" xr:uid="{00000000-0005-0000-0000-0000ED090000}"/>
    <cellStyle name="Обычный 10 15 2 2" xfId="55972" xr:uid="{00000000-0005-0000-0000-0000EE090000}"/>
    <cellStyle name="Обычный 10 15 3" xfId="13251" xr:uid="{00000000-0005-0000-0000-0000EF090000}"/>
    <cellStyle name="Обычный 10 15 4" xfId="18591" xr:uid="{00000000-0005-0000-0000-0000F0090000}"/>
    <cellStyle name="Обычный 10 15 5" xfId="23931" xr:uid="{00000000-0005-0000-0000-0000F1090000}"/>
    <cellStyle name="Обычный 10 15 6" xfId="29271" xr:uid="{00000000-0005-0000-0000-0000F2090000}"/>
    <cellStyle name="Обычный 10 15 7" xfId="34611" xr:uid="{00000000-0005-0000-0000-0000F3090000}"/>
    <cellStyle name="Обычный 10 15 8" xfId="39951" xr:uid="{00000000-0005-0000-0000-0000F4090000}"/>
    <cellStyle name="Обычный 10 15 9" xfId="45291" xr:uid="{00000000-0005-0000-0000-0000F5090000}"/>
    <cellStyle name="Обычный 10 16" xfId="2599" xr:uid="{00000000-0005-0000-0000-0000F6090000}"/>
    <cellStyle name="Обычный 10 16 10" xfId="50663" xr:uid="{00000000-0005-0000-0000-0000F7090000}"/>
    <cellStyle name="Обычный 10 16 2" xfId="7942" xr:uid="{00000000-0005-0000-0000-0000F8090000}"/>
    <cellStyle name="Обычный 10 16 2 2" xfId="56004" xr:uid="{00000000-0005-0000-0000-0000F9090000}"/>
    <cellStyle name="Обычный 10 16 3" xfId="13283" xr:uid="{00000000-0005-0000-0000-0000FA090000}"/>
    <cellStyle name="Обычный 10 16 4" xfId="18623" xr:uid="{00000000-0005-0000-0000-0000FB090000}"/>
    <cellStyle name="Обычный 10 16 5" xfId="23963" xr:uid="{00000000-0005-0000-0000-0000FC090000}"/>
    <cellStyle name="Обычный 10 16 6" xfId="29303" xr:uid="{00000000-0005-0000-0000-0000FD090000}"/>
    <cellStyle name="Обычный 10 16 7" xfId="34643" xr:uid="{00000000-0005-0000-0000-0000FE090000}"/>
    <cellStyle name="Обычный 10 16 8" xfId="39983" xr:uid="{00000000-0005-0000-0000-0000FF090000}"/>
    <cellStyle name="Обычный 10 16 9" xfId="45323" xr:uid="{00000000-0005-0000-0000-0000000A0000}"/>
    <cellStyle name="Обычный 10 17" xfId="2631" xr:uid="{00000000-0005-0000-0000-0000010A0000}"/>
    <cellStyle name="Обычный 10 17 10" xfId="50695" xr:uid="{00000000-0005-0000-0000-0000020A0000}"/>
    <cellStyle name="Обычный 10 17 2" xfId="7974" xr:uid="{00000000-0005-0000-0000-0000030A0000}"/>
    <cellStyle name="Обычный 10 17 2 2" xfId="56036" xr:uid="{00000000-0005-0000-0000-0000040A0000}"/>
    <cellStyle name="Обычный 10 17 3" xfId="13315" xr:uid="{00000000-0005-0000-0000-0000050A0000}"/>
    <cellStyle name="Обычный 10 17 4" xfId="18655" xr:uid="{00000000-0005-0000-0000-0000060A0000}"/>
    <cellStyle name="Обычный 10 17 5" xfId="23995" xr:uid="{00000000-0005-0000-0000-0000070A0000}"/>
    <cellStyle name="Обычный 10 17 6" xfId="29335" xr:uid="{00000000-0005-0000-0000-0000080A0000}"/>
    <cellStyle name="Обычный 10 17 7" xfId="34675" xr:uid="{00000000-0005-0000-0000-0000090A0000}"/>
    <cellStyle name="Обычный 10 17 8" xfId="40015" xr:uid="{00000000-0005-0000-0000-00000A0A0000}"/>
    <cellStyle name="Обычный 10 17 9" xfId="45355" xr:uid="{00000000-0005-0000-0000-00000B0A0000}"/>
    <cellStyle name="Обычный 10 18" xfId="2663" xr:uid="{00000000-0005-0000-0000-00000C0A0000}"/>
    <cellStyle name="Обычный 10 18 10" xfId="50727" xr:uid="{00000000-0005-0000-0000-00000D0A0000}"/>
    <cellStyle name="Обычный 10 18 2" xfId="8006" xr:uid="{00000000-0005-0000-0000-00000E0A0000}"/>
    <cellStyle name="Обычный 10 18 2 2" xfId="56068" xr:uid="{00000000-0005-0000-0000-00000F0A0000}"/>
    <cellStyle name="Обычный 10 18 3" xfId="13347" xr:uid="{00000000-0005-0000-0000-0000100A0000}"/>
    <cellStyle name="Обычный 10 18 4" xfId="18687" xr:uid="{00000000-0005-0000-0000-0000110A0000}"/>
    <cellStyle name="Обычный 10 18 5" xfId="24027" xr:uid="{00000000-0005-0000-0000-0000120A0000}"/>
    <cellStyle name="Обычный 10 18 6" xfId="29367" xr:uid="{00000000-0005-0000-0000-0000130A0000}"/>
    <cellStyle name="Обычный 10 18 7" xfId="34707" xr:uid="{00000000-0005-0000-0000-0000140A0000}"/>
    <cellStyle name="Обычный 10 18 8" xfId="40047" xr:uid="{00000000-0005-0000-0000-0000150A0000}"/>
    <cellStyle name="Обычный 10 18 9" xfId="45387" xr:uid="{00000000-0005-0000-0000-0000160A0000}"/>
    <cellStyle name="Обычный 10 19" xfId="2695" xr:uid="{00000000-0005-0000-0000-0000170A0000}"/>
    <cellStyle name="Обычный 10 19 10" xfId="50759" xr:uid="{00000000-0005-0000-0000-0000180A0000}"/>
    <cellStyle name="Обычный 10 19 2" xfId="8038" xr:uid="{00000000-0005-0000-0000-0000190A0000}"/>
    <cellStyle name="Обычный 10 19 2 2" xfId="56100" xr:uid="{00000000-0005-0000-0000-00001A0A0000}"/>
    <cellStyle name="Обычный 10 19 3" xfId="13379" xr:uid="{00000000-0005-0000-0000-00001B0A0000}"/>
    <cellStyle name="Обычный 10 19 4" xfId="18719" xr:uid="{00000000-0005-0000-0000-00001C0A0000}"/>
    <cellStyle name="Обычный 10 19 5" xfId="24059" xr:uid="{00000000-0005-0000-0000-00001D0A0000}"/>
    <cellStyle name="Обычный 10 19 6" xfId="29399" xr:uid="{00000000-0005-0000-0000-00001E0A0000}"/>
    <cellStyle name="Обычный 10 19 7" xfId="34739" xr:uid="{00000000-0005-0000-0000-00001F0A0000}"/>
    <cellStyle name="Обычный 10 19 8" xfId="40079" xr:uid="{00000000-0005-0000-0000-0000200A0000}"/>
    <cellStyle name="Обычный 10 19 9" xfId="45419" xr:uid="{00000000-0005-0000-0000-0000210A0000}"/>
    <cellStyle name="Обычный 10 2" xfId="2171" xr:uid="{00000000-0005-0000-0000-0000220A0000}"/>
    <cellStyle name="Обычный 10 2 10" xfId="50235" xr:uid="{00000000-0005-0000-0000-0000230A0000}"/>
    <cellStyle name="Обычный 10 2 2" xfId="7514" xr:uid="{00000000-0005-0000-0000-0000240A0000}"/>
    <cellStyle name="Обычный 10 2 2 2" xfId="55576" xr:uid="{00000000-0005-0000-0000-0000250A0000}"/>
    <cellStyle name="Обычный 10 2 3" xfId="12855" xr:uid="{00000000-0005-0000-0000-0000260A0000}"/>
    <cellStyle name="Обычный 10 2 4" xfId="18195" xr:uid="{00000000-0005-0000-0000-0000270A0000}"/>
    <cellStyle name="Обычный 10 2 5" xfId="23535" xr:uid="{00000000-0005-0000-0000-0000280A0000}"/>
    <cellStyle name="Обычный 10 2 6" xfId="28875" xr:uid="{00000000-0005-0000-0000-0000290A0000}"/>
    <cellStyle name="Обычный 10 2 7" xfId="34215" xr:uid="{00000000-0005-0000-0000-00002A0A0000}"/>
    <cellStyle name="Обычный 10 2 8" xfId="39555" xr:uid="{00000000-0005-0000-0000-00002B0A0000}"/>
    <cellStyle name="Обычный 10 2 9" xfId="44895" xr:uid="{00000000-0005-0000-0000-00002C0A0000}"/>
    <cellStyle name="Обычный 10 20" xfId="2727" xr:uid="{00000000-0005-0000-0000-00002D0A0000}"/>
    <cellStyle name="Обычный 10 20 10" xfId="50791" xr:uid="{00000000-0005-0000-0000-00002E0A0000}"/>
    <cellStyle name="Обычный 10 20 2" xfId="8070" xr:uid="{00000000-0005-0000-0000-00002F0A0000}"/>
    <cellStyle name="Обычный 10 20 2 2" xfId="56132" xr:uid="{00000000-0005-0000-0000-0000300A0000}"/>
    <cellStyle name="Обычный 10 20 3" xfId="13411" xr:uid="{00000000-0005-0000-0000-0000310A0000}"/>
    <cellStyle name="Обычный 10 20 4" xfId="18751" xr:uid="{00000000-0005-0000-0000-0000320A0000}"/>
    <cellStyle name="Обычный 10 20 5" xfId="24091" xr:uid="{00000000-0005-0000-0000-0000330A0000}"/>
    <cellStyle name="Обычный 10 20 6" xfId="29431" xr:uid="{00000000-0005-0000-0000-0000340A0000}"/>
    <cellStyle name="Обычный 10 20 7" xfId="34771" xr:uid="{00000000-0005-0000-0000-0000350A0000}"/>
    <cellStyle name="Обычный 10 20 8" xfId="40111" xr:uid="{00000000-0005-0000-0000-0000360A0000}"/>
    <cellStyle name="Обычный 10 20 9" xfId="45451" xr:uid="{00000000-0005-0000-0000-0000370A0000}"/>
    <cellStyle name="Обычный 10 21" xfId="2759" xr:uid="{00000000-0005-0000-0000-0000380A0000}"/>
    <cellStyle name="Обычный 10 21 10" xfId="50823" xr:uid="{00000000-0005-0000-0000-0000390A0000}"/>
    <cellStyle name="Обычный 10 21 2" xfId="8102" xr:uid="{00000000-0005-0000-0000-00003A0A0000}"/>
    <cellStyle name="Обычный 10 21 2 2" xfId="56164" xr:uid="{00000000-0005-0000-0000-00003B0A0000}"/>
    <cellStyle name="Обычный 10 21 3" xfId="13443" xr:uid="{00000000-0005-0000-0000-00003C0A0000}"/>
    <cellStyle name="Обычный 10 21 4" xfId="18783" xr:uid="{00000000-0005-0000-0000-00003D0A0000}"/>
    <cellStyle name="Обычный 10 21 5" xfId="24123" xr:uid="{00000000-0005-0000-0000-00003E0A0000}"/>
    <cellStyle name="Обычный 10 21 6" xfId="29463" xr:uid="{00000000-0005-0000-0000-00003F0A0000}"/>
    <cellStyle name="Обычный 10 21 7" xfId="34803" xr:uid="{00000000-0005-0000-0000-0000400A0000}"/>
    <cellStyle name="Обычный 10 21 8" xfId="40143" xr:uid="{00000000-0005-0000-0000-0000410A0000}"/>
    <cellStyle name="Обычный 10 21 9" xfId="45483" xr:uid="{00000000-0005-0000-0000-0000420A0000}"/>
    <cellStyle name="Обычный 10 22" xfId="2793" xr:uid="{00000000-0005-0000-0000-0000430A0000}"/>
    <cellStyle name="Обычный 10 22 10" xfId="50857" xr:uid="{00000000-0005-0000-0000-0000440A0000}"/>
    <cellStyle name="Обычный 10 22 2" xfId="8136" xr:uid="{00000000-0005-0000-0000-0000450A0000}"/>
    <cellStyle name="Обычный 10 22 2 2" xfId="56198" xr:uid="{00000000-0005-0000-0000-0000460A0000}"/>
    <cellStyle name="Обычный 10 22 3" xfId="13477" xr:uid="{00000000-0005-0000-0000-0000470A0000}"/>
    <cellStyle name="Обычный 10 22 4" xfId="18817" xr:uid="{00000000-0005-0000-0000-0000480A0000}"/>
    <cellStyle name="Обычный 10 22 5" xfId="24157" xr:uid="{00000000-0005-0000-0000-0000490A0000}"/>
    <cellStyle name="Обычный 10 22 6" xfId="29497" xr:uid="{00000000-0005-0000-0000-00004A0A0000}"/>
    <cellStyle name="Обычный 10 22 7" xfId="34837" xr:uid="{00000000-0005-0000-0000-00004B0A0000}"/>
    <cellStyle name="Обычный 10 22 8" xfId="40177" xr:uid="{00000000-0005-0000-0000-00004C0A0000}"/>
    <cellStyle name="Обычный 10 22 9" xfId="45517" xr:uid="{00000000-0005-0000-0000-00004D0A0000}"/>
    <cellStyle name="Обычный 10 23" xfId="2825" xr:uid="{00000000-0005-0000-0000-00004E0A0000}"/>
    <cellStyle name="Обычный 10 23 10" xfId="50889" xr:uid="{00000000-0005-0000-0000-00004F0A0000}"/>
    <cellStyle name="Обычный 10 23 2" xfId="8168" xr:uid="{00000000-0005-0000-0000-0000500A0000}"/>
    <cellStyle name="Обычный 10 23 2 2" xfId="56230" xr:uid="{00000000-0005-0000-0000-0000510A0000}"/>
    <cellStyle name="Обычный 10 23 3" xfId="13509" xr:uid="{00000000-0005-0000-0000-0000520A0000}"/>
    <cellStyle name="Обычный 10 23 4" xfId="18849" xr:uid="{00000000-0005-0000-0000-0000530A0000}"/>
    <cellStyle name="Обычный 10 23 5" xfId="24189" xr:uid="{00000000-0005-0000-0000-0000540A0000}"/>
    <cellStyle name="Обычный 10 23 6" xfId="29529" xr:uid="{00000000-0005-0000-0000-0000550A0000}"/>
    <cellStyle name="Обычный 10 23 7" xfId="34869" xr:uid="{00000000-0005-0000-0000-0000560A0000}"/>
    <cellStyle name="Обычный 10 23 8" xfId="40209" xr:uid="{00000000-0005-0000-0000-0000570A0000}"/>
    <cellStyle name="Обычный 10 23 9" xfId="45549" xr:uid="{00000000-0005-0000-0000-0000580A0000}"/>
    <cellStyle name="Обычный 10 24" xfId="2857" xr:uid="{00000000-0005-0000-0000-0000590A0000}"/>
    <cellStyle name="Обычный 10 24 10" xfId="50921" xr:uid="{00000000-0005-0000-0000-00005A0A0000}"/>
    <cellStyle name="Обычный 10 24 2" xfId="8200" xr:uid="{00000000-0005-0000-0000-00005B0A0000}"/>
    <cellStyle name="Обычный 10 24 2 2" xfId="56262" xr:uid="{00000000-0005-0000-0000-00005C0A0000}"/>
    <cellStyle name="Обычный 10 24 3" xfId="13541" xr:uid="{00000000-0005-0000-0000-00005D0A0000}"/>
    <cellStyle name="Обычный 10 24 4" xfId="18881" xr:uid="{00000000-0005-0000-0000-00005E0A0000}"/>
    <cellStyle name="Обычный 10 24 5" xfId="24221" xr:uid="{00000000-0005-0000-0000-00005F0A0000}"/>
    <cellStyle name="Обычный 10 24 6" xfId="29561" xr:uid="{00000000-0005-0000-0000-0000600A0000}"/>
    <cellStyle name="Обычный 10 24 7" xfId="34901" xr:uid="{00000000-0005-0000-0000-0000610A0000}"/>
    <cellStyle name="Обычный 10 24 8" xfId="40241" xr:uid="{00000000-0005-0000-0000-0000620A0000}"/>
    <cellStyle name="Обычный 10 24 9" xfId="45581" xr:uid="{00000000-0005-0000-0000-0000630A0000}"/>
    <cellStyle name="Обычный 10 25" xfId="2889" xr:uid="{00000000-0005-0000-0000-0000640A0000}"/>
    <cellStyle name="Обычный 10 25 10" xfId="50953" xr:uid="{00000000-0005-0000-0000-0000650A0000}"/>
    <cellStyle name="Обычный 10 25 2" xfId="8232" xr:uid="{00000000-0005-0000-0000-0000660A0000}"/>
    <cellStyle name="Обычный 10 25 2 2" xfId="56294" xr:uid="{00000000-0005-0000-0000-0000670A0000}"/>
    <cellStyle name="Обычный 10 25 3" xfId="13573" xr:uid="{00000000-0005-0000-0000-0000680A0000}"/>
    <cellStyle name="Обычный 10 25 4" xfId="18913" xr:uid="{00000000-0005-0000-0000-0000690A0000}"/>
    <cellStyle name="Обычный 10 25 5" xfId="24253" xr:uid="{00000000-0005-0000-0000-00006A0A0000}"/>
    <cellStyle name="Обычный 10 25 6" xfId="29593" xr:uid="{00000000-0005-0000-0000-00006B0A0000}"/>
    <cellStyle name="Обычный 10 25 7" xfId="34933" xr:uid="{00000000-0005-0000-0000-00006C0A0000}"/>
    <cellStyle name="Обычный 10 25 8" xfId="40273" xr:uid="{00000000-0005-0000-0000-00006D0A0000}"/>
    <cellStyle name="Обычный 10 25 9" xfId="45613" xr:uid="{00000000-0005-0000-0000-00006E0A0000}"/>
    <cellStyle name="Обычный 10 26" xfId="2921" xr:uid="{00000000-0005-0000-0000-00006F0A0000}"/>
    <cellStyle name="Обычный 10 26 10" xfId="50985" xr:uid="{00000000-0005-0000-0000-0000700A0000}"/>
    <cellStyle name="Обычный 10 26 2" xfId="8264" xr:uid="{00000000-0005-0000-0000-0000710A0000}"/>
    <cellStyle name="Обычный 10 26 2 2" xfId="56326" xr:uid="{00000000-0005-0000-0000-0000720A0000}"/>
    <cellStyle name="Обычный 10 26 3" xfId="13605" xr:uid="{00000000-0005-0000-0000-0000730A0000}"/>
    <cellStyle name="Обычный 10 26 4" xfId="18945" xr:uid="{00000000-0005-0000-0000-0000740A0000}"/>
    <cellStyle name="Обычный 10 26 5" xfId="24285" xr:uid="{00000000-0005-0000-0000-0000750A0000}"/>
    <cellStyle name="Обычный 10 26 6" xfId="29625" xr:uid="{00000000-0005-0000-0000-0000760A0000}"/>
    <cellStyle name="Обычный 10 26 7" xfId="34965" xr:uid="{00000000-0005-0000-0000-0000770A0000}"/>
    <cellStyle name="Обычный 10 26 8" xfId="40305" xr:uid="{00000000-0005-0000-0000-0000780A0000}"/>
    <cellStyle name="Обычный 10 26 9" xfId="45645" xr:uid="{00000000-0005-0000-0000-0000790A0000}"/>
    <cellStyle name="Обычный 10 27" xfId="2953" xr:uid="{00000000-0005-0000-0000-00007A0A0000}"/>
    <cellStyle name="Обычный 10 27 10" xfId="51017" xr:uid="{00000000-0005-0000-0000-00007B0A0000}"/>
    <cellStyle name="Обычный 10 27 2" xfId="8296" xr:uid="{00000000-0005-0000-0000-00007C0A0000}"/>
    <cellStyle name="Обычный 10 27 2 2" xfId="56358" xr:uid="{00000000-0005-0000-0000-00007D0A0000}"/>
    <cellStyle name="Обычный 10 27 3" xfId="13637" xr:uid="{00000000-0005-0000-0000-00007E0A0000}"/>
    <cellStyle name="Обычный 10 27 4" xfId="18977" xr:uid="{00000000-0005-0000-0000-00007F0A0000}"/>
    <cellStyle name="Обычный 10 27 5" xfId="24317" xr:uid="{00000000-0005-0000-0000-0000800A0000}"/>
    <cellStyle name="Обычный 10 27 6" xfId="29657" xr:uid="{00000000-0005-0000-0000-0000810A0000}"/>
    <cellStyle name="Обычный 10 27 7" xfId="34997" xr:uid="{00000000-0005-0000-0000-0000820A0000}"/>
    <cellStyle name="Обычный 10 27 8" xfId="40337" xr:uid="{00000000-0005-0000-0000-0000830A0000}"/>
    <cellStyle name="Обычный 10 27 9" xfId="45677" xr:uid="{00000000-0005-0000-0000-0000840A0000}"/>
    <cellStyle name="Обычный 10 28" xfId="2985" xr:uid="{00000000-0005-0000-0000-0000850A0000}"/>
    <cellStyle name="Обычный 10 28 10" xfId="51049" xr:uid="{00000000-0005-0000-0000-0000860A0000}"/>
    <cellStyle name="Обычный 10 28 2" xfId="8328" xr:uid="{00000000-0005-0000-0000-0000870A0000}"/>
    <cellStyle name="Обычный 10 28 2 2" xfId="56390" xr:uid="{00000000-0005-0000-0000-0000880A0000}"/>
    <cellStyle name="Обычный 10 28 3" xfId="13669" xr:uid="{00000000-0005-0000-0000-0000890A0000}"/>
    <cellStyle name="Обычный 10 28 4" xfId="19009" xr:uid="{00000000-0005-0000-0000-00008A0A0000}"/>
    <cellStyle name="Обычный 10 28 5" xfId="24349" xr:uid="{00000000-0005-0000-0000-00008B0A0000}"/>
    <cellStyle name="Обычный 10 28 6" xfId="29689" xr:uid="{00000000-0005-0000-0000-00008C0A0000}"/>
    <cellStyle name="Обычный 10 28 7" xfId="35029" xr:uid="{00000000-0005-0000-0000-00008D0A0000}"/>
    <cellStyle name="Обычный 10 28 8" xfId="40369" xr:uid="{00000000-0005-0000-0000-00008E0A0000}"/>
    <cellStyle name="Обычный 10 28 9" xfId="45709" xr:uid="{00000000-0005-0000-0000-00008F0A0000}"/>
    <cellStyle name="Обычный 10 29" xfId="3017" xr:uid="{00000000-0005-0000-0000-0000900A0000}"/>
    <cellStyle name="Обычный 10 29 10" xfId="51081" xr:uid="{00000000-0005-0000-0000-0000910A0000}"/>
    <cellStyle name="Обычный 10 29 2" xfId="8360" xr:uid="{00000000-0005-0000-0000-0000920A0000}"/>
    <cellStyle name="Обычный 10 29 2 2" xfId="56422" xr:uid="{00000000-0005-0000-0000-0000930A0000}"/>
    <cellStyle name="Обычный 10 29 3" xfId="13701" xr:uid="{00000000-0005-0000-0000-0000940A0000}"/>
    <cellStyle name="Обычный 10 29 4" xfId="19041" xr:uid="{00000000-0005-0000-0000-0000950A0000}"/>
    <cellStyle name="Обычный 10 29 5" xfId="24381" xr:uid="{00000000-0005-0000-0000-0000960A0000}"/>
    <cellStyle name="Обычный 10 29 6" xfId="29721" xr:uid="{00000000-0005-0000-0000-0000970A0000}"/>
    <cellStyle name="Обычный 10 29 7" xfId="35061" xr:uid="{00000000-0005-0000-0000-0000980A0000}"/>
    <cellStyle name="Обычный 10 29 8" xfId="40401" xr:uid="{00000000-0005-0000-0000-0000990A0000}"/>
    <cellStyle name="Обычный 10 29 9" xfId="45741" xr:uid="{00000000-0005-0000-0000-00009A0A0000}"/>
    <cellStyle name="Обычный 10 3" xfId="2201" xr:uid="{00000000-0005-0000-0000-00009B0A0000}"/>
    <cellStyle name="Обычный 10 3 10" xfId="50265" xr:uid="{00000000-0005-0000-0000-00009C0A0000}"/>
    <cellStyle name="Обычный 10 3 2" xfId="7544" xr:uid="{00000000-0005-0000-0000-00009D0A0000}"/>
    <cellStyle name="Обычный 10 3 2 2" xfId="55606" xr:uid="{00000000-0005-0000-0000-00009E0A0000}"/>
    <cellStyle name="Обычный 10 3 3" xfId="12885" xr:uid="{00000000-0005-0000-0000-00009F0A0000}"/>
    <cellStyle name="Обычный 10 3 4" xfId="18225" xr:uid="{00000000-0005-0000-0000-0000A00A0000}"/>
    <cellStyle name="Обычный 10 3 5" xfId="23565" xr:uid="{00000000-0005-0000-0000-0000A10A0000}"/>
    <cellStyle name="Обычный 10 3 6" xfId="28905" xr:uid="{00000000-0005-0000-0000-0000A20A0000}"/>
    <cellStyle name="Обычный 10 3 7" xfId="34245" xr:uid="{00000000-0005-0000-0000-0000A30A0000}"/>
    <cellStyle name="Обычный 10 3 8" xfId="39585" xr:uid="{00000000-0005-0000-0000-0000A40A0000}"/>
    <cellStyle name="Обычный 10 3 9" xfId="44925" xr:uid="{00000000-0005-0000-0000-0000A50A0000}"/>
    <cellStyle name="Обычный 10 30" xfId="3049" xr:uid="{00000000-0005-0000-0000-0000A60A0000}"/>
    <cellStyle name="Обычный 10 30 10" xfId="51113" xr:uid="{00000000-0005-0000-0000-0000A70A0000}"/>
    <cellStyle name="Обычный 10 30 2" xfId="8392" xr:uid="{00000000-0005-0000-0000-0000A80A0000}"/>
    <cellStyle name="Обычный 10 30 2 2" xfId="56454" xr:uid="{00000000-0005-0000-0000-0000A90A0000}"/>
    <cellStyle name="Обычный 10 30 3" xfId="13733" xr:uid="{00000000-0005-0000-0000-0000AA0A0000}"/>
    <cellStyle name="Обычный 10 30 4" xfId="19073" xr:uid="{00000000-0005-0000-0000-0000AB0A0000}"/>
    <cellStyle name="Обычный 10 30 5" xfId="24413" xr:uid="{00000000-0005-0000-0000-0000AC0A0000}"/>
    <cellStyle name="Обычный 10 30 6" xfId="29753" xr:uid="{00000000-0005-0000-0000-0000AD0A0000}"/>
    <cellStyle name="Обычный 10 30 7" xfId="35093" xr:uid="{00000000-0005-0000-0000-0000AE0A0000}"/>
    <cellStyle name="Обычный 10 30 8" xfId="40433" xr:uid="{00000000-0005-0000-0000-0000AF0A0000}"/>
    <cellStyle name="Обычный 10 30 9" xfId="45773" xr:uid="{00000000-0005-0000-0000-0000B00A0000}"/>
    <cellStyle name="Обычный 10 31" xfId="3081" xr:uid="{00000000-0005-0000-0000-0000B10A0000}"/>
    <cellStyle name="Обычный 10 31 10" xfId="51145" xr:uid="{00000000-0005-0000-0000-0000B20A0000}"/>
    <cellStyle name="Обычный 10 31 2" xfId="8424" xr:uid="{00000000-0005-0000-0000-0000B30A0000}"/>
    <cellStyle name="Обычный 10 31 2 2" xfId="56486" xr:uid="{00000000-0005-0000-0000-0000B40A0000}"/>
    <cellStyle name="Обычный 10 31 3" xfId="13765" xr:uid="{00000000-0005-0000-0000-0000B50A0000}"/>
    <cellStyle name="Обычный 10 31 4" xfId="19105" xr:uid="{00000000-0005-0000-0000-0000B60A0000}"/>
    <cellStyle name="Обычный 10 31 5" xfId="24445" xr:uid="{00000000-0005-0000-0000-0000B70A0000}"/>
    <cellStyle name="Обычный 10 31 6" xfId="29785" xr:uid="{00000000-0005-0000-0000-0000B80A0000}"/>
    <cellStyle name="Обычный 10 31 7" xfId="35125" xr:uid="{00000000-0005-0000-0000-0000B90A0000}"/>
    <cellStyle name="Обычный 10 31 8" xfId="40465" xr:uid="{00000000-0005-0000-0000-0000BA0A0000}"/>
    <cellStyle name="Обычный 10 31 9" xfId="45805" xr:uid="{00000000-0005-0000-0000-0000BB0A0000}"/>
    <cellStyle name="Обычный 10 32" xfId="3113" xr:uid="{00000000-0005-0000-0000-0000BC0A0000}"/>
    <cellStyle name="Обычный 10 32 10" xfId="51177" xr:uid="{00000000-0005-0000-0000-0000BD0A0000}"/>
    <cellStyle name="Обычный 10 32 2" xfId="8456" xr:uid="{00000000-0005-0000-0000-0000BE0A0000}"/>
    <cellStyle name="Обычный 10 32 2 2" xfId="56518" xr:uid="{00000000-0005-0000-0000-0000BF0A0000}"/>
    <cellStyle name="Обычный 10 32 3" xfId="13797" xr:uid="{00000000-0005-0000-0000-0000C00A0000}"/>
    <cellStyle name="Обычный 10 32 4" xfId="19137" xr:uid="{00000000-0005-0000-0000-0000C10A0000}"/>
    <cellStyle name="Обычный 10 32 5" xfId="24477" xr:uid="{00000000-0005-0000-0000-0000C20A0000}"/>
    <cellStyle name="Обычный 10 32 6" xfId="29817" xr:uid="{00000000-0005-0000-0000-0000C30A0000}"/>
    <cellStyle name="Обычный 10 32 7" xfId="35157" xr:uid="{00000000-0005-0000-0000-0000C40A0000}"/>
    <cellStyle name="Обычный 10 32 8" xfId="40497" xr:uid="{00000000-0005-0000-0000-0000C50A0000}"/>
    <cellStyle name="Обычный 10 32 9" xfId="45837" xr:uid="{00000000-0005-0000-0000-0000C60A0000}"/>
    <cellStyle name="Обычный 10 33" xfId="3146" xr:uid="{00000000-0005-0000-0000-0000C70A0000}"/>
    <cellStyle name="Обычный 10 33 10" xfId="51209" xr:uid="{00000000-0005-0000-0000-0000C80A0000}"/>
    <cellStyle name="Обычный 10 33 2" xfId="8489" xr:uid="{00000000-0005-0000-0000-0000C90A0000}"/>
    <cellStyle name="Обычный 10 33 2 2" xfId="56550" xr:uid="{00000000-0005-0000-0000-0000CA0A0000}"/>
    <cellStyle name="Обычный 10 33 3" xfId="13829" xr:uid="{00000000-0005-0000-0000-0000CB0A0000}"/>
    <cellStyle name="Обычный 10 33 4" xfId="19169" xr:uid="{00000000-0005-0000-0000-0000CC0A0000}"/>
    <cellStyle name="Обычный 10 33 5" xfId="24509" xr:uid="{00000000-0005-0000-0000-0000CD0A0000}"/>
    <cellStyle name="Обычный 10 33 6" xfId="29849" xr:uid="{00000000-0005-0000-0000-0000CE0A0000}"/>
    <cellStyle name="Обычный 10 33 7" xfId="35189" xr:uid="{00000000-0005-0000-0000-0000CF0A0000}"/>
    <cellStyle name="Обычный 10 33 8" xfId="40529" xr:uid="{00000000-0005-0000-0000-0000D00A0000}"/>
    <cellStyle name="Обычный 10 33 9" xfId="45869" xr:uid="{00000000-0005-0000-0000-0000D10A0000}"/>
    <cellStyle name="Обычный 10 34" xfId="3178" xr:uid="{00000000-0005-0000-0000-0000D20A0000}"/>
    <cellStyle name="Обычный 10 34 10" xfId="51241" xr:uid="{00000000-0005-0000-0000-0000D30A0000}"/>
    <cellStyle name="Обычный 10 34 2" xfId="8521" xr:uid="{00000000-0005-0000-0000-0000D40A0000}"/>
    <cellStyle name="Обычный 10 34 2 2" xfId="56582" xr:uid="{00000000-0005-0000-0000-0000D50A0000}"/>
    <cellStyle name="Обычный 10 34 3" xfId="13861" xr:uid="{00000000-0005-0000-0000-0000D60A0000}"/>
    <cellStyle name="Обычный 10 34 4" xfId="19201" xr:uid="{00000000-0005-0000-0000-0000D70A0000}"/>
    <cellStyle name="Обычный 10 34 5" xfId="24541" xr:uid="{00000000-0005-0000-0000-0000D80A0000}"/>
    <cellStyle name="Обычный 10 34 6" xfId="29881" xr:uid="{00000000-0005-0000-0000-0000D90A0000}"/>
    <cellStyle name="Обычный 10 34 7" xfId="35221" xr:uid="{00000000-0005-0000-0000-0000DA0A0000}"/>
    <cellStyle name="Обычный 10 34 8" xfId="40561" xr:uid="{00000000-0005-0000-0000-0000DB0A0000}"/>
    <cellStyle name="Обычный 10 34 9" xfId="45901" xr:uid="{00000000-0005-0000-0000-0000DC0A0000}"/>
    <cellStyle name="Обычный 10 35" xfId="3210" xr:uid="{00000000-0005-0000-0000-0000DD0A0000}"/>
    <cellStyle name="Обычный 10 35 10" xfId="51273" xr:uid="{00000000-0005-0000-0000-0000DE0A0000}"/>
    <cellStyle name="Обычный 10 35 2" xfId="8553" xr:uid="{00000000-0005-0000-0000-0000DF0A0000}"/>
    <cellStyle name="Обычный 10 35 2 2" xfId="56614" xr:uid="{00000000-0005-0000-0000-0000E00A0000}"/>
    <cellStyle name="Обычный 10 35 3" xfId="13893" xr:uid="{00000000-0005-0000-0000-0000E10A0000}"/>
    <cellStyle name="Обычный 10 35 4" xfId="19233" xr:uid="{00000000-0005-0000-0000-0000E20A0000}"/>
    <cellStyle name="Обычный 10 35 5" xfId="24573" xr:uid="{00000000-0005-0000-0000-0000E30A0000}"/>
    <cellStyle name="Обычный 10 35 6" xfId="29913" xr:uid="{00000000-0005-0000-0000-0000E40A0000}"/>
    <cellStyle name="Обычный 10 35 7" xfId="35253" xr:uid="{00000000-0005-0000-0000-0000E50A0000}"/>
    <cellStyle name="Обычный 10 35 8" xfId="40593" xr:uid="{00000000-0005-0000-0000-0000E60A0000}"/>
    <cellStyle name="Обычный 10 35 9" xfId="45933" xr:uid="{00000000-0005-0000-0000-0000E70A0000}"/>
    <cellStyle name="Обычный 10 36" xfId="3242" xr:uid="{00000000-0005-0000-0000-0000E80A0000}"/>
    <cellStyle name="Обычный 10 36 10" xfId="51305" xr:uid="{00000000-0005-0000-0000-0000E90A0000}"/>
    <cellStyle name="Обычный 10 36 2" xfId="8585" xr:uid="{00000000-0005-0000-0000-0000EA0A0000}"/>
    <cellStyle name="Обычный 10 36 2 2" xfId="56646" xr:uid="{00000000-0005-0000-0000-0000EB0A0000}"/>
    <cellStyle name="Обычный 10 36 3" xfId="13925" xr:uid="{00000000-0005-0000-0000-0000EC0A0000}"/>
    <cellStyle name="Обычный 10 36 4" xfId="19265" xr:uid="{00000000-0005-0000-0000-0000ED0A0000}"/>
    <cellStyle name="Обычный 10 36 5" xfId="24605" xr:uid="{00000000-0005-0000-0000-0000EE0A0000}"/>
    <cellStyle name="Обычный 10 36 6" xfId="29945" xr:uid="{00000000-0005-0000-0000-0000EF0A0000}"/>
    <cellStyle name="Обычный 10 36 7" xfId="35285" xr:uid="{00000000-0005-0000-0000-0000F00A0000}"/>
    <cellStyle name="Обычный 10 36 8" xfId="40625" xr:uid="{00000000-0005-0000-0000-0000F10A0000}"/>
    <cellStyle name="Обычный 10 36 9" xfId="45965" xr:uid="{00000000-0005-0000-0000-0000F20A0000}"/>
    <cellStyle name="Обычный 10 37" xfId="3274" xr:uid="{00000000-0005-0000-0000-0000F30A0000}"/>
    <cellStyle name="Обычный 10 37 10" xfId="51337" xr:uid="{00000000-0005-0000-0000-0000F40A0000}"/>
    <cellStyle name="Обычный 10 37 2" xfId="8617" xr:uid="{00000000-0005-0000-0000-0000F50A0000}"/>
    <cellStyle name="Обычный 10 37 2 2" xfId="56678" xr:uid="{00000000-0005-0000-0000-0000F60A0000}"/>
    <cellStyle name="Обычный 10 37 3" xfId="13957" xr:uid="{00000000-0005-0000-0000-0000F70A0000}"/>
    <cellStyle name="Обычный 10 37 4" xfId="19297" xr:uid="{00000000-0005-0000-0000-0000F80A0000}"/>
    <cellStyle name="Обычный 10 37 5" xfId="24637" xr:uid="{00000000-0005-0000-0000-0000F90A0000}"/>
    <cellStyle name="Обычный 10 37 6" xfId="29977" xr:uid="{00000000-0005-0000-0000-0000FA0A0000}"/>
    <cellStyle name="Обычный 10 37 7" xfId="35317" xr:uid="{00000000-0005-0000-0000-0000FB0A0000}"/>
    <cellStyle name="Обычный 10 37 8" xfId="40657" xr:uid="{00000000-0005-0000-0000-0000FC0A0000}"/>
    <cellStyle name="Обычный 10 37 9" xfId="45997" xr:uid="{00000000-0005-0000-0000-0000FD0A0000}"/>
    <cellStyle name="Обычный 10 38" xfId="3306" xr:uid="{00000000-0005-0000-0000-0000FE0A0000}"/>
    <cellStyle name="Обычный 10 38 10" xfId="51369" xr:uid="{00000000-0005-0000-0000-0000FF0A0000}"/>
    <cellStyle name="Обычный 10 38 2" xfId="8649" xr:uid="{00000000-0005-0000-0000-0000000B0000}"/>
    <cellStyle name="Обычный 10 38 2 2" xfId="56710" xr:uid="{00000000-0005-0000-0000-0000010B0000}"/>
    <cellStyle name="Обычный 10 38 3" xfId="13989" xr:uid="{00000000-0005-0000-0000-0000020B0000}"/>
    <cellStyle name="Обычный 10 38 4" xfId="19329" xr:uid="{00000000-0005-0000-0000-0000030B0000}"/>
    <cellStyle name="Обычный 10 38 5" xfId="24669" xr:uid="{00000000-0005-0000-0000-0000040B0000}"/>
    <cellStyle name="Обычный 10 38 6" xfId="30009" xr:uid="{00000000-0005-0000-0000-0000050B0000}"/>
    <cellStyle name="Обычный 10 38 7" xfId="35349" xr:uid="{00000000-0005-0000-0000-0000060B0000}"/>
    <cellStyle name="Обычный 10 38 8" xfId="40689" xr:uid="{00000000-0005-0000-0000-0000070B0000}"/>
    <cellStyle name="Обычный 10 38 9" xfId="46029" xr:uid="{00000000-0005-0000-0000-0000080B0000}"/>
    <cellStyle name="Обычный 10 39" xfId="3338" xr:uid="{00000000-0005-0000-0000-0000090B0000}"/>
    <cellStyle name="Обычный 10 39 10" xfId="51401" xr:uid="{00000000-0005-0000-0000-00000A0B0000}"/>
    <cellStyle name="Обычный 10 39 2" xfId="8681" xr:uid="{00000000-0005-0000-0000-00000B0B0000}"/>
    <cellStyle name="Обычный 10 39 2 2" xfId="56742" xr:uid="{00000000-0005-0000-0000-00000C0B0000}"/>
    <cellStyle name="Обычный 10 39 3" xfId="14021" xr:uid="{00000000-0005-0000-0000-00000D0B0000}"/>
    <cellStyle name="Обычный 10 39 4" xfId="19361" xr:uid="{00000000-0005-0000-0000-00000E0B0000}"/>
    <cellStyle name="Обычный 10 39 5" xfId="24701" xr:uid="{00000000-0005-0000-0000-00000F0B0000}"/>
    <cellStyle name="Обычный 10 39 6" xfId="30041" xr:uid="{00000000-0005-0000-0000-0000100B0000}"/>
    <cellStyle name="Обычный 10 39 7" xfId="35381" xr:uid="{00000000-0005-0000-0000-0000110B0000}"/>
    <cellStyle name="Обычный 10 39 8" xfId="40721" xr:uid="{00000000-0005-0000-0000-0000120B0000}"/>
    <cellStyle name="Обычный 10 39 9" xfId="46061" xr:uid="{00000000-0005-0000-0000-0000130B0000}"/>
    <cellStyle name="Обычный 10 4" xfId="2231" xr:uid="{00000000-0005-0000-0000-0000140B0000}"/>
    <cellStyle name="Обычный 10 4 10" xfId="50295" xr:uid="{00000000-0005-0000-0000-0000150B0000}"/>
    <cellStyle name="Обычный 10 4 2" xfId="7574" xr:uid="{00000000-0005-0000-0000-0000160B0000}"/>
    <cellStyle name="Обычный 10 4 2 2" xfId="55636" xr:uid="{00000000-0005-0000-0000-0000170B0000}"/>
    <cellStyle name="Обычный 10 4 3" xfId="12915" xr:uid="{00000000-0005-0000-0000-0000180B0000}"/>
    <cellStyle name="Обычный 10 4 4" xfId="18255" xr:uid="{00000000-0005-0000-0000-0000190B0000}"/>
    <cellStyle name="Обычный 10 4 5" xfId="23595" xr:uid="{00000000-0005-0000-0000-00001A0B0000}"/>
    <cellStyle name="Обычный 10 4 6" xfId="28935" xr:uid="{00000000-0005-0000-0000-00001B0B0000}"/>
    <cellStyle name="Обычный 10 4 7" xfId="34275" xr:uid="{00000000-0005-0000-0000-00001C0B0000}"/>
    <cellStyle name="Обычный 10 4 8" xfId="39615" xr:uid="{00000000-0005-0000-0000-00001D0B0000}"/>
    <cellStyle name="Обычный 10 4 9" xfId="44955" xr:uid="{00000000-0005-0000-0000-00001E0B0000}"/>
    <cellStyle name="Обычный 10 40" xfId="3370" xr:uid="{00000000-0005-0000-0000-00001F0B0000}"/>
    <cellStyle name="Обычный 10 40 10" xfId="51433" xr:uid="{00000000-0005-0000-0000-0000200B0000}"/>
    <cellStyle name="Обычный 10 40 2" xfId="8713" xr:uid="{00000000-0005-0000-0000-0000210B0000}"/>
    <cellStyle name="Обычный 10 40 2 2" xfId="56774" xr:uid="{00000000-0005-0000-0000-0000220B0000}"/>
    <cellStyle name="Обычный 10 40 3" xfId="14053" xr:uid="{00000000-0005-0000-0000-0000230B0000}"/>
    <cellStyle name="Обычный 10 40 4" xfId="19393" xr:uid="{00000000-0005-0000-0000-0000240B0000}"/>
    <cellStyle name="Обычный 10 40 5" xfId="24733" xr:uid="{00000000-0005-0000-0000-0000250B0000}"/>
    <cellStyle name="Обычный 10 40 6" xfId="30073" xr:uid="{00000000-0005-0000-0000-0000260B0000}"/>
    <cellStyle name="Обычный 10 40 7" xfId="35413" xr:uid="{00000000-0005-0000-0000-0000270B0000}"/>
    <cellStyle name="Обычный 10 40 8" xfId="40753" xr:uid="{00000000-0005-0000-0000-0000280B0000}"/>
    <cellStyle name="Обычный 10 40 9" xfId="46093" xr:uid="{00000000-0005-0000-0000-0000290B0000}"/>
    <cellStyle name="Обычный 10 41" xfId="3402" xr:uid="{00000000-0005-0000-0000-00002A0B0000}"/>
    <cellStyle name="Обычный 10 41 10" xfId="51465" xr:uid="{00000000-0005-0000-0000-00002B0B0000}"/>
    <cellStyle name="Обычный 10 41 2" xfId="8745" xr:uid="{00000000-0005-0000-0000-00002C0B0000}"/>
    <cellStyle name="Обычный 10 41 2 2" xfId="56806" xr:uid="{00000000-0005-0000-0000-00002D0B0000}"/>
    <cellStyle name="Обычный 10 41 3" xfId="14085" xr:uid="{00000000-0005-0000-0000-00002E0B0000}"/>
    <cellStyle name="Обычный 10 41 4" xfId="19425" xr:uid="{00000000-0005-0000-0000-00002F0B0000}"/>
    <cellStyle name="Обычный 10 41 5" xfId="24765" xr:uid="{00000000-0005-0000-0000-0000300B0000}"/>
    <cellStyle name="Обычный 10 41 6" xfId="30105" xr:uid="{00000000-0005-0000-0000-0000310B0000}"/>
    <cellStyle name="Обычный 10 41 7" xfId="35445" xr:uid="{00000000-0005-0000-0000-0000320B0000}"/>
    <cellStyle name="Обычный 10 41 8" xfId="40785" xr:uid="{00000000-0005-0000-0000-0000330B0000}"/>
    <cellStyle name="Обычный 10 41 9" xfId="46125" xr:uid="{00000000-0005-0000-0000-0000340B0000}"/>
    <cellStyle name="Обычный 10 42" xfId="3434" xr:uid="{00000000-0005-0000-0000-0000350B0000}"/>
    <cellStyle name="Обычный 10 42 10" xfId="51497" xr:uid="{00000000-0005-0000-0000-0000360B0000}"/>
    <cellStyle name="Обычный 10 42 2" xfId="8777" xr:uid="{00000000-0005-0000-0000-0000370B0000}"/>
    <cellStyle name="Обычный 10 42 2 2" xfId="56838" xr:uid="{00000000-0005-0000-0000-0000380B0000}"/>
    <cellStyle name="Обычный 10 42 3" xfId="14117" xr:uid="{00000000-0005-0000-0000-0000390B0000}"/>
    <cellStyle name="Обычный 10 42 4" xfId="19457" xr:uid="{00000000-0005-0000-0000-00003A0B0000}"/>
    <cellStyle name="Обычный 10 42 5" xfId="24797" xr:uid="{00000000-0005-0000-0000-00003B0B0000}"/>
    <cellStyle name="Обычный 10 42 6" xfId="30137" xr:uid="{00000000-0005-0000-0000-00003C0B0000}"/>
    <cellStyle name="Обычный 10 42 7" xfId="35477" xr:uid="{00000000-0005-0000-0000-00003D0B0000}"/>
    <cellStyle name="Обычный 10 42 8" xfId="40817" xr:uid="{00000000-0005-0000-0000-00003E0B0000}"/>
    <cellStyle name="Обычный 10 42 9" xfId="46157" xr:uid="{00000000-0005-0000-0000-00003F0B0000}"/>
    <cellStyle name="Обычный 10 43" xfId="3466" xr:uid="{00000000-0005-0000-0000-0000400B0000}"/>
    <cellStyle name="Обычный 10 43 10" xfId="51529" xr:uid="{00000000-0005-0000-0000-0000410B0000}"/>
    <cellStyle name="Обычный 10 43 2" xfId="8809" xr:uid="{00000000-0005-0000-0000-0000420B0000}"/>
    <cellStyle name="Обычный 10 43 2 2" xfId="56870" xr:uid="{00000000-0005-0000-0000-0000430B0000}"/>
    <cellStyle name="Обычный 10 43 3" xfId="14149" xr:uid="{00000000-0005-0000-0000-0000440B0000}"/>
    <cellStyle name="Обычный 10 43 4" xfId="19489" xr:uid="{00000000-0005-0000-0000-0000450B0000}"/>
    <cellStyle name="Обычный 10 43 5" xfId="24829" xr:uid="{00000000-0005-0000-0000-0000460B0000}"/>
    <cellStyle name="Обычный 10 43 6" xfId="30169" xr:uid="{00000000-0005-0000-0000-0000470B0000}"/>
    <cellStyle name="Обычный 10 43 7" xfId="35509" xr:uid="{00000000-0005-0000-0000-0000480B0000}"/>
    <cellStyle name="Обычный 10 43 8" xfId="40849" xr:uid="{00000000-0005-0000-0000-0000490B0000}"/>
    <cellStyle name="Обычный 10 43 9" xfId="46189" xr:uid="{00000000-0005-0000-0000-00004A0B0000}"/>
    <cellStyle name="Обычный 10 44" xfId="3498" xr:uid="{00000000-0005-0000-0000-00004B0B0000}"/>
    <cellStyle name="Обычный 10 44 10" xfId="51561" xr:uid="{00000000-0005-0000-0000-00004C0B0000}"/>
    <cellStyle name="Обычный 10 44 2" xfId="8841" xr:uid="{00000000-0005-0000-0000-00004D0B0000}"/>
    <cellStyle name="Обычный 10 44 2 2" xfId="56902" xr:uid="{00000000-0005-0000-0000-00004E0B0000}"/>
    <cellStyle name="Обычный 10 44 3" xfId="14181" xr:uid="{00000000-0005-0000-0000-00004F0B0000}"/>
    <cellStyle name="Обычный 10 44 4" xfId="19521" xr:uid="{00000000-0005-0000-0000-0000500B0000}"/>
    <cellStyle name="Обычный 10 44 5" xfId="24861" xr:uid="{00000000-0005-0000-0000-0000510B0000}"/>
    <cellStyle name="Обычный 10 44 6" xfId="30201" xr:uid="{00000000-0005-0000-0000-0000520B0000}"/>
    <cellStyle name="Обычный 10 44 7" xfId="35541" xr:uid="{00000000-0005-0000-0000-0000530B0000}"/>
    <cellStyle name="Обычный 10 44 8" xfId="40881" xr:uid="{00000000-0005-0000-0000-0000540B0000}"/>
    <cellStyle name="Обычный 10 44 9" xfId="46221" xr:uid="{00000000-0005-0000-0000-0000550B0000}"/>
    <cellStyle name="Обычный 10 45" xfId="3530" xr:uid="{00000000-0005-0000-0000-0000560B0000}"/>
    <cellStyle name="Обычный 10 45 10" xfId="51593" xr:uid="{00000000-0005-0000-0000-0000570B0000}"/>
    <cellStyle name="Обычный 10 45 2" xfId="8873" xr:uid="{00000000-0005-0000-0000-0000580B0000}"/>
    <cellStyle name="Обычный 10 45 2 2" xfId="56934" xr:uid="{00000000-0005-0000-0000-0000590B0000}"/>
    <cellStyle name="Обычный 10 45 3" xfId="14213" xr:uid="{00000000-0005-0000-0000-00005A0B0000}"/>
    <cellStyle name="Обычный 10 45 4" xfId="19553" xr:uid="{00000000-0005-0000-0000-00005B0B0000}"/>
    <cellStyle name="Обычный 10 45 5" xfId="24893" xr:uid="{00000000-0005-0000-0000-00005C0B0000}"/>
    <cellStyle name="Обычный 10 45 6" xfId="30233" xr:uid="{00000000-0005-0000-0000-00005D0B0000}"/>
    <cellStyle name="Обычный 10 45 7" xfId="35573" xr:uid="{00000000-0005-0000-0000-00005E0B0000}"/>
    <cellStyle name="Обычный 10 45 8" xfId="40913" xr:uid="{00000000-0005-0000-0000-00005F0B0000}"/>
    <cellStyle name="Обычный 10 45 9" xfId="46253" xr:uid="{00000000-0005-0000-0000-0000600B0000}"/>
    <cellStyle name="Обычный 10 46" xfId="3562" xr:uid="{00000000-0005-0000-0000-0000610B0000}"/>
    <cellStyle name="Обычный 10 46 10" xfId="51625" xr:uid="{00000000-0005-0000-0000-0000620B0000}"/>
    <cellStyle name="Обычный 10 46 2" xfId="8905" xr:uid="{00000000-0005-0000-0000-0000630B0000}"/>
    <cellStyle name="Обычный 10 46 2 2" xfId="56966" xr:uid="{00000000-0005-0000-0000-0000640B0000}"/>
    <cellStyle name="Обычный 10 46 3" xfId="14245" xr:uid="{00000000-0005-0000-0000-0000650B0000}"/>
    <cellStyle name="Обычный 10 46 4" xfId="19585" xr:uid="{00000000-0005-0000-0000-0000660B0000}"/>
    <cellStyle name="Обычный 10 46 5" xfId="24925" xr:uid="{00000000-0005-0000-0000-0000670B0000}"/>
    <cellStyle name="Обычный 10 46 6" xfId="30265" xr:uid="{00000000-0005-0000-0000-0000680B0000}"/>
    <cellStyle name="Обычный 10 46 7" xfId="35605" xr:uid="{00000000-0005-0000-0000-0000690B0000}"/>
    <cellStyle name="Обычный 10 46 8" xfId="40945" xr:uid="{00000000-0005-0000-0000-00006A0B0000}"/>
    <cellStyle name="Обычный 10 46 9" xfId="46285" xr:uid="{00000000-0005-0000-0000-00006B0B0000}"/>
    <cellStyle name="Обычный 10 47" xfId="3594" xr:uid="{00000000-0005-0000-0000-00006C0B0000}"/>
    <cellStyle name="Обычный 10 47 10" xfId="51657" xr:uid="{00000000-0005-0000-0000-00006D0B0000}"/>
    <cellStyle name="Обычный 10 47 2" xfId="8937" xr:uid="{00000000-0005-0000-0000-00006E0B0000}"/>
    <cellStyle name="Обычный 10 47 2 2" xfId="56998" xr:uid="{00000000-0005-0000-0000-00006F0B0000}"/>
    <cellStyle name="Обычный 10 47 3" xfId="14277" xr:uid="{00000000-0005-0000-0000-0000700B0000}"/>
    <cellStyle name="Обычный 10 47 4" xfId="19617" xr:uid="{00000000-0005-0000-0000-0000710B0000}"/>
    <cellStyle name="Обычный 10 47 5" xfId="24957" xr:uid="{00000000-0005-0000-0000-0000720B0000}"/>
    <cellStyle name="Обычный 10 47 6" xfId="30297" xr:uid="{00000000-0005-0000-0000-0000730B0000}"/>
    <cellStyle name="Обычный 10 47 7" xfId="35637" xr:uid="{00000000-0005-0000-0000-0000740B0000}"/>
    <cellStyle name="Обычный 10 47 8" xfId="40977" xr:uid="{00000000-0005-0000-0000-0000750B0000}"/>
    <cellStyle name="Обычный 10 47 9" xfId="46317" xr:uid="{00000000-0005-0000-0000-0000760B0000}"/>
    <cellStyle name="Обычный 10 48" xfId="3626" xr:uid="{00000000-0005-0000-0000-0000770B0000}"/>
    <cellStyle name="Обычный 10 48 10" xfId="51689" xr:uid="{00000000-0005-0000-0000-0000780B0000}"/>
    <cellStyle name="Обычный 10 48 2" xfId="8969" xr:uid="{00000000-0005-0000-0000-0000790B0000}"/>
    <cellStyle name="Обычный 10 48 2 2" xfId="57030" xr:uid="{00000000-0005-0000-0000-00007A0B0000}"/>
    <cellStyle name="Обычный 10 48 3" xfId="14309" xr:uid="{00000000-0005-0000-0000-00007B0B0000}"/>
    <cellStyle name="Обычный 10 48 4" xfId="19649" xr:uid="{00000000-0005-0000-0000-00007C0B0000}"/>
    <cellStyle name="Обычный 10 48 5" xfId="24989" xr:uid="{00000000-0005-0000-0000-00007D0B0000}"/>
    <cellStyle name="Обычный 10 48 6" xfId="30329" xr:uid="{00000000-0005-0000-0000-00007E0B0000}"/>
    <cellStyle name="Обычный 10 48 7" xfId="35669" xr:uid="{00000000-0005-0000-0000-00007F0B0000}"/>
    <cellStyle name="Обычный 10 48 8" xfId="41009" xr:uid="{00000000-0005-0000-0000-0000800B0000}"/>
    <cellStyle name="Обычный 10 48 9" xfId="46349" xr:uid="{00000000-0005-0000-0000-0000810B0000}"/>
    <cellStyle name="Обычный 10 49" xfId="3658" xr:uid="{00000000-0005-0000-0000-0000820B0000}"/>
    <cellStyle name="Обычный 10 49 10" xfId="51721" xr:uid="{00000000-0005-0000-0000-0000830B0000}"/>
    <cellStyle name="Обычный 10 49 2" xfId="9001" xr:uid="{00000000-0005-0000-0000-0000840B0000}"/>
    <cellStyle name="Обычный 10 49 2 2" xfId="57062" xr:uid="{00000000-0005-0000-0000-0000850B0000}"/>
    <cellStyle name="Обычный 10 49 3" xfId="14341" xr:uid="{00000000-0005-0000-0000-0000860B0000}"/>
    <cellStyle name="Обычный 10 49 4" xfId="19681" xr:uid="{00000000-0005-0000-0000-0000870B0000}"/>
    <cellStyle name="Обычный 10 49 5" xfId="25021" xr:uid="{00000000-0005-0000-0000-0000880B0000}"/>
    <cellStyle name="Обычный 10 49 6" xfId="30361" xr:uid="{00000000-0005-0000-0000-0000890B0000}"/>
    <cellStyle name="Обычный 10 49 7" xfId="35701" xr:uid="{00000000-0005-0000-0000-00008A0B0000}"/>
    <cellStyle name="Обычный 10 49 8" xfId="41041" xr:uid="{00000000-0005-0000-0000-00008B0B0000}"/>
    <cellStyle name="Обычный 10 49 9" xfId="46381" xr:uid="{00000000-0005-0000-0000-00008C0B0000}"/>
    <cellStyle name="Обычный 10 5" xfId="2261" xr:uid="{00000000-0005-0000-0000-00008D0B0000}"/>
    <cellStyle name="Обычный 10 5 10" xfId="50325" xr:uid="{00000000-0005-0000-0000-00008E0B0000}"/>
    <cellStyle name="Обычный 10 5 2" xfId="7604" xr:uid="{00000000-0005-0000-0000-00008F0B0000}"/>
    <cellStyle name="Обычный 10 5 2 2" xfId="55666" xr:uid="{00000000-0005-0000-0000-0000900B0000}"/>
    <cellStyle name="Обычный 10 5 3" xfId="12945" xr:uid="{00000000-0005-0000-0000-0000910B0000}"/>
    <cellStyle name="Обычный 10 5 4" xfId="18285" xr:uid="{00000000-0005-0000-0000-0000920B0000}"/>
    <cellStyle name="Обычный 10 5 5" xfId="23625" xr:uid="{00000000-0005-0000-0000-0000930B0000}"/>
    <cellStyle name="Обычный 10 5 6" xfId="28965" xr:uid="{00000000-0005-0000-0000-0000940B0000}"/>
    <cellStyle name="Обычный 10 5 7" xfId="34305" xr:uid="{00000000-0005-0000-0000-0000950B0000}"/>
    <cellStyle name="Обычный 10 5 8" xfId="39645" xr:uid="{00000000-0005-0000-0000-0000960B0000}"/>
    <cellStyle name="Обычный 10 5 9" xfId="44985" xr:uid="{00000000-0005-0000-0000-0000970B0000}"/>
    <cellStyle name="Обычный 10 50" xfId="3690" xr:uid="{00000000-0005-0000-0000-0000980B0000}"/>
    <cellStyle name="Обычный 10 50 10" xfId="51753" xr:uid="{00000000-0005-0000-0000-0000990B0000}"/>
    <cellStyle name="Обычный 10 50 2" xfId="9033" xr:uid="{00000000-0005-0000-0000-00009A0B0000}"/>
    <cellStyle name="Обычный 10 50 2 2" xfId="57094" xr:uid="{00000000-0005-0000-0000-00009B0B0000}"/>
    <cellStyle name="Обычный 10 50 3" xfId="14373" xr:uid="{00000000-0005-0000-0000-00009C0B0000}"/>
    <cellStyle name="Обычный 10 50 4" xfId="19713" xr:uid="{00000000-0005-0000-0000-00009D0B0000}"/>
    <cellStyle name="Обычный 10 50 5" xfId="25053" xr:uid="{00000000-0005-0000-0000-00009E0B0000}"/>
    <cellStyle name="Обычный 10 50 6" xfId="30393" xr:uid="{00000000-0005-0000-0000-00009F0B0000}"/>
    <cellStyle name="Обычный 10 50 7" xfId="35733" xr:uid="{00000000-0005-0000-0000-0000A00B0000}"/>
    <cellStyle name="Обычный 10 50 8" xfId="41073" xr:uid="{00000000-0005-0000-0000-0000A10B0000}"/>
    <cellStyle name="Обычный 10 50 9" xfId="46413" xr:uid="{00000000-0005-0000-0000-0000A20B0000}"/>
    <cellStyle name="Обычный 10 51" xfId="3722" xr:uid="{00000000-0005-0000-0000-0000A30B0000}"/>
    <cellStyle name="Обычный 10 51 10" xfId="51785" xr:uid="{00000000-0005-0000-0000-0000A40B0000}"/>
    <cellStyle name="Обычный 10 51 2" xfId="9065" xr:uid="{00000000-0005-0000-0000-0000A50B0000}"/>
    <cellStyle name="Обычный 10 51 2 2" xfId="57126" xr:uid="{00000000-0005-0000-0000-0000A60B0000}"/>
    <cellStyle name="Обычный 10 51 3" xfId="14405" xr:uid="{00000000-0005-0000-0000-0000A70B0000}"/>
    <cellStyle name="Обычный 10 51 4" xfId="19745" xr:uid="{00000000-0005-0000-0000-0000A80B0000}"/>
    <cellStyle name="Обычный 10 51 5" xfId="25085" xr:uid="{00000000-0005-0000-0000-0000A90B0000}"/>
    <cellStyle name="Обычный 10 51 6" xfId="30425" xr:uid="{00000000-0005-0000-0000-0000AA0B0000}"/>
    <cellStyle name="Обычный 10 51 7" xfId="35765" xr:uid="{00000000-0005-0000-0000-0000AB0B0000}"/>
    <cellStyle name="Обычный 10 51 8" xfId="41105" xr:uid="{00000000-0005-0000-0000-0000AC0B0000}"/>
    <cellStyle name="Обычный 10 51 9" xfId="46445" xr:uid="{00000000-0005-0000-0000-0000AD0B0000}"/>
    <cellStyle name="Обычный 10 52" xfId="3754" xr:uid="{00000000-0005-0000-0000-0000AE0B0000}"/>
    <cellStyle name="Обычный 10 52 10" xfId="51817" xr:uid="{00000000-0005-0000-0000-0000AF0B0000}"/>
    <cellStyle name="Обычный 10 52 2" xfId="9097" xr:uid="{00000000-0005-0000-0000-0000B00B0000}"/>
    <cellStyle name="Обычный 10 52 2 2" xfId="57158" xr:uid="{00000000-0005-0000-0000-0000B10B0000}"/>
    <cellStyle name="Обычный 10 52 3" xfId="14437" xr:uid="{00000000-0005-0000-0000-0000B20B0000}"/>
    <cellStyle name="Обычный 10 52 4" xfId="19777" xr:uid="{00000000-0005-0000-0000-0000B30B0000}"/>
    <cellStyle name="Обычный 10 52 5" xfId="25117" xr:uid="{00000000-0005-0000-0000-0000B40B0000}"/>
    <cellStyle name="Обычный 10 52 6" xfId="30457" xr:uid="{00000000-0005-0000-0000-0000B50B0000}"/>
    <cellStyle name="Обычный 10 52 7" xfId="35797" xr:uid="{00000000-0005-0000-0000-0000B60B0000}"/>
    <cellStyle name="Обычный 10 52 8" xfId="41137" xr:uid="{00000000-0005-0000-0000-0000B70B0000}"/>
    <cellStyle name="Обычный 10 52 9" xfId="46477" xr:uid="{00000000-0005-0000-0000-0000B80B0000}"/>
    <cellStyle name="Обычный 10 53" xfId="3786" xr:uid="{00000000-0005-0000-0000-0000B90B0000}"/>
    <cellStyle name="Обычный 10 53 10" xfId="51849" xr:uid="{00000000-0005-0000-0000-0000BA0B0000}"/>
    <cellStyle name="Обычный 10 53 2" xfId="9129" xr:uid="{00000000-0005-0000-0000-0000BB0B0000}"/>
    <cellStyle name="Обычный 10 53 2 2" xfId="57190" xr:uid="{00000000-0005-0000-0000-0000BC0B0000}"/>
    <cellStyle name="Обычный 10 53 3" xfId="14469" xr:uid="{00000000-0005-0000-0000-0000BD0B0000}"/>
    <cellStyle name="Обычный 10 53 4" xfId="19809" xr:uid="{00000000-0005-0000-0000-0000BE0B0000}"/>
    <cellStyle name="Обычный 10 53 5" xfId="25149" xr:uid="{00000000-0005-0000-0000-0000BF0B0000}"/>
    <cellStyle name="Обычный 10 53 6" xfId="30489" xr:uid="{00000000-0005-0000-0000-0000C00B0000}"/>
    <cellStyle name="Обычный 10 53 7" xfId="35829" xr:uid="{00000000-0005-0000-0000-0000C10B0000}"/>
    <cellStyle name="Обычный 10 53 8" xfId="41169" xr:uid="{00000000-0005-0000-0000-0000C20B0000}"/>
    <cellStyle name="Обычный 10 53 9" xfId="46509" xr:uid="{00000000-0005-0000-0000-0000C30B0000}"/>
    <cellStyle name="Обычный 10 54" xfId="3818" xr:uid="{00000000-0005-0000-0000-0000C40B0000}"/>
    <cellStyle name="Обычный 10 54 10" xfId="51881" xr:uid="{00000000-0005-0000-0000-0000C50B0000}"/>
    <cellStyle name="Обычный 10 54 2" xfId="9161" xr:uid="{00000000-0005-0000-0000-0000C60B0000}"/>
    <cellStyle name="Обычный 10 54 2 2" xfId="57222" xr:uid="{00000000-0005-0000-0000-0000C70B0000}"/>
    <cellStyle name="Обычный 10 54 3" xfId="14501" xr:uid="{00000000-0005-0000-0000-0000C80B0000}"/>
    <cellStyle name="Обычный 10 54 4" xfId="19841" xr:uid="{00000000-0005-0000-0000-0000C90B0000}"/>
    <cellStyle name="Обычный 10 54 5" xfId="25181" xr:uid="{00000000-0005-0000-0000-0000CA0B0000}"/>
    <cellStyle name="Обычный 10 54 6" xfId="30521" xr:uid="{00000000-0005-0000-0000-0000CB0B0000}"/>
    <cellStyle name="Обычный 10 54 7" xfId="35861" xr:uid="{00000000-0005-0000-0000-0000CC0B0000}"/>
    <cellStyle name="Обычный 10 54 8" xfId="41201" xr:uid="{00000000-0005-0000-0000-0000CD0B0000}"/>
    <cellStyle name="Обычный 10 54 9" xfId="46541" xr:uid="{00000000-0005-0000-0000-0000CE0B0000}"/>
    <cellStyle name="Обычный 10 55" xfId="3850" xr:uid="{00000000-0005-0000-0000-0000CF0B0000}"/>
    <cellStyle name="Обычный 10 55 10" xfId="51913" xr:uid="{00000000-0005-0000-0000-0000D00B0000}"/>
    <cellStyle name="Обычный 10 55 2" xfId="9193" xr:uid="{00000000-0005-0000-0000-0000D10B0000}"/>
    <cellStyle name="Обычный 10 55 2 2" xfId="57254" xr:uid="{00000000-0005-0000-0000-0000D20B0000}"/>
    <cellStyle name="Обычный 10 55 3" xfId="14533" xr:uid="{00000000-0005-0000-0000-0000D30B0000}"/>
    <cellStyle name="Обычный 10 55 4" xfId="19873" xr:uid="{00000000-0005-0000-0000-0000D40B0000}"/>
    <cellStyle name="Обычный 10 55 5" xfId="25213" xr:uid="{00000000-0005-0000-0000-0000D50B0000}"/>
    <cellStyle name="Обычный 10 55 6" xfId="30553" xr:uid="{00000000-0005-0000-0000-0000D60B0000}"/>
    <cellStyle name="Обычный 10 55 7" xfId="35893" xr:uid="{00000000-0005-0000-0000-0000D70B0000}"/>
    <cellStyle name="Обычный 10 55 8" xfId="41233" xr:uid="{00000000-0005-0000-0000-0000D80B0000}"/>
    <cellStyle name="Обычный 10 55 9" xfId="46573" xr:uid="{00000000-0005-0000-0000-0000D90B0000}"/>
    <cellStyle name="Обычный 10 56" xfId="3882" xr:uid="{00000000-0005-0000-0000-0000DA0B0000}"/>
    <cellStyle name="Обычный 10 56 10" xfId="51945" xr:uid="{00000000-0005-0000-0000-0000DB0B0000}"/>
    <cellStyle name="Обычный 10 56 2" xfId="9225" xr:uid="{00000000-0005-0000-0000-0000DC0B0000}"/>
    <cellStyle name="Обычный 10 56 2 2" xfId="57286" xr:uid="{00000000-0005-0000-0000-0000DD0B0000}"/>
    <cellStyle name="Обычный 10 56 3" xfId="14565" xr:uid="{00000000-0005-0000-0000-0000DE0B0000}"/>
    <cellStyle name="Обычный 10 56 4" xfId="19905" xr:uid="{00000000-0005-0000-0000-0000DF0B0000}"/>
    <cellStyle name="Обычный 10 56 5" xfId="25245" xr:uid="{00000000-0005-0000-0000-0000E00B0000}"/>
    <cellStyle name="Обычный 10 56 6" xfId="30585" xr:uid="{00000000-0005-0000-0000-0000E10B0000}"/>
    <cellStyle name="Обычный 10 56 7" xfId="35925" xr:uid="{00000000-0005-0000-0000-0000E20B0000}"/>
    <cellStyle name="Обычный 10 56 8" xfId="41265" xr:uid="{00000000-0005-0000-0000-0000E30B0000}"/>
    <cellStyle name="Обычный 10 56 9" xfId="46605" xr:uid="{00000000-0005-0000-0000-0000E40B0000}"/>
    <cellStyle name="Обычный 10 57" xfId="3914" xr:uid="{00000000-0005-0000-0000-0000E50B0000}"/>
    <cellStyle name="Обычный 10 57 10" xfId="51977" xr:uid="{00000000-0005-0000-0000-0000E60B0000}"/>
    <cellStyle name="Обычный 10 57 2" xfId="9257" xr:uid="{00000000-0005-0000-0000-0000E70B0000}"/>
    <cellStyle name="Обычный 10 57 2 2" xfId="57318" xr:uid="{00000000-0005-0000-0000-0000E80B0000}"/>
    <cellStyle name="Обычный 10 57 3" xfId="14597" xr:uid="{00000000-0005-0000-0000-0000E90B0000}"/>
    <cellStyle name="Обычный 10 57 4" xfId="19937" xr:uid="{00000000-0005-0000-0000-0000EA0B0000}"/>
    <cellStyle name="Обычный 10 57 5" xfId="25277" xr:uid="{00000000-0005-0000-0000-0000EB0B0000}"/>
    <cellStyle name="Обычный 10 57 6" xfId="30617" xr:uid="{00000000-0005-0000-0000-0000EC0B0000}"/>
    <cellStyle name="Обычный 10 57 7" xfId="35957" xr:uid="{00000000-0005-0000-0000-0000ED0B0000}"/>
    <cellStyle name="Обычный 10 57 8" xfId="41297" xr:uid="{00000000-0005-0000-0000-0000EE0B0000}"/>
    <cellStyle name="Обычный 10 57 9" xfId="46637" xr:uid="{00000000-0005-0000-0000-0000EF0B0000}"/>
    <cellStyle name="Обычный 10 58" xfId="3946" xr:uid="{00000000-0005-0000-0000-0000F00B0000}"/>
    <cellStyle name="Обычный 10 58 10" xfId="52009" xr:uid="{00000000-0005-0000-0000-0000F10B0000}"/>
    <cellStyle name="Обычный 10 58 2" xfId="9289" xr:uid="{00000000-0005-0000-0000-0000F20B0000}"/>
    <cellStyle name="Обычный 10 58 2 2" xfId="57350" xr:uid="{00000000-0005-0000-0000-0000F30B0000}"/>
    <cellStyle name="Обычный 10 58 3" xfId="14629" xr:uid="{00000000-0005-0000-0000-0000F40B0000}"/>
    <cellStyle name="Обычный 10 58 4" xfId="19969" xr:uid="{00000000-0005-0000-0000-0000F50B0000}"/>
    <cellStyle name="Обычный 10 58 5" xfId="25309" xr:uid="{00000000-0005-0000-0000-0000F60B0000}"/>
    <cellStyle name="Обычный 10 58 6" xfId="30649" xr:uid="{00000000-0005-0000-0000-0000F70B0000}"/>
    <cellStyle name="Обычный 10 58 7" xfId="35989" xr:uid="{00000000-0005-0000-0000-0000F80B0000}"/>
    <cellStyle name="Обычный 10 58 8" xfId="41329" xr:uid="{00000000-0005-0000-0000-0000F90B0000}"/>
    <cellStyle name="Обычный 10 58 9" xfId="46669" xr:uid="{00000000-0005-0000-0000-0000FA0B0000}"/>
    <cellStyle name="Обычный 10 59" xfId="3978" xr:uid="{00000000-0005-0000-0000-0000FB0B0000}"/>
    <cellStyle name="Обычный 10 59 10" xfId="52041" xr:uid="{00000000-0005-0000-0000-0000FC0B0000}"/>
    <cellStyle name="Обычный 10 59 2" xfId="9321" xr:uid="{00000000-0005-0000-0000-0000FD0B0000}"/>
    <cellStyle name="Обычный 10 59 2 2" xfId="57382" xr:uid="{00000000-0005-0000-0000-0000FE0B0000}"/>
    <cellStyle name="Обычный 10 59 3" xfId="14661" xr:uid="{00000000-0005-0000-0000-0000FF0B0000}"/>
    <cellStyle name="Обычный 10 59 4" xfId="20001" xr:uid="{00000000-0005-0000-0000-0000000C0000}"/>
    <cellStyle name="Обычный 10 59 5" xfId="25341" xr:uid="{00000000-0005-0000-0000-0000010C0000}"/>
    <cellStyle name="Обычный 10 59 6" xfId="30681" xr:uid="{00000000-0005-0000-0000-0000020C0000}"/>
    <cellStyle name="Обычный 10 59 7" xfId="36021" xr:uid="{00000000-0005-0000-0000-0000030C0000}"/>
    <cellStyle name="Обычный 10 59 8" xfId="41361" xr:uid="{00000000-0005-0000-0000-0000040C0000}"/>
    <cellStyle name="Обычный 10 59 9" xfId="46701" xr:uid="{00000000-0005-0000-0000-0000050C0000}"/>
    <cellStyle name="Обычный 10 6" xfId="2291" xr:uid="{00000000-0005-0000-0000-0000060C0000}"/>
    <cellStyle name="Обычный 10 6 10" xfId="50355" xr:uid="{00000000-0005-0000-0000-0000070C0000}"/>
    <cellStyle name="Обычный 10 6 2" xfId="7634" xr:uid="{00000000-0005-0000-0000-0000080C0000}"/>
    <cellStyle name="Обычный 10 6 2 2" xfId="55696" xr:uid="{00000000-0005-0000-0000-0000090C0000}"/>
    <cellStyle name="Обычный 10 6 3" xfId="12975" xr:uid="{00000000-0005-0000-0000-00000A0C0000}"/>
    <cellStyle name="Обычный 10 6 4" xfId="18315" xr:uid="{00000000-0005-0000-0000-00000B0C0000}"/>
    <cellStyle name="Обычный 10 6 5" xfId="23655" xr:uid="{00000000-0005-0000-0000-00000C0C0000}"/>
    <cellStyle name="Обычный 10 6 6" xfId="28995" xr:uid="{00000000-0005-0000-0000-00000D0C0000}"/>
    <cellStyle name="Обычный 10 6 7" xfId="34335" xr:uid="{00000000-0005-0000-0000-00000E0C0000}"/>
    <cellStyle name="Обычный 10 6 8" xfId="39675" xr:uid="{00000000-0005-0000-0000-00000F0C0000}"/>
    <cellStyle name="Обычный 10 6 9" xfId="45015" xr:uid="{00000000-0005-0000-0000-0000100C0000}"/>
    <cellStyle name="Обычный 10 60" xfId="4010" xr:uid="{00000000-0005-0000-0000-0000110C0000}"/>
    <cellStyle name="Обычный 10 60 10" xfId="52073" xr:uid="{00000000-0005-0000-0000-0000120C0000}"/>
    <cellStyle name="Обычный 10 60 2" xfId="9353" xr:uid="{00000000-0005-0000-0000-0000130C0000}"/>
    <cellStyle name="Обычный 10 60 2 2" xfId="57414" xr:uid="{00000000-0005-0000-0000-0000140C0000}"/>
    <cellStyle name="Обычный 10 60 3" xfId="14693" xr:uid="{00000000-0005-0000-0000-0000150C0000}"/>
    <cellStyle name="Обычный 10 60 4" xfId="20033" xr:uid="{00000000-0005-0000-0000-0000160C0000}"/>
    <cellStyle name="Обычный 10 60 5" xfId="25373" xr:uid="{00000000-0005-0000-0000-0000170C0000}"/>
    <cellStyle name="Обычный 10 60 6" xfId="30713" xr:uid="{00000000-0005-0000-0000-0000180C0000}"/>
    <cellStyle name="Обычный 10 60 7" xfId="36053" xr:uid="{00000000-0005-0000-0000-0000190C0000}"/>
    <cellStyle name="Обычный 10 60 8" xfId="41393" xr:uid="{00000000-0005-0000-0000-00001A0C0000}"/>
    <cellStyle name="Обычный 10 60 9" xfId="46733" xr:uid="{00000000-0005-0000-0000-00001B0C0000}"/>
    <cellStyle name="Обычный 10 61" xfId="4042" xr:uid="{00000000-0005-0000-0000-00001C0C0000}"/>
    <cellStyle name="Обычный 10 61 10" xfId="52105" xr:uid="{00000000-0005-0000-0000-00001D0C0000}"/>
    <cellStyle name="Обычный 10 61 2" xfId="9385" xr:uid="{00000000-0005-0000-0000-00001E0C0000}"/>
    <cellStyle name="Обычный 10 61 2 2" xfId="57446" xr:uid="{00000000-0005-0000-0000-00001F0C0000}"/>
    <cellStyle name="Обычный 10 61 3" xfId="14725" xr:uid="{00000000-0005-0000-0000-0000200C0000}"/>
    <cellStyle name="Обычный 10 61 4" xfId="20065" xr:uid="{00000000-0005-0000-0000-0000210C0000}"/>
    <cellStyle name="Обычный 10 61 5" xfId="25405" xr:uid="{00000000-0005-0000-0000-0000220C0000}"/>
    <cellStyle name="Обычный 10 61 6" xfId="30745" xr:uid="{00000000-0005-0000-0000-0000230C0000}"/>
    <cellStyle name="Обычный 10 61 7" xfId="36085" xr:uid="{00000000-0005-0000-0000-0000240C0000}"/>
    <cellStyle name="Обычный 10 61 8" xfId="41425" xr:uid="{00000000-0005-0000-0000-0000250C0000}"/>
    <cellStyle name="Обычный 10 61 9" xfId="46765" xr:uid="{00000000-0005-0000-0000-0000260C0000}"/>
    <cellStyle name="Обычный 10 62" xfId="4074" xr:uid="{00000000-0005-0000-0000-0000270C0000}"/>
    <cellStyle name="Обычный 10 62 10" xfId="52137" xr:uid="{00000000-0005-0000-0000-0000280C0000}"/>
    <cellStyle name="Обычный 10 62 2" xfId="9417" xr:uid="{00000000-0005-0000-0000-0000290C0000}"/>
    <cellStyle name="Обычный 10 62 2 2" xfId="57478" xr:uid="{00000000-0005-0000-0000-00002A0C0000}"/>
    <cellStyle name="Обычный 10 62 3" xfId="14757" xr:uid="{00000000-0005-0000-0000-00002B0C0000}"/>
    <cellStyle name="Обычный 10 62 4" xfId="20097" xr:uid="{00000000-0005-0000-0000-00002C0C0000}"/>
    <cellStyle name="Обычный 10 62 5" xfId="25437" xr:uid="{00000000-0005-0000-0000-00002D0C0000}"/>
    <cellStyle name="Обычный 10 62 6" xfId="30777" xr:uid="{00000000-0005-0000-0000-00002E0C0000}"/>
    <cellStyle name="Обычный 10 62 7" xfId="36117" xr:uid="{00000000-0005-0000-0000-00002F0C0000}"/>
    <cellStyle name="Обычный 10 62 8" xfId="41457" xr:uid="{00000000-0005-0000-0000-0000300C0000}"/>
    <cellStyle name="Обычный 10 62 9" xfId="46797" xr:uid="{00000000-0005-0000-0000-0000310C0000}"/>
    <cellStyle name="Обычный 10 63" xfId="4106" xr:uid="{00000000-0005-0000-0000-0000320C0000}"/>
    <cellStyle name="Обычный 10 63 10" xfId="52169" xr:uid="{00000000-0005-0000-0000-0000330C0000}"/>
    <cellStyle name="Обычный 10 63 2" xfId="9449" xr:uid="{00000000-0005-0000-0000-0000340C0000}"/>
    <cellStyle name="Обычный 10 63 2 2" xfId="57510" xr:uid="{00000000-0005-0000-0000-0000350C0000}"/>
    <cellStyle name="Обычный 10 63 3" xfId="14789" xr:uid="{00000000-0005-0000-0000-0000360C0000}"/>
    <cellStyle name="Обычный 10 63 4" xfId="20129" xr:uid="{00000000-0005-0000-0000-0000370C0000}"/>
    <cellStyle name="Обычный 10 63 5" xfId="25469" xr:uid="{00000000-0005-0000-0000-0000380C0000}"/>
    <cellStyle name="Обычный 10 63 6" xfId="30809" xr:uid="{00000000-0005-0000-0000-0000390C0000}"/>
    <cellStyle name="Обычный 10 63 7" xfId="36149" xr:uid="{00000000-0005-0000-0000-00003A0C0000}"/>
    <cellStyle name="Обычный 10 63 8" xfId="41489" xr:uid="{00000000-0005-0000-0000-00003B0C0000}"/>
    <cellStyle name="Обычный 10 63 9" xfId="46829" xr:uid="{00000000-0005-0000-0000-00003C0C0000}"/>
    <cellStyle name="Обычный 10 64" xfId="4138" xr:uid="{00000000-0005-0000-0000-00003D0C0000}"/>
    <cellStyle name="Обычный 10 64 10" xfId="52201" xr:uid="{00000000-0005-0000-0000-00003E0C0000}"/>
    <cellStyle name="Обычный 10 64 2" xfId="9481" xr:uid="{00000000-0005-0000-0000-00003F0C0000}"/>
    <cellStyle name="Обычный 10 64 2 2" xfId="57542" xr:uid="{00000000-0005-0000-0000-0000400C0000}"/>
    <cellStyle name="Обычный 10 64 3" xfId="14821" xr:uid="{00000000-0005-0000-0000-0000410C0000}"/>
    <cellStyle name="Обычный 10 64 4" xfId="20161" xr:uid="{00000000-0005-0000-0000-0000420C0000}"/>
    <cellStyle name="Обычный 10 64 5" xfId="25501" xr:uid="{00000000-0005-0000-0000-0000430C0000}"/>
    <cellStyle name="Обычный 10 64 6" xfId="30841" xr:uid="{00000000-0005-0000-0000-0000440C0000}"/>
    <cellStyle name="Обычный 10 64 7" xfId="36181" xr:uid="{00000000-0005-0000-0000-0000450C0000}"/>
    <cellStyle name="Обычный 10 64 8" xfId="41521" xr:uid="{00000000-0005-0000-0000-0000460C0000}"/>
    <cellStyle name="Обычный 10 64 9" xfId="46861" xr:uid="{00000000-0005-0000-0000-0000470C0000}"/>
    <cellStyle name="Обычный 10 65" xfId="4170" xr:uid="{00000000-0005-0000-0000-0000480C0000}"/>
    <cellStyle name="Обычный 10 65 10" xfId="52233" xr:uid="{00000000-0005-0000-0000-0000490C0000}"/>
    <cellStyle name="Обычный 10 65 2" xfId="9513" xr:uid="{00000000-0005-0000-0000-00004A0C0000}"/>
    <cellStyle name="Обычный 10 65 2 2" xfId="57574" xr:uid="{00000000-0005-0000-0000-00004B0C0000}"/>
    <cellStyle name="Обычный 10 65 3" xfId="14853" xr:uid="{00000000-0005-0000-0000-00004C0C0000}"/>
    <cellStyle name="Обычный 10 65 4" xfId="20193" xr:uid="{00000000-0005-0000-0000-00004D0C0000}"/>
    <cellStyle name="Обычный 10 65 5" xfId="25533" xr:uid="{00000000-0005-0000-0000-00004E0C0000}"/>
    <cellStyle name="Обычный 10 65 6" xfId="30873" xr:uid="{00000000-0005-0000-0000-00004F0C0000}"/>
    <cellStyle name="Обычный 10 65 7" xfId="36213" xr:uid="{00000000-0005-0000-0000-0000500C0000}"/>
    <cellStyle name="Обычный 10 65 8" xfId="41553" xr:uid="{00000000-0005-0000-0000-0000510C0000}"/>
    <cellStyle name="Обычный 10 65 9" xfId="46893" xr:uid="{00000000-0005-0000-0000-0000520C0000}"/>
    <cellStyle name="Обычный 10 66" xfId="4202" xr:uid="{00000000-0005-0000-0000-0000530C0000}"/>
    <cellStyle name="Обычный 10 66 10" xfId="52265" xr:uid="{00000000-0005-0000-0000-0000540C0000}"/>
    <cellStyle name="Обычный 10 66 2" xfId="9545" xr:uid="{00000000-0005-0000-0000-0000550C0000}"/>
    <cellStyle name="Обычный 10 66 2 2" xfId="57606" xr:uid="{00000000-0005-0000-0000-0000560C0000}"/>
    <cellStyle name="Обычный 10 66 3" xfId="14885" xr:uid="{00000000-0005-0000-0000-0000570C0000}"/>
    <cellStyle name="Обычный 10 66 4" xfId="20225" xr:uid="{00000000-0005-0000-0000-0000580C0000}"/>
    <cellStyle name="Обычный 10 66 5" xfId="25565" xr:uid="{00000000-0005-0000-0000-0000590C0000}"/>
    <cellStyle name="Обычный 10 66 6" xfId="30905" xr:uid="{00000000-0005-0000-0000-00005A0C0000}"/>
    <cellStyle name="Обычный 10 66 7" xfId="36245" xr:uid="{00000000-0005-0000-0000-00005B0C0000}"/>
    <cellStyle name="Обычный 10 66 8" xfId="41585" xr:uid="{00000000-0005-0000-0000-00005C0C0000}"/>
    <cellStyle name="Обычный 10 66 9" xfId="46925" xr:uid="{00000000-0005-0000-0000-00005D0C0000}"/>
    <cellStyle name="Обычный 10 67" xfId="4234" xr:uid="{00000000-0005-0000-0000-00005E0C0000}"/>
    <cellStyle name="Обычный 10 67 10" xfId="52297" xr:uid="{00000000-0005-0000-0000-00005F0C0000}"/>
    <cellStyle name="Обычный 10 67 2" xfId="9577" xr:uid="{00000000-0005-0000-0000-0000600C0000}"/>
    <cellStyle name="Обычный 10 67 2 2" xfId="57638" xr:uid="{00000000-0005-0000-0000-0000610C0000}"/>
    <cellStyle name="Обычный 10 67 3" xfId="14917" xr:uid="{00000000-0005-0000-0000-0000620C0000}"/>
    <cellStyle name="Обычный 10 67 4" xfId="20257" xr:uid="{00000000-0005-0000-0000-0000630C0000}"/>
    <cellStyle name="Обычный 10 67 5" xfId="25597" xr:uid="{00000000-0005-0000-0000-0000640C0000}"/>
    <cellStyle name="Обычный 10 67 6" xfId="30937" xr:uid="{00000000-0005-0000-0000-0000650C0000}"/>
    <cellStyle name="Обычный 10 67 7" xfId="36277" xr:uid="{00000000-0005-0000-0000-0000660C0000}"/>
    <cellStyle name="Обычный 10 67 8" xfId="41617" xr:uid="{00000000-0005-0000-0000-0000670C0000}"/>
    <cellStyle name="Обычный 10 67 9" xfId="46957" xr:uid="{00000000-0005-0000-0000-0000680C0000}"/>
    <cellStyle name="Обычный 10 68" xfId="4266" xr:uid="{00000000-0005-0000-0000-0000690C0000}"/>
    <cellStyle name="Обычный 10 68 10" xfId="52329" xr:uid="{00000000-0005-0000-0000-00006A0C0000}"/>
    <cellStyle name="Обычный 10 68 2" xfId="9609" xr:uid="{00000000-0005-0000-0000-00006B0C0000}"/>
    <cellStyle name="Обычный 10 68 2 2" xfId="57670" xr:uid="{00000000-0005-0000-0000-00006C0C0000}"/>
    <cellStyle name="Обычный 10 68 3" xfId="14949" xr:uid="{00000000-0005-0000-0000-00006D0C0000}"/>
    <cellStyle name="Обычный 10 68 4" xfId="20289" xr:uid="{00000000-0005-0000-0000-00006E0C0000}"/>
    <cellStyle name="Обычный 10 68 5" xfId="25629" xr:uid="{00000000-0005-0000-0000-00006F0C0000}"/>
    <cellStyle name="Обычный 10 68 6" xfId="30969" xr:uid="{00000000-0005-0000-0000-0000700C0000}"/>
    <cellStyle name="Обычный 10 68 7" xfId="36309" xr:uid="{00000000-0005-0000-0000-0000710C0000}"/>
    <cellStyle name="Обычный 10 68 8" xfId="41649" xr:uid="{00000000-0005-0000-0000-0000720C0000}"/>
    <cellStyle name="Обычный 10 68 9" xfId="46989" xr:uid="{00000000-0005-0000-0000-0000730C0000}"/>
    <cellStyle name="Обычный 10 69" xfId="4298" xr:uid="{00000000-0005-0000-0000-0000740C0000}"/>
    <cellStyle name="Обычный 10 69 10" xfId="52361" xr:uid="{00000000-0005-0000-0000-0000750C0000}"/>
    <cellStyle name="Обычный 10 69 2" xfId="9641" xr:uid="{00000000-0005-0000-0000-0000760C0000}"/>
    <cellStyle name="Обычный 10 69 2 2" xfId="57702" xr:uid="{00000000-0005-0000-0000-0000770C0000}"/>
    <cellStyle name="Обычный 10 69 3" xfId="14981" xr:uid="{00000000-0005-0000-0000-0000780C0000}"/>
    <cellStyle name="Обычный 10 69 4" xfId="20321" xr:uid="{00000000-0005-0000-0000-0000790C0000}"/>
    <cellStyle name="Обычный 10 69 5" xfId="25661" xr:uid="{00000000-0005-0000-0000-00007A0C0000}"/>
    <cellStyle name="Обычный 10 69 6" xfId="31001" xr:uid="{00000000-0005-0000-0000-00007B0C0000}"/>
    <cellStyle name="Обычный 10 69 7" xfId="36341" xr:uid="{00000000-0005-0000-0000-00007C0C0000}"/>
    <cellStyle name="Обычный 10 69 8" xfId="41681" xr:uid="{00000000-0005-0000-0000-00007D0C0000}"/>
    <cellStyle name="Обычный 10 69 9" xfId="47021" xr:uid="{00000000-0005-0000-0000-00007E0C0000}"/>
    <cellStyle name="Обычный 10 7" xfId="2321" xr:uid="{00000000-0005-0000-0000-00007F0C0000}"/>
    <cellStyle name="Обычный 10 7 10" xfId="50385" xr:uid="{00000000-0005-0000-0000-0000800C0000}"/>
    <cellStyle name="Обычный 10 7 2" xfId="7664" xr:uid="{00000000-0005-0000-0000-0000810C0000}"/>
    <cellStyle name="Обычный 10 7 2 2" xfId="55726" xr:uid="{00000000-0005-0000-0000-0000820C0000}"/>
    <cellStyle name="Обычный 10 7 3" xfId="13005" xr:uid="{00000000-0005-0000-0000-0000830C0000}"/>
    <cellStyle name="Обычный 10 7 4" xfId="18345" xr:uid="{00000000-0005-0000-0000-0000840C0000}"/>
    <cellStyle name="Обычный 10 7 5" xfId="23685" xr:uid="{00000000-0005-0000-0000-0000850C0000}"/>
    <cellStyle name="Обычный 10 7 6" xfId="29025" xr:uid="{00000000-0005-0000-0000-0000860C0000}"/>
    <cellStyle name="Обычный 10 7 7" xfId="34365" xr:uid="{00000000-0005-0000-0000-0000870C0000}"/>
    <cellStyle name="Обычный 10 7 8" xfId="39705" xr:uid="{00000000-0005-0000-0000-0000880C0000}"/>
    <cellStyle name="Обычный 10 7 9" xfId="45045" xr:uid="{00000000-0005-0000-0000-0000890C0000}"/>
    <cellStyle name="Обычный 10 70" xfId="4330" xr:uid="{00000000-0005-0000-0000-00008A0C0000}"/>
    <cellStyle name="Обычный 10 70 10" xfId="52393" xr:uid="{00000000-0005-0000-0000-00008B0C0000}"/>
    <cellStyle name="Обычный 10 70 2" xfId="9673" xr:uid="{00000000-0005-0000-0000-00008C0C0000}"/>
    <cellStyle name="Обычный 10 70 2 2" xfId="57734" xr:uid="{00000000-0005-0000-0000-00008D0C0000}"/>
    <cellStyle name="Обычный 10 70 3" xfId="15013" xr:uid="{00000000-0005-0000-0000-00008E0C0000}"/>
    <cellStyle name="Обычный 10 70 4" xfId="20353" xr:uid="{00000000-0005-0000-0000-00008F0C0000}"/>
    <cellStyle name="Обычный 10 70 5" xfId="25693" xr:uid="{00000000-0005-0000-0000-0000900C0000}"/>
    <cellStyle name="Обычный 10 70 6" xfId="31033" xr:uid="{00000000-0005-0000-0000-0000910C0000}"/>
    <cellStyle name="Обычный 10 70 7" xfId="36373" xr:uid="{00000000-0005-0000-0000-0000920C0000}"/>
    <cellStyle name="Обычный 10 70 8" xfId="41713" xr:uid="{00000000-0005-0000-0000-0000930C0000}"/>
    <cellStyle name="Обычный 10 70 9" xfId="47053" xr:uid="{00000000-0005-0000-0000-0000940C0000}"/>
    <cellStyle name="Обычный 10 71" xfId="4362" xr:uid="{00000000-0005-0000-0000-0000950C0000}"/>
    <cellStyle name="Обычный 10 71 10" xfId="52425" xr:uid="{00000000-0005-0000-0000-0000960C0000}"/>
    <cellStyle name="Обычный 10 71 2" xfId="9705" xr:uid="{00000000-0005-0000-0000-0000970C0000}"/>
    <cellStyle name="Обычный 10 71 2 2" xfId="57766" xr:uid="{00000000-0005-0000-0000-0000980C0000}"/>
    <cellStyle name="Обычный 10 71 3" xfId="15045" xr:uid="{00000000-0005-0000-0000-0000990C0000}"/>
    <cellStyle name="Обычный 10 71 4" xfId="20385" xr:uid="{00000000-0005-0000-0000-00009A0C0000}"/>
    <cellStyle name="Обычный 10 71 5" xfId="25725" xr:uid="{00000000-0005-0000-0000-00009B0C0000}"/>
    <cellStyle name="Обычный 10 71 6" xfId="31065" xr:uid="{00000000-0005-0000-0000-00009C0C0000}"/>
    <cellStyle name="Обычный 10 71 7" xfId="36405" xr:uid="{00000000-0005-0000-0000-00009D0C0000}"/>
    <cellStyle name="Обычный 10 71 8" xfId="41745" xr:uid="{00000000-0005-0000-0000-00009E0C0000}"/>
    <cellStyle name="Обычный 10 71 9" xfId="47085" xr:uid="{00000000-0005-0000-0000-00009F0C0000}"/>
    <cellStyle name="Обычный 10 72" xfId="4394" xr:uid="{00000000-0005-0000-0000-0000A00C0000}"/>
    <cellStyle name="Обычный 10 72 10" xfId="52457" xr:uid="{00000000-0005-0000-0000-0000A10C0000}"/>
    <cellStyle name="Обычный 10 72 2" xfId="9737" xr:uid="{00000000-0005-0000-0000-0000A20C0000}"/>
    <cellStyle name="Обычный 10 72 2 2" xfId="57798" xr:uid="{00000000-0005-0000-0000-0000A30C0000}"/>
    <cellStyle name="Обычный 10 72 3" xfId="15077" xr:uid="{00000000-0005-0000-0000-0000A40C0000}"/>
    <cellStyle name="Обычный 10 72 4" xfId="20417" xr:uid="{00000000-0005-0000-0000-0000A50C0000}"/>
    <cellStyle name="Обычный 10 72 5" xfId="25757" xr:uid="{00000000-0005-0000-0000-0000A60C0000}"/>
    <cellStyle name="Обычный 10 72 6" xfId="31097" xr:uid="{00000000-0005-0000-0000-0000A70C0000}"/>
    <cellStyle name="Обычный 10 72 7" xfId="36437" xr:uid="{00000000-0005-0000-0000-0000A80C0000}"/>
    <cellStyle name="Обычный 10 72 8" xfId="41777" xr:uid="{00000000-0005-0000-0000-0000A90C0000}"/>
    <cellStyle name="Обычный 10 72 9" xfId="47117" xr:uid="{00000000-0005-0000-0000-0000AA0C0000}"/>
    <cellStyle name="Обычный 10 73" xfId="4426" xr:uid="{00000000-0005-0000-0000-0000AB0C0000}"/>
    <cellStyle name="Обычный 10 73 10" xfId="52489" xr:uid="{00000000-0005-0000-0000-0000AC0C0000}"/>
    <cellStyle name="Обычный 10 73 2" xfId="9769" xr:uid="{00000000-0005-0000-0000-0000AD0C0000}"/>
    <cellStyle name="Обычный 10 73 2 2" xfId="57830" xr:uid="{00000000-0005-0000-0000-0000AE0C0000}"/>
    <cellStyle name="Обычный 10 73 3" xfId="15109" xr:uid="{00000000-0005-0000-0000-0000AF0C0000}"/>
    <cellStyle name="Обычный 10 73 4" xfId="20449" xr:uid="{00000000-0005-0000-0000-0000B00C0000}"/>
    <cellStyle name="Обычный 10 73 5" xfId="25789" xr:uid="{00000000-0005-0000-0000-0000B10C0000}"/>
    <cellStyle name="Обычный 10 73 6" xfId="31129" xr:uid="{00000000-0005-0000-0000-0000B20C0000}"/>
    <cellStyle name="Обычный 10 73 7" xfId="36469" xr:uid="{00000000-0005-0000-0000-0000B30C0000}"/>
    <cellStyle name="Обычный 10 73 8" xfId="41809" xr:uid="{00000000-0005-0000-0000-0000B40C0000}"/>
    <cellStyle name="Обычный 10 73 9" xfId="47149" xr:uid="{00000000-0005-0000-0000-0000B50C0000}"/>
    <cellStyle name="Обычный 10 74" xfId="4458" xr:uid="{00000000-0005-0000-0000-0000B60C0000}"/>
    <cellStyle name="Обычный 10 74 10" xfId="52521" xr:uid="{00000000-0005-0000-0000-0000B70C0000}"/>
    <cellStyle name="Обычный 10 74 2" xfId="9801" xr:uid="{00000000-0005-0000-0000-0000B80C0000}"/>
    <cellStyle name="Обычный 10 74 2 2" xfId="57862" xr:uid="{00000000-0005-0000-0000-0000B90C0000}"/>
    <cellStyle name="Обычный 10 74 3" xfId="15141" xr:uid="{00000000-0005-0000-0000-0000BA0C0000}"/>
    <cellStyle name="Обычный 10 74 4" xfId="20481" xr:uid="{00000000-0005-0000-0000-0000BB0C0000}"/>
    <cellStyle name="Обычный 10 74 5" xfId="25821" xr:uid="{00000000-0005-0000-0000-0000BC0C0000}"/>
    <cellStyle name="Обычный 10 74 6" xfId="31161" xr:uid="{00000000-0005-0000-0000-0000BD0C0000}"/>
    <cellStyle name="Обычный 10 74 7" xfId="36501" xr:uid="{00000000-0005-0000-0000-0000BE0C0000}"/>
    <cellStyle name="Обычный 10 74 8" xfId="41841" xr:uid="{00000000-0005-0000-0000-0000BF0C0000}"/>
    <cellStyle name="Обычный 10 74 9" xfId="47181" xr:uid="{00000000-0005-0000-0000-0000C00C0000}"/>
    <cellStyle name="Обычный 10 75" xfId="4490" xr:uid="{00000000-0005-0000-0000-0000C10C0000}"/>
    <cellStyle name="Обычный 10 75 10" xfId="52553" xr:uid="{00000000-0005-0000-0000-0000C20C0000}"/>
    <cellStyle name="Обычный 10 75 2" xfId="9833" xr:uid="{00000000-0005-0000-0000-0000C30C0000}"/>
    <cellStyle name="Обычный 10 75 2 2" xfId="57894" xr:uid="{00000000-0005-0000-0000-0000C40C0000}"/>
    <cellStyle name="Обычный 10 75 3" xfId="15173" xr:uid="{00000000-0005-0000-0000-0000C50C0000}"/>
    <cellStyle name="Обычный 10 75 4" xfId="20513" xr:uid="{00000000-0005-0000-0000-0000C60C0000}"/>
    <cellStyle name="Обычный 10 75 5" xfId="25853" xr:uid="{00000000-0005-0000-0000-0000C70C0000}"/>
    <cellStyle name="Обычный 10 75 6" xfId="31193" xr:uid="{00000000-0005-0000-0000-0000C80C0000}"/>
    <cellStyle name="Обычный 10 75 7" xfId="36533" xr:uid="{00000000-0005-0000-0000-0000C90C0000}"/>
    <cellStyle name="Обычный 10 75 8" xfId="41873" xr:uid="{00000000-0005-0000-0000-0000CA0C0000}"/>
    <cellStyle name="Обычный 10 75 9" xfId="47213" xr:uid="{00000000-0005-0000-0000-0000CB0C0000}"/>
    <cellStyle name="Обычный 10 76" xfId="4522" xr:uid="{00000000-0005-0000-0000-0000CC0C0000}"/>
    <cellStyle name="Обычный 10 76 10" xfId="52585" xr:uid="{00000000-0005-0000-0000-0000CD0C0000}"/>
    <cellStyle name="Обычный 10 76 2" xfId="9865" xr:uid="{00000000-0005-0000-0000-0000CE0C0000}"/>
    <cellStyle name="Обычный 10 76 2 2" xfId="57926" xr:uid="{00000000-0005-0000-0000-0000CF0C0000}"/>
    <cellStyle name="Обычный 10 76 3" xfId="15205" xr:uid="{00000000-0005-0000-0000-0000D00C0000}"/>
    <cellStyle name="Обычный 10 76 4" xfId="20545" xr:uid="{00000000-0005-0000-0000-0000D10C0000}"/>
    <cellStyle name="Обычный 10 76 5" xfId="25885" xr:uid="{00000000-0005-0000-0000-0000D20C0000}"/>
    <cellStyle name="Обычный 10 76 6" xfId="31225" xr:uid="{00000000-0005-0000-0000-0000D30C0000}"/>
    <cellStyle name="Обычный 10 76 7" xfId="36565" xr:uid="{00000000-0005-0000-0000-0000D40C0000}"/>
    <cellStyle name="Обычный 10 76 8" xfId="41905" xr:uid="{00000000-0005-0000-0000-0000D50C0000}"/>
    <cellStyle name="Обычный 10 76 9" xfId="47245" xr:uid="{00000000-0005-0000-0000-0000D60C0000}"/>
    <cellStyle name="Обычный 10 77" xfId="4554" xr:uid="{00000000-0005-0000-0000-0000D70C0000}"/>
    <cellStyle name="Обычный 10 77 10" xfId="52617" xr:uid="{00000000-0005-0000-0000-0000D80C0000}"/>
    <cellStyle name="Обычный 10 77 2" xfId="9897" xr:uid="{00000000-0005-0000-0000-0000D90C0000}"/>
    <cellStyle name="Обычный 10 77 2 2" xfId="57958" xr:uid="{00000000-0005-0000-0000-0000DA0C0000}"/>
    <cellStyle name="Обычный 10 77 3" xfId="15237" xr:uid="{00000000-0005-0000-0000-0000DB0C0000}"/>
    <cellStyle name="Обычный 10 77 4" xfId="20577" xr:uid="{00000000-0005-0000-0000-0000DC0C0000}"/>
    <cellStyle name="Обычный 10 77 5" xfId="25917" xr:uid="{00000000-0005-0000-0000-0000DD0C0000}"/>
    <cellStyle name="Обычный 10 77 6" xfId="31257" xr:uid="{00000000-0005-0000-0000-0000DE0C0000}"/>
    <cellStyle name="Обычный 10 77 7" xfId="36597" xr:uid="{00000000-0005-0000-0000-0000DF0C0000}"/>
    <cellStyle name="Обычный 10 77 8" xfId="41937" xr:uid="{00000000-0005-0000-0000-0000E00C0000}"/>
    <cellStyle name="Обычный 10 77 9" xfId="47277" xr:uid="{00000000-0005-0000-0000-0000E10C0000}"/>
    <cellStyle name="Обычный 10 78" xfId="4586" xr:uid="{00000000-0005-0000-0000-0000E20C0000}"/>
    <cellStyle name="Обычный 10 78 10" xfId="52649" xr:uid="{00000000-0005-0000-0000-0000E30C0000}"/>
    <cellStyle name="Обычный 10 78 2" xfId="9929" xr:uid="{00000000-0005-0000-0000-0000E40C0000}"/>
    <cellStyle name="Обычный 10 78 2 2" xfId="57990" xr:uid="{00000000-0005-0000-0000-0000E50C0000}"/>
    <cellStyle name="Обычный 10 78 3" xfId="15269" xr:uid="{00000000-0005-0000-0000-0000E60C0000}"/>
    <cellStyle name="Обычный 10 78 4" xfId="20609" xr:uid="{00000000-0005-0000-0000-0000E70C0000}"/>
    <cellStyle name="Обычный 10 78 5" xfId="25949" xr:uid="{00000000-0005-0000-0000-0000E80C0000}"/>
    <cellStyle name="Обычный 10 78 6" xfId="31289" xr:uid="{00000000-0005-0000-0000-0000E90C0000}"/>
    <cellStyle name="Обычный 10 78 7" xfId="36629" xr:uid="{00000000-0005-0000-0000-0000EA0C0000}"/>
    <cellStyle name="Обычный 10 78 8" xfId="41969" xr:uid="{00000000-0005-0000-0000-0000EB0C0000}"/>
    <cellStyle name="Обычный 10 78 9" xfId="47309" xr:uid="{00000000-0005-0000-0000-0000EC0C0000}"/>
    <cellStyle name="Обычный 10 79" xfId="4618" xr:uid="{00000000-0005-0000-0000-0000ED0C0000}"/>
    <cellStyle name="Обычный 10 79 10" xfId="52681" xr:uid="{00000000-0005-0000-0000-0000EE0C0000}"/>
    <cellStyle name="Обычный 10 79 2" xfId="9961" xr:uid="{00000000-0005-0000-0000-0000EF0C0000}"/>
    <cellStyle name="Обычный 10 79 2 2" xfId="58022" xr:uid="{00000000-0005-0000-0000-0000F00C0000}"/>
    <cellStyle name="Обычный 10 79 3" xfId="15301" xr:uid="{00000000-0005-0000-0000-0000F10C0000}"/>
    <cellStyle name="Обычный 10 79 4" xfId="20641" xr:uid="{00000000-0005-0000-0000-0000F20C0000}"/>
    <cellStyle name="Обычный 10 79 5" xfId="25981" xr:uid="{00000000-0005-0000-0000-0000F30C0000}"/>
    <cellStyle name="Обычный 10 79 6" xfId="31321" xr:uid="{00000000-0005-0000-0000-0000F40C0000}"/>
    <cellStyle name="Обычный 10 79 7" xfId="36661" xr:uid="{00000000-0005-0000-0000-0000F50C0000}"/>
    <cellStyle name="Обычный 10 79 8" xfId="42001" xr:uid="{00000000-0005-0000-0000-0000F60C0000}"/>
    <cellStyle name="Обычный 10 79 9" xfId="47341" xr:uid="{00000000-0005-0000-0000-0000F70C0000}"/>
    <cellStyle name="Обычный 10 8" xfId="2351" xr:uid="{00000000-0005-0000-0000-0000F80C0000}"/>
    <cellStyle name="Обычный 10 8 10" xfId="50415" xr:uid="{00000000-0005-0000-0000-0000F90C0000}"/>
    <cellStyle name="Обычный 10 8 2" xfId="7694" xr:uid="{00000000-0005-0000-0000-0000FA0C0000}"/>
    <cellStyle name="Обычный 10 8 2 2" xfId="55756" xr:uid="{00000000-0005-0000-0000-0000FB0C0000}"/>
    <cellStyle name="Обычный 10 8 3" xfId="13035" xr:uid="{00000000-0005-0000-0000-0000FC0C0000}"/>
    <cellStyle name="Обычный 10 8 4" xfId="18375" xr:uid="{00000000-0005-0000-0000-0000FD0C0000}"/>
    <cellStyle name="Обычный 10 8 5" xfId="23715" xr:uid="{00000000-0005-0000-0000-0000FE0C0000}"/>
    <cellStyle name="Обычный 10 8 6" xfId="29055" xr:uid="{00000000-0005-0000-0000-0000FF0C0000}"/>
    <cellStyle name="Обычный 10 8 7" xfId="34395" xr:uid="{00000000-0005-0000-0000-0000000D0000}"/>
    <cellStyle name="Обычный 10 8 8" xfId="39735" xr:uid="{00000000-0005-0000-0000-0000010D0000}"/>
    <cellStyle name="Обычный 10 8 9" xfId="45075" xr:uid="{00000000-0005-0000-0000-0000020D0000}"/>
    <cellStyle name="Обычный 10 80" xfId="4650" xr:uid="{00000000-0005-0000-0000-0000030D0000}"/>
    <cellStyle name="Обычный 10 80 10" xfId="52713" xr:uid="{00000000-0005-0000-0000-0000040D0000}"/>
    <cellStyle name="Обычный 10 80 2" xfId="9993" xr:uid="{00000000-0005-0000-0000-0000050D0000}"/>
    <cellStyle name="Обычный 10 80 2 2" xfId="58054" xr:uid="{00000000-0005-0000-0000-0000060D0000}"/>
    <cellStyle name="Обычный 10 80 3" xfId="15333" xr:uid="{00000000-0005-0000-0000-0000070D0000}"/>
    <cellStyle name="Обычный 10 80 4" xfId="20673" xr:uid="{00000000-0005-0000-0000-0000080D0000}"/>
    <cellStyle name="Обычный 10 80 5" xfId="26013" xr:uid="{00000000-0005-0000-0000-0000090D0000}"/>
    <cellStyle name="Обычный 10 80 6" xfId="31353" xr:uid="{00000000-0005-0000-0000-00000A0D0000}"/>
    <cellStyle name="Обычный 10 80 7" xfId="36693" xr:uid="{00000000-0005-0000-0000-00000B0D0000}"/>
    <cellStyle name="Обычный 10 80 8" xfId="42033" xr:uid="{00000000-0005-0000-0000-00000C0D0000}"/>
    <cellStyle name="Обычный 10 80 9" xfId="47373" xr:uid="{00000000-0005-0000-0000-00000D0D0000}"/>
    <cellStyle name="Обычный 10 81" xfId="4682" xr:uid="{00000000-0005-0000-0000-00000E0D0000}"/>
    <cellStyle name="Обычный 10 81 10" xfId="52745" xr:uid="{00000000-0005-0000-0000-00000F0D0000}"/>
    <cellStyle name="Обычный 10 81 2" xfId="10025" xr:uid="{00000000-0005-0000-0000-0000100D0000}"/>
    <cellStyle name="Обычный 10 81 2 2" xfId="58086" xr:uid="{00000000-0005-0000-0000-0000110D0000}"/>
    <cellStyle name="Обычный 10 81 3" xfId="15365" xr:uid="{00000000-0005-0000-0000-0000120D0000}"/>
    <cellStyle name="Обычный 10 81 4" xfId="20705" xr:uid="{00000000-0005-0000-0000-0000130D0000}"/>
    <cellStyle name="Обычный 10 81 5" xfId="26045" xr:uid="{00000000-0005-0000-0000-0000140D0000}"/>
    <cellStyle name="Обычный 10 81 6" xfId="31385" xr:uid="{00000000-0005-0000-0000-0000150D0000}"/>
    <cellStyle name="Обычный 10 81 7" xfId="36725" xr:uid="{00000000-0005-0000-0000-0000160D0000}"/>
    <cellStyle name="Обычный 10 81 8" xfId="42065" xr:uid="{00000000-0005-0000-0000-0000170D0000}"/>
    <cellStyle name="Обычный 10 81 9" xfId="47405" xr:uid="{00000000-0005-0000-0000-0000180D0000}"/>
    <cellStyle name="Обычный 10 82" xfId="4714" xr:uid="{00000000-0005-0000-0000-0000190D0000}"/>
    <cellStyle name="Обычный 10 82 10" xfId="52777" xr:uid="{00000000-0005-0000-0000-00001A0D0000}"/>
    <cellStyle name="Обычный 10 82 2" xfId="10057" xr:uid="{00000000-0005-0000-0000-00001B0D0000}"/>
    <cellStyle name="Обычный 10 82 2 2" xfId="58118" xr:uid="{00000000-0005-0000-0000-00001C0D0000}"/>
    <cellStyle name="Обычный 10 82 3" xfId="15397" xr:uid="{00000000-0005-0000-0000-00001D0D0000}"/>
    <cellStyle name="Обычный 10 82 4" xfId="20737" xr:uid="{00000000-0005-0000-0000-00001E0D0000}"/>
    <cellStyle name="Обычный 10 82 5" xfId="26077" xr:uid="{00000000-0005-0000-0000-00001F0D0000}"/>
    <cellStyle name="Обычный 10 82 6" xfId="31417" xr:uid="{00000000-0005-0000-0000-0000200D0000}"/>
    <cellStyle name="Обычный 10 82 7" xfId="36757" xr:uid="{00000000-0005-0000-0000-0000210D0000}"/>
    <cellStyle name="Обычный 10 82 8" xfId="42097" xr:uid="{00000000-0005-0000-0000-0000220D0000}"/>
    <cellStyle name="Обычный 10 82 9" xfId="47437" xr:uid="{00000000-0005-0000-0000-0000230D0000}"/>
    <cellStyle name="Обычный 10 83" xfId="4748" xr:uid="{00000000-0005-0000-0000-0000240D0000}"/>
    <cellStyle name="Обычный 10 83 10" xfId="52811" xr:uid="{00000000-0005-0000-0000-0000250D0000}"/>
    <cellStyle name="Обычный 10 83 2" xfId="10091" xr:uid="{00000000-0005-0000-0000-0000260D0000}"/>
    <cellStyle name="Обычный 10 83 2 2" xfId="58152" xr:uid="{00000000-0005-0000-0000-0000270D0000}"/>
    <cellStyle name="Обычный 10 83 3" xfId="15431" xr:uid="{00000000-0005-0000-0000-0000280D0000}"/>
    <cellStyle name="Обычный 10 83 4" xfId="20771" xr:uid="{00000000-0005-0000-0000-0000290D0000}"/>
    <cellStyle name="Обычный 10 83 5" xfId="26111" xr:uid="{00000000-0005-0000-0000-00002A0D0000}"/>
    <cellStyle name="Обычный 10 83 6" xfId="31451" xr:uid="{00000000-0005-0000-0000-00002B0D0000}"/>
    <cellStyle name="Обычный 10 83 7" xfId="36791" xr:uid="{00000000-0005-0000-0000-00002C0D0000}"/>
    <cellStyle name="Обычный 10 83 8" xfId="42131" xr:uid="{00000000-0005-0000-0000-00002D0D0000}"/>
    <cellStyle name="Обычный 10 83 9" xfId="47471" xr:uid="{00000000-0005-0000-0000-00002E0D0000}"/>
    <cellStyle name="Обычный 10 84" xfId="4780" xr:uid="{00000000-0005-0000-0000-00002F0D0000}"/>
    <cellStyle name="Обычный 10 84 10" xfId="52843" xr:uid="{00000000-0005-0000-0000-0000300D0000}"/>
    <cellStyle name="Обычный 10 84 2" xfId="10123" xr:uid="{00000000-0005-0000-0000-0000310D0000}"/>
    <cellStyle name="Обычный 10 84 2 2" xfId="58184" xr:uid="{00000000-0005-0000-0000-0000320D0000}"/>
    <cellStyle name="Обычный 10 84 3" xfId="15463" xr:uid="{00000000-0005-0000-0000-0000330D0000}"/>
    <cellStyle name="Обычный 10 84 4" xfId="20803" xr:uid="{00000000-0005-0000-0000-0000340D0000}"/>
    <cellStyle name="Обычный 10 84 5" xfId="26143" xr:uid="{00000000-0005-0000-0000-0000350D0000}"/>
    <cellStyle name="Обычный 10 84 6" xfId="31483" xr:uid="{00000000-0005-0000-0000-0000360D0000}"/>
    <cellStyle name="Обычный 10 84 7" xfId="36823" xr:uid="{00000000-0005-0000-0000-0000370D0000}"/>
    <cellStyle name="Обычный 10 84 8" xfId="42163" xr:uid="{00000000-0005-0000-0000-0000380D0000}"/>
    <cellStyle name="Обычный 10 84 9" xfId="47503" xr:uid="{00000000-0005-0000-0000-0000390D0000}"/>
    <cellStyle name="Обычный 10 85" xfId="4812" xr:uid="{00000000-0005-0000-0000-00003A0D0000}"/>
    <cellStyle name="Обычный 10 85 10" xfId="52875" xr:uid="{00000000-0005-0000-0000-00003B0D0000}"/>
    <cellStyle name="Обычный 10 85 2" xfId="10155" xr:uid="{00000000-0005-0000-0000-00003C0D0000}"/>
    <cellStyle name="Обычный 10 85 2 2" xfId="58216" xr:uid="{00000000-0005-0000-0000-00003D0D0000}"/>
    <cellStyle name="Обычный 10 85 3" xfId="15495" xr:uid="{00000000-0005-0000-0000-00003E0D0000}"/>
    <cellStyle name="Обычный 10 85 4" xfId="20835" xr:uid="{00000000-0005-0000-0000-00003F0D0000}"/>
    <cellStyle name="Обычный 10 85 5" xfId="26175" xr:uid="{00000000-0005-0000-0000-0000400D0000}"/>
    <cellStyle name="Обычный 10 85 6" xfId="31515" xr:uid="{00000000-0005-0000-0000-0000410D0000}"/>
    <cellStyle name="Обычный 10 85 7" xfId="36855" xr:uid="{00000000-0005-0000-0000-0000420D0000}"/>
    <cellStyle name="Обычный 10 85 8" xfId="42195" xr:uid="{00000000-0005-0000-0000-0000430D0000}"/>
    <cellStyle name="Обычный 10 85 9" xfId="47535" xr:uid="{00000000-0005-0000-0000-0000440D0000}"/>
    <cellStyle name="Обычный 10 86" xfId="4844" xr:uid="{00000000-0005-0000-0000-0000450D0000}"/>
    <cellStyle name="Обычный 10 86 10" xfId="52907" xr:uid="{00000000-0005-0000-0000-0000460D0000}"/>
    <cellStyle name="Обычный 10 86 2" xfId="10187" xr:uid="{00000000-0005-0000-0000-0000470D0000}"/>
    <cellStyle name="Обычный 10 86 2 2" xfId="58248" xr:uid="{00000000-0005-0000-0000-0000480D0000}"/>
    <cellStyle name="Обычный 10 86 3" xfId="15527" xr:uid="{00000000-0005-0000-0000-0000490D0000}"/>
    <cellStyle name="Обычный 10 86 4" xfId="20867" xr:uid="{00000000-0005-0000-0000-00004A0D0000}"/>
    <cellStyle name="Обычный 10 86 5" xfId="26207" xr:uid="{00000000-0005-0000-0000-00004B0D0000}"/>
    <cellStyle name="Обычный 10 86 6" xfId="31547" xr:uid="{00000000-0005-0000-0000-00004C0D0000}"/>
    <cellStyle name="Обычный 10 86 7" xfId="36887" xr:uid="{00000000-0005-0000-0000-00004D0D0000}"/>
    <cellStyle name="Обычный 10 86 8" xfId="42227" xr:uid="{00000000-0005-0000-0000-00004E0D0000}"/>
    <cellStyle name="Обычный 10 86 9" xfId="47567" xr:uid="{00000000-0005-0000-0000-00004F0D0000}"/>
    <cellStyle name="Обычный 10 87" xfId="4876" xr:uid="{00000000-0005-0000-0000-0000500D0000}"/>
    <cellStyle name="Обычный 10 87 10" xfId="52939" xr:uid="{00000000-0005-0000-0000-0000510D0000}"/>
    <cellStyle name="Обычный 10 87 2" xfId="10219" xr:uid="{00000000-0005-0000-0000-0000520D0000}"/>
    <cellStyle name="Обычный 10 87 2 2" xfId="58280" xr:uid="{00000000-0005-0000-0000-0000530D0000}"/>
    <cellStyle name="Обычный 10 87 3" xfId="15559" xr:uid="{00000000-0005-0000-0000-0000540D0000}"/>
    <cellStyle name="Обычный 10 87 4" xfId="20899" xr:uid="{00000000-0005-0000-0000-0000550D0000}"/>
    <cellStyle name="Обычный 10 87 5" xfId="26239" xr:uid="{00000000-0005-0000-0000-0000560D0000}"/>
    <cellStyle name="Обычный 10 87 6" xfId="31579" xr:uid="{00000000-0005-0000-0000-0000570D0000}"/>
    <cellStyle name="Обычный 10 87 7" xfId="36919" xr:uid="{00000000-0005-0000-0000-0000580D0000}"/>
    <cellStyle name="Обычный 10 87 8" xfId="42259" xr:uid="{00000000-0005-0000-0000-0000590D0000}"/>
    <cellStyle name="Обычный 10 87 9" xfId="47599" xr:uid="{00000000-0005-0000-0000-00005A0D0000}"/>
    <cellStyle name="Обычный 10 88" xfId="4908" xr:uid="{00000000-0005-0000-0000-00005B0D0000}"/>
    <cellStyle name="Обычный 10 88 10" xfId="52971" xr:uid="{00000000-0005-0000-0000-00005C0D0000}"/>
    <cellStyle name="Обычный 10 88 2" xfId="10251" xr:uid="{00000000-0005-0000-0000-00005D0D0000}"/>
    <cellStyle name="Обычный 10 88 2 2" xfId="58312" xr:uid="{00000000-0005-0000-0000-00005E0D0000}"/>
    <cellStyle name="Обычный 10 88 3" xfId="15591" xr:uid="{00000000-0005-0000-0000-00005F0D0000}"/>
    <cellStyle name="Обычный 10 88 4" xfId="20931" xr:uid="{00000000-0005-0000-0000-0000600D0000}"/>
    <cellStyle name="Обычный 10 88 5" xfId="26271" xr:uid="{00000000-0005-0000-0000-0000610D0000}"/>
    <cellStyle name="Обычный 10 88 6" xfId="31611" xr:uid="{00000000-0005-0000-0000-0000620D0000}"/>
    <cellStyle name="Обычный 10 88 7" xfId="36951" xr:uid="{00000000-0005-0000-0000-0000630D0000}"/>
    <cellStyle name="Обычный 10 88 8" xfId="42291" xr:uid="{00000000-0005-0000-0000-0000640D0000}"/>
    <cellStyle name="Обычный 10 88 9" xfId="47631" xr:uid="{00000000-0005-0000-0000-0000650D0000}"/>
    <cellStyle name="Обычный 10 89" xfId="4940" xr:uid="{00000000-0005-0000-0000-0000660D0000}"/>
    <cellStyle name="Обычный 10 89 10" xfId="53003" xr:uid="{00000000-0005-0000-0000-0000670D0000}"/>
    <cellStyle name="Обычный 10 89 2" xfId="10283" xr:uid="{00000000-0005-0000-0000-0000680D0000}"/>
    <cellStyle name="Обычный 10 89 2 2" xfId="58344" xr:uid="{00000000-0005-0000-0000-0000690D0000}"/>
    <cellStyle name="Обычный 10 89 3" xfId="15623" xr:uid="{00000000-0005-0000-0000-00006A0D0000}"/>
    <cellStyle name="Обычный 10 89 4" xfId="20963" xr:uid="{00000000-0005-0000-0000-00006B0D0000}"/>
    <cellStyle name="Обычный 10 89 5" xfId="26303" xr:uid="{00000000-0005-0000-0000-00006C0D0000}"/>
    <cellStyle name="Обычный 10 89 6" xfId="31643" xr:uid="{00000000-0005-0000-0000-00006D0D0000}"/>
    <cellStyle name="Обычный 10 89 7" xfId="36983" xr:uid="{00000000-0005-0000-0000-00006E0D0000}"/>
    <cellStyle name="Обычный 10 89 8" xfId="42323" xr:uid="{00000000-0005-0000-0000-00006F0D0000}"/>
    <cellStyle name="Обычный 10 89 9" xfId="47663" xr:uid="{00000000-0005-0000-0000-0000700D0000}"/>
    <cellStyle name="Обычный 10 9" xfId="2381" xr:uid="{00000000-0005-0000-0000-0000710D0000}"/>
    <cellStyle name="Обычный 10 9 10" xfId="50445" xr:uid="{00000000-0005-0000-0000-0000720D0000}"/>
    <cellStyle name="Обычный 10 9 2" xfId="7724" xr:uid="{00000000-0005-0000-0000-0000730D0000}"/>
    <cellStyle name="Обычный 10 9 2 2" xfId="55786" xr:uid="{00000000-0005-0000-0000-0000740D0000}"/>
    <cellStyle name="Обычный 10 9 3" xfId="13065" xr:uid="{00000000-0005-0000-0000-0000750D0000}"/>
    <cellStyle name="Обычный 10 9 4" xfId="18405" xr:uid="{00000000-0005-0000-0000-0000760D0000}"/>
    <cellStyle name="Обычный 10 9 5" xfId="23745" xr:uid="{00000000-0005-0000-0000-0000770D0000}"/>
    <cellStyle name="Обычный 10 9 6" xfId="29085" xr:uid="{00000000-0005-0000-0000-0000780D0000}"/>
    <cellStyle name="Обычный 10 9 7" xfId="34425" xr:uid="{00000000-0005-0000-0000-0000790D0000}"/>
    <cellStyle name="Обычный 10 9 8" xfId="39765" xr:uid="{00000000-0005-0000-0000-00007A0D0000}"/>
    <cellStyle name="Обычный 10 9 9" xfId="45105" xr:uid="{00000000-0005-0000-0000-00007B0D0000}"/>
    <cellStyle name="Обычный 10 90" xfId="4972" xr:uid="{00000000-0005-0000-0000-00007C0D0000}"/>
    <cellStyle name="Обычный 10 90 10" xfId="53035" xr:uid="{00000000-0005-0000-0000-00007D0D0000}"/>
    <cellStyle name="Обычный 10 90 2" xfId="10315" xr:uid="{00000000-0005-0000-0000-00007E0D0000}"/>
    <cellStyle name="Обычный 10 90 2 2" xfId="58376" xr:uid="{00000000-0005-0000-0000-00007F0D0000}"/>
    <cellStyle name="Обычный 10 90 3" xfId="15655" xr:uid="{00000000-0005-0000-0000-0000800D0000}"/>
    <cellStyle name="Обычный 10 90 4" xfId="20995" xr:uid="{00000000-0005-0000-0000-0000810D0000}"/>
    <cellStyle name="Обычный 10 90 5" xfId="26335" xr:uid="{00000000-0005-0000-0000-0000820D0000}"/>
    <cellStyle name="Обычный 10 90 6" xfId="31675" xr:uid="{00000000-0005-0000-0000-0000830D0000}"/>
    <cellStyle name="Обычный 10 90 7" xfId="37015" xr:uid="{00000000-0005-0000-0000-0000840D0000}"/>
    <cellStyle name="Обычный 10 90 8" xfId="42355" xr:uid="{00000000-0005-0000-0000-0000850D0000}"/>
    <cellStyle name="Обычный 10 90 9" xfId="47695" xr:uid="{00000000-0005-0000-0000-0000860D0000}"/>
    <cellStyle name="Обычный 10 91" xfId="5004" xr:uid="{00000000-0005-0000-0000-0000870D0000}"/>
    <cellStyle name="Обычный 10 91 10" xfId="53067" xr:uid="{00000000-0005-0000-0000-0000880D0000}"/>
    <cellStyle name="Обычный 10 91 2" xfId="10347" xr:uid="{00000000-0005-0000-0000-0000890D0000}"/>
    <cellStyle name="Обычный 10 91 2 2" xfId="58408" xr:uid="{00000000-0005-0000-0000-00008A0D0000}"/>
    <cellStyle name="Обычный 10 91 3" xfId="15687" xr:uid="{00000000-0005-0000-0000-00008B0D0000}"/>
    <cellStyle name="Обычный 10 91 4" xfId="21027" xr:uid="{00000000-0005-0000-0000-00008C0D0000}"/>
    <cellStyle name="Обычный 10 91 5" xfId="26367" xr:uid="{00000000-0005-0000-0000-00008D0D0000}"/>
    <cellStyle name="Обычный 10 91 6" xfId="31707" xr:uid="{00000000-0005-0000-0000-00008E0D0000}"/>
    <cellStyle name="Обычный 10 91 7" xfId="37047" xr:uid="{00000000-0005-0000-0000-00008F0D0000}"/>
    <cellStyle name="Обычный 10 91 8" xfId="42387" xr:uid="{00000000-0005-0000-0000-0000900D0000}"/>
    <cellStyle name="Обычный 10 91 9" xfId="47727" xr:uid="{00000000-0005-0000-0000-0000910D0000}"/>
    <cellStyle name="Обычный 10 92" xfId="5036" xr:uid="{00000000-0005-0000-0000-0000920D0000}"/>
    <cellStyle name="Обычный 10 92 10" xfId="53099" xr:uid="{00000000-0005-0000-0000-0000930D0000}"/>
    <cellStyle name="Обычный 10 92 2" xfId="10379" xr:uid="{00000000-0005-0000-0000-0000940D0000}"/>
    <cellStyle name="Обычный 10 92 2 2" xfId="58440" xr:uid="{00000000-0005-0000-0000-0000950D0000}"/>
    <cellStyle name="Обычный 10 92 3" xfId="15719" xr:uid="{00000000-0005-0000-0000-0000960D0000}"/>
    <cellStyle name="Обычный 10 92 4" xfId="21059" xr:uid="{00000000-0005-0000-0000-0000970D0000}"/>
    <cellStyle name="Обычный 10 92 5" xfId="26399" xr:uid="{00000000-0005-0000-0000-0000980D0000}"/>
    <cellStyle name="Обычный 10 92 6" xfId="31739" xr:uid="{00000000-0005-0000-0000-0000990D0000}"/>
    <cellStyle name="Обычный 10 92 7" xfId="37079" xr:uid="{00000000-0005-0000-0000-00009A0D0000}"/>
    <cellStyle name="Обычный 10 92 8" xfId="42419" xr:uid="{00000000-0005-0000-0000-00009B0D0000}"/>
    <cellStyle name="Обычный 10 92 9" xfId="47759" xr:uid="{00000000-0005-0000-0000-00009C0D0000}"/>
    <cellStyle name="Обычный 10 93" xfId="5068" xr:uid="{00000000-0005-0000-0000-00009D0D0000}"/>
    <cellStyle name="Обычный 10 93 10" xfId="53131" xr:uid="{00000000-0005-0000-0000-00009E0D0000}"/>
    <cellStyle name="Обычный 10 93 2" xfId="10411" xr:uid="{00000000-0005-0000-0000-00009F0D0000}"/>
    <cellStyle name="Обычный 10 93 2 2" xfId="58472" xr:uid="{00000000-0005-0000-0000-0000A00D0000}"/>
    <cellStyle name="Обычный 10 93 3" xfId="15751" xr:uid="{00000000-0005-0000-0000-0000A10D0000}"/>
    <cellStyle name="Обычный 10 93 4" xfId="21091" xr:uid="{00000000-0005-0000-0000-0000A20D0000}"/>
    <cellStyle name="Обычный 10 93 5" xfId="26431" xr:uid="{00000000-0005-0000-0000-0000A30D0000}"/>
    <cellStyle name="Обычный 10 93 6" xfId="31771" xr:uid="{00000000-0005-0000-0000-0000A40D0000}"/>
    <cellStyle name="Обычный 10 93 7" xfId="37111" xr:uid="{00000000-0005-0000-0000-0000A50D0000}"/>
    <cellStyle name="Обычный 10 93 8" xfId="42451" xr:uid="{00000000-0005-0000-0000-0000A60D0000}"/>
    <cellStyle name="Обычный 10 93 9" xfId="47791" xr:uid="{00000000-0005-0000-0000-0000A70D0000}"/>
    <cellStyle name="Обычный 10 94" xfId="5100" xr:uid="{00000000-0005-0000-0000-0000A80D0000}"/>
    <cellStyle name="Обычный 10 94 10" xfId="53163" xr:uid="{00000000-0005-0000-0000-0000A90D0000}"/>
    <cellStyle name="Обычный 10 94 2" xfId="10443" xr:uid="{00000000-0005-0000-0000-0000AA0D0000}"/>
    <cellStyle name="Обычный 10 94 2 2" xfId="58504" xr:uid="{00000000-0005-0000-0000-0000AB0D0000}"/>
    <cellStyle name="Обычный 10 94 3" xfId="15783" xr:uid="{00000000-0005-0000-0000-0000AC0D0000}"/>
    <cellStyle name="Обычный 10 94 4" xfId="21123" xr:uid="{00000000-0005-0000-0000-0000AD0D0000}"/>
    <cellStyle name="Обычный 10 94 5" xfId="26463" xr:uid="{00000000-0005-0000-0000-0000AE0D0000}"/>
    <cellStyle name="Обычный 10 94 6" xfId="31803" xr:uid="{00000000-0005-0000-0000-0000AF0D0000}"/>
    <cellStyle name="Обычный 10 94 7" xfId="37143" xr:uid="{00000000-0005-0000-0000-0000B00D0000}"/>
    <cellStyle name="Обычный 10 94 8" xfId="42483" xr:uid="{00000000-0005-0000-0000-0000B10D0000}"/>
    <cellStyle name="Обычный 10 94 9" xfId="47823" xr:uid="{00000000-0005-0000-0000-0000B20D0000}"/>
    <cellStyle name="Обычный 10 95" xfId="5132" xr:uid="{00000000-0005-0000-0000-0000B30D0000}"/>
    <cellStyle name="Обычный 10 95 10" xfId="53195" xr:uid="{00000000-0005-0000-0000-0000B40D0000}"/>
    <cellStyle name="Обычный 10 95 2" xfId="10475" xr:uid="{00000000-0005-0000-0000-0000B50D0000}"/>
    <cellStyle name="Обычный 10 95 2 2" xfId="58536" xr:uid="{00000000-0005-0000-0000-0000B60D0000}"/>
    <cellStyle name="Обычный 10 95 3" xfId="15815" xr:uid="{00000000-0005-0000-0000-0000B70D0000}"/>
    <cellStyle name="Обычный 10 95 4" xfId="21155" xr:uid="{00000000-0005-0000-0000-0000B80D0000}"/>
    <cellStyle name="Обычный 10 95 5" xfId="26495" xr:uid="{00000000-0005-0000-0000-0000B90D0000}"/>
    <cellStyle name="Обычный 10 95 6" xfId="31835" xr:uid="{00000000-0005-0000-0000-0000BA0D0000}"/>
    <cellStyle name="Обычный 10 95 7" xfId="37175" xr:uid="{00000000-0005-0000-0000-0000BB0D0000}"/>
    <cellStyle name="Обычный 10 95 8" xfId="42515" xr:uid="{00000000-0005-0000-0000-0000BC0D0000}"/>
    <cellStyle name="Обычный 10 95 9" xfId="47855" xr:uid="{00000000-0005-0000-0000-0000BD0D0000}"/>
    <cellStyle name="Обычный 10 96" xfId="5164" xr:uid="{00000000-0005-0000-0000-0000BE0D0000}"/>
    <cellStyle name="Обычный 10 96 10" xfId="53227" xr:uid="{00000000-0005-0000-0000-0000BF0D0000}"/>
    <cellStyle name="Обычный 10 96 2" xfId="10507" xr:uid="{00000000-0005-0000-0000-0000C00D0000}"/>
    <cellStyle name="Обычный 10 96 2 2" xfId="58568" xr:uid="{00000000-0005-0000-0000-0000C10D0000}"/>
    <cellStyle name="Обычный 10 96 3" xfId="15847" xr:uid="{00000000-0005-0000-0000-0000C20D0000}"/>
    <cellStyle name="Обычный 10 96 4" xfId="21187" xr:uid="{00000000-0005-0000-0000-0000C30D0000}"/>
    <cellStyle name="Обычный 10 96 5" xfId="26527" xr:uid="{00000000-0005-0000-0000-0000C40D0000}"/>
    <cellStyle name="Обычный 10 96 6" xfId="31867" xr:uid="{00000000-0005-0000-0000-0000C50D0000}"/>
    <cellStyle name="Обычный 10 96 7" xfId="37207" xr:uid="{00000000-0005-0000-0000-0000C60D0000}"/>
    <cellStyle name="Обычный 10 96 8" xfId="42547" xr:uid="{00000000-0005-0000-0000-0000C70D0000}"/>
    <cellStyle name="Обычный 10 96 9" xfId="47887" xr:uid="{00000000-0005-0000-0000-0000C80D0000}"/>
    <cellStyle name="Обычный 10 97" xfId="5196" xr:uid="{00000000-0005-0000-0000-0000C90D0000}"/>
    <cellStyle name="Обычный 10 97 10" xfId="53259" xr:uid="{00000000-0005-0000-0000-0000CA0D0000}"/>
    <cellStyle name="Обычный 10 97 2" xfId="10539" xr:uid="{00000000-0005-0000-0000-0000CB0D0000}"/>
    <cellStyle name="Обычный 10 97 2 2" xfId="58600" xr:uid="{00000000-0005-0000-0000-0000CC0D0000}"/>
    <cellStyle name="Обычный 10 97 3" xfId="15879" xr:uid="{00000000-0005-0000-0000-0000CD0D0000}"/>
    <cellStyle name="Обычный 10 97 4" xfId="21219" xr:uid="{00000000-0005-0000-0000-0000CE0D0000}"/>
    <cellStyle name="Обычный 10 97 5" xfId="26559" xr:uid="{00000000-0005-0000-0000-0000CF0D0000}"/>
    <cellStyle name="Обычный 10 97 6" xfId="31899" xr:uid="{00000000-0005-0000-0000-0000D00D0000}"/>
    <cellStyle name="Обычный 10 97 7" xfId="37239" xr:uid="{00000000-0005-0000-0000-0000D10D0000}"/>
    <cellStyle name="Обычный 10 97 8" xfId="42579" xr:uid="{00000000-0005-0000-0000-0000D20D0000}"/>
    <cellStyle name="Обычный 10 97 9" xfId="47919" xr:uid="{00000000-0005-0000-0000-0000D30D0000}"/>
    <cellStyle name="Обычный 10 98" xfId="5228" xr:uid="{00000000-0005-0000-0000-0000D40D0000}"/>
    <cellStyle name="Обычный 10 98 10" xfId="53291" xr:uid="{00000000-0005-0000-0000-0000D50D0000}"/>
    <cellStyle name="Обычный 10 98 2" xfId="10571" xr:uid="{00000000-0005-0000-0000-0000D60D0000}"/>
    <cellStyle name="Обычный 10 98 2 2" xfId="58632" xr:uid="{00000000-0005-0000-0000-0000D70D0000}"/>
    <cellStyle name="Обычный 10 98 3" xfId="15911" xr:uid="{00000000-0005-0000-0000-0000D80D0000}"/>
    <cellStyle name="Обычный 10 98 4" xfId="21251" xr:uid="{00000000-0005-0000-0000-0000D90D0000}"/>
    <cellStyle name="Обычный 10 98 5" xfId="26591" xr:uid="{00000000-0005-0000-0000-0000DA0D0000}"/>
    <cellStyle name="Обычный 10 98 6" xfId="31931" xr:uid="{00000000-0005-0000-0000-0000DB0D0000}"/>
    <cellStyle name="Обычный 10 98 7" xfId="37271" xr:uid="{00000000-0005-0000-0000-0000DC0D0000}"/>
    <cellStyle name="Обычный 10 98 8" xfId="42611" xr:uid="{00000000-0005-0000-0000-0000DD0D0000}"/>
    <cellStyle name="Обычный 10 98 9" xfId="47951" xr:uid="{00000000-0005-0000-0000-0000DE0D0000}"/>
    <cellStyle name="Обычный 10 99" xfId="5260" xr:uid="{00000000-0005-0000-0000-0000DF0D0000}"/>
    <cellStyle name="Обычный 10 99 10" xfId="53323" xr:uid="{00000000-0005-0000-0000-0000E00D0000}"/>
    <cellStyle name="Обычный 10 99 2" xfId="10603" xr:uid="{00000000-0005-0000-0000-0000E10D0000}"/>
    <cellStyle name="Обычный 10 99 2 2" xfId="58664" xr:uid="{00000000-0005-0000-0000-0000E20D0000}"/>
    <cellStyle name="Обычный 10 99 3" xfId="15943" xr:uid="{00000000-0005-0000-0000-0000E30D0000}"/>
    <cellStyle name="Обычный 10 99 4" xfId="21283" xr:uid="{00000000-0005-0000-0000-0000E40D0000}"/>
    <cellStyle name="Обычный 10 99 5" xfId="26623" xr:uid="{00000000-0005-0000-0000-0000E50D0000}"/>
    <cellStyle name="Обычный 10 99 6" xfId="31963" xr:uid="{00000000-0005-0000-0000-0000E60D0000}"/>
    <cellStyle name="Обычный 10 99 7" xfId="37303" xr:uid="{00000000-0005-0000-0000-0000E70D0000}"/>
    <cellStyle name="Обычный 10 99 8" xfId="42643" xr:uid="{00000000-0005-0000-0000-0000E80D0000}"/>
    <cellStyle name="Обычный 10 99 9" xfId="47983" xr:uid="{00000000-0005-0000-0000-0000E90D0000}"/>
    <cellStyle name="Обычный 11" xfId="2503" xr:uid="{00000000-0005-0000-0000-0000EA0D0000}"/>
    <cellStyle name="Обычный 11 10" xfId="2795" xr:uid="{00000000-0005-0000-0000-0000EB0D0000}"/>
    <cellStyle name="Обычный 11 10 10" xfId="50859" xr:uid="{00000000-0005-0000-0000-0000EC0D0000}"/>
    <cellStyle name="Обычный 11 10 2" xfId="8138" xr:uid="{00000000-0005-0000-0000-0000ED0D0000}"/>
    <cellStyle name="Обычный 11 10 2 2" xfId="56200" xr:uid="{00000000-0005-0000-0000-0000EE0D0000}"/>
    <cellStyle name="Обычный 11 10 3" xfId="13479" xr:uid="{00000000-0005-0000-0000-0000EF0D0000}"/>
    <cellStyle name="Обычный 11 10 4" xfId="18819" xr:uid="{00000000-0005-0000-0000-0000F00D0000}"/>
    <cellStyle name="Обычный 11 10 5" xfId="24159" xr:uid="{00000000-0005-0000-0000-0000F10D0000}"/>
    <cellStyle name="Обычный 11 10 6" xfId="29499" xr:uid="{00000000-0005-0000-0000-0000F20D0000}"/>
    <cellStyle name="Обычный 11 10 7" xfId="34839" xr:uid="{00000000-0005-0000-0000-0000F30D0000}"/>
    <cellStyle name="Обычный 11 10 8" xfId="40179" xr:uid="{00000000-0005-0000-0000-0000F40D0000}"/>
    <cellStyle name="Обычный 11 10 9" xfId="45519" xr:uid="{00000000-0005-0000-0000-0000F50D0000}"/>
    <cellStyle name="Обычный 11 100" xfId="50567" xr:uid="{00000000-0005-0000-0000-0000F60D0000}"/>
    <cellStyle name="Обычный 11 11" xfId="2827" xr:uid="{00000000-0005-0000-0000-0000F70D0000}"/>
    <cellStyle name="Обычный 11 11 10" xfId="50891" xr:uid="{00000000-0005-0000-0000-0000F80D0000}"/>
    <cellStyle name="Обычный 11 11 2" xfId="8170" xr:uid="{00000000-0005-0000-0000-0000F90D0000}"/>
    <cellStyle name="Обычный 11 11 2 2" xfId="56232" xr:uid="{00000000-0005-0000-0000-0000FA0D0000}"/>
    <cellStyle name="Обычный 11 11 3" xfId="13511" xr:uid="{00000000-0005-0000-0000-0000FB0D0000}"/>
    <cellStyle name="Обычный 11 11 4" xfId="18851" xr:uid="{00000000-0005-0000-0000-0000FC0D0000}"/>
    <cellStyle name="Обычный 11 11 5" xfId="24191" xr:uid="{00000000-0005-0000-0000-0000FD0D0000}"/>
    <cellStyle name="Обычный 11 11 6" xfId="29531" xr:uid="{00000000-0005-0000-0000-0000FE0D0000}"/>
    <cellStyle name="Обычный 11 11 7" xfId="34871" xr:uid="{00000000-0005-0000-0000-0000FF0D0000}"/>
    <cellStyle name="Обычный 11 11 8" xfId="40211" xr:uid="{00000000-0005-0000-0000-0000000E0000}"/>
    <cellStyle name="Обычный 11 11 9" xfId="45551" xr:uid="{00000000-0005-0000-0000-0000010E0000}"/>
    <cellStyle name="Обычный 11 12" xfId="2859" xr:uid="{00000000-0005-0000-0000-0000020E0000}"/>
    <cellStyle name="Обычный 11 12 10" xfId="50923" xr:uid="{00000000-0005-0000-0000-0000030E0000}"/>
    <cellStyle name="Обычный 11 12 2" xfId="8202" xr:uid="{00000000-0005-0000-0000-0000040E0000}"/>
    <cellStyle name="Обычный 11 12 2 2" xfId="56264" xr:uid="{00000000-0005-0000-0000-0000050E0000}"/>
    <cellStyle name="Обычный 11 12 3" xfId="13543" xr:uid="{00000000-0005-0000-0000-0000060E0000}"/>
    <cellStyle name="Обычный 11 12 4" xfId="18883" xr:uid="{00000000-0005-0000-0000-0000070E0000}"/>
    <cellStyle name="Обычный 11 12 5" xfId="24223" xr:uid="{00000000-0005-0000-0000-0000080E0000}"/>
    <cellStyle name="Обычный 11 12 6" xfId="29563" xr:uid="{00000000-0005-0000-0000-0000090E0000}"/>
    <cellStyle name="Обычный 11 12 7" xfId="34903" xr:uid="{00000000-0005-0000-0000-00000A0E0000}"/>
    <cellStyle name="Обычный 11 12 8" xfId="40243" xr:uid="{00000000-0005-0000-0000-00000B0E0000}"/>
    <cellStyle name="Обычный 11 12 9" xfId="45583" xr:uid="{00000000-0005-0000-0000-00000C0E0000}"/>
    <cellStyle name="Обычный 11 13" xfId="2891" xr:uid="{00000000-0005-0000-0000-00000D0E0000}"/>
    <cellStyle name="Обычный 11 13 10" xfId="50955" xr:uid="{00000000-0005-0000-0000-00000E0E0000}"/>
    <cellStyle name="Обычный 11 13 2" xfId="8234" xr:uid="{00000000-0005-0000-0000-00000F0E0000}"/>
    <cellStyle name="Обычный 11 13 2 2" xfId="56296" xr:uid="{00000000-0005-0000-0000-0000100E0000}"/>
    <cellStyle name="Обычный 11 13 3" xfId="13575" xr:uid="{00000000-0005-0000-0000-0000110E0000}"/>
    <cellStyle name="Обычный 11 13 4" xfId="18915" xr:uid="{00000000-0005-0000-0000-0000120E0000}"/>
    <cellStyle name="Обычный 11 13 5" xfId="24255" xr:uid="{00000000-0005-0000-0000-0000130E0000}"/>
    <cellStyle name="Обычный 11 13 6" xfId="29595" xr:uid="{00000000-0005-0000-0000-0000140E0000}"/>
    <cellStyle name="Обычный 11 13 7" xfId="34935" xr:uid="{00000000-0005-0000-0000-0000150E0000}"/>
    <cellStyle name="Обычный 11 13 8" xfId="40275" xr:uid="{00000000-0005-0000-0000-0000160E0000}"/>
    <cellStyle name="Обычный 11 13 9" xfId="45615" xr:uid="{00000000-0005-0000-0000-0000170E0000}"/>
    <cellStyle name="Обычный 11 14" xfId="2923" xr:uid="{00000000-0005-0000-0000-0000180E0000}"/>
    <cellStyle name="Обычный 11 14 10" xfId="50987" xr:uid="{00000000-0005-0000-0000-0000190E0000}"/>
    <cellStyle name="Обычный 11 14 2" xfId="8266" xr:uid="{00000000-0005-0000-0000-00001A0E0000}"/>
    <cellStyle name="Обычный 11 14 2 2" xfId="56328" xr:uid="{00000000-0005-0000-0000-00001B0E0000}"/>
    <cellStyle name="Обычный 11 14 3" xfId="13607" xr:uid="{00000000-0005-0000-0000-00001C0E0000}"/>
    <cellStyle name="Обычный 11 14 4" xfId="18947" xr:uid="{00000000-0005-0000-0000-00001D0E0000}"/>
    <cellStyle name="Обычный 11 14 5" xfId="24287" xr:uid="{00000000-0005-0000-0000-00001E0E0000}"/>
    <cellStyle name="Обычный 11 14 6" xfId="29627" xr:uid="{00000000-0005-0000-0000-00001F0E0000}"/>
    <cellStyle name="Обычный 11 14 7" xfId="34967" xr:uid="{00000000-0005-0000-0000-0000200E0000}"/>
    <cellStyle name="Обычный 11 14 8" xfId="40307" xr:uid="{00000000-0005-0000-0000-0000210E0000}"/>
    <cellStyle name="Обычный 11 14 9" xfId="45647" xr:uid="{00000000-0005-0000-0000-0000220E0000}"/>
    <cellStyle name="Обычный 11 15" xfId="2955" xr:uid="{00000000-0005-0000-0000-0000230E0000}"/>
    <cellStyle name="Обычный 11 15 10" xfId="51019" xr:uid="{00000000-0005-0000-0000-0000240E0000}"/>
    <cellStyle name="Обычный 11 15 2" xfId="8298" xr:uid="{00000000-0005-0000-0000-0000250E0000}"/>
    <cellStyle name="Обычный 11 15 2 2" xfId="56360" xr:uid="{00000000-0005-0000-0000-0000260E0000}"/>
    <cellStyle name="Обычный 11 15 3" xfId="13639" xr:uid="{00000000-0005-0000-0000-0000270E0000}"/>
    <cellStyle name="Обычный 11 15 4" xfId="18979" xr:uid="{00000000-0005-0000-0000-0000280E0000}"/>
    <cellStyle name="Обычный 11 15 5" xfId="24319" xr:uid="{00000000-0005-0000-0000-0000290E0000}"/>
    <cellStyle name="Обычный 11 15 6" xfId="29659" xr:uid="{00000000-0005-0000-0000-00002A0E0000}"/>
    <cellStyle name="Обычный 11 15 7" xfId="34999" xr:uid="{00000000-0005-0000-0000-00002B0E0000}"/>
    <cellStyle name="Обычный 11 15 8" xfId="40339" xr:uid="{00000000-0005-0000-0000-00002C0E0000}"/>
    <cellStyle name="Обычный 11 15 9" xfId="45679" xr:uid="{00000000-0005-0000-0000-00002D0E0000}"/>
    <cellStyle name="Обычный 11 16" xfId="2987" xr:uid="{00000000-0005-0000-0000-00002E0E0000}"/>
    <cellStyle name="Обычный 11 16 10" xfId="51051" xr:uid="{00000000-0005-0000-0000-00002F0E0000}"/>
    <cellStyle name="Обычный 11 16 2" xfId="8330" xr:uid="{00000000-0005-0000-0000-0000300E0000}"/>
    <cellStyle name="Обычный 11 16 2 2" xfId="56392" xr:uid="{00000000-0005-0000-0000-0000310E0000}"/>
    <cellStyle name="Обычный 11 16 3" xfId="13671" xr:uid="{00000000-0005-0000-0000-0000320E0000}"/>
    <cellStyle name="Обычный 11 16 4" xfId="19011" xr:uid="{00000000-0005-0000-0000-0000330E0000}"/>
    <cellStyle name="Обычный 11 16 5" xfId="24351" xr:uid="{00000000-0005-0000-0000-0000340E0000}"/>
    <cellStyle name="Обычный 11 16 6" xfId="29691" xr:uid="{00000000-0005-0000-0000-0000350E0000}"/>
    <cellStyle name="Обычный 11 16 7" xfId="35031" xr:uid="{00000000-0005-0000-0000-0000360E0000}"/>
    <cellStyle name="Обычный 11 16 8" xfId="40371" xr:uid="{00000000-0005-0000-0000-0000370E0000}"/>
    <cellStyle name="Обычный 11 16 9" xfId="45711" xr:uid="{00000000-0005-0000-0000-0000380E0000}"/>
    <cellStyle name="Обычный 11 17" xfId="3019" xr:uid="{00000000-0005-0000-0000-0000390E0000}"/>
    <cellStyle name="Обычный 11 17 10" xfId="51083" xr:uid="{00000000-0005-0000-0000-00003A0E0000}"/>
    <cellStyle name="Обычный 11 17 2" xfId="8362" xr:uid="{00000000-0005-0000-0000-00003B0E0000}"/>
    <cellStyle name="Обычный 11 17 2 2" xfId="56424" xr:uid="{00000000-0005-0000-0000-00003C0E0000}"/>
    <cellStyle name="Обычный 11 17 3" xfId="13703" xr:uid="{00000000-0005-0000-0000-00003D0E0000}"/>
    <cellStyle name="Обычный 11 17 4" xfId="19043" xr:uid="{00000000-0005-0000-0000-00003E0E0000}"/>
    <cellStyle name="Обычный 11 17 5" xfId="24383" xr:uid="{00000000-0005-0000-0000-00003F0E0000}"/>
    <cellStyle name="Обычный 11 17 6" xfId="29723" xr:uid="{00000000-0005-0000-0000-0000400E0000}"/>
    <cellStyle name="Обычный 11 17 7" xfId="35063" xr:uid="{00000000-0005-0000-0000-0000410E0000}"/>
    <cellStyle name="Обычный 11 17 8" xfId="40403" xr:uid="{00000000-0005-0000-0000-0000420E0000}"/>
    <cellStyle name="Обычный 11 17 9" xfId="45743" xr:uid="{00000000-0005-0000-0000-0000430E0000}"/>
    <cellStyle name="Обычный 11 18" xfId="3051" xr:uid="{00000000-0005-0000-0000-0000440E0000}"/>
    <cellStyle name="Обычный 11 18 10" xfId="51115" xr:uid="{00000000-0005-0000-0000-0000450E0000}"/>
    <cellStyle name="Обычный 11 18 2" xfId="8394" xr:uid="{00000000-0005-0000-0000-0000460E0000}"/>
    <cellStyle name="Обычный 11 18 2 2" xfId="56456" xr:uid="{00000000-0005-0000-0000-0000470E0000}"/>
    <cellStyle name="Обычный 11 18 3" xfId="13735" xr:uid="{00000000-0005-0000-0000-0000480E0000}"/>
    <cellStyle name="Обычный 11 18 4" xfId="19075" xr:uid="{00000000-0005-0000-0000-0000490E0000}"/>
    <cellStyle name="Обычный 11 18 5" xfId="24415" xr:uid="{00000000-0005-0000-0000-00004A0E0000}"/>
    <cellStyle name="Обычный 11 18 6" xfId="29755" xr:uid="{00000000-0005-0000-0000-00004B0E0000}"/>
    <cellStyle name="Обычный 11 18 7" xfId="35095" xr:uid="{00000000-0005-0000-0000-00004C0E0000}"/>
    <cellStyle name="Обычный 11 18 8" xfId="40435" xr:uid="{00000000-0005-0000-0000-00004D0E0000}"/>
    <cellStyle name="Обычный 11 18 9" xfId="45775" xr:uid="{00000000-0005-0000-0000-00004E0E0000}"/>
    <cellStyle name="Обычный 11 19" xfId="3083" xr:uid="{00000000-0005-0000-0000-00004F0E0000}"/>
    <cellStyle name="Обычный 11 19 10" xfId="51147" xr:uid="{00000000-0005-0000-0000-0000500E0000}"/>
    <cellStyle name="Обычный 11 19 2" xfId="8426" xr:uid="{00000000-0005-0000-0000-0000510E0000}"/>
    <cellStyle name="Обычный 11 19 2 2" xfId="56488" xr:uid="{00000000-0005-0000-0000-0000520E0000}"/>
    <cellStyle name="Обычный 11 19 3" xfId="13767" xr:uid="{00000000-0005-0000-0000-0000530E0000}"/>
    <cellStyle name="Обычный 11 19 4" xfId="19107" xr:uid="{00000000-0005-0000-0000-0000540E0000}"/>
    <cellStyle name="Обычный 11 19 5" xfId="24447" xr:uid="{00000000-0005-0000-0000-0000550E0000}"/>
    <cellStyle name="Обычный 11 19 6" xfId="29787" xr:uid="{00000000-0005-0000-0000-0000560E0000}"/>
    <cellStyle name="Обычный 11 19 7" xfId="35127" xr:uid="{00000000-0005-0000-0000-0000570E0000}"/>
    <cellStyle name="Обычный 11 19 8" xfId="40467" xr:uid="{00000000-0005-0000-0000-0000580E0000}"/>
    <cellStyle name="Обычный 11 19 9" xfId="45807" xr:uid="{00000000-0005-0000-0000-0000590E0000}"/>
    <cellStyle name="Обычный 11 2" xfId="2535" xr:uid="{00000000-0005-0000-0000-00005A0E0000}"/>
    <cellStyle name="Обычный 11 2 10" xfId="50599" xr:uid="{00000000-0005-0000-0000-00005B0E0000}"/>
    <cellStyle name="Обычный 11 2 2" xfId="7878" xr:uid="{00000000-0005-0000-0000-00005C0E0000}"/>
    <cellStyle name="Обычный 11 2 2 2" xfId="55940" xr:uid="{00000000-0005-0000-0000-00005D0E0000}"/>
    <cellStyle name="Обычный 11 2 3" xfId="13219" xr:uid="{00000000-0005-0000-0000-00005E0E0000}"/>
    <cellStyle name="Обычный 11 2 4" xfId="18559" xr:uid="{00000000-0005-0000-0000-00005F0E0000}"/>
    <cellStyle name="Обычный 11 2 5" xfId="23899" xr:uid="{00000000-0005-0000-0000-0000600E0000}"/>
    <cellStyle name="Обычный 11 2 6" xfId="29239" xr:uid="{00000000-0005-0000-0000-0000610E0000}"/>
    <cellStyle name="Обычный 11 2 7" xfId="34579" xr:uid="{00000000-0005-0000-0000-0000620E0000}"/>
    <cellStyle name="Обычный 11 2 8" xfId="39919" xr:uid="{00000000-0005-0000-0000-0000630E0000}"/>
    <cellStyle name="Обычный 11 2 9" xfId="45259" xr:uid="{00000000-0005-0000-0000-0000640E0000}"/>
    <cellStyle name="Обычный 11 20" xfId="3115" xr:uid="{00000000-0005-0000-0000-0000650E0000}"/>
    <cellStyle name="Обычный 11 20 10" xfId="51179" xr:uid="{00000000-0005-0000-0000-0000660E0000}"/>
    <cellStyle name="Обычный 11 20 2" xfId="8458" xr:uid="{00000000-0005-0000-0000-0000670E0000}"/>
    <cellStyle name="Обычный 11 20 2 2" xfId="56520" xr:uid="{00000000-0005-0000-0000-0000680E0000}"/>
    <cellStyle name="Обычный 11 20 3" xfId="13799" xr:uid="{00000000-0005-0000-0000-0000690E0000}"/>
    <cellStyle name="Обычный 11 20 4" xfId="19139" xr:uid="{00000000-0005-0000-0000-00006A0E0000}"/>
    <cellStyle name="Обычный 11 20 5" xfId="24479" xr:uid="{00000000-0005-0000-0000-00006B0E0000}"/>
    <cellStyle name="Обычный 11 20 6" xfId="29819" xr:uid="{00000000-0005-0000-0000-00006C0E0000}"/>
    <cellStyle name="Обычный 11 20 7" xfId="35159" xr:uid="{00000000-0005-0000-0000-00006D0E0000}"/>
    <cellStyle name="Обычный 11 20 8" xfId="40499" xr:uid="{00000000-0005-0000-0000-00006E0E0000}"/>
    <cellStyle name="Обычный 11 20 9" xfId="45839" xr:uid="{00000000-0005-0000-0000-00006F0E0000}"/>
    <cellStyle name="Обычный 11 21" xfId="3148" xr:uid="{00000000-0005-0000-0000-0000700E0000}"/>
    <cellStyle name="Обычный 11 21 10" xfId="51211" xr:uid="{00000000-0005-0000-0000-0000710E0000}"/>
    <cellStyle name="Обычный 11 21 2" xfId="8491" xr:uid="{00000000-0005-0000-0000-0000720E0000}"/>
    <cellStyle name="Обычный 11 21 2 2" xfId="56552" xr:uid="{00000000-0005-0000-0000-0000730E0000}"/>
    <cellStyle name="Обычный 11 21 3" xfId="13831" xr:uid="{00000000-0005-0000-0000-0000740E0000}"/>
    <cellStyle name="Обычный 11 21 4" xfId="19171" xr:uid="{00000000-0005-0000-0000-0000750E0000}"/>
    <cellStyle name="Обычный 11 21 5" xfId="24511" xr:uid="{00000000-0005-0000-0000-0000760E0000}"/>
    <cellStyle name="Обычный 11 21 6" xfId="29851" xr:uid="{00000000-0005-0000-0000-0000770E0000}"/>
    <cellStyle name="Обычный 11 21 7" xfId="35191" xr:uid="{00000000-0005-0000-0000-0000780E0000}"/>
    <cellStyle name="Обычный 11 21 8" xfId="40531" xr:uid="{00000000-0005-0000-0000-0000790E0000}"/>
    <cellStyle name="Обычный 11 21 9" xfId="45871" xr:uid="{00000000-0005-0000-0000-00007A0E0000}"/>
    <cellStyle name="Обычный 11 22" xfId="3180" xr:uid="{00000000-0005-0000-0000-00007B0E0000}"/>
    <cellStyle name="Обычный 11 22 10" xfId="51243" xr:uid="{00000000-0005-0000-0000-00007C0E0000}"/>
    <cellStyle name="Обычный 11 22 2" xfId="8523" xr:uid="{00000000-0005-0000-0000-00007D0E0000}"/>
    <cellStyle name="Обычный 11 22 2 2" xfId="56584" xr:uid="{00000000-0005-0000-0000-00007E0E0000}"/>
    <cellStyle name="Обычный 11 22 3" xfId="13863" xr:uid="{00000000-0005-0000-0000-00007F0E0000}"/>
    <cellStyle name="Обычный 11 22 4" xfId="19203" xr:uid="{00000000-0005-0000-0000-0000800E0000}"/>
    <cellStyle name="Обычный 11 22 5" xfId="24543" xr:uid="{00000000-0005-0000-0000-0000810E0000}"/>
    <cellStyle name="Обычный 11 22 6" xfId="29883" xr:uid="{00000000-0005-0000-0000-0000820E0000}"/>
    <cellStyle name="Обычный 11 22 7" xfId="35223" xr:uid="{00000000-0005-0000-0000-0000830E0000}"/>
    <cellStyle name="Обычный 11 22 8" xfId="40563" xr:uid="{00000000-0005-0000-0000-0000840E0000}"/>
    <cellStyle name="Обычный 11 22 9" xfId="45903" xr:uid="{00000000-0005-0000-0000-0000850E0000}"/>
    <cellStyle name="Обычный 11 23" xfId="3212" xr:uid="{00000000-0005-0000-0000-0000860E0000}"/>
    <cellStyle name="Обычный 11 23 10" xfId="51275" xr:uid="{00000000-0005-0000-0000-0000870E0000}"/>
    <cellStyle name="Обычный 11 23 2" xfId="8555" xr:uid="{00000000-0005-0000-0000-0000880E0000}"/>
    <cellStyle name="Обычный 11 23 2 2" xfId="56616" xr:uid="{00000000-0005-0000-0000-0000890E0000}"/>
    <cellStyle name="Обычный 11 23 3" xfId="13895" xr:uid="{00000000-0005-0000-0000-00008A0E0000}"/>
    <cellStyle name="Обычный 11 23 4" xfId="19235" xr:uid="{00000000-0005-0000-0000-00008B0E0000}"/>
    <cellStyle name="Обычный 11 23 5" xfId="24575" xr:uid="{00000000-0005-0000-0000-00008C0E0000}"/>
    <cellStyle name="Обычный 11 23 6" xfId="29915" xr:uid="{00000000-0005-0000-0000-00008D0E0000}"/>
    <cellStyle name="Обычный 11 23 7" xfId="35255" xr:uid="{00000000-0005-0000-0000-00008E0E0000}"/>
    <cellStyle name="Обычный 11 23 8" xfId="40595" xr:uid="{00000000-0005-0000-0000-00008F0E0000}"/>
    <cellStyle name="Обычный 11 23 9" xfId="45935" xr:uid="{00000000-0005-0000-0000-0000900E0000}"/>
    <cellStyle name="Обычный 11 24" xfId="3244" xr:uid="{00000000-0005-0000-0000-0000910E0000}"/>
    <cellStyle name="Обычный 11 24 10" xfId="51307" xr:uid="{00000000-0005-0000-0000-0000920E0000}"/>
    <cellStyle name="Обычный 11 24 2" xfId="8587" xr:uid="{00000000-0005-0000-0000-0000930E0000}"/>
    <cellStyle name="Обычный 11 24 2 2" xfId="56648" xr:uid="{00000000-0005-0000-0000-0000940E0000}"/>
    <cellStyle name="Обычный 11 24 3" xfId="13927" xr:uid="{00000000-0005-0000-0000-0000950E0000}"/>
    <cellStyle name="Обычный 11 24 4" xfId="19267" xr:uid="{00000000-0005-0000-0000-0000960E0000}"/>
    <cellStyle name="Обычный 11 24 5" xfId="24607" xr:uid="{00000000-0005-0000-0000-0000970E0000}"/>
    <cellStyle name="Обычный 11 24 6" xfId="29947" xr:uid="{00000000-0005-0000-0000-0000980E0000}"/>
    <cellStyle name="Обычный 11 24 7" xfId="35287" xr:uid="{00000000-0005-0000-0000-0000990E0000}"/>
    <cellStyle name="Обычный 11 24 8" xfId="40627" xr:uid="{00000000-0005-0000-0000-00009A0E0000}"/>
    <cellStyle name="Обычный 11 24 9" xfId="45967" xr:uid="{00000000-0005-0000-0000-00009B0E0000}"/>
    <cellStyle name="Обычный 11 25" xfId="3276" xr:uid="{00000000-0005-0000-0000-00009C0E0000}"/>
    <cellStyle name="Обычный 11 25 10" xfId="51339" xr:uid="{00000000-0005-0000-0000-00009D0E0000}"/>
    <cellStyle name="Обычный 11 25 2" xfId="8619" xr:uid="{00000000-0005-0000-0000-00009E0E0000}"/>
    <cellStyle name="Обычный 11 25 2 2" xfId="56680" xr:uid="{00000000-0005-0000-0000-00009F0E0000}"/>
    <cellStyle name="Обычный 11 25 3" xfId="13959" xr:uid="{00000000-0005-0000-0000-0000A00E0000}"/>
    <cellStyle name="Обычный 11 25 4" xfId="19299" xr:uid="{00000000-0005-0000-0000-0000A10E0000}"/>
    <cellStyle name="Обычный 11 25 5" xfId="24639" xr:uid="{00000000-0005-0000-0000-0000A20E0000}"/>
    <cellStyle name="Обычный 11 25 6" xfId="29979" xr:uid="{00000000-0005-0000-0000-0000A30E0000}"/>
    <cellStyle name="Обычный 11 25 7" xfId="35319" xr:uid="{00000000-0005-0000-0000-0000A40E0000}"/>
    <cellStyle name="Обычный 11 25 8" xfId="40659" xr:uid="{00000000-0005-0000-0000-0000A50E0000}"/>
    <cellStyle name="Обычный 11 25 9" xfId="45999" xr:uid="{00000000-0005-0000-0000-0000A60E0000}"/>
    <cellStyle name="Обычный 11 26" xfId="3308" xr:uid="{00000000-0005-0000-0000-0000A70E0000}"/>
    <cellStyle name="Обычный 11 26 10" xfId="51371" xr:uid="{00000000-0005-0000-0000-0000A80E0000}"/>
    <cellStyle name="Обычный 11 26 2" xfId="8651" xr:uid="{00000000-0005-0000-0000-0000A90E0000}"/>
    <cellStyle name="Обычный 11 26 2 2" xfId="56712" xr:uid="{00000000-0005-0000-0000-0000AA0E0000}"/>
    <cellStyle name="Обычный 11 26 3" xfId="13991" xr:uid="{00000000-0005-0000-0000-0000AB0E0000}"/>
    <cellStyle name="Обычный 11 26 4" xfId="19331" xr:uid="{00000000-0005-0000-0000-0000AC0E0000}"/>
    <cellStyle name="Обычный 11 26 5" xfId="24671" xr:uid="{00000000-0005-0000-0000-0000AD0E0000}"/>
    <cellStyle name="Обычный 11 26 6" xfId="30011" xr:uid="{00000000-0005-0000-0000-0000AE0E0000}"/>
    <cellStyle name="Обычный 11 26 7" xfId="35351" xr:uid="{00000000-0005-0000-0000-0000AF0E0000}"/>
    <cellStyle name="Обычный 11 26 8" xfId="40691" xr:uid="{00000000-0005-0000-0000-0000B00E0000}"/>
    <cellStyle name="Обычный 11 26 9" xfId="46031" xr:uid="{00000000-0005-0000-0000-0000B10E0000}"/>
    <cellStyle name="Обычный 11 27" xfId="3340" xr:uid="{00000000-0005-0000-0000-0000B20E0000}"/>
    <cellStyle name="Обычный 11 27 10" xfId="51403" xr:uid="{00000000-0005-0000-0000-0000B30E0000}"/>
    <cellStyle name="Обычный 11 27 2" xfId="8683" xr:uid="{00000000-0005-0000-0000-0000B40E0000}"/>
    <cellStyle name="Обычный 11 27 2 2" xfId="56744" xr:uid="{00000000-0005-0000-0000-0000B50E0000}"/>
    <cellStyle name="Обычный 11 27 3" xfId="14023" xr:uid="{00000000-0005-0000-0000-0000B60E0000}"/>
    <cellStyle name="Обычный 11 27 4" xfId="19363" xr:uid="{00000000-0005-0000-0000-0000B70E0000}"/>
    <cellStyle name="Обычный 11 27 5" xfId="24703" xr:uid="{00000000-0005-0000-0000-0000B80E0000}"/>
    <cellStyle name="Обычный 11 27 6" xfId="30043" xr:uid="{00000000-0005-0000-0000-0000B90E0000}"/>
    <cellStyle name="Обычный 11 27 7" xfId="35383" xr:uid="{00000000-0005-0000-0000-0000BA0E0000}"/>
    <cellStyle name="Обычный 11 27 8" xfId="40723" xr:uid="{00000000-0005-0000-0000-0000BB0E0000}"/>
    <cellStyle name="Обычный 11 27 9" xfId="46063" xr:uid="{00000000-0005-0000-0000-0000BC0E0000}"/>
    <cellStyle name="Обычный 11 28" xfId="3372" xr:uid="{00000000-0005-0000-0000-0000BD0E0000}"/>
    <cellStyle name="Обычный 11 28 10" xfId="51435" xr:uid="{00000000-0005-0000-0000-0000BE0E0000}"/>
    <cellStyle name="Обычный 11 28 2" xfId="8715" xr:uid="{00000000-0005-0000-0000-0000BF0E0000}"/>
    <cellStyle name="Обычный 11 28 2 2" xfId="56776" xr:uid="{00000000-0005-0000-0000-0000C00E0000}"/>
    <cellStyle name="Обычный 11 28 3" xfId="14055" xr:uid="{00000000-0005-0000-0000-0000C10E0000}"/>
    <cellStyle name="Обычный 11 28 4" xfId="19395" xr:uid="{00000000-0005-0000-0000-0000C20E0000}"/>
    <cellStyle name="Обычный 11 28 5" xfId="24735" xr:uid="{00000000-0005-0000-0000-0000C30E0000}"/>
    <cellStyle name="Обычный 11 28 6" xfId="30075" xr:uid="{00000000-0005-0000-0000-0000C40E0000}"/>
    <cellStyle name="Обычный 11 28 7" xfId="35415" xr:uid="{00000000-0005-0000-0000-0000C50E0000}"/>
    <cellStyle name="Обычный 11 28 8" xfId="40755" xr:uid="{00000000-0005-0000-0000-0000C60E0000}"/>
    <cellStyle name="Обычный 11 28 9" xfId="46095" xr:uid="{00000000-0005-0000-0000-0000C70E0000}"/>
    <cellStyle name="Обычный 11 29" xfId="3404" xr:uid="{00000000-0005-0000-0000-0000C80E0000}"/>
    <cellStyle name="Обычный 11 29 10" xfId="51467" xr:uid="{00000000-0005-0000-0000-0000C90E0000}"/>
    <cellStyle name="Обычный 11 29 2" xfId="8747" xr:uid="{00000000-0005-0000-0000-0000CA0E0000}"/>
    <cellStyle name="Обычный 11 29 2 2" xfId="56808" xr:uid="{00000000-0005-0000-0000-0000CB0E0000}"/>
    <cellStyle name="Обычный 11 29 3" xfId="14087" xr:uid="{00000000-0005-0000-0000-0000CC0E0000}"/>
    <cellStyle name="Обычный 11 29 4" xfId="19427" xr:uid="{00000000-0005-0000-0000-0000CD0E0000}"/>
    <cellStyle name="Обычный 11 29 5" xfId="24767" xr:uid="{00000000-0005-0000-0000-0000CE0E0000}"/>
    <cellStyle name="Обычный 11 29 6" xfId="30107" xr:uid="{00000000-0005-0000-0000-0000CF0E0000}"/>
    <cellStyle name="Обычный 11 29 7" xfId="35447" xr:uid="{00000000-0005-0000-0000-0000D00E0000}"/>
    <cellStyle name="Обычный 11 29 8" xfId="40787" xr:uid="{00000000-0005-0000-0000-0000D10E0000}"/>
    <cellStyle name="Обычный 11 29 9" xfId="46127" xr:uid="{00000000-0005-0000-0000-0000D20E0000}"/>
    <cellStyle name="Обычный 11 3" xfId="2569" xr:uid="{00000000-0005-0000-0000-0000D30E0000}"/>
    <cellStyle name="Обычный 11 3 10" xfId="50633" xr:uid="{00000000-0005-0000-0000-0000D40E0000}"/>
    <cellStyle name="Обычный 11 3 2" xfId="7912" xr:uid="{00000000-0005-0000-0000-0000D50E0000}"/>
    <cellStyle name="Обычный 11 3 2 2" xfId="55974" xr:uid="{00000000-0005-0000-0000-0000D60E0000}"/>
    <cellStyle name="Обычный 11 3 3" xfId="13253" xr:uid="{00000000-0005-0000-0000-0000D70E0000}"/>
    <cellStyle name="Обычный 11 3 4" xfId="18593" xr:uid="{00000000-0005-0000-0000-0000D80E0000}"/>
    <cellStyle name="Обычный 11 3 5" xfId="23933" xr:uid="{00000000-0005-0000-0000-0000D90E0000}"/>
    <cellStyle name="Обычный 11 3 6" xfId="29273" xr:uid="{00000000-0005-0000-0000-0000DA0E0000}"/>
    <cellStyle name="Обычный 11 3 7" xfId="34613" xr:uid="{00000000-0005-0000-0000-0000DB0E0000}"/>
    <cellStyle name="Обычный 11 3 8" xfId="39953" xr:uid="{00000000-0005-0000-0000-0000DC0E0000}"/>
    <cellStyle name="Обычный 11 3 9" xfId="45293" xr:uid="{00000000-0005-0000-0000-0000DD0E0000}"/>
    <cellStyle name="Обычный 11 30" xfId="3436" xr:uid="{00000000-0005-0000-0000-0000DE0E0000}"/>
    <cellStyle name="Обычный 11 30 10" xfId="51499" xr:uid="{00000000-0005-0000-0000-0000DF0E0000}"/>
    <cellStyle name="Обычный 11 30 2" xfId="8779" xr:uid="{00000000-0005-0000-0000-0000E00E0000}"/>
    <cellStyle name="Обычный 11 30 2 2" xfId="56840" xr:uid="{00000000-0005-0000-0000-0000E10E0000}"/>
    <cellStyle name="Обычный 11 30 3" xfId="14119" xr:uid="{00000000-0005-0000-0000-0000E20E0000}"/>
    <cellStyle name="Обычный 11 30 4" xfId="19459" xr:uid="{00000000-0005-0000-0000-0000E30E0000}"/>
    <cellStyle name="Обычный 11 30 5" xfId="24799" xr:uid="{00000000-0005-0000-0000-0000E40E0000}"/>
    <cellStyle name="Обычный 11 30 6" xfId="30139" xr:uid="{00000000-0005-0000-0000-0000E50E0000}"/>
    <cellStyle name="Обычный 11 30 7" xfId="35479" xr:uid="{00000000-0005-0000-0000-0000E60E0000}"/>
    <cellStyle name="Обычный 11 30 8" xfId="40819" xr:uid="{00000000-0005-0000-0000-0000E70E0000}"/>
    <cellStyle name="Обычный 11 30 9" xfId="46159" xr:uid="{00000000-0005-0000-0000-0000E80E0000}"/>
    <cellStyle name="Обычный 11 31" xfId="3468" xr:uid="{00000000-0005-0000-0000-0000E90E0000}"/>
    <cellStyle name="Обычный 11 31 10" xfId="51531" xr:uid="{00000000-0005-0000-0000-0000EA0E0000}"/>
    <cellStyle name="Обычный 11 31 2" xfId="8811" xr:uid="{00000000-0005-0000-0000-0000EB0E0000}"/>
    <cellStyle name="Обычный 11 31 2 2" xfId="56872" xr:uid="{00000000-0005-0000-0000-0000EC0E0000}"/>
    <cellStyle name="Обычный 11 31 3" xfId="14151" xr:uid="{00000000-0005-0000-0000-0000ED0E0000}"/>
    <cellStyle name="Обычный 11 31 4" xfId="19491" xr:uid="{00000000-0005-0000-0000-0000EE0E0000}"/>
    <cellStyle name="Обычный 11 31 5" xfId="24831" xr:uid="{00000000-0005-0000-0000-0000EF0E0000}"/>
    <cellStyle name="Обычный 11 31 6" xfId="30171" xr:uid="{00000000-0005-0000-0000-0000F00E0000}"/>
    <cellStyle name="Обычный 11 31 7" xfId="35511" xr:uid="{00000000-0005-0000-0000-0000F10E0000}"/>
    <cellStyle name="Обычный 11 31 8" xfId="40851" xr:uid="{00000000-0005-0000-0000-0000F20E0000}"/>
    <cellStyle name="Обычный 11 31 9" xfId="46191" xr:uid="{00000000-0005-0000-0000-0000F30E0000}"/>
    <cellStyle name="Обычный 11 32" xfId="3500" xr:uid="{00000000-0005-0000-0000-0000F40E0000}"/>
    <cellStyle name="Обычный 11 32 10" xfId="51563" xr:uid="{00000000-0005-0000-0000-0000F50E0000}"/>
    <cellStyle name="Обычный 11 32 2" xfId="8843" xr:uid="{00000000-0005-0000-0000-0000F60E0000}"/>
    <cellStyle name="Обычный 11 32 2 2" xfId="56904" xr:uid="{00000000-0005-0000-0000-0000F70E0000}"/>
    <cellStyle name="Обычный 11 32 3" xfId="14183" xr:uid="{00000000-0005-0000-0000-0000F80E0000}"/>
    <cellStyle name="Обычный 11 32 4" xfId="19523" xr:uid="{00000000-0005-0000-0000-0000F90E0000}"/>
    <cellStyle name="Обычный 11 32 5" xfId="24863" xr:uid="{00000000-0005-0000-0000-0000FA0E0000}"/>
    <cellStyle name="Обычный 11 32 6" xfId="30203" xr:uid="{00000000-0005-0000-0000-0000FB0E0000}"/>
    <cellStyle name="Обычный 11 32 7" xfId="35543" xr:uid="{00000000-0005-0000-0000-0000FC0E0000}"/>
    <cellStyle name="Обычный 11 32 8" xfId="40883" xr:uid="{00000000-0005-0000-0000-0000FD0E0000}"/>
    <cellStyle name="Обычный 11 32 9" xfId="46223" xr:uid="{00000000-0005-0000-0000-0000FE0E0000}"/>
    <cellStyle name="Обычный 11 33" xfId="3532" xr:uid="{00000000-0005-0000-0000-0000FF0E0000}"/>
    <cellStyle name="Обычный 11 33 10" xfId="51595" xr:uid="{00000000-0005-0000-0000-0000000F0000}"/>
    <cellStyle name="Обычный 11 33 2" xfId="8875" xr:uid="{00000000-0005-0000-0000-0000010F0000}"/>
    <cellStyle name="Обычный 11 33 2 2" xfId="56936" xr:uid="{00000000-0005-0000-0000-0000020F0000}"/>
    <cellStyle name="Обычный 11 33 3" xfId="14215" xr:uid="{00000000-0005-0000-0000-0000030F0000}"/>
    <cellStyle name="Обычный 11 33 4" xfId="19555" xr:uid="{00000000-0005-0000-0000-0000040F0000}"/>
    <cellStyle name="Обычный 11 33 5" xfId="24895" xr:uid="{00000000-0005-0000-0000-0000050F0000}"/>
    <cellStyle name="Обычный 11 33 6" xfId="30235" xr:uid="{00000000-0005-0000-0000-0000060F0000}"/>
    <cellStyle name="Обычный 11 33 7" xfId="35575" xr:uid="{00000000-0005-0000-0000-0000070F0000}"/>
    <cellStyle name="Обычный 11 33 8" xfId="40915" xr:uid="{00000000-0005-0000-0000-0000080F0000}"/>
    <cellStyle name="Обычный 11 33 9" xfId="46255" xr:uid="{00000000-0005-0000-0000-0000090F0000}"/>
    <cellStyle name="Обычный 11 34" xfId="3564" xr:uid="{00000000-0005-0000-0000-00000A0F0000}"/>
    <cellStyle name="Обычный 11 34 10" xfId="51627" xr:uid="{00000000-0005-0000-0000-00000B0F0000}"/>
    <cellStyle name="Обычный 11 34 2" xfId="8907" xr:uid="{00000000-0005-0000-0000-00000C0F0000}"/>
    <cellStyle name="Обычный 11 34 2 2" xfId="56968" xr:uid="{00000000-0005-0000-0000-00000D0F0000}"/>
    <cellStyle name="Обычный 11 34 3" xfId="14247" xr:uid="{00000000-0005-0000-0000-00000E0F0000}"/>
    <cellStyle name="Обычный 11 34 4" xfId="19587" xr:uid="{00000000-0005-0000-0000-00000F0F0000}"/>
    <cellStyle name="Обычный 11 34 5" xfId="24927" xr:uid="{00000000-0005-0000-0000-0000100F0000}"/>
    <cellStyle name="Обычный 11 34 6" xfId="30267" xr:uid="{00000000-0005-0000-0000-0000110F0000}"/>
    <cellStyle name="Обычный 11 34 7" xfId="35607" xr:uid="{00000000-0005-0000-0000-0000120F0000}"/>
    <cellStyle name="Обычный 11 34 8" xfId="40947" xr:uid="{00000000-0005-0000-0000-0000130F0000}"/>
    <cellStyle name="Обычный 11 34 9" xfId="46287" xr:uid="{00000000-0005-0000-0000-0000140F0000}"/>
    <cellStyle name="Обычный 11 35" xfId="3596" xr:uid="{00000000-0005-0000-0000-0000150F0000}"/>
    <cellStyle name="Обычный 11 35 10" xfId="51659" xr:uid="{00000000-0005-0000-0000-0000160F0000}"/>
    <cellStyle name="Обычный 11 35 2" xfId="8939" xr:uid="{00000000-0005-0000-0000-0000170F0000}"/>
    <cellStyle name="Обычный 11 35 2 2" xfId="57000" xr:uid="{00000000-0005-0000-0000-0000180F0000}"/>
    <cellStyle name="Обычный 11 35 3" xfId="14279" xr:uid="{00000000-0005-0000-0000-0000190F0000}"/>
    <cellStyle name="Обычный 11 35 4" xfId="19619" xr:uid="{00000000-0005-0000-0000-00001A0F0000}"/>
    <cellStyle name="Обычный 11 35 5" xfId="24959" xr:uid="{00000000-0005-0000-0000-00001B0F0000}"/>
    <cellStyle name="Обычный 11 35 6" xfId="30299" xr:uid="{00000000-0005-0000-0000-00001C0F0000}"/>
    <cellStyle name="Обычный 11 35 7" xfId="35639" xr:uid="{00000000-0005-0000-0000-00001D0F0000}"/>
    <cellStyle name="Обычный 11 35 8" xfId="40979" xr:uid="{00000000-0005-0000-0000-00001E0F0000}"/>
    <cellStyle name="Обычный 11 35 9" xfId="46319" xr:uid="{00000000-0005-0000-0000-00001F0F0000}"/>
    <cellStyle name="Обычный 11 36" xfId="3628" xr:uid="{00000000-0005-0000-0000-0000200F0000}"/>
    <cellStyle name="Обычный 11 36 10" xfId="51691" xr:uid="{00000000-0005-0000-0000-0000210F0000}"/>
    <cellStyle name="Обычный 11 36 2" xfId="8971" xr:uid="{00000000-0005-0000-0000-0000220F0000}"/>
    <cellStyle name="Обычный 11 36 2 2" xfId="57032" xr:uid="{00000000-0005-0000-0000-0000230F0000}"/>
    <cellStyle name="Обычный 11 36 3" xfId="14311" xr:uid="{00000000-0005-0000-0000-0000240F0000}"/>
    <cellStyle name="Обычный 11 36 4" xfId="19651" xr:uid="{00000000-0005-0000-0000-0000250F0000}"/>
    <cellStyle name="Обычный 11 36 5" xfId="24991" xr:uid="{00000000-0005-0000-0000-0000260F0000}"/>
    <cellStyle name="Обычный 11 36 6" xfId="30331" xr:uid="{00000000-0005-0000-0000-0000270F0000}"/>
    <cellStyle name="Обычный 11 36 7" xfId="35671" xr:uid="{00000000-0005-0000-0000-0000280F0000}"/>
    <cellStyle name="Обычный 11 36 8" xfId="41011" xr:uid="{00000000-0005-0000-0000-0000290F0000}"/>
    <cellStyle name="Обычный 11 36 9" xfId="46351" xr:uid="{00000000-0005-0000-0000-00002A0F0000}"/>
    <cellStyle name="Обычный 11 37" xfId="3660" xr:uid="{00000000-0005-0000-0000-00002B0F0000}"/>
    <cellStyle name="Обычный 11 37 10" xfId="51723" xr:uid="{00000000-0005-0000-0000-00002C0F0000}"/>
    <cellStyle name="Обычный 11 37 2" xfId="9003" xr:uid="{00000000-0005-0000-0000-00002D0F0000}"/>
    <cellStyle name="Обычный 11 37 2 2" xfId="57064" xr:uid="{00000000-0005-0000-0000-00002E0F0000}"/>
    <cellStyle name="Обычный 11 37 3" xfId="14343" xr:uid="{00000000-0005-0000-0000-00002F0F0000}"/>
    <cellStyle name="Обычный 11 37 4" xfId="19683" xr:uid="{00000000-0005-0000-0000-0000300F0000}"/>
    <cellStyle name="Обычный 11 37 5" xfId="25023" xr:uid="{00000000-0005-0000-0000-0000310F0000}"/>
    <cellStyle name="Обычный 11 37 6" xfId="30363" xr:uid="{00000000-0005-0000-0000-0000320F0000}"/>
    <cellStyle name="Обычный 11 37 7" xfId="35703" xr:uid="{00000000-0005-0000-0000-0000330F0000}"/>
    <cellStyle name="Обычный 11 37 8" xfId="41043" xr:uid="{00000000-0005-0000-0000-0000340F0000}"/>
    <cellStyle name="Обычный 11 37 9" xfId="46383" xr:uid="{00000000-0005-0000-0000-0000350F0000}"/>
    <cellStyle name="Обычный 11 38" xfId="3692" xr:uid="{00000000-0005-0000-0000-0000360F0000}"/>
    <cellStyle name="Обычный 11 38 10" xfId="51755" xr:uid="{00000000-0005-0000-0000-0000370F0000}"/>
    <cellStyle name="Обычный 11 38 2" xfId="9035" xr:uid="{00000000-0005-0000-0000-0000380F0000}"/>
    <cellStyle name="Обычный 11 38 2 2" xfId="57096" xr:uid="{00000000-0005-0000-0000-0000390F0000}"/>
    <cellStyle name="Обычный 11 38 3" xfId="14375" xr:uid="{00000000-0005-0000-0000-00003A0F0000}"/>
    <cellStyle name="Обычный 11 38 4" xfId="19715" xr:uid="{00000000-0005-0000-0000-00003B0F0000}"/>
    <cellStyle name="Обычный 11 38 5" xfId="25055" xr:uid="{00000000-0005-0000-0000-00003C0F0000}"/>
    <cellStyle name="Обычный 11 38 6" xfId="30395" xr:uid="{00000000-0005-0000-0000-00003D0F0000}"/>
    <cellStyle name="Обычный 11 38 7" xfId="35735" xr:uid="{00000000-0005-0000-0000-00003E0F0000}"/>
    <cellStyle name="Обычный 11 38 8" xfId="41075" xr:uid="{00000000-0005-0000-0000-00003F0F0000}"/>
    <cellStyle name="Обычный 11 38 9" xfId="46415" xr:uid="{00000000-0005-0000-0000-0000400F0000}"/>
    <cellStyle name="Обычный 11 39" xfId="3724" xr:uid="{00000000-0005-0000-0000-0000410F0000}"/>
    <cellStyle name="Обычный 11 39 10" xfId="51787" xr:uid="{00000000-0005-0000-0000-0000420F0000}"/>
    <cellStyle name="Обычный 11 39 2" xfId="9067" xr:uid="{00000000-0005-0000-0000-0000430F0000}"/>
    <cellStyle name="Обычный 11 39 2 2" xfId="57128" xr:uid="{00000000-0005-0000-0000-0000440F0000}"/>
    <cellStyle name="Обычный 11 39 3" xfId="14407" xr:uid="{00000000-0005-0000-0000-0000450F0000}"/>
    <cellStyle name="Обычный 11 39 4" xfId="19747" xr:uid="{00000000-0005-0000-0000-0000460F0000}"/>
    <cellStyle name="Обычный 11 39 5" xfId="25087" xr:uid="{00000000-0005-0000-0000-0000470F0000}"/>
    <cellStyle name="Обычный 11 39 6" xfId="30427" xr:uid="{00000000-0005-0000-0000-0000480F0000}"/>
    <cellStyle name="Обычный 11 39 7" xfId="35767" xr:uid="{00000000-0005-0000-0000-0000490F0000}"/>
    <cellStyle name="Обычный 11 39 8" xfId="41107" xr:uid="{00000000-0005-0000-0000-00004A0F0000}"/>
    <cellStyle name="Обычный 11 39 9" xfId="46447" xr:uid="{00000000-0005-0000-0000-00004B0F0000}"/>
    <cellStyle name="Обычный 11 4" xfId="2601" xr:uid="{00000000-0005-0000-0000-00004C0F0000}"/>
    <cellStyle name="Обычный 11 4 10" xfId="50665" xr:uid="{00000000-0005-0000-0000-00004D0F0000}"/>
    <cellStyle name="Обычный 11 4 2" xfId="7944" xr:uid="{00000000-0005-0000-0000-00004E0F0000}"/>
    <cellStyle name="Обычный 11 4 2 2" xfId="56006" xr:uid="{00000000-0005-0000-0000-00004F0F0000}"/>
    <cellStyle name="Обычный 11 4 3" xfId="13285" xr:uid="{00000000-0005-0000-0000-0000500F0000}"/>
    <cellStyle name="Обычный 11 4 4" xfId="18625" xr:uid="{00000000-0005-0000-0000-0000510F0000}"/>
    <cellStyle name="Обычный 11 4 5" xfId="23965" xr:uid="{00000000-0005-0000-0000-0000520F0000}"/>
    <cellStyle name="Обычный 11 4 6" xfId="29305" xr:uid="{00000000-0005-0000-0000-0000530F0000}"/>
    <cellStyle name="Обычный 11 4 7" xfId="34645" xr:uid="{00000000-0005-0000-0000-0000540F0000}"/>
    <cellStyle name="Обычный 11 4 8" xfId="39985" xr:uid="{00000000-0005-0000-0000-0000550F0000}"/>
    <cellStyle name="Обычный 11 4 9" xfId="45325" xr:uid="{00000000-0005-0000-0000-0000560F0000}"/>
    <cellStyle name="Обычный 11 40" xfId="3756" xr:uid="{00000000-0005-0000-0000-0000570F0000}"/>
    <cellStyle name="Обычный 11 40 10" xfId="51819" xr:uid="{00000000-0005-0000-0000-0000580F0000}"/>
    <cellStyle name="Обычный 11 40 2" xfId="9099" xr:uid="{00000000-0005-0000-0000-0000590F0000}"/>
    <cellStyle name="Обычный 11 40 2 2" xfId="57160" xr:uid="{00000000-0005-0000-0000-00005A0F0000}"/>
    <cellStyle name="Обычный 11 40 3" xfId="14439" xr:uid="{00000000-0005-0000-0000-00005B0F0000}"/>
    <cellStyle name="Обычный 11 40 4" xfId="19779" xr:uid="{00000000-0005-0000-0000-00005C0F0000}"/>
    <cellStyle name="Обычный 11 40 5" xfId="25119" xr:uid="{00000000-0005-0000-0000-00005D0F0000}"/>
    <cellStyle name="Обычный 11 40 6" xfId="30459" xr:uid="{00000000-0005-0000-0000-00005E0F0000}"/>
    <cellStyle name="Обычный 11 40 7" xfId="35799" xr:uid="{00000000-0005-0000-0000-00005F0F0000}"/>
    <cellStyle name="Обычный 11 40 8" xfId="41139" xr:uid="{00000000-0005-0000-0000-0000600F0000}"/>
    <cellStyle name="Обычный 11 40 9" xfId="46479" xr:uid="{00000000-0005-0000-0000-0000610F0000}"/>
    <cellStyle name="Обычный 11 41" xfId="3788" xr:uid="{00000000-0005-0000-0000-0000620F0000}"/>
    <cellStyle name="Обычный 11 41 10" xfId="51851" xr:uid="{00000000-0005-0000-0000-0000630F0000}"/>
    <cellStyle name="Обычный 11 41 2" xfId="9131" xr:uid="{00000000-0005-0000-0000-0000640F0000}"/>
    <cellStyle name="Обычный 11 41 2 2" xfId="57192" xr:uid="{00000000-0005-0000-0000-0000650F0000}"/>
    <cellStyle name="Обычный 11 41 3" xfId="14471" xr:uid="{00000000-0005-0000-0000-0000660F0000}"/>
    <cellStyle name="Обычный 11 41 4" xfId="19811" xr:uid="{00000000-0005-0000-0000-0000670F0000}"/>
    <cellStyle name="Обычный 11 41 5" xfId="25151" xr:uid="{00000000-0005-0000-0000-0000680F0000}"/>
    <cellStyle name="Обычный 11 41 6" xfId="30491" xr:uid="{00000000-0005-0000-0000-0000690F0000}"/>
    <cellStyle name="Обычный 11 41 7" xfId="35831" xr:uid="{00000000-0005-0000-0000-00006A0F0000}"/>
    <cellStyle name="Обычный 11 41 8" xfId="41171" xr:uid="{00000000-0005-0000-0000-00006B0F0000}"/>
    <cellStyle name="Обычный 11 41 9" xfId="46511" xr:uid="{00000000-0005-0000-0000-00006C0F0000}"/>
    <cellStyle name="Обычный 11 42" xfId="3820" xr:uid="{00000000-0005-0000-0000-00006D0F0000}"/>
    <cellStyle name="Обычный 11 42 10" xfId="51883" xr:uid="{00000000-0005-0000-0000-00006E0F0000}"/>
    <cellStyle name="Обычный 11 42 2" xfId="9163" xr:uid="{00000000-0005-0000-0000-00006F0F0000}"/>
    <cellStyle name="Обычный 11 42 2 2" xfId="57224" xr:uid="{00000000-0005-0000-0000-0000700F0000}"/>
    <cellStyle name="Обычный 11 42 3" xfId="14503" xr:uid="{00000000-0005-0000-0000-0000710F0000}"/>
    <cellStyle name="Обычный 11 42 4" xfId="19843" xr:uid="{00000000-0005-0000-0000-0000720F0000}"/>
    <cellStyle name="Обычный 11 42 5" xfId="25183" xr:uid="{00000000-0005-0000-0000-0000730F0000}"/>
    <cellStyle name="Обычный 11 42 6" xfId="30523" xr:uid="{00000000-0005-0000-0000-0000740F0000}"/>
    <cellStyle name="Обычный 11 42 7" xfId="35863" xr:uid="{00000000-0005-0000-0000-0000750F0000}"/>
    <cellStyle name="Обычный 11 42 8" xfId="41203" xr:uid="{00000000-0005-0000-0000-0000760F0000}"/>
    <cellStyle name="Обычный 11 42 9" xfId="46543" xr:uid="{00000000-0005-0000-0000-0000770F0000}"/>
    <cellStyle name="Обычный 11 43" xfId="3852" xr:uid="{00000000-0005-0000-0000-0000780F0000}"/>
    <cellStyle name="Обычный 11 43 10" xfId="51915" xr:uid="{00000000-0005-0000-0000-0000790F0000}"/>
    <cellStyle name="Обычный 11 43 2" xfId="9195" xr:uid="{00000000-0005-0000-0000-00007A0F0000}"/>
    <cellStyle name="Обычный 11 43 2 2" xfId="57256" xr:uid="{00000000-0005-0000-0000-00007B0F0000}"/>
    <cellStyle name="Обычный 11 43 3" xfId="14535" xr:uid="{00000000-0005-0000-0000-00007C0F0000}"/>
    <cellStyle name="Обычный 11 43 4" xfId="19875" xr:uid="{00000000-0005-0000-0000-00007D0F0000}"/>
    <cellStyle name="Обычный 11 43 5" xfId="25215" xr:uid="{00000000-0005-0000-0000-00007E0F0000}"/>
    <cellStyle name="Обычный 11 43 6" xfId="30555" xr:uid="{00000000-0005-0000-0000-00007F0F0000}"/>
    <cellStyle name="Обычный 11 43 7" xfId="35895" xr:uid="{00000000-0005-0000-0000-0000800F0000}"/>
    <cellStyle name="Обычный 11 43 8" xfId="41235" xr:uid="{00000000-0005-0000-0000-0000810F0000}"/>
    <cellStyle name="Обычный 11 43 9" xfId="46575" xr:uid="{00000000-0005-0000-0000-0000820F0000}"/>
    <cellStyle name="Обычный 11 44" xfId="3884" xr:uid="{00000000-0005-0000-0000-0000830F0000}"/>
    <cellStyle name="Обычный 11 44 10" xfId="51947" xr:uid="{00000000-0005-0000-0000-0000840F0000}"/>
    <cellStyle name="Обычный 11 44 2" xfId="9227" xr:uid="{00000000-0005-0000-0000-0000850F0000}"/>
    <cellStyle name="Обычный 11 44 2 2" xfId="57288" xr:uid="{00000000-0005-0000-0000-0000860F0000}"/>
    <cellStyle name="Обычный 11 44 3" xfId="14567" xr:uid="{00000000-0005-0000-0000-0000870F0000}"/>
    <cellStyle name="Обычный 11 44 4" xfId="19907" xr:uid="{00000000-0005-0000-0000-0000880F0000}"/>
    <cellStyle name="Обычный 11 44 5" xfId="25247" xr:uid="{00000000-0005-0000-0000-0000890F0000}"/>
    <cellStyle name="Обычный 11 44 6" xfId="30587" xr:uid="{00000000-0005-0000-0000-00008A0F0000}"/>
    <cellStyle name="Обычный 11 44 7" xfId="35927" xr:uid="{00000000-0005-0000-0000-00008B0F0000}"/>
    <cellStyle name="Обычный 11 44 8" xfId="41267" xr:uid="{00000000-0005-0000-0000-00008C0F0000}"/>
    <cellStyle name="Обычный 11 44 9" xfId="46607" xr:uid="{00000000-0005-0000-0000-00008D0F0000}"/>
    <cellStyle name="Обычный 11 45" xfId="3916" xr:uid="{00000000-0005-0000-0000-00008E0F0000}"/>
    <cellStyle name="Обычный 11 45 10" xfId="51979" xr:uid="{00000000-0005-0000-0000-00008F0F0000}"/>
    <cellStyle name="Обычный 11 45 2" xfId="9259" xr:uid="{00000000-0005-0000-0000-0000900F0000}"/>
    <cellStyle name="Обычный 11 45 2 2" xfId="57320" xr:uid="{00000000-0005-0000-0000-0000910F0000}"/>
    <cellStyle name="Обычный 11 45 3" xfId="14599" xr:uid="{00000000-0005-0000-0000-0000920F0000}"/>
    <cellStyle name="Обычный 11 45 4" xfId="19939" xr:uid="{00000000-0005-0000-0000-0000930F0000}"/>
    <cellStyle name="Обычный 11 45 5" xfId="25279" xr:uid="{00000000-0005-0000-0000-0000940F0000}"/>
    <cellStyle name="Обычный 11 45 6" xfId="30619" xr:uid="{00000000-0005-0000-0000-0000950F0000}"/>
    <cellStyle name="Обычный 11 45 7" xfId="35959" xr:uid="{00000000-0005-0000-0000-0000960F0000}"/>
    <cellStyle name="Обычный 11 45 8" xfId="41299" xr:uid="{00000000-0005-0000-0000-0000970F0000}"/>
    <cellStyle name="Обычный 11 45 9" xfId="46639" xr:uid="{00000000-0005-0000-0000-0000980F0000}"/>
    <cellStyle name="Обычный 11 46" xfId="3948" xr:uid="{00000000-0005-0000-0000-0000990F0000}"/>
    <cellStyle name="Обычный 11 46 10" xfId="52011" xr:uid="{00000000-0005-0000-0000-00009A0F0000}"/>
    <cellStyle name="Обычный 11 46 2" xfId="9291" xr:uid="{00000000-0005-0000-0000-00009B0F0000}"/>
    <cellStyle name="Обычный 11 46 2 2" xfId="57352" xr:uid="{00000000-0005-0000-0000-00009C0F0000}"/>
    <cellStyle name="Обычный 11 46 3" xfId="14631" xr:uid="{00000000-0005-0000-0000-00009D0F0000}"/>
    <cellStyle name="Обычный 11 46 4" xfId="19971" xr:uid="{00000000-0005-0000-0000-00009E0F0000}"/>
    <cellStyle name="Обычный 11 46 5" xfId="25311" xr:uid="{00000000-0005-0000-0000-00009F0F0000}"/>
    <cellStyle name="Обычный 11 46 6" xfId="30651" xr:uid="{00000000-0005-0000-0000-0000A00F0000}"/>
    <cellStyle name="Обычный 11 46 7" xfId="35991" xr:uid="{00000000-0005-0000-0000-0000A10F0000}"/>
    <cellStyle name="Обычный 11 46 8" xfId="41331" xr:uid="{00000000-0005-0000-0000-0000A20F0000}"/>
    <cellStyle name="Обычный 11 46 9" xfId="46671" xr:uid="{00000000-0005-0000-0000-0000A30F0000}"/>
    <cellStyle name="Обычный 11 47" xfId="3980" xr:uid="{00000000-0005-0000-0000-0000A40F0000}"/>
    <cellStyle name="Обычный 11 47 10" xfId="52043" xr:uid="{00000000-0005-0000-0000-0000A50F0000}"/>
    <cellStyle name="Обычный 11 47 2" xfId="9323" xr:uid="{00000000-0005-0000-0000-0000A60F0000}"/>
    <cellStyle name="Обычный 11 47 2 2" xfId="57384" xr:uid="{00000000-0005-0000-0000-0000A70F0000}"/>
    <cellStyle name="Обычный 11 47 3" xfId="14663" xr:uid="{00000000-0005-0000-0000-0000A80F0000}"/>
    <cellStyle name="Обычный 11 47 4" xfId="20003" xr:uid="{00000000-0005-0000-0000-0000A90F0000}"/>
    <cellStyle name="Обычный 11 47 5" xfId="25343" xr:uid="{00000000-0005-0000-0000-0000AA0F0000}"/>
    <cellStyle name="Обычный 11 47 6" xfId="30683" xr:uid="{00000000-0005-0000-0000-0000AB0F0000}"/>
    <cellStyle name="Обычный 11 47 7" xfId="36023" xr:uid="{00000000-0005-0000-0000-0000AC0F0000}"/>
    <cellStyle name="Обычный 11 47 8" xfId="41363" xr:uid="{00000000-0005-0000-0000-0000AD0F0000}"/>
    <cellStyle name="Обычный 11 47 9" xfId="46703" xr:uid="{00000000-0005-0000-0000-0000AE0F0000}"/>
    <cellStyle name="Обычный 11 48" xfId="4012" xr:uid="{00000000-0005-0000-0000-0000AF0F0000}"/>
    <cellStyle name="Обычный 11 48 10" xfId="52075" xr:uid="{00000000-0005-0000-0000-0000B00F0000}"/>
    <cellStyle name="Обычный 11 48 2" xfId="9355" xr:uid="{00000000-0005-0000-0000-0000B10F0000}"/>
    <cellStyle name="Обычный 11 48 2 2" xfId="57416" xr:uid="{00000000-0005-0000-0000-0000B20F0000}"/>
    <cellStyle name="Обычный 11 48 3" xfId="14695" xr:uid="{00000000-0005-0000-0000-0000B30F0000}"/>
    <cellStyle name="Обычный 11 48 4" xfId="20035" xr:uid="{00000000-0005-0000-0000-0000B40F0000}"/>
    <cellStyle name="Обычный 11 48 5" xfId="25375" xr:uid="{00000000-0005-0000-0000-0000B50F0000}"/>
    <cellStyle name="Обычный 11 48 6" xfId="30715" xr:uid="{00000000-0005-0000-0000-0000B60F0000}"/>
    <cellStyle name="Обычный 11 48 7" xfId="36055" xr:uid="{00000000-0005-0000-0000-0000B70F0000}"/>
    <cellStyle name="Обычный 11 48 8" xfId="41395" xr:uid="{00000000-0005-0000-0000-0000B80F0000}"/>
    <cellStyle name="Обычный 11 48 9" xfId="46735" xr:uid="{00000000-0005-0000-0000-0000B90F0000}"/>
    <cellStyle name="Обычный 11 49" xfId="4044" xr:uid="{00000000-0005-0000-0000-0000BA0F0000}"/>
    <cellStyle name="Обычный 11 49 10" xfId="52107" xr:uid="{00000000-0005-0000-0000-0000BB0F0000}"/>
    <cellStyle name="Обычный 11 49 2" xfId="9387" xr:uid="{00000000-0005-0000-0000-0000BC0F0000}"/>
    <cellStyle name="Обычный 11 49 2 2" xfId="57448" xr:uid="{00000000-0005-0000-0000-0000BD0F0000}"/>
    <cellStyle name="Обычный 11 49 3" xfId="14727" xr:uid="{00000000-0005-0000-0000-0000BE0F0000}"/>
    <cellStyle name="Обычный 11 49 4" xfId="20067" xr:uid="{00000000-0005-0000-0000-0000BF0F0000}"/>
    <cellStyle name="Обычный 11 49 5" xfId="25407" xr:uid="{00000000-0005-0000-0000-0000C00F0000}"/>
    <cellStyle name="Обычный 11 49 6" xfId="30747" xr:uid="{00000000-0005-0000-0000-0000C10F0000}"/>
    <cellStyle name="Обычный 11 49 7" xfId="36087" xr:uid="{00000000-0005-0000-0000-0000C20F0000}"/>
    <cellStyle name="Обычный 11 49 8" xfId="41427" xr:uid="{00000000-0005-0000-0000-0000C30F0000}"/>
    <cellStyle name="Обычный 11 49 9" xfId="46767" xr:uid="{00000000-0005-0000-0000-0000C40F0000}"/>
    <cellStyle name="Обычный 11 5" xfId="2633" xr:uid="{00000000-0005-0000-0000-0000C50F0000}"/>
    <cellStyle name="Обычный 11 5 10" xfId="50697" xr:uid="{00000000-0005-0000-0000-0000C60F0000}"/>
    <cellStyle name="Обычный 11 5 2" xfId="7976" xr:uid="{00000000-0005-0000-0000-0000C70F0000}"/>
    <cellStyle name="Обычный 11 5 2 2" xfId="56038" xr:uid="{00000000-0005-0000-0000-0000C80F0000}"/>
    <cellStyle name="Обычный 11 5 3" xfId="13317" xr:uid="{00000000-0005-0000-0000-0000C90F0000}"/>
    <cellStyle name="Обычный 11 5 4" xfId="18657" xr:uid="{00000000-0005-0000-0000-0000CA0F0000}"/>
    <cellStyle name="Обычный 11 5 5" xfId="23997" xr:uid="{00000000-0005-0000-0000-0000CB0F0000}"/>
    <cellStyle name="Обычный 11 5 6" xfId="29337" xr:uid="{00000000-0005-0000-0000-0000CC0F0000}"/>
    <cellStyle name="Обычный 11 5 7" xfId="34677" xr:uid="{00000000-0005-0000-0000-0000CD0F0000}"/>
    <cellStyle name="Обычный 11 5 8" xfId="40017" xr:uid="{00000000-0005-0000-0000-0000CE0F0000}"/>
    <cellStyle name="Обычный 11 5 9" xfId="45357" xr:uid="{00000000-0005-0000-0000-0000CF0F0000}"/>
    <cellStyle name="Обычный 11 50" xfId="4076" xr:uid="{00000000-0005-0000-0000-0000D00F0000}"/>
    <cellStyle name="Обычный 11 50 10" xfId="52139" xr:uid="{00000000-0005-0000-0000-0000D10F0000}"/>
    <cellStyle name="Обычный 11 50 2" xfId="9419" xr:uid="{00000000-0005-0000-0000-0000D20F0000}"/>
    <cellStyle name="Обычный 11 50 2 2" xfId="57480" xr:uid="{00000000-0005-0000-0000-0000D30F0000}"/>
    <cellStyle name="Обычный 11 50 3" xfId="14759" xr:uid="{00000000-0005-0000-0000-0000D40F0000}"/>
    <cellStyle name="Обычный 11 50 4" xfId="20099" xr:uid="{00000000-0005-0000-0000-0000D50F0000}"/>
    <cellStyle name="Обычный 11 50 5" xfId="25439" xr:uid="{00000000-0005-0000-0000-0000D60F0000}"/>
    <cellStyle name="Обычный 11 50 6" xfId="30779" xr:uid="{00000000-0005-0000-0000-0000D70F0000}"/>
    <cellStyle name="Обычный 11 50 7" xfId="36119" xr:uid="{00000000-0005-0000-0000-0000D80F0000}"/>
    <cellStyle name="Обычный 11 50 8" xfId="41459" xr:uid="{00000000-0005-0000-0000-0000D90F0000}"/>
    <cellStyle name="Обычный 11 50 9" xfId="46799" xr:uid="{00000000-0005-0000-0000-0000DA0F0000}"/>
    <cellStyle name="Обычный 11 51" xfId="4108" xr:uid="{00000000-0005-0000-0000-0000DB0F0000}"/>
    <cellStyle name="Обычный 11 51 10" xfId="52171" xr:uid="{00000000-0005-0000-0000-0000DC0F0000}"/>
    <cellStyle name="Обычный 11 51 2" xfId="9451" xr:uid="{00000000-0005-0000-0000-0000DD0F0000}"/>
    <cellStyle name="Обычный 11 51 2 2" xfId="57512" xr:uid="{00000000-0005-0000-0000-0000DE0F0000}"/>
    <cellStyle name="Обычный 11 51 3" xfId="14791" xr:uid="{00000000-0005-0000-0000-0000DF0F0000}"/>
    <cellStyle name="Обычный 11 51 4" xfId="20131" xr:uid="{00000000-0005-0000-0000-0000E00F0000}"/>
    <cellStyle name="Обычный 11 51 5" xfId="25471" xr:uid="{00000000-0005-0000-0000-0000E10F0000}"/>
    <cellStyle name="Обычный 11 51 6" xfId="30811" xr:uid="{00000000-0005-0000-0000-0000E20F0000}"/>
    <cellStyle name="Обычный 11 51 7" xfId="36151" xr:uid="{00000000-0005-0000-0000-0000E30F0000}"/>
    <cellStyle name="Обычный 11 51 8" xfId="41491" xr:uid="{00000000-0005-0000-0000-0000E40F0000}"/>
    <cellStyle name="Обычный 11 51 9" xfId="46831" xr:uid="{00000000-0005-0000-0000-0000E50F0000}"/>
    <cellStyle name="Обычный 11 52" xfId="4140" xr:uid="{00000000-0005-0000-0000-0000E60F0000}"/>
    <cellStyle name="Обычный 11 52 10" xfId="52203" xr:uid="{00000000-0005-0000-0000-0000E70F0000}"/>
    <cellStyle name="Обычный 11 52 2" xfId="9483" xr:uid="{00000000-0005-0000-0000-0000E80F0000}"/>
    <cellStyle name="Обычный 11 52 2 2" xfId="57544" xr:uid="{00000000-0005-0000-0000-0000E90F0000}"/>
    <cellStyle name="Обычный 11 52 3" xfId="14823" xr:uid="{00000000-0005-0000-0000-0000EA0F0000}"/>
    <cellStyle name="Обычный 11 52 4" xfId="20163" xr:uid="{00000000-0005-0000-0000-0000EB0F0000}"/>
    <cellStyle name="Обычный 11 52 5" xfId="25503" xr:uid="{00000000-0005-0000-0000-0000EC0F0000}"/>
    <cellStyle name="Обычный 11 52 6" xfId="30843" xr:uid="{00000000-0005-0000-0000-0000ED0F0000}"/>
    <cellStyle name="Обычный 11 52 7" xfId="36183" xr:uid="{00000000-0005-0000-0000-0000EE0F0000}"/>
    <cellStyle name="Обычный 11 52 8" xfId="41523" xr:uid="{00000000-0005-0000-0000-0000EF0F0000}"/>
    <cellStyle name="Обычный 11 52 9" xfId="46863" xr:uid="{00000000-0005-0000-0000-0000F00F0000}"/>
    <cellStyle name="Обычный 11 53" xfId="4172" xr:uid="{00000000-0005-0000-0000-0000F10F0000}"/>
    <cellStyle name="Обычный 11 53 10" xfId="52235" xr:uid="{00000000-0005-0000-0000-0000F20F0000}"/>
    <cellStyle name="Обычный 11 53 2" xfId="9515" xr:uid="{00000000-0005-0000-0000-0000F30F0000}"/>
    <cellStyle name="Обычный 11 53 2 2" xfId="57576" xr:uid="{00000000-0005-0000-0000-0000F40F0000}"/>
    <cellStyle name="Обычный 11 53 3" xfId="14855" xr:uid="{00000000-0005-0000-0000-0000F50F0000}"/>
    <cellStyle name="Обычный 11 53 4" xfId="20195" xr:uid="{00000000-0005-0000-0000-0000F60F0000}"/>
    <cellStyle name="Обычный 11 53 5" xfId="25535" xr:uid="{00000000-0005-0000-0000-0000F70F0000}"/>
    <cellStyle name="Обычный 11 53 6" xfId="30875" xr:uid="{00000000-0005-0000-0000-0000F80F0000}"/>
    <cellStyle name="Обычный 11 53 7" xfId="36215" xr:uid="{00000000-0005-0000-0000-0000F90F0000}"/>
    <cellStyle name="Обычный 11 53 8" xfId="41555" xr:uid="{00000000-0005-0000-0000-0000FA0F0000}"/>
    <cellStyle name="Обычный 11 53 9" xfId="46895" xr:uid="{00000000-0005-0000-0000-0000FB0F0000}"/>
    <cellStyle name="Обычный 11 54" xfId="4204" xr:uid="{00000000-0005-0000-0000-0000FC0F0000}"/>
    <cellStyle name="Обычный 11 54 10" xfId="52267" xr:uid="{00000000-0005-0000-0000-0000FD0F0000}"/>
    <cellStyle name="Обычный 11 54 2" xfId="9547" xr:uid="{00000000-0005-0000-0000-0000FE0F0000}"/>
    <cellStyle name="Обычный 11 54 2 2" xfId="57608" xr:uid="{00000000-0005-0000-0000-0000FF0F0000}"/>
    <cellStyle name="Обычный 11 54 3" xfId="14887" xr:uid="{00000000-0005-0000-0000-000000100000}"/>
    <cellStyle name="Обычный 11 54 4" xfId="20227" xr:uid="{00000000-0005-0000-0000-000001100000}"/>
    <cellStyle name="Обычный 11 54 5" xfId="25567" xr:uid="{00000000-0005-0000-0000-000002100000}"/>
    <cellStyle name="Обычный 11 54 6" xfId="30907" xr:uid="{00000000-0005-0000-0000-000003100000}"/>
    <cellStyle name="Обычный 11 54 7" xfId="36247" xr:uid="{00000000-0005-0000-0000-000004100000}"/>
    <cellStyle name="Обычный 11 54 8" xfId="41587" xr:uid="{00000000-0005-0000-0000-000005100000}"/>
    <cellStyle name="Обычный 11 54 9" xfId="46927" xr:uid="{00000000-0005-0000-0000-000006100000}"/>
    <cellStyle name="Обычный 11 55" xfId="4236" xr:uid="{00000000-0005-0000-0000-000007100000}"/>
    <cellStyle name="Обычный 11 55 10" xfId="52299" xr:uid="{00000000-0005-0000-0000-000008100000}"/>
    <cellStyle name="Обычный 11 55 2" xfId="9579" xr:uid="{00000000-0005-0000-0000-000009100000}"/>
    <cellStyle name="Обычный 11 55 2 2" xfId="57640" xr:uid="{00000000-0005-0000-0000-00000A100000}"/>
    <cellStyle name="Обычный 11 55 3" xfId="14919" xr:uid="{00000000-0005-0000-0000-00000B100000}"/>
    <cellStyle name="Обычный 11 55 4" xfId="20259" xr:uid="{00000000-0005-0000-0000-00000C100000}"/>
    <cellStyle name="Обычный 11 55 5" xfId="25599" xr:uid="{00000000-0005-0000-0000-00000D100000}"/>
    <cellStyle name="Обычный 11 55 6" xfId="30939" xr:uid="{00000000-0005-0000-0000-00000E100000}"/>
    <cellStyle name="Обычный 11 55 7" xfId="36279" xr:uid="{00000000-0005-0000-0000-00000F100000}"/>
    <cellStyle name="Обычный 11 55 8" xfId="41619" xr:uid="{00000000-0005-0000-0000-000010100000}"/>
    <cellStyle name="Обычный 11 55 9" xfId="46959" xr:uid="{00000000-0005-0000-0000-000011100000}"/>
    <cellStyle name="Обычный 11 56" xfId="4268" xr:uid="{00000000-0005-0000-0000-000012100000}"/>
    <cellStyle name="Обычный 11 56 10" xfId="52331" xr:uid="{00000000-0005-0000-0000-000013100000}"/>
    <cellStyle name="Обычный 11 56 2" xfId="9611" xr:uid="{00000000-0005-0000-0000-000014100000}"/>
    <cellStyle name="Обычный 11 56 2 2" xfId="57672" xr:uid="{00000000-0005-0000-0000-000015100000}"/>
    <cellStyle name="Обычный 11 56 3" xfId="14951" xr:uid="{00000000-0005-0000-0000-000016100000}"/>
    <cellStyle name="Обычный 11 56 4" xfId="20291" xr:uid="{00000000-0005-0000-0000-000017100000}"/>
    <cellStyle name="Обычный 11 56 5" xfId="25631" xr:uid="{00000000-0005-0000-0000-000018100000}"/>
    <cellStyle name="Обычный 11 56 6" xfId="30971" xr:uid="{00000000-0005-0000-0000-000019100000}"/>
    <cellStyle name="Обычный 11 56 7" xfId="36311" xr:uid="{00000000-0005-0000-0000-00001A100000}"/>
    <cellStyle name="Обычный 11 56 8" xfId="41651" xr:uid="{00000000-0005-0000-0000-00001B100000}"/>
    <cellStyle name="Обычный 11 56 9" xfId="46991" xr:uid="{00000000-0005-0000-0000-00001C100000}"/>
    <cellStyle name="Обычный 11 57" xfId="4300" xr:uid="{00000000-0005-0000-0000-00001D100000}"/>
    <cellStyle name="Обычный 11 57 10" xfId="52363" xr:uid="{00000000-0005-0000-0000-00001E100000}"/>
    <cellStyle name="Обычный 11 57 2" xfId="9643" xr:uid="{00000000-0005-0000-0000-00001F100000}"/>
    <cellStyle name="Обычный 11 57 2 2" xfId="57704" xr:uid="{00000000-0005-0000-0000-000020100000}"/>
    <cellStyle name="Обычный 11 57 3" xfId="14983" xr:uid="{00000000-0005-0000-0000-000021100000}"/>
    <cellStyle name="Обычный 11 57 4" xfId="20323" xr:uid="{00000000-0005-0000-0000-000022100000}"/>
    <cellStyle name="Обычный 11 57 5" xfId="25663" xr:uid="{00000000-0005-0000-0000-000023100000}"/>
    <cellStyle name="Обычный 11 57 6" xfId="31003" xr:uid="{00000000-0005-0000-0000-000024100000}"/>
    <cellStyle name="Обычный 11 57 7" xfId="36343" xr:uid="{00000000-0005-0000-0000-000025100000}"/>
    <cellStyle name="Обычный 11 57 8" xfId="41683" xr:uid="{00000000-0005-0000-0000-000026100000}"/>
    <cellStyle name="Обычный 11 57 9" xfId="47023" xr:uid="{00000000-0005-0000-0000-000027100000}"/>
    <cellStyle name="Обычный 11 58" xfId="4332" xr:uid="{00000000-0005-0000-0000-000028100000}"/>
    <cellStyle name="Обычный 11 58 10" xfId="52395" xr:uid="{00000000-0005-0000-0000-000029100000}"/>
    <cellStyle name="Обычный 11 58 2" xfId="9675" xr:uid="{00000000-0005-0000-0000-00002A100000}"/>
    <cellStyle name="Обычный 11 58 2 2" xfId="57736" xr:uid="{00000000-0005-0000-0000-00002B100000}"/>
    <cellStyle name="Обычный 11 58 3" xfId="15015" xr:uid="{00000000-0005-0000-0000-00002C100000}"/>
    <cellStyle name="Обычный 11 58 4" xfId="20355" xr:uid="{00000000-0005-0000-0000-00002D100000}"/>
    <cellStyle name="Обычный 11 58 5" xfId="25695" xr:uid="{00000000-0005-0000-0000-00002E100000}"/>
    <cellStyle name="Обычный 11 58 6" xfId="31035" xr:uid="{00000000-0005-0000-0000-00002F100000}"/>
    <cellStyle name="Обычный 11 58 7" xfId="36375" xr:uid="{00000000-0005-0000-0000-000030100000}"/>
    <cellStyle name="Обычный 11 58 8" xfId="41715" xr:uid="{00000000-0005-0000-0000-000031100000}"/>
    <cellStyle name="Обычный 11 58 9" xfId="47055" xr:uid="{00000000-0005-0000-0000-000032100000}"/>
    <cellStyle name="Обычный 11 59" xfId="4364" xr:uid="{00000000-0005-0000-0000-000033100000}"/>
    <cellStyle name="Обычный 11 59 10" xfId="52427" xr:uid="{00000000-0005-0000-0000-000034100000}"/>
    <cellStyle name="Обычный 11 59 2" xfId="9707" xr:uid="{00000000-0005-0000-0000-000035100000}"/>
    <cellStyle name="Обычный 11 59 2 2" xfId="57768" xr:uid="{00000000-0005-0000-0000-000036100000}"/>
    <cellStyle name="Обычный 11 59 3" xfId="15047" xr:uid="{00000000-0005-0000-0000-000037100000}"/>
    <cellStyle name="Обычный 11 59 4" xfId="20387" xr:uid="{00000000-0005-0000-0000-000038100000}"/>
    <cellStyle name="Обычный 11 59 5" xfId="25727" xr:uid="{00000000-0005-0000-0000-000039100000}"/>
    <cellStyle name="Обычный 11 59 6" xfId="31067" xr:uid="{00000000-0005-0000-0000-00003A100000}"/>
    <cellStyle name="Обычный 11 59 7" xfId="36407" xr:uid="{00000000-0005-0000-0000-00003B100000}"/>
    <cellStyle name="Обычный 11 59 8" xfId="41747" xr:uid="{00000000-0005-0000-0000-00003C100000}"/>
    <cellStyle name="Обычный 11 59 9" xfId="47087" xr:uid="{00000000-0005-0000-0000-00003D100000}"/>
    <cellStyle name="Обычный 11 6" xfId="2665" xr:uid="{00000000-0005-0000-0000-00003E100000}"/>
    <cellStyle name="Обычный 11 6 10" xfId="50729" xr:uid="{00000000-0005-0000-0000-00003F100000}"/>
    <cellStyle name="Обычный 11 6 2" xfId="8008" xr:uid="{00000000-0005-0000-0000-000040100000}"/>
    <cellStyle name="Обычный 11 6 2 2" xfId="56070" xr:uid="{00000000-0005-0000-0000-000041100000}"/>
    <cellStyle name="Обычный 11 6 3" xfId="13349" xr:uid="{00000000-0005-0000-0000-000042100000}"/>
    <cellStyle name="Обычный 11 6 4" xfId="18689" xr:uid="{00000000-0005-0000-0000-000043100000}"/>
    <cellStyle name="Обычный 11 6 5" xfId="24029" xr:uid="{00000000-0005-0000-0000-000044100000}"/>
    <cellStyle name="Обычный 11 6 6" xfId="29369" xr:uid="{00000000-0005-0000-0000-000045100000}"/>
    <cellStyle name="Обычный 11 6 7" xfId="34709" xr:uid="{00000000-0005-0000-0000-000046100000}"/>
    <cellStyle name="Обычный 11 6 8" xfId="40049" xr:uid="{00000000-0005-0000-0000-000047100000}"/>
    <cellStyle name="Обычный 11 6 9" xfId="45389" xr:uid="{00000000-0005-0000-0000-000048100000}"/>
    <cellStyle name="Обычный 11 60" xfId="4396" xr:uid="{00000000-0005-0000-0000-000049100000}"/>
    <cellStyle name="Обычный 11 60 10" xfId="52459" xr:uid="{00000000-0005-0000-0000-00004A100000}"/>
    <cellStyle name="Обычный 11 60 2" xfId="9739" xr:uid="{00000000-0005-0000-0000-00004B100000}"/>
    <cellStyle name="Обычный 11 60 2 2" xfId="57800" xr:uid="{00000000-0005-0000-0000-00004C100000}"/>
    <cellStyle name="Обычный 11 60 3" xfId="15079" xr:uid="{00000000-0005-0000-0000-00004D100000}"/>
    <cellStyle name="Обычный 11 60 4" xfId="20419" xr:uid="{00000000-0005-0000-0000-00004E100000}"/>
    <cellStyle name="Обычный 11 60 5" xfId="25759" xr:uid="{00000000-0005-0000-0000-00004F100000}"/>
    <cellStyle name="Обычный 11 60 6" xfId="31099" xr:uid="{00000000-0005-0000-0000-000050100000}"/>
    <cellStyle name="Обычный 11 60 7" xfId="36439" xr:uid="{00000000-0005-0000-0000-000051100000}"/>
    <cellStyle name="Обычный 11 60 8" xfId="41779" xr:uid="{00000000-0005-0000-0000-000052100000}"/>
    <cellStyle name="Обычный 11 60 9" xfId="47119" xr:uid="{00000000-0005-0000-0000-000053100000}"/>
    <cellStyle name="Обычный 11 61" xfId="4428" xr:uid="{00000000-0005-0000-0000-000054100000}"/>
    <cellStyle name="Обычный 11 61 10" xfId="52491" xr:uid="{00000000-0005-0000-0000-000055100000}"/>
    <cellStyle name="Обычный 11 61 2" xfId="9771" xr:uid="{00000000-0005-0000-0000-000056100000}"/>
    <cellStyle name="Обычный 11 61 2 2" xfId="57832" xr:uid="{00000000-0005-0000-0000-000057100000}"/>
    <cellStyle name="Обычный 11 61 3" xfId="15111" xr:uid="{00000000-0005-0000-0000-000058100000}"/>
    <cellStyle name="Обычный 11 61 4" xfId="20451" xr:uid="{00000000-0005-0000-0000-000059100000}"/>
    <cellStyle name="Обычный 11 61 5" xfId="25791" xr:uid="{00000000-0005-0000-0000-00005A100000}"/>
    <cellStyle name="Обычный 11 61 6" xfId="31131" xr:uid="{00000000-0005-0000-0000-00005B100000}"/>
    <cellStyle name="Обычный 11 61 7" xfId="36471" xr:uid="{00000000-0005-0000-0000-00005C100000}"/>
    <cellStyle name="Обычный 11 61 8" xfId="41811" xr:uid="{00000000-0005-0000-0000-00005D100000}"/>
    <cellStyle name="Обычный 11 61 9" xfId="47151" xr:uid="{00000000-0005-0000-0000-00005E100000}"/>
    <cellStyle name="Обычный 11 62" xfId="4460" xr:uid="{00000000-0005-0000-0000-00005F100000}"/>
    <cellStyle name="Обычный 11 62 10" xfId="52523" xr:uid="{00000000-0005-0000-0000-000060100000}"/>
    <cellStyle name="Обычный 11 62 2" xfId="9803" xr:uid="{00000000-0005-0000-0000-000061100000}"/>
    <cellStyle name="Обычный 11 62 2 2" xfId="57864" xr:uid="{00000000-0005-0000-0000-000062100000}"/>
    <cellStyle name="Обычный 11 62 3" xfId="15143" xr:uid="{00000000-0005-0000-0000-000063100000}"/>
    <cellStyle name="Обычный 11 62 4" xfId="20483" xr:uid="{00000000-0005-0000-0000-000064100000}"/>
    <cellStyle name="Обычный 11 62 5" xfId="25823" xr:uid="{00000000-0005-0000-0000-000065100000}"/>
    <cellStyle name="Обычный 11 62 6" xfId="31163" xr:uid="{00000000-0005-0000-0000-000066100000}"/>
    <cellStyle name="Обычный 11 62 7" xfId="36503" xr:uid="{00000000-0005-0000-0000-000067100000}"/>
    <cellStyle name="Обычный 11 62 8" xfId="41843" xr:uid="{00000000-0005-0000-0000-000068100000}"/>
    <cellStyle name="Обычный 11 62 9" xfId="47183" xr:uid="{00000000-0005-0000-0000-000069100000}"/>
    <cellStyle name="Обычный 11 63" xfId="4492" xr:uid="{00000000-0005-0000-0000-00006A100000}"/>
    <cellStyle name="Обычный 11 63 10" xfId="52555" xr:uid="{00000000-0005-0000-0000-00006B100000}"/>
    <cellStyle name="Обычный 11 63 2" xfId="9835" xr:uid="{00000000-0005-0000-0000-00006C100000}"/>
    <cellStyle name="Обычный 11 63 2 2" xfId="57896" xr:uid="{00000000-0005-0000-0000-00006D100000}"/>
    <cellStyle name="Обычный 11 63 3" xfId="15175" xr:uid="{00000000-0005-0000-0000-00006E100000}"/>
    <cellStyle name="Обычный 11 63 4" xfId="20515" xr:uid="{00000000-0005-0000-0000-00006F100000}"/>
    <cellStyle name="Обычный 11 63 5" xfId="25855" xr:uid="{00000000-0005-0000-0000-000070100000}"/>
    <cellStyle name="Обычный 11 63 6" xfId="31195" xr:uid="{00000000-0005-0000-0000-000071100000}"/>
    <cellStyle name="Обычный 11 63 7" xfId="36535" xr:uid="{00000000-0005-0000-0000-000072100000}"/>
    <cellStyle name="Обычный 11 63 8" xfId="41875" xr:uid="{00000000-0005-0000-0000-000073100000}"/>
    <cellStyle name="Обычный 11 63 9" xfId="47215" xr:uid="{00000000-0005-0000-0000-000074100000}"/>
    <cellStyle name="Обычный 11 64" xfId="4524" xr:uid="{00000000-0005-0000-0000-000075100000}"/>
    <cellStyle name="Обычный 11 64 10" xfId="52587" xr:uid="{00000000-0005-0000-0000-000076100000}"/>
    <cellStyle name="Обычный 11 64 2" xfId="9867" xr:uid="{00000000-0005-0000-0000-000077100000}"/>
    <cellStyle name="Обычный 11 64 2 2" xfId="57928" xr:uid="{00000000-0005-0000-0000-000078100000}"/>
    <cellStyle name="Обычный 11 64 3" xfId="15207" xr:uid="{00000000-0005-0000-0000-000079100000}"/>
    <cellStyle name="Обычный 11 64 4" xfId="20547" xr:uid="{00000000-0005-0000-0000-00007A100000}"/>
    <cellStyle name="Обычный 11 64 5" xfId="25887" xr:uid="{00000000-0005-0000-0000-00007B100000}"/>
    <cellStyle name="Обычный 11 64 6" xfId="31227" xr:uid="{00000000-0005-0000-0000-00007C100000}"/>
    <cellStyle name="Обычный 11 64 7" xfId="36567" xr:uid="{00000000-0005-0000-0000-00007D100000}"/>
    <cellStyle name="Обычный 11 64 8" xfId="41907" xr:uid="{00000000-0005-0000-0000-00007E100000}"/>
    <cellStyle name="Обычный 11 64 9" xfId="47247" xr:uid="{00000000-0005-0000-0000-00007F100000}"/>
    <cellStyle name="Обычный 11 65" xfId="4556" xr:uid="{00000000-0005-0000-0000-000080100000}"/>
    <cellStyle name="Обычный 11 65 10" xfId="52619" xr:uid="{00000000-0005-0000-0000-000081100000}"/>
    <cellStyle name="Обычный 11 65 2" xfId="9899" xr:uid="{00000000-0005-0000-0000-000082100000}"/>
    <cellStyle name="Обычный 11 65 2 2" xfId="57960" xr:uid="{00000000-0005-0000-0000-000083100000}"/>
    <cellStyle name="Обычный 11 65 3" xfId="15239" xr:uid="{00000000-0005-0000-0000-000084100000}"/>
    <cellStyle name="Обычный 11 65 4" xfId="20579" xr:uid="{00000000-0005-0000-0000-000085100000}"/>
    <cellStyle name="Обычный 11 65 5" xfId="25919" xr:uid="{00000000-0005-0000-0000-000086100000}"/>
    <cellStyle name="Обычный 11 65 6" xfId="31259" xr:uid="{00000000-0005-0000-0000-000087100000}"/>
    <cellStyle name="Обычный 11 65 7" xfId="36599" xr:uid="{00000000-0005-0000-0000-000088100000}"/>
    <cellStyle name="Обычный 11 65 8" xfId="41939" xr:uid="{00000000-0005-0000-0000-000089100000}"/>
    <cellStyle name="Обычный 11 65 9" xfId="47279" xr:uid="{00000000-0005-0000-0000-00008A100000}"/>
    <cellStyle name="Обычный 11 66" xfId="4588" xr:uid="{00000000-0005-0000-0000-00008B100000}"/>
    <cellStyle name="Обычный 11 66 10" xfId="52651" xr:uid="{00000000-0005-0000-0000-00008C100000}"/>
    <cellStyle name="Обычный 11 66 2" xfId="9931" xr:uid="{00000000-0005-0000-0000-00008D100000}"/>
    <cellStyle name="Обычный 11 66 2 2" xfId="57992" xr:uid="{00000000-0005-0000-0000-00008E100000}"/>
    <cellStyle name="Обычный 11 66 3" xfId="15271" xr:uid="{00000000-0005-0000-0000-00008F100000}"/>
    <cellStyle name="Обычный 11 66 4" xfId="20611" xr:uid="{00000000-0005-0000-0000-000090100000}"/>
    <cellStyle name="Обычный 11 66 5" xfId="25951" xr:uid="{00000000-0005-0000-0000-000091100000}"/>
    <cellStyle name="Обычный 11 66 6" xfId="31291" xr:uid="{00000000-0005-0000-0000-000092100000}"/>
    <cellStyle name="Обычный 11 66 7" xfId="36631" xr:uid="{00000000-0005-0000-0000-000093100000}"/>
    <cellStyle name="Обычный 11 66 8" xfId="41971" xr:uid="{00000000-0005-0000-0000-000094100000}"/>
    <cellStyle name="Обычный 11 66 9" xfId="47311" xr:uid="{00000000-0005-0000-0000-000095100000}"/>
    <cellStyle name="Обычный 11 67" xfId="4620" xr:uid="{00000000-0005-0000-0000-000096100000}"/>
    <cellStyle name="Обычный 11 67 10" xfId="52683" xr:uid="{00000000-0005-0000-0000-000097100000}"/>
    <cellStyle name="Обычный 11 67 2" xfId="9963" xr:uid="{00000000-0005-0000-0000-000098100000}"/>
    <cellStyle name="Обычный 11 67 2 2" xfId="58024" xr:uid="{00000000-0005-0000-0000-000099100000}"/>
    <cellStyle name="Обычный 11 67 3" xfId="15303" xr:uid="{00000000-0005-0000-0000-00009A100000}"/>
    <cellStyle name="Обычный 11 67 4" xfId="20643" xr:uid="{00000000-0005-0000-0000-00009B100000}"/>
    <cellStyle name="Обычный 11 67 5" xfId="25983" xr:uid="{00000000-0005-0000-0000-00009C100000}"/>
    <cellStyle name="Обычный 11 67 6" xfId="31323" xr:uid="{00000000-0005-0000-0000-00009D100000}"/>
    <cellStyle name="Обычный 11 67 7" xfId="36663" xr:uid="{00000000-0005-0000-0000-00009E100000}"/>
    <cellStyle name="Обычный 11 67 8" xfId="42003" xr:uid="{00000000-0005-0000-0000-00009F100000}"/>
    <cellStyle name="Обычный 11 67 9" xfId="47343" xr:uid="{00000000-0005-0000-0000-0000A0100000}"/>
    <cellStyle name="Обычный 11 68" xfId="4652" xr:uid="{00000000-0005-0000-0000-0000A1100000}"/>
    <cellStyle name="Обычный 11 68 10" xfId="52715" xr:uid="{00000000-0005-0000-0000-0000A2100000}"/>
    <cellStyle name="Обычный 11 68 2" xfId="9995" xr:uid="{00000000-0005-0000-0000-0000A3100000}"/>
    <cellStyle name="Обычный 11 68 2 2" xfId="58056" xr:uid="{00000000-0005-0000-0000-0000A4100000}"/>
    <cellStyle name="Обычный 11 68 3" xfId="15335" xr:uid="{00000000-0005-0000-0000-0000A5100000}"/>
    <cellStyle name="Обычный 11 68 4" xfId="20675" xr:uid="{00000000-0005-0000-0000-0000A6100000}"/>
    <cellStyle name="Обычный 11 68 5" xfId="26015" xr:uid="{00000000-0005-0000-0000-0000A7100000}"/>
    <cellStyle name="Обычный 11 68 6" xfId="31355" xr:uid="{00000000-0005-0000-0000-0000A8100000}"/>
    <cellStyle name="Обычный 11 68 7" xfId="36695" xr:uid="{00000000-0005-0000-0000-0000A9100000}"/>
    <cellStyle name="Обычный 11 68 8" xfId="42035" xr:uid="{00000000-0005-0000-0000-0000AA100000}"/>
    <cellStyle name="Обычный 11 68 9" xfId="47375" xr:uid="{00000000-0005-0000-0000-0000AB100000}"/>
    <cellStyle name="Обычный 11 69" xfId="4684" xr:uid="{00000000-0005-0000-0000-0000AC100000}"/>
    <cellStyle name="Обычный 11 69 10" xfId="52747" xr:uid="{00000000-0005-0000-0000-0000AD100000}"/>
    <cellStyle name="Обычный 11 69 2" xfId="10027" xr:uid="{00000000-0005-0000-0000-0000AE100000}"/>
    <cellStyle name="Обычный 11 69 2 2" xfId="58088" xr:uid="{00000000-0005-0000-0000-0000AF100000}"/>
    <cellStyle name="Обычный 11 69 3" xfId="15367" xr:uid="{00000000-0005-0000-0000-0000B0100000}"/>
    <cellStyle name="Обычный 11 69 4" xfId="20707" xr:uid="{00000000-0005-0000-0000-0000B1100000}"/>
    <cellStyle name="Обычный 11 69 5" xfId="26047" xr:uid="{00000000-0005-0000-0000-0000B2100000}"/>
    <cellStyle name="Обычный 11 69 6" xfId="31387" xr:uid="{00000000-0005-0000-0000-0000B3100000}"/>
    <cellStyle name="Обычный 11 69 7" xfId="36727" xr:uid="{00000000-0005-0000-0000-0000B4100000}"/>
    <cellStyle name="Обычный 11 69 8" xfId="42067" xr:uid="{00000000-0005-0000-0000-0000B5100000}"/>
    <cellStyle name="Обычный 11 69 9" xfId="47407" xr:uid="{00000000-0005-0000-0000-0000B6100000}"/>
    <cellStyle name="Обычный 11 7" xfId="2697" xr:uid="{00000000-0005-0000-0000-0000B7100000}"/>
    <cellStyle name="Обычный 11 7 10" xfId="50761" xr:uid="{00000000-0005-0000-0000-0000B8100000}"/>
    <cellStyle name="Обычный 11 7 2" xfId="8040" xr:uid="{00000000-0005-0000-0000-0000B9100000}"/>
    <cellStyle name="Обычный 11 7 2 2" xfId="56102" xr:uid="{00000000-0005-0000-0000-0000BA100000}"/>
    <cellStyle name="Обычный 11 7 3" xfId="13381" xr:uid="{00000000-0005-0000-0000-0000BB100000}"/>
    <cellStyle name="Обычный 11 7 4" xfId="18721" xr:uid="{00000000-0005-0000-0000-0000BC100000}"/>
    <cellStyle name="Обычный 11 7 5" xfId="24061" xr:uid="{00000000-0005-0000-0000-0000BD100000}"/>
    <cellStyle name="Обычный 11 7 6" xfId="29401" xr:uid="{00000000-0005-0000-0000-0000BE100000}"/>
    <cellStyle name="Обычный 11 7 7" xfId="34741" xr:uid="{00000000-0005-0000-0000-0000BF100000}"/>
    <cellStyle name="Обычный 11 7 8" xfId="40081" xr:uid="{00000000-0005-0000-0000-0000C0100000}"/>
    <cellStyle name="Обычный 11 7 9" xfId="45421" xr:uid="{00000000-0005-0000-0000-0000C1100000}"/>
    <cellStyle name="Обычный 11 70" xfId="4716" xr:uid="{00000000-0005-0000-0000-0000C2100000}"/>
    <cellStyle name="Обычный 11 70 10" xfId="52779" xr:uid="{00000000-0005-0000-0000-0000C3100000}"/>
    <cellStyle name="Обычный 11 70 2" xfId="10059" xr:uid="{00000000-0005-0000-0000-0000C4100000}"/>
    <cellStyle name="Обычный 11 70 2 2" xfId="58120" xr:uid="{00000000-0005-0000-0000-0000C5100000}"/>
    <cellStyle name="Обычный 11 70 3" xfId="15399" xr:uid="{00000000-0005-0000-0000-0000C6100000}"/>
    <cellStyle name="Обычный 11 70 4" xfId="20739" xr:uid="{00000000-0005-0000-0000-0000C7100000}"/>
    <cellStyle name="Обычный 11 70 5" xfId="26079" xr:uid="{00000000-0005-0000-0000-0000C8100000}"/>
    <cellStyle name="Обычный 11 70 6" xfId="31419" xr:uid="{00000000-0005-0000-0000-0000C9100000}"/>
    <cellStyle name="Обычный 11 70 7" xfId="36759" xr:uid="{00000000-0005-0000-0000-0000CA100000}"/>
    <cellStyle name="Обычный 11 70 8" xfId="42099" xr:uid="{00000000-0005-0000-0000-0000CB100000}"/>
    <cellStyle name="Обычный 11 70 9" xfId="47439" xr:uid="{00000000-0005-0000-0000-0000CC100000}"/>
    <cellStyle name="Обычный 11 71" xfId="4750" xr:uid="{00000000-0005-0000-0000-0000CD100000}"/>
    <cellStyle name="Обычный 11 71 10" xfId="52813" xr:uid="{00000000-0005-0000-0000-0000CE100000}"/>
    <cellStyle name="Обычный 11 71 2" xfId="10093" xr:uid="{00000000-0005-0000-0000-0000CF100000}"/>
    <cellStyle name="Обычный 11 71 2 2" xfId="58154" xr:uid="{00000000-0005-0000-0000-0000D0100000}"/>
    <cellStyle name="Обычный 11 71 3" xfId="15433" xr:uid="{00000000-0005-0000-0000-0000D1100000}"/>
    <cellStyle name="Обычный 11 71 4" xfId="20773" xr:uid="{00000000-0005-0000-0000-0000D2100000}"/>
    <cellStyle name="Обычный 11 71 5" xfId="26113" xr:uid="{00000000-0005-0000-0000-0000D3100000}"/>
    <cellStyle name="Обычный 11 71 6" xfId="31453" xr:uid="{00000000-0005-0000-0000-0000D4100000}"/>
    <cellStyle name="Обычный 11 71 7" xfId="36793" xr:uid="{00000000-0005-0000-0000-0000D5100000}"/>
    <cellStyle name="Обычный 11 71 8" xfId="42133" xr:uid="{00000000-0005-0000-0000-0000D6100000}"/>
    <cellStyle name="Обычный 11 71 9" xfId="47473" xr:uid="{00000000-0005-0000-0000-0000D7100000}"/>
    <cellStyle name="Обычный 11 72" xfId="4782" xr:uid="{00000000-0005-0000-0000-0000D8100000}"/>
    <cellStyle name="Обычный 11 72 10" xfId="52845" xr:uid="{00000000-0005-0000-0000-0000D9100000}"/>
    <cellStyle name="Обычный 11 72 2" xfId="10125" xr:uid="{00000000-0005-0000-0000-0000DA100000}"/>
    <cellStyle name="Обычный 11 72 2 2" xfId="58186" xr:uid="{00000000-0005-0000-0000-0000DB100000}"/>
    <cellStyle name="Обычный 11 72 3" xfId="15465" xr:uid="{00000000-0005-0000-0000-0000DC100000}"/>
    <cellStyle name="Обычный 11 72 4" xfId="20805" xr:uid="{00000000-0005-0000-0000-0000DD100000}"/>
    <cellStyle name="Обычный 11 72 5" xfId="26145" xr:uid="{00000000-0005-0000-0000-0000DE100000}"/>
    <cellStyle name="Обычный 11 72 6" xfId="31485" xr:uid="{00000000-0005-0000-0000-0000DF100000}"/>
    <cellStyle name="Обычный 11 72 7" xfId="36825" xr:uid="{00000000-0005-0000-0000-0000E0100000}"/>
    <cellStyle name="Обычный 11 72 8" xfId="42165" xr:uid="{00000000-0005-0000-0000-0000E1100000}"/>
    <cellStyle name="Обычный 11 72 9" xfId="47505" xr:uid="{00000000-0005-0000-0000-0000E2100000}"/>
    <cellStyle name="Обычный 11 73" xfId="4814" xr:uid="{00000000-0005-0000-0000-0000E3100000}"/>
    <cellStyle name="Обычный 11 73 10" xfId="52877" xr:uid="{00000000-0005-0000-0000-0000E4100000}"/>
    <cellStyle name="Обычный 11 73 2" xfId="10157" xr:uid="{00000000-0005-0000-0000-0000E5100000}"/>
    <cellStyle name="Обычный 11 73 2 2" xfId="58218" xr:uid="{00000000-0005-0000-0000-0000E6100000}"/>
    <cellStyle name="Обычный 11 73 3" xfId="15497" xr:uid="{00000000-0005-0000-0000-0000E7100000}"/>
    <cellStyle name="Обычный 11 73 4" xfId="20837" xr:uid="{00000000-0005-0000-0000-0000E8100000}"/>
    <cellStyle name="Обычный 11 73 5" xfId="26177" xr:uid="{00000000-0005-0000-0000-0000E9100000}"/>
    <cellStyle name="Обычный 11 73 6" xfId="31517" xr:uid="{00000000-0005-0000-0000-0000EA100000}"/>
    <cellStyle name="Обычный 11 73 7" xfId="36857" xr:uid="{00000000-0005-0000-0000-0000EB100000}"/>
    <cellStyle name="Обычный 11 73 8" xfId="42197" xr:uid="{00000000-0005-0000-0000-0000EC100000}"/>
    <cellStyle name="Обычный 11 73 9" xfId="47537" xr:uid="{00000000-0005-0000-0000-0000ED100000}"/>
    <cellStyle name="Обычный 11 74" xfId="4846" xr:uid="{00000000-0005-0000-0000-0000EE100000}"/>
    <cellStyle name="Обычный 11 74 10" xfId="52909" xr:uid="{00000000-0005-0000-0000-0000EF100000}"/>
    <cellStyle name="Обычный 11 74 2" xfId="10189" xr:uid="{00000000-0005-0000-0000-0000F0100000}"/>
    <cellStyle name="Обычный 11 74 2 2" xfId="58250" xr:uid="{00000000-0005-0000-0000-0000F1100000}"/>
    <cellStyle name="Обычный 11 74 3" xfId="15529" xr:uid="{00000000-0005-0000-0000-0000F2100000}"/>
    <cellStyle name="Обычный 11 74 4" xfId="20869" xr:uid="{00000000-0005-0000-0000-0000F3100000}"/>
    <cellStyle name="Обычный 11 74 5" xfId="26209" xr:uid="{00000000-0005-0000-0000-0000F4100000}"/>
    <cellStyle name="Обычный 11 74 6" xfId="31549" xr:uid="{00000000-0005-0000-0000-0000F5100000}"/>
    <cellStyle name="Обычный 11 74 7" xfId="36889" xr:uid="{00000000-0005-0000-0000-0000F6100000}"/>
    <cellStyle name="Обычный 11 74 8" xfId="42229" xr:uid="{00000000-0005-0000-0000-0000F7100000}"/>
    <cellStyle name="Обычный 11 74 9" xfId="47569" xr:uid="{00000000-0005-0000-0000-0000F8100000}"/>
    <cellStyle name="Обычный 11 75" xfId="4878" xr:uid="{00000000-0005-0000-0000-0000F9100000}"/>
    <cellStyle name="Обычный 11 75 10" xfId="52941" xr:uid="{00000000-0005-0000-0000-0000FA100000}"/>
    <cellStyle name="Обычный 11 75 2" xfId="10221" xr:uid="{00000000-0005-0000-0000-0000FB100000}"/>
    <cellStyle name="Обычный 11 75 2 2" xfId="58282" xr:uid="{00000000-0005-0000-0000-0000FC100000}"/>
    <cellStyle name="Обычный 11 75 3" xfId="15561" xr:uid="{00000000-0005-0000-0000-0000FD100000}"/>
    <cellStyle name="Обычный 11 75 4" xfId="20901" xr:uid="{00000000-0005-0000-0000-0000FE100000}"/>
    <cellStyle name="Обычный 11 75 5" xfId="26241" xr:uid="{00000000-0005-0000-0000-0000FF100000}"/>
    <cellStyle name="Обычный 11 75 6" xfId="31581" xr:uid="{00000000-0005-0000-0000-000000110000}"/>
    <cellStyle name="Обычный 11 75 7" xfId="36921" xr:uid="{00000000-0005-0000-0000-000001110000}"/>
    <cellStyle name="Обычный 11 75 8" xfId="42261" xr:uid="{00000000-0005-0000-0000-000002110000}"/>
    <cellStyle name="Обычный 11 75 9" xfId="47601" xr:uid="{00000000-0005-0000-0000-000003110000}"/>
    <cellStyle name="Обычный 11 76" xfId="4910" xr:uid="{00000000-0005-0000-0000-000004110000}"/>
    <cellStyle name="Обычный 11 76 10" xfId="52973" xr:uid="{00000000-0005-0000-0000-000005110000}"/>
    <cellStyle name="Обычный 11 76 2" xfId="10253" xr:uid="{00000000-0005-0000-0000-000006110000}"/>
    <cellStyle name="Обычный 11 76 2 2" xfId="58314" xr:uid="{00000000-0005-0000-0000-000007110000}"/>
    <cellStyle name="Обычный 11 76 3" xfId="15593" xr:uid="{00000000-0005-0000-0000-000008110000}"/>
    <cellStyle name="Обычный 11 76 4" xfId="20933" xr:uid="{00000000-0005-0000-0000-000009110000}"/>
    <cellStyle name="Обычный 11 76 5" xfId="26273" xr:uid="{00000000-0005-0000-0000-00000A110000}"/>
    <cellStyle name="Обычный 11 76 6" xfId="31613" xr:uid="{00000000-0005-0000-0000-00000B110000}"/>
    <cellStyle name="Обычный 11 76 7" xfId="36953" xr:uid="{00000000-0005-0000-0000-00000C110000}"/>
    <cellStyle name="Обычный 11 76 8" xfId="42293" xr:uid="{00000000-0005-0000-0000-00000D110000}"/>
    <cellStyle name="Обычный 11 76 9" xfId="47633" xr:uid="{00000000-0005-0000-0000-00000E110000}"/>
    <cellStyle name="Обычный 11 77" xfId="4942" xr:uid="{00000000-0005-0000-0000-00000F110000}"/>
    <cellStyle name="Обычный 11 77 10" xfId="53005" xr:uid="{00000000-0005-0000-0000-000010110000}"/>
    <cellStyle name="Обычный 11 77 2" xfId="10285" xr:uid="{00000000-0005-0000-0000-000011110000}"/>
    <cellStyle name="Обычный 11 77 2 2" xfId="58346" xr:uid="{00000000-0005-0000-0000-000012110000}"/>
    <cellStyle name="Обычный 11 77 3" xfId="15625" xr:uid="{00000000-0005-0000-0000-000013110000}"/>
    <cellStyle name="Обычный 11 77 4" xfId="20965" xr:uid="{00000000-0005-0000-0000-000014110000}"/>
    <cellStyle name="Обычный 11 77 5" xfId="26305" xr:uid="{00000000-0005-0000-0000-000015110000}"/>
    <cellStyle name="Обычный 11 77 6" xfId="31645" xr:uid="{00000000-0005-0000-0000-000016110000}"/>
    <cellStyle name="Обычный 11 77 7" xfId="36985" xr:uid="{00000000-0005-0000-0000-000017110000}"/>
    <cellStyle name="Обычный 11 77 8" xfId="42325" xr:uid="{00000000-0005-0000-0000-000018110000}"/>
    <cellStyle name="Обычный 11 77 9" xfId="47665" xr:uid="{00000000-0005-0000-0000-000019110000}"/>
    <cellStyle name="Обычный 11 78" xfId="4974" xr:uid="{00000000-0005-0000-0000-00001A110000}"/>
    <cellStyle name="Обычный 11 78 10" xfId="53037" xr:uid="{00000000-0005-0000-0000-00001B110000}"/>
    <cellStyle name="Обычный 11 78 2" xfId="10317" xr:uid="{00000000-0005-0000-0000-00001C110000}"/>
    <cellStyle name="Обычный 11 78 2 2" xfId="58378" xr:uid="{00000000-0005-0000-0000-00001D110000}"/>
    <cellStyle name="Обычный 11 78 3" xfId="15657" xr:uid="{00000000-0005-0000-0000-00001E110000}"/>
    <cellStyle name="Обычный 11 78 4" xfId="20997" xr:uid="{00000000-0005-0000-0000-00001F110000}"/>
    <cellStyle name="Обычный 11 78 5" xfId="26337" xr:uid="{00000000-0005-0000-0000-000020110000}"/>
    <cellStyle name="Обычный 11 78 6" xfId="31677" xr:uid="{00000000-0005-0000-0000-000021110000}"/>
    <cellStyle name="Обычный 11 78 7" xfId="37017" xr:uid="{00000000-0005-0000-0000-000022110000}"/>
    <cellStyle name="Обычный 11 78 8" xfId="42357" xr:uid="{00000000-0005-0000-0000-000023110000}"/>
    <cellStyle name="Обычный 11 78 9" xfId="47697" xr:uid="{00000000-0005-0000-0000-000024110000}"/>
    <cellStyle name="Обычный 11 79" xfId="5006" xr:uid="{00000000-0005-0000-0000-000025110000}"/>
    <cellStyle name="Обычный 11 79 10" xfId="53069" xr:uid="{00000000-0005-0000-0000-000026110000}"/>
    <cellStyle name="Обычный 11 79 2" xfId="10349" xr:uid="{00000000-0005-0000-0000-000027110000}"/>
    <cellStyle name="Обычный 11 79 2 2" xfId="58410" xr:uid="{00000000-0005-0000-0000-000028110000}"/>
    <cellStyle name="Обычный 11 79 3" xfId="15689" xr:uid="{00000000-0005-0000-0000-000029110000}"/>
    <cellStyle name="Обычный 11 79 4" xfId="21029" xr:uid="{00000000-0005-0000-0000-00002A110000}"/>
    <cellStyle name="Обычный 11 79 5" xfId="26369" xr:uid="{00000000-0005-0000-0000-00002B110000}"/>
    <cellStyle name="Обычный 11 79 6" xfId="31709" xr:uid="{00000000-0005-0000-0000-00002C110000}"/>
    <cellStyle name="Обычный 11 79 7" xfId="37049" xr:uid="{00000000-0005-0000-0000-00002D110000}"/>
    <cellStyle name="Обычный 11 79 8" xfId="42389" xr:uid="{00000000-0005-0000-0000-00002E110000}"/>
    <cellStyle name="Обычный 11 79 9" xfId="47729" xr:uid="{00000000-0005-0000-0000-00002F110000}"/>
    <cellStyle name="Обычный 11 8" xfId="2729" xr:uid="{00000000-0005-0000-0000-000030110000}"/>
    <cellStyle name="Обычный 11 8 10" xfId="50793" xr:uid="{00000000-0005-0000-0000-000031110000}"/>
    <cellStyle name="Обычный 11 8 2" xfId="8072" xr:uid="{00000000-0005-0000-0000-000032110000}"/>
    <cellStyle name="Обычный 11 8 2 2" xfId="56134" xr:uid="{00000000-0005-0000-0000-000033110000}"/>
    <cellStyle name="Обычный 11 8 3" xfId="13413" xr:uid="{00000000-0005-0000-0000-000034110000}"/>
    <cellStyle name="Обычный 11 8 4" xfId="18753" xr:uid="{00000000-0005-0000-0000-000035110000}"/>
    <cellStyle name="Обычный 11 8 5" xfId="24093" xr:uid="{00000000-0005-0000-0000-000036110000}"/>
    <cellStyle name="Обычный 11 8 6" xfId="29433" xr:uid="{00000000-0005-0000-0000-000037110000}"/>
    <cellStyle name="Обычный 11 8 7" xfId="34773" xr:uid="{00000000-0005-0000-0000-000038110000}"/>
    <cellStyle name="Обычный 11 8 8" xfId="40113" xr:uid="{00000000-0005-0000-0000-000039110000}"/>
    <cellStyle name="Обычный 11 8 9" xfId="45453" xr:uid="{00000000-0005-0000-0000-00003A110000}"/>
    <cellStyle name="Обычный 11 80" xfId="5038" xr:uid="{00000000-0005-0000-0000-00003B110000}"/>
    <cellStyle name="Обычный 11 80 10" xfId="53101" xr:uid="{00000000-0005-0000-0000-00003C110000}"/>
    <cellStyle name="Обычный 11 80 2" xfId="10381" xr:uid="{00000000-0005-0000-0000-00003D110000}"/>
    <cellStyle name="Обычный 11 80 2 2" xfId="58442" xr:uid="{00000000-0005-0000-0000-00003E110000}"/>
    <cellStyle name="Обычный 11 80 3" xfId="15721" xr:uid="{00000000-0005-0000-0000-00003F110000}"/>
    <cellStyle name="Обычный 11 80 4" xfId="21061" xr:uid="{00000000-0005-0000-0000-000040110000}"/>
    <cellStyle name="Обычный 11 80 5" xfId="26401" xr:uid="{00000000-0005-0000-0000-000041110000}"/>
    <cellStyle name="Обычный 11 80 6" xfId="31741" xr:uid="{00000000-0005-0000-0000-000042110000}"/>
    <cellStyle name="Обычный 11 80 7" xfId="37081" xr:uid="{00000000-0005-0000-0000-000043110000}"/>
    <cellStyle name="Обычный 11 80 8" xfId="42421" xr:uid="{00000000-0005-0000-0000-000044110000}"/>
    <cellStyle name="Обычный 11 80 9" xfId="47761" xr:uid="{00000000-0005-0000-0000-000045110000}"/>
    <cellStyle name="Обычный 11 81" xfId="5070" xr:uid="{00000000-0005-0000-0000-000046110000}"/>
    <cellStyle name="Обычный 11 81 10" xfId="53133" xr:uid="{00000000-0005-0000-0000-000047110000}"/>
    <cellStyle name="Обычный 11 81 2" xfId="10413" xr:uid="{00000000-0005-0000-0000-000048110000}"/>
    <cellStyle name="Обычный 11 81 2 2" xfId="58474" xr:uid="{00000000-0005-0000-0000-000049110000}"/>
    <cellStyle name="Обычный 11 81 3" xfId="15753" xr:uid="{00000000-0005-0000-0000-00004A110000}"/>
    <cellStyle name="Обычный 11 81 4" xfId="21093" xr:uid="{00000000-0005-0000-0000-00004B110000}"/>
    <cellStyle name="Обычный 11 81 5" xfId="26433" xr:uid="{00000000-0005-0000-0000-00004C110000}"/>
    <cellStyle name="Обычный 11 81 6" xfId="31773" xr:uid="{00000000-0005-0000-0000-00004D110000}"/>
    <cellStyle name="Обычный 11 81 7" xfId="37113" xr:uid="{00000000-0005-0000-0000-00004E110000}"/>
    <cellStyle name="Обычный 11 81 8" xfId="42453" xr:uid="{00000000-0005-0000-0000-00004F110000}"/>
    <cellStyle name="Обычный 11 81 9" xfId="47793" xr:uid="{00000000-0005-0000-0000-000050110000}"/>
    <cellStyle name="Обычный 11 82" xfId="5102" xr:uid="{00000000-0005-0000-0000-000051110000}"/>
    <cellStyle name="Обычный 11 82 10" xfId="53165" xr:uid="{00000000-0005-0000-0000-000052110000}"/>
    <cellStyle name="Обычный 11 82 2" xfId="10445" xr:uid="{00000000-0005-0000-0000-000053110000}"/>
    <cellStyle name="Обычный 11 82 2 2" xfId="58506" xr:uid="{00000000-0005-0000-0000-000054110000}"/>
    <cellStyle name="Обычный 11 82 3" xfId="15785" xr:uid="{00000000-0005-0000-0000-000055110000}"/>
    <cellStyle name="Обычный 11 82 4" xfId="21125" xr:uid="{00000000-0005-0000-0000-000056110000}"/>
    <cellStyle name="Обычный 11 82 5" xfId="26465" xr:uid="{00000000-0005-0000-0000-000057110000}"/>
    <cellStyle name="Обычный 11 82 6" xfId="31805" xr:uid="{00000000-0005-0000-0000-000058110000}"/>
    <cellStyle name="Обычный 11 82 7" xfId="37145" xr:uid="{00000000-0005-0000-0000-000059110000}"/>
    <cellStyle name="Обычный 11 82 8" xfId="42485" xr:uid="{00000000-0005-0000-0000-00005A110000}"/>
    <cellStyle name="Обычный 11 82 9" xfId="47825" xr:uid="{00000000-0005-0000-0000-00005B110000}"/>
    <cellStyle name="Обычный 11 83" xfId="5134" xr:uid="{00000000-0005-0000-0000-00005C110000}"/>
    <cellStyle name="Обычный 11 83 10" xfId="53197" xr:uid="{00000000-0005-0000-0000-00005D110000}"/>
    <cellStyle name="Обычный 11 83 2" xfId="10477" xr:uid="{00000000-0005-0000-0000-00005E110000}"/>
    <cellStyle name="Обычный 11 83 2 2" xfId="58538" xr:uid="{00000000-0005-0000-0000-00005F110000}"/>
    <cellStyle name="Обычный 11 83 3" xfId="15817" xr:uid="{00000000-0005-0000-0000-000060110000}"/>
    <cellStyle name="Обычный 11 83 4" xfId="21157" xr:uid="{00000000-0005-0000-0000-000061110000}"/>
    <cellStyle name="Обычный 11 83 5" xfId="26497" xr:uid="{00000000-0005-0000-0000-000062110000}"/>
    <cellStyle name="Обычный 11 83 6" xfId="31837" xr:uid="{00000000-0005-0000-0000-000063110000}"/>
    <cellStyle name="Обычный 11 83 7" xfId="37177" xr:uid="{00000000-0005-0000-0000-000064110000}"/>
    <cellStyle name="Обычный 11 83 8" xfId="42517" xr:uid="{00000000-0005-0000-0000-000065110000}"/>
    <cellStyle name="Обычный 11 83 9" xfId="47857" xr:uid="{00000000-0005-0000-0000-000066110000}"/>
    <cellStyle name="Обычный 11 84" xfId="5166" xr:uid="{00000000-0005-0000-0000-000067110000}"/>
    <cellStyle name="Обычный 11 84 10" xfId="53229" xr:uid="{00000000-0005-0000-0000-000068110000}"/>
    <cellStyle name="Обычный 11 84 2" xfId="10509" xr:uid="{00000000-0005-0000-0000-000069110000}"/>
    <cellStyle name="Обычный 11 84 2 2" xfId="58570" xr:uid="{00000000-0005-0000-0000-00006A110000}"/>
    <cellStyle name="Обычный 11 84 3" xfId="15849" xr:uid="{00000000-0005-0000-0000-00006B110000}"/>
    <cellStyle name="Обычный 11 84 4" xfId="21189" xr:uid="{00000000-0005-0000-0000-00006C110000}"/>
    <cellStyle name="Обычный 11 84 5" xfId="26529" xr:uid="{00000000-0005-0000-0000-00006D110000}"/>
    <cellStyle name="Обычный 11 84 6" xfId="31869" xr:uid="{00000000-0005-0000-0000-00006E110000}"/>
    <cellStyle name="Обычный 11 84 7" xfId="37209" xr:uid="{00000000-0005-0000-0000-00006F110000}"/>
    <cellStyle name="Обычный 11 84 8" xfId="42549" xr:uid="{00000000-0005-0000-0000-000070110000}"/>
    <cellStyle name="Обычный 11 84 9" xfId="47889" xr:uid="{00000000-0005-0000-0000-000071110000}"/>
    <cellStyle name="Обычный 11 85" xfId="5198" xr:uid="{00000000-0005-0000-0000-000072110000}"/>
    <cellStyle name="Обычный 11 85 10" xfId="53261" xr:uid="{00000000-0005-0000-0000-000073110000}"/>
    <cellStyle name="Обычный 11 85 2" xfId="10541" xr:uid="{00000000-0005-0000-0000-000074110000}"/>
    <cellStyle name="Обычный 11 85 2 2" xfId="58602" xr:uid="{00000000-0005-0000-0000-000075110000}"/>
    <cellStyle name="Обычный 11 85 3" xfId="15881" xr:uid="{00000000-0005-0000-0000-000076110000}"/>
    <cellStyle name="Обычный 11 85 4" xfId="21221" xr:uid="{00000000-0005-0000-0000-000077110000}"/>
    <cellStyle name="Обычный 11 85 5" xfId="26561" xr:uid="{00000000-0005-0000-0000-000078110000}"/>
    <cellStyle name="Обычный 11 85 6" xfId="31901" xr:uid="{00000000-0005-0000-0000-000079110000}"/>
    <cellStyle name="Обычный 11 85 7" xfId="37241" xr:uid="{00000000-0005-0000-0000-00007A110000}"/>
    <cellStyle name="Обычный 11 85 8" xfId="42581" xr:uid="{00000000-0005-0000-0000-00007B110000}"/>
    <cellStyle name="Обычный 11 85 9" xfId="47921" xr:uid="{00000000-0005-0000-0000-00007C110000}"/>
    <cellStyle name="Обычный 11 86" xfId="5230" xr:uid="{00000000-0005-0000-0000-00007D110000}"/>
    <cellStyle name="Обычный 11 86 10" xfId="53293" xr:uid="{00000000-0005-0000-0000-00007E110000}"/>
    <cellStyle name="Обычный 11 86 2" xfId="10573" xr:uid="{00000000-0005-0000-0000-00007F110000}"/>
    <cellStyle name="Обычный 11 86 2 2" xfId="58634" xr:uid="{00000000-0005-0000-0000-000080110000}"/>
    <cellStyle name="Обычный 11 86 3" xfId="15913" xr:uid="{00000000-0005-0000-0000-000081110000}"/>
    <cellStyle name="Обычный 11 86 4" xfId="21253" xr:uid="{00000000-0005-0000-0000-000082110000}"/>
    <cellStyle name="Обычный 11 86 5" xfId="26593" xr:uid="{00000000-0005-0000-0000-000083110000}"/>
    <cellStyle name="Обычный 11 86 6" xfId="31933" xr:uid="{00000000-0005-0000-0000-000084110000}"/>
    <cellStyle name="Обычный 11 86 7" xfId="37273" xr:uid="{00000000-0005-0000-0000-000085110000}"/>
    <cellStyle name="Обычный 11 86 8" xfId="42613" xr:uid="{00000000-0005-0000-0000-000086110000}"/>
    <cellStyle name="Обычный 11 86 9" xfId="47953" xr:uid="{00000000-0005-0000-0000-000087110000}"/>
    <cellStyle name="Обычный 11 87" xfId="5262" xr:uid="{00000000-0005-0000-0000-000088110000}"/>
    <cellStyle name="Обычный 11 87 10" xfId="53325" xr:uid="{00000000-0005-0000-0000-000089110000}"/>
    <cellStyle name="Обычный 11 87 2" xfId="10605" xr:uid="{00000000-0005-0000-0000-00008A110000}"/>
    <cellStyle name="Обычный 11 87 2 2" xfId="58666" xr:uid="{00000000-0005-0000-0000-00008B110000}"/>
    <cellStyle name="Обычный 11 87 3" xfId="15945" xr:uid="{00000000-0005-0000-0000-00008C110000}"/>
    <cellStyle name="Обычный 11 87 4" xfId="21285" xr:uid="{00000000-0005-0000-0000-00008D110000}"/>
    <cellStyle name="Обычный 11 87 5" xfId="26625" xr:uid="{00000000-0005-0000-0000-00008E110000}"/>
    <cellStyle name="Обычный 11 87 6" xfId="31965" xr:uid="{00000000-0005-0000-0000-00008F110000}"/>
    <cellStyle name="Обычный 11 87 7" xfId="37305" xr:uid="{00000000-0005-0000-0000-000090110000}"/>
    <cellStyle name="Обычный 11 87 8" xfId="42645" xr:uid="{00000000-0005-0000-0000-000091110000}"/>
    <cellStyle name="Обычный 11 87 9" xfId="47985" xr:uid="{00000000-0005-0000-0000-000092110000}"/>
    <cellStyle name="Обычный 11 88" xfId="5294" xr:uid="{00000000-0005-0000-0000-000093110000}"/>
    <cellStyle name="Обычный 11 88 10" xfId="53357" xr:uid="{00000000-0005-0000-0000-000094110000}"/>
    <cellStyle name="Обычный 11 88 2" xfId="10637" xr:uid="{00000000-0005-0000-0000-000095110000}"/>
    <cellStyle name="Обычный 11 88 2 2" xfId="58698" xr:uid="{00000000-0005-0000-0000-000096110000}"/>
    <cellStyle name="Обычный 11 88 3" xfId="15977" xr:uid="{00000000-0005-0000-0000-000097110000}"/>
    <cellStyle name="Обычный 11 88 4" xfId="21317" xr:uid="{00000000-0005-0000-0000-000098110000}"/>
    <cellStyle name="Обычный 11 88 5" xfId="26657" xr:uid="{00000000-0005-0000-0000-000099110000}"/>
    <cellStyle name="Обычный 11 88 6" xfId="31997" xr:uid="{00000000-0005-0000-0000-00009A110000}"/>
    <cellStyle name="Обычный 11 88 7" xfId="37337" xr:uid="{00000000-0005-0000-0000-00009B110000}"/>
    <cellStyle name="Обычный 11 88 8" xfId="42677" xr:uid="{00000000-0005-0000-0000-00009C110000}"/>
    <cellStyle name="Обычный 11 88 9" xfId="48017" xr:uid="{00000000-0005-0000-0000-00009D110000}"/>
    <cellStyle name="Обычный 11 89" xfId="5326" xr:uid="{00000000-0005-0000-0000-00009E110000}"/>
    <cellStyle name="Обычный 11 89 10" xfId="53389" xr:uid="{00000000-0005-0000-0000-00009F110000}"/>
    <cellStyle name="Обычный 11 89 2" xfId="10669" xr:uid="{00000000-0005-0000-0000-0000A0110000}"/>
    <cellStyle name="Обычный 11 89 2 2" xfId="58730" xr:uid="{00000000-0005-0000-0000-0000A1110000}"/>
    <cellStyle name="Обычный 11 89 3" xfId="16009" xr:uid="{00000000-0005-0000-0000-0000A2110000}"/>
    <cellStyle name="Обычный 11 89 4" xfId="21349" xr:uid="{00000000-0005-0000-0000-0000A3110000}"/>
    <cellStyle name="Обычный 11 89 5" xfId="26689" xr:uid="{00000000-0005-0000-0000-0000A4110000}"/>
    <cellStyle name="Обычный 11 89 6" xfId="32029" xr:uid="{00000000-0005-0000-0000-0000A5110000}"/>
    <cellStyle name="Обычный 11 89 7" xfId="37369" xr:uid="{00000000-0005-0000-0000-0000A6110000}"/>
    <cellStyle name="Обычный 11 89 8" xfId="42709" xr:uid="{00000000-0005-0000-0000-0000A7110000}"/>
    <cellStyle name="Обычный 11 89 9" xfId="48049" xr:uid="{00000000-0005-0000-0000-0000A8110000}"/>
    <cellStyle name="Обычный 11 9" xfId="2761" xr:uid="{00000000-0005-0000-0000-0000A9110000}"/>
    <cellStyle name="Обычный 11 9 10" xfId="50825" xr:uid="{00000000-0005-0000-0000-0000AA110000}"/>
    <cellStyle name="Обычный 11 9 2" xfId="8104" xr:uid="{00000000-0005-0000-0000-0000AB110000}"/>
    <cellStyle name="Обычный 11 9 2 2" xfId="56166" xr:uid="{00000000-0005-0000-0000-0000AC110000}"/>
    <cellStyle name="Обычный 11 9 3" xfId="13445" xr:uid="{00000000-0005-0000-0000-0000AD110000}"/>
    <cellStyle name="Обычный 11 9 4" xfId="18785" xr:uid="{00000000-0005-0000-0000-0000AE110000}"/>
    <cellStyle name="Обычный 11 9 5" xfId="24125" xr:uid="{00000000-0005-0000-0000-0000AF110000}"/>
    <cellStyle name="Обычный 11 9 6" xfId="29465" xr:uid="{00000000-0005-0000-0000-0000B0110000}"/>
    <cellStyle name="Обычный 11 9 7" xfId="34805" xr:uid="{00000000-0005-0000-0000-0000B1110000}"/>
    <cellStyle name="Обычный 11 9 8" xfId="40145" xr:uid="{00000000-0005-0000-0000-0000B2110000}"/>
    <cellStyle name="Обычный 11 9 9" xfId="45485" xr:uid="{00000000-0005-0000-0000-0000B3110000}"/>
    <cellStyle name="Обычный 11 90" xfId="5358" xr:uid="{00000000-0005-0000-0000-0000B4110000}"/>
    <cellStyle name="Обычный 11 90 10" xfId="53421" xr:uid="{00000000-0005-0000-0000-0000B5110000}"/>
    <cellStyle name="Обычный 11 90 2" xfId="10701" xr:uid="{00000000-0005-0000-0000-0000B6110000}"/>
    <cellStyle name="Обычный 11 90 2 2" xfId="58762" xr:uid="{00000000-0005-0000-0000-0000B7110000}"/>
    <cellStyle name="Обычный 11 90 3" xfId="16041" xr:uid="{00000000-0005-0000-0000-0000B8110000}"/>
    <cellStyle name="Обычный 11 90 4" xfId="21381" xr:uid="{00000000-0005-0000-0000-0000B9110000}"/>
    <cellStyle name="Обычный 11 90 5" xfId="26721" xr:uid="{00000000-0005-0000-0000-0000BA110000}"/>
    <cellStyle name="Обычный 11 90 6" xfId="32061" xr:uid="{00000000-0005-0000-0000-0000BB110000}"/>
    <cellStyle name="Обычный 11 90 7" xfId="37401" xr:uid="{00000000-0005-0000-0000-0000BC110000}"/>
    <cellStyle name="Обычный 11 90 8" xfId="42741" xr:uid="{00000000-0005-0000-0000-0000BD110000}"/>
    <cellStyle name="Обычный 11 90 9" xfId="48081" xr:uid="{00000000-0005-0000-0000-0000BE110000}"/>
    <cellStyle name="Обычный 11 91" xfId="5390" xr:uid="{00000000-0005-0000-0000-0000BF110000}"/>
    <cellStyle name="Обычный 11 91 10" xfId="53453" xr:uid="{00000000-0005-0000-0000-0000C0110000}"/>
    <cellStyle name="Обычный 11 91 2" xfId="10733" xr:uid="{00000000-0005-0000-0000-0000C1110000}"/>
    <cellStyle name="Обычный 11 91 2 2" xfId="58794" xr:uid="{00000000-0005-0000-0000-0000C2110000}"/>
    <cellStyle name="Обычный 11 91 3" xfId="16073" xr:uid="{00000000-0005-0000-0000-0000C3110000}"/>
    <cellStyle name="Обычный 11 91 4" xfId="21413" xr:uid="{00000000-0005-0000-0000-0000C4110000}"/>
    <cellStyle name="Обычный 11 91 5" xfId="26753" xr:uid="{00000000-0005-0000-0000-0000C5110000}"/>
    <cellStyle name="Обычный 11 91 6" xfId="32093" xr:uid="{00000000-0005-0000-0000-0000C6110000}"/>
    <cellStyle name="Обычный 11 91 7" xfId="37433" xr:uid="{00000000-0005-0000-0000-0000C7110000}"/>
    <cellStyle name="Обычный 11 91 8" xfId="42773" xr:uid="{00000000-0005-0000-0000-0000C8110000}"/>
    <cellStyle name="Обычный 11 91 9" xfId="48113" xr:uid="{00000000-0005-0000-0000-0000C9110000}"/>
    <cellStyle name="Обычный 11 92" xfId="7846" xr:uid="{00000000-0005-0000-0000-0000CA110000}"/>
    <cellStyle name="Обычный 11 92 2" xfId="55908" xr:uid="{00000000-0005-0000-0000-0000CB110000}"/>
    <cellStyle name="Обычный 11 93" xfId="13187" xr:uid="{00000000-0005-0000-0000-0000CC110000}"/>
    <cellStyle name="Обычный 11 94" xfId="18527" xr:uid="{00000000-0005-0000-0000-0000CD110000}"/>
    <cellStyle name="Обычный 11 95" xfId="23867" xr:uid="{00000000-0005-0000-0000-0000CE110000}"/>
    <cellStyle name="Обычный 11 96" xfId="29207" xr:uid="{00000000-0005-0000-0000-0000CF110000}"/>
    <cellStyle name="Обычный 11 97" xfId="34547" xr:uid="{00000000-0005-0000-0000-0000D0110000}"/>
    <cellStyle name="Обычный 11 98" xfId="39887" xr:uid="{00000000-0005-0000-0000-0000D1110000}"/>
    <cellStyle name="Обычный 11 99" xfId="45227" xr:uid="{00000000-0005-0000-0000-0000D2110000}"/>
    <cellStyle name="Обычный 12" xfId="2537" xr:uid="{00000000-0005-0000-0000-0000D3110000}"/>
    <cellStyle name="Обычный 12 10" xfId="50601" xr:uid="{00000000-0005-0000-0000-0000D4110000}"/>
    <cellStyle name="Обычный 12 2" xfId="7880" xr:uid="{00000000-0005-0000-0000-0000D5110000}"/>
    <cellStyle name="Обычный 12 2 2" xfId="55942" xr:uid="{00000000-0005-0000-0000-0000D6110000}"/>
    <cellStyle name="Обычный 12 3" xfId="13221" xr:uid="{00000000-0005-0000-0000-0000D7110000}"/>
    <cellStyle name="Обычный 12 4" xfId="18561" xr:uid="{00000000-0005-0000-0000-0000D8110000}"/>
    <cellStyle name="Обычный 12 5" xfId="23901" xr:uid="{00000000-0005-0000-0000-0000D9110000}"/>
    <cellStyle name="Обычный 12 6" xfId="29241" xr:uid="{00000000-0005-0000-0000-0000DA110000}"/>
    <cellStyle name="Обычный 12 7" xfId="34581" xr:uid="{00000000-0005-0000-0000-0000DB110000}"/>
    <cellStyle name="Обычный 12 8" xfId="39921" xr:uid="{00000000-0005-0000-0000-0000DC110000}"/>
    <cellStyle name="Обычный 12 9" xfId="45261" xr:uid="{00000000-0005-0000-0000-0000DD110000}"/>
    <cellStyle name="Обычный 13" xfId="2763" xr:uid="{00000000-0005-0000-0000-0000DE110000}"/>
    <cellStyle name="Обычный 13 10" xfId="50827" xr:uid="{00000000-0005-0000-0000-0000DF110000}"/>
    <cellStyle name="Обычный 13 2" xfId="8106" xr:uid="{00000000-0005-0000-0000-0000E0110000}"/>
    <cellStyle name="Обычный 13 2 2" xfId="56168" xr:uid="{00000000-0005-0000-0000-0000E1110000}"/>
    <cellStyle name="Обычный 13 3" xfId="13447" xr:uid="{00000000-0005-0000-0000-0000E2110000}"/>
    <cellStyle name="Обычный 13 4" xfId="18787" xr:uid="{00000000-0005-0000-0000-0000E3110000}"/>
    <cellStyle name="Обычный 13 5" xfId="24127" xr:uid="{00000000-0005-0000-0000-0000E4110000}"/>
    <cellStyle name="Обычный 13 6" xfId="29467" xr:uid="{00000000-0005-0000-0000-0000E5110000}"/>
    <cellStyle name="Обычный 13 7" xfId="34807" xr:uid="{00000000-0005-0000-0000-0000E6110000}"/>
    <cellStyle name="Обычный 13 8" xfId="40147" xr:uid="{00000000-0005-0000-0000-0000E7110000}"/>
    <cellStyle name="Обычный 13 9" xfId="45487" xr:uid="{00000000-0005-0000-0000-0000E8110000}"/>
    <cellStyle name="Обычный 14" xfId="4718" xr:uid="{00000000-0005-0000-0000-0000E9110000}"/>
    <cellStyle name="Обычный 14 10" xfId="52781" xr:uid="{00000000-0005-0000-0000-0000EA110000}"/>
    <cellStyle name="Обычный 14 2" xfId="10061" xr:uid="{00000000-0005-0000-0000-0000EB110000}"/>
    <cellStyle name="Обычный 14 2 2" xfId="58122" xr:uid="{00000000-0005-0000-0000-0000EC110000}"/>
    <cellStyle name="Обычный 14 3" xfId="15401" xr:uid="{00000000-0005-0000-0000-0000ED110000}"/>
    <cellStyle name="Обычный 14 4" xfId="20741" xr:uid="{00000000-0005-0000-0000-0000EE110000}"/>
    <cellStyle name="Обычный 14 5" xfId="26081" xr:uid="{00000000-0005-0000-0000-0000EF110000}"/>
    <cellStyle name="Обычный 14 6" xfId="31421" xr:uid="{00000000-0005-0000-0000-0000F0110000}"/>
    <cellStyle name="Обычный 14 7" xfId="36761" xr:uid="{00000000-0005-0000-0000-0000F1110000}"/>
    <cellStyle name="Обычный 14 8" xfId="42101" xr:uid="{00000000-0005-0000-0000-0000F2110000}"/>
    <cellStyle name="Обычный 14 9" xfId="47441" xr:uid="{00000000-0005-0000-0000-0000F3110000}"/>
    <cellStyle name="Обычный 15" xfId="58796" xr:uid="{00000000-0005-0000-0000-0000F4110000}"/>
    <cellStyle name="Обычный 16" xfId="58798" xr:uid="{00000000-0005-0000-0000-0000F5110000}"/>
    <cellStyle name="Обычный 17" xfId="58801" xr:uid="{00000000-0005-0000-0000-0000F6110000}"/>
    <cellStyle name="Обычный 2" xfId="7" xr:uid="{00000000-0005-0000-0000-0000F7110000}"/>
    <cellStyle name="Обычный 3" xfId="10" xr:uid="{00000000-0005-0000-0000-0000F8110000}"/>
    <cellStyle name="Обычный 3 10" xfId="37435" xr:uid="{00000000-0005-0000-0000-0000F9110000}"/>
    <cellStyle name="Обычный 3 11" xfId="42775" xr:uid="{00000000-0005-0000-0000-0000FA110000}"/>
    <cellStyle name="Обычный 3 12" xfId="48115" xr:uid="{00000000-0005-0000-0000-0000FB110000}"/>
    <cellStyle name="Обычный 3 13" xfId="60515" xr:uid="{00000000-0005-0000-0000-0000FC110000}"/>
    <cellStyle name="Обычный 3 2" xfId="51" xr:uid="{00000000-0005-0000-0000-0000FD110000}"/>
    <cellStyle name="Обычный 3 3" xfId="520" xr:uid="{00000000-0005-0000-0000-0000FE110000}"/>
    <cellStyle name="Обычный 3 3 10" xfId="48582" xr:uid="{00000000-0005-0000-0000-0000FF110000}"/>
    <cellStyle name="Обычный 3 3 2" xfId="5861" xr:uid="{00000000-0005-0000-0000-000000120000}"/>
    <cellStyle name="Обычный 3 3 2 2" xfId="53923" xr:uid="{00000000-0005-0000-0000-000001120000}"/>
    <cellStyle name="Обычный 3 3 3" xfId="11202" xr:uid="{00000000-0005-0000-0000-000002120000}"/>
    <cellStyle name="Обычный 3 3 4" xfId="16542" xr:uid="{00000000-0005-0000-0000-000003120000}"/>
    <cellStyle name="Обычный 3 3 5" xfId="21882" xr:uid="{00000000-0005-0000-0000-000004120000}"/>
    <cellStyle name="Обычный 3 3 6" xfId="27222" xr:uid="{00000000-0005-0000-0000-000005120000}"/>
    <cellStyle name="Обычный 3 3 7" xfId="32562" xr:uid="{00000000-0005-0000-0000-000006120000}"/>
    <cellStyle name="Обычный 3 3 8" xfId="37902" xr:uid="{00000000-0005-0000-0000-000007120000}"/>
    <cellStyle name="Обычный 3 3 9" xfId="43242" xr:uid="{00000000-0005-0000-0000-000008120000}"/>
    <cellStyle name="Обычный 3 4" xfId="5393" xr:uid="{00000000-0005-0000-0000-000009120000}"/>
    <cellStyle name="Обычный 3 4 2" xfId="53455" xr:uid="{00000000-0005-0000-0000-00000A120000}"/>
    <cellStyle name="Обычный 3 5" xfId="10735" xr:uid="{00000000-0005-0000-0000-00000B120000}"/>
    <cellStyle name="Обычный 3 6" xfId="16075" xr:uid="{00000000-0005-0000-0000-00000C120000}"/>
    <cellStyle name="Обычный 3 7" xfId="21415" xr:uid="{00000000-0005-0000-0000-00000D120000}"/>
    <cellStyle name="Обычный 3 8" xfId="26755" xr:uid="{00000000-0005-0000-0000-00000E120000}"/>
    <cellStyle name="Обычный 3 9" xfId="32095" xr:uid="{00000000-0005-0000-0000-00000F120000}"/>
    <cellStyle name="Обычный 4" xfId="49" xr:uid="{00000000-0005-0000-0000-000010120000}"/>
    <cellStyle name="Обычный 4 10" xfId="76" xr:uid="{00000000-0005-0000-0000-000011120000}"/>
    <cellStyle name="Обычный 4 10 10" xfId="42798" xr:uid="{00000000-0005-0000-0000-000012120000}"/>
    <cellStyle name="Обычный 4 10 11" xfId="48138" xr:uid="{00000000-0005-0000-0000-000013120000}"/>
    <cellStyle name="Обычный 4 10 2" xfId="543" xr:uid="{00000000-0005-0000-0000-000014120000}"/>
    <cellStyle name="Обычный 4 10 2 10" xfId="48605" xr:uid="{00000000-0005-0000-0000-000015120000}"/>
    <cellStyle name="Обычный 4 10 2 2" xfId="5884" xr:uid="{00000000-0005-0000-0000-000016120000}"/>
    <cellStyle name="Обычный 4 10 2 2 2" xfId="53946" xr:uid="{00000000-0005-0000-0000-000017120000}"/>
    <cellStyle name="Обычный 4 10 2 3" xfId="11225" xr:uid="{00000000-0005-0000-0000-000018120000}"/>
    <cellStyle name="Обычный 4 10 2 4" xfId="16565" xr:uid="{00000000-0005-0000-0000-000019120000}"/>
    <cellStyle name="Обычный 4 10 2 5" xfId="21905" xr:uid="{00000000-0005-0000-0000-00001A120000}"/>
    <cellStyle name="Обычный 4 10 2 6" xfId="27245" xr:uid="{00000000-0005-0000-0000-00001B120000}"/>
    <cellStyle name="Обычный 4 10 2 7" xfId="32585" xr:uid="{00000000-0005-0000-0000-00001C120000}"/>
    <cellStyle name="Обычный 4 10 2 8" xfId="37925" xr:uid="{00000000-0005-0000-0000-00001D120000}"/>
    <cellStyle name="Обычный 4 10 2 9" xfId="43265" xr:uid="{00000000-0005-0000-0000-00001E120000}"/>
    <cellStyle name="Обычный 4 10 3" xfId="5417" xr:uid="{00000000-0005-0000-0000-00001F120000}"/>
    <cellStyle name="Обычный 4 10 3 2" xfId="53479" xr:uid="{00000000-0005-0000-0000-000020120000}"/>
    <cellStyle name="Обычный 4 10 4" xfId="10758" xr:uid="{00000000-0005-0000-0000-000021120000}"/>
    <cellStyle name="Обычный 4 10 5" xfId="16098" xr:uid="{00000000-0005-0000-0000-000022120000}"/>
    <cellStyle name="Обычный 4 10 6" xfId="21438" xr:uid="{00000000-0005-0000-0000-000023120000}"/>
    <cellStyle name="Обычный 4 10 7" xfId="26778" xr:uid="{00000000-0005-0000-0000-000024120000}"/>
    <cellStyle name="Обычный 4 10 8" xfId="32118" xr:uid="{00000000-0005-0000-0000-000025120000}"/>
    <cellStyle name="Обычный 4 10 9" xfId="37458" xr:uid="{00000000-0005-0000-0000-000026120000}"/>
    <cellStyle name="Обычный 4 100" xfId="2113" xr:uid="{00000000-0005-0000-0000-000027120000}"/>
    <cellStyle name="Обычный 4 100 10" xfId="50177" xr:uid="{00000000-0005-0000-0000-000028120000}"/>
    <cellStyle name="Обычный 4 100 2" xfId="7456" xr:uid="{00000000-0005-0000-0000-000029120000}"/>
    <cellStyle name="Обычный 4 100 2 2" xfId="55518" xr:uid="{00000000-0005-0000-0000-00002A120000}"/>
    <cellStyle name="Обычный 4 100 3" xfId="12797" xr:uid="{00000000-0005-0000-0000-00002B120000}"/>
    <cellStyle name="Обычный 4 100 4" xfId="18137" xr:uid="{00000000-0005-0000-0000-00002C120000}"/>
    <cellStyle name="Обычный 4 100 5" xfId="23477" xr:uid="{00000000-0005-0000-0000-00002D120000}"/>
    <cellStyle name="Обычный 4 100 6" xfId="28817" xr:uid="{00000000-0005-0000-0000-00002E120000}"/>
    <cellStyle name="Обычный 4 100 7" xfId="34157" xr:uid="{00000000-0005-0000-0000-00002F120000}"/>
    <cellStyle name="Обычный 4 100 8" xfId="39497" xr:uid="{00000000-0005-0000-0000-000030120000}"/>
    <cellStyle name="Обычный 4 100 9" xfId="44837" xr:uid="{00000000-0005-0000-0000-000031120000}"/>
    <cellStyle name="Обычный 4 101" xfId="2143" xr:uid="{00000000-0005-0000-0000-000032120000}"/>
    <cellStyle name="Обычный 4 101 10" xfId="50207" xr:uid="{00000000-0005-0000-0000-000033120000}"/>
    <cellStyle name="Обычный 4 101 2" xfId="7486" xr:uid="{00000000-0005-0000-0000-000034120000}"/>
    <cellStyle name="Обычный 4 101 2 2" xfId="55548" xr:uid="{00000000-0005-0000-0000-000035120000}"/>
    <cellStyle name="Обычный 4 101 3" xfId="12827" xr:uid="{00000000-0005-0000-0000-000036120000}"/>
    <cellStyle name="Обычный 4 101 4" xfId="18167" xr:uid="{00000000-0005-0000-0000-000037120000}"/>
    <cellStyle name="Обычный 4 101 5" xfId="23507" xr:uid="{00000000-0005-0000-0000-000038120000}"/>
    <cellStyle name="Обычный 4 101 6" xfId="28847" xr:uid="{00000000-0005-0000-0000-000039120000}"/>
    <cellStyle name="Обычный 4 101 7" xfId="34187" xr:uid="{00000000-0005-0000-0000-00003A120000}"/>
    <cellStyle name="Обычный 4 101 8" xfId="39527" xr:uid="{00000000-0005-0000-0000-00003B120000}"/>
    <cellStyle name="Обычный 4 101 9" xfId="44867" xr:uid="{00000000-0005-0000-0000-00003C120000}"/>
    <cellStyle name="Обычный 4 102" xfId="2173" xr:uid="{00000000-0005-0000-0000-00003D120000}"/>
    <cellStyle name="Обычный 4 102 10" xfId="50237" xr:uid="{00000000-0005-0000-0000-00003E120000}"/>
    <cellStyle name="Обычный 4 102 2" xfId="7516" xr:uid="{00000000-0005-0000-0000-00003F120000}"/>
    <cellStyle name="Обычный 4 102 2 2" xfId="55578" xr:uid="{00000000-0005-0000-0000-000040120000}"/>
    <cellStyle name="Обычный 4 102 3" xfId="12857" xr:uid="{00000000-0005-0000-0000-000041120000}"/>
    <cellStyle name="Обычный 4 102 4" xfId="18197" xr:uid="{00000000-0005-0000-0000-000042120000}"/>
    <cellStyle name="Обычный 4 102 5" xfId="23537" xr:uid="{00000000-0005-0000-0000-000043120000}"/>
    <cellStyle name="Обычный 4 102 6" xfId="28877" xr:uid="{00000000-0005-0000-0000-000044120000}"/>
    <cellStyle name="Обычный 4 102 7" xfId="34217" xr:uid="{00000000-0005-0000-0000-000045120000}"/>
    <cellStyle name="Обычный 4 102 8" xfId="39557" xr:uid="{00000000-0005-0000-0000-000046120000}"/>
    <cellStyle name="Обычный 4 102 9" xfId="44897" xr:uid="{00000000-0005-0000-0000-000047120000}"/>
    <cellStyle name="Обычный 4 103" xfId="2203" xr:uid="{00000000-0005-0000-0000-000048120000}"/>
    <cellStyle name="Обычный 4 103 10" xfId="50267" xr:uid="{00000000-0005-0000-0000-000049120000}"/>
    <cellStyle name="Обычный 4 103 2" xfId="7546" xr:uid="{00000000-0005-0000-0000-00004A120000}"/>
    <cellStyle name="Обычный 4 103 2 2" xfId="55608" xr:uid="{00000000-0005-0000-0000-00004B120000}"/>
    <cellStyle name="Обычный 4 103 3" xfId="12887" xr:uid="{00000000-0005-0000-0000-00004C120000}"/>
    <cellStyle name="Обычный 4 103 4" xfId="18227" xr:uid="{00000000-0005-0000-0000-00004D120000}"/>
    <cellStyle name="Обычный 4 103 5" xfId="23567" xr:uid="{00000000-0005-0000-0000-00004E120000}"/>
    <cellStyle name="Обычный 4 103 6" xfId="28907" xr:uid="{00000000-0005-0000-0000-00004F120000}"/>
    <cellStyle name="Обычный 4 103 7" xfId="34247" xr:uid="{00000000-0005-0000-0000-000050120000}"/>
    <cellStyle name="Обычный 4 103 8" xfId="39587" xr:uid="{00000000-0005-0000-0000-000051120000}"/>
    <cellStyle name="Обычный 4 103 9" xfId="44927" xr:uid="{00000000-0005-0000-0000-000052120000}"/>
    <cellStyle name="Обычный 4 104" xfId="2233" xr:uid="{00000000-0005-0000-0000-000053120000}"/>
    <cellStyle name="Обычный 4 104 10" xfId="50297" xr:uid="{00000000-0005-0000-0000-000054120000}"/>
    <cellStyle name="Обычный 4 104 2" xfId="7576" xr:uid="{00000000-0005-0000-0000-000055120000}"/>
    <cellStyle name="Обычный 4 104 2 2" xfId="55638" xr:uid="{00000000-0005-0000-0000-000056120000}"/>
    <cellStyle name="Обычный 4 104 3" xfId="12917" xr:uid="{00000000-0005-0000-0000-000057120000}"/>
    <cellStyle name="Обычный 4 104 4" xfId="18257" xr:uid="{00000000-0005-0000-0000-000058120000}"/>
    <cellStyle name="Обычный 4 104 5" xfId="23597" xr:uid="{00000000-0005-0000-0000-000059120000}"/>
    <cellStyle name="Обычный 4 104 6" xfId="28937" xr:uid="{00000000-0005-0000-0000-00005A120000}"/>
    <cellStyle name="Обычный 4 104 7" xfId="34277" xr:uid="{00000000-0005-0000-0000-00005B120000}"/>
    <cellStyle name="Обычный 4 104 8" xfId="39617" xr:uid="{00000000-0005-0000-0000-00005C120000}"/>
    <cellStyle name="Обычный 4 104 9" xfId="44957" xr:uid="{00000000-0005-0000-0000-00005D120000}"/>
    <cellStyle name="Обычный 4 105" xfId="2263" xr:uid="{00000000-0005-0000-0000-00005E120000}"/>
    <cellStyle name="Обычный 4 105 10" xfId="50327" xr:uid="{00000000-0005-0000-0000-00005F120000}"/>
    <cellStyle name="Обычный 4 105 2" xfId="7606" xr:uid="{00000000-0005-0000-0000-000060120000}"/>
    <cellStyle name="Обычный 4 105 2 2" xfId="55668" xr:uid="{00000000-0005-0000-0000-000061120000}"/>
    <cellStyle name="Обычный 4 105 3" xfId="12947" xr:uid="{00000000-0005-0000-0000-000062120000}"/>
    <cellStyle name="Обычный 4 105 4" xfId="18287" xr:uid="{00000000-0005-0000-0000-000063120000}"/>
    <cellStyle name="Обычный 4 105 5" xfId="23627" xr:uid="{00000000-0005-0000-0000-000064120000}"/>
    <cellStyle name="Обычный 4 105 6" xfId="28967" xr:uid="{00000000-0005-0000-0000-000065120000}"/>
    <cellStyle name="Обычный 4 105 7" xfId="34307" xr:uid="{00000000-0005-0000-0000-000066120000}"/>
    <cellStyle name="Обычный 4 105 8" xfId="39647" xr:uid="{00000000-0005-0000-0000-000067120000}"/>
    <cellStyle name="Обычный 4 105 9" xfId="44987" xr:uid="{00000000-0005-0000-0000-000068120000}"/>
    <cellStyle name="Обычный 4 106" xfId="2293" xr:uid="{00000000-0005-0000-0000-000069120000}"/>
    <cellStyle name="Обычный 4 106 10" xfId="50357" xr:uid="{00000000-0005-0000-0000-00006A120000}"/>
    <cellStyle name="Обычный 4 106 2" xfId="7636" xr:uid="{00000000-0005-0000-0000-00006B120000}"/>
    <cellStyle name="Обычный 4 106 2 2" xfId="55698" xr:uid="{00000000-0005-0000-0000-00006C120000}"/>
    <cellStyle name="Обычный 4 106 3" xfId="12977" xr:uid="{00000000-0005-0000-0000-00006D120000}"/>
    <cellStyle name="Обычный 4 106 4" xfId="18317" xr:uid="{00000000-0005-0000-0000-00006E120000}"/>
    <cellStyle name="Обычный 4 106 5" xfId="23657" xr:uid="{00000000-0005-0000-0000-00006F120000}"/>
    <cellStyle name="Обычный 4 106 6" xfId="28997" xr:uid="{00000000-0005-0000-0000-000070120000}"/>
    <cellStyle name="Обычный 4 106 7" xfId="34337" xr:uid="{00000000-0005-0000-0000-000071120000}"/>
    <cellStyle name="Обычный 4 106 8" xfId="39677" xr:uid="{00000000-0005-0000-0000-000072120000}"/>
    <cellStyle name="Обычный 4 106 9" xfId="45017" xr:uid="{00000000-0005-0000-0000-000073120000}"/>
    <cellStyle name="Обычный 4 107" xfId="2323" xr:uid="{00000000-0005-0000-0000-000074120000}"/>
    <cellStyle name="Обычный 4 107 10" xfId="50387" xr:uid="{00000000-0005-0000-0000-000075120000}"/>
    <cellStyle name="Обычный 4 107 2" xfId="7666" xr:uid="{00000000-0005-0000-0000-000076120000}"/>
    <cellStyle name="Обычный 4 107 2 2" xfId="55728" xr:uid="{00000000-0005-0000-0000-000077120000}"/>
    <cellStyle name="Обычный 4 107 3" xfId="13007" xr:uid="{00000000-0005-0000-0000-000078120000}"/>
    <cellStyle name="Обычный 4 107 4" xfId="18347" xr:uid="{00000000-0005-0000-0000-000079120000}"/>
    <cellStyle name="Обычный 4 107 5" xfId="23687" xr:uid="{00000000-0005-0000-0000-00007A120000}"/>
    <cellStyle name="Обычный 4 107 6" xfId="29027" xr:uid="{00000000-0005-0000-0000-00007B120000}"/>
    <cellStyle name="Обычный 4 107 7" xfId="34367" xr:uid="{00000000-0005-0000-0000-00007C120000}"/>
    <cellStyle name="Обычный 4 107 8" xfId="39707" xr:uid="{00000000-0005-0000-0000-00007D120000}"/>
    <cellStyle name="Обычный 4 107 9" xfId="45047" xr:uid="{00000000-0005-0000-0000-00007E120000}"/>
    <cellStyle name="Обычный 4 108" xfId="2353" xr:uid="{00000000-0005-0000-0000-00007F120000}"/>
    <cellStyle name="Обычный 4 108 10" xfId="50417" xr:uid="{00000000-0005-0000-0000-000080120000}"/>
    <cellStyle name="Обычный 4 108 2" xfId="7696" xr:uid="{00000000-0005-0000-0000-000081120000}"/>
    <cellStyle name="Обычный 4 108 2 2" xfId="55758" xr:uid="{00000000-0005-0000-0000-000082120000}"/>
    <cellStyle name="Обычный 4 108 3" xfId="13037" xr:uid="{00000000-0005-0000-0000-000083120000}"/>
    <cellStyle name="Обычный 4 108 4" xfId="18377" xr:uid="{00000000-0005-0000-0000-000084120000}"/>
    <cellStyle name="Обычный 4 108 5" xfId="23717" xr:uid="{00000000-0005-0000-0000-000085120000}"/>
    <cellStyle name="Обычный 4 108 6" xfId="29057" xr:uid="{00000000-0005-0000-0000-000086120000}"/>
    <cellStyle name="Обычный 4 108 7" xfId="34397" xr:uid="{00000000-0005-0000-0000-000087120000}"/>
    <cellStyle name="Обычный 4 108 8" xfId="39737" xr:uid="{00000000-0005-0000-0000-000088120000}"/>
    <cellStyle name="Обычный 4 108 9" xfId="45077" xr:uid="{00000000-0005-0000-0000-000089120000}"/>
    <cellStyle name="Обычный 4 109" xfId="2383" xr:uid="{00000000-0005-0000-0000-00008A120000}"/>
    <cellStyle name="Обычный 4 109 10" xfId="50447" xr:uid="{00000000-0005-0000-0000-00008B120000}"/>
    <cellStyle name="Обычный 4 109 2" xfId="7726" xr:uid="{00000000-0005-0000-0000-00008C120000}"/>
    <cellStyle name="Обычный 4 109 2 2" xfId="55788" xr:uid="{00000000-0005-0000-0000-00008D120000}"/>
    <cellStyle name="Обычный 4 109 3" xfId="13067" xr:uid="{00000000-0005-0000-0000-00008E120000}"/>
    <cellStyle name="Обычный 4 109 4" xfId="18407" xr:uid="{00000000-0005-0000-0000-00008F120000}"/>
    <cellStyle name="Обычный 4 109 5" xfId="23747" xr:uid="{00000000-0005-0000-0000-000090120000}"/>
    <cellStyle name="Обычный 4 109 6" xfId="29087" xr:uid="{00000000-0005-0000-0000-000091120000}"/>
    <cellStyle name="Обычный 4 109 7" xfId="34427" xr:uid="{00000000-0005-0000-0000-000092120000}"/>
    <cellStyle name="Обычный 4 109 8" xfId="39767" xr:uid="{00000000-0005-0000-0000-000093120000}"/>
    <cellStyle name="Обычный 4 109 9" xfId="45107" xr:uid="{00000000-0005-0000-0000-000094120000}"/>
    <cellStyle name="Обычный 4 11" xfId="80" xr:uid="{00000000-0005-0000-0000-000095120000}"/>
    <cellStyle name="Обычный 4 11 10" xfId="42802" xr:uid="{00000000-0005-0000-0000-000096120000}"/>
    <cellStyle name="Обычный 4 11 11" xfId="48142" xr:uid="{00000000-0005-0000-0000-000097120000}"/>
    <cellStyle name="Обычный 4 11 2" xfId="547" xr:uid="{00000000-0005-0000-0000-000098120000}"/>
    <cellStyle name="Обычный 4 11 2 10" xfId="48609" xr:uid="{00000000-0005-0000-0000-000099120000}"/>
    <cellStyle name="Обычный 4 11 2 2" xfId="5888" xr:uid="{00000000-0005-0000-0000-00009A120000}"/>
    <cellStyle name="Обычный 4 11 2 2 2" xfId="53950" xr:uid="{00000000-0005-0000-0000-00009B120000}"/>
    <cellStyle name="Обычный 4 11 2 3" xfId="11229" xr:uid="{00000000-0005-0000-0000-00009C120000}"/>
    <cellStyle name="Обычный 4 11 2 4" xfId="16569" xr:uid="{00000000-0005-0000-0000-00009D120000}"/>
    <cellStyle name="Обычный 4 11 2 5" xfId="21909" xr:uid="{00000000-0005-0000-0000-00009E120000}"/>
    <cellStyle name="Обычный 4 11 2 6" xfId="27249" xr:uid="{00000000-0005-0000-0000-00009F120000}"/>
    <cellStyle name="Обычный 4 11 2 7" xfId="32589" xr:uid="{00000000-0005-0000-0000-0000A0120000}"/>
    <cellStyle name="Обычный 4 11 2 8" xfId="37929" xr:uid="{00000000-0005-0000-0000-0000A1120000}"/>
    <cellStyle name="Обычный 4 11 2 9" xfId="43269" xr:uid="{00000000-0005-0000-0000-0000A2120000}"/>
    <cellStyle name="Обычный 4 11 3" xfId="5421" xr:uid="{00000000-0005-0000-0000-0000A3120000}"/>
    <cellStyle name="Обычный 4 11 3 2" xfId="53483" xr:uid="{00000000-0005-0000-0000-0000A4120000}"/>
    <cellStyle name="Обычный 4 11 4" xfId="10762" xr:uid="{00000000-0005-0000-0000-0000A5120000}"/>
    <cellStyle name="Обычный 4 11 5" xfId="16102" xr:uid="{00000000-0005-0000-0000-0000A6120000}"/>
    <cellStyle name="Обычный 4 11 6" xfId="21442" xr:uid="{00000000-0005-0000-0000-0000A7120000}"/>
    <cellStyle name="Обычный 4 11 7" xfId="26782" xr:uid="{00000000-0005-0000-0000-0000A8120000}"/>
    <cellStyle name="Обычный 4 11 8" xfId="32122" xr:uid="{00000000-0005-0000-0000-0000A9120000}"/>
    <cellStyle name="Обычный 4 11 9" xfId="37462" xr:uid="{00000000-0005-0000-0000-0000AA120000}"/>
    <cellStyle name="Обычный 4 110" xfId="2413" xr:uid="{00000000-0005-0000-0000-0000AB120000}"/>
    <cellStyle name="Обычный 4 110 10" xfId="50477" xr:uid="{00000000-0005-0000-0000-0000AC120000}"/>
    <cellStyle name="Обычный 4 110 2" xfId="7756" xr:uid="{00000000-0005-0000-0000-0000AD120000}"/>
    <cellStyle name="Обычный 4 110 2 2" xfId="55818" xr:uid="{00000000-0005-0000-0000-0000AE120000}"/>
    <cellStyle name="Обычный 4 110 3" xfId="13097" xr:uid="{00000000-0005-0000-0000-0000AF120000}"/>
    <cellStyle name="Обычный 4 110 4" xfId="18437" xr:uid="{00000000-0005-0000-0000-0000B0120000}"/>
    <cellStyle name="Обычный 4 110 5" xfId="23777" xr:uid="{00000000-0005-0000-0000-0000B1120000}"/>
    <cellStyle name="Обычный 4 110 6" xfId="29117" xr:uid="{00000000-0005-0000-0000-0000B2120000}"/>
    <cellStyle name="Обычный 4 110 7" xfId="34457" xr:uid="{00000000-0005-0000-0000-0000B3120000}"/>
    <cellStyle name="Обычный 4 110 8" xfId="39797" xr:uid="{00000000-0005-0000-0000-0000B4120000}"/>
    <cellStyle name="Обычный 4 110 9" xfId="45137" xr:uid="{00000000-0005-0000-0000-0000B5120000}"/>
    <cellStyle name="Обычный 4 111" xfId="2443" xr:uid="{00000000-0005-0000-0000-0000B6120000}"/>
    <cellStyle name="Обычный 4 111 10" xfId="50507" xr:uid="{00000000-0005-0000-0000-0000B7120000}"/>
    <cellStyle name="Обычный 4 111 2" xfId="7786" xr:uid="{00000000-0005-0000-0000-0000B8120000}"/>
    <cellStyle name="Обычный 4 111 2 2" xfId="55848" xr:uid="{00000000-0005-0000-0000-0000B9120000}"/>
    <cellStyle name="Обычный 4 111 3" xfId="13127" xr:uid="{00000000-0005-0000-0000-0000BA120000}"/>
    <cellStyle name="Обычный 4 111 4" xfId="18467" xr:uid="{00000000-0005-0000-0000-0000BB120000}"/>
    <cellStyle name="Обычный 4 111 5" xfId="23807" xr:uid="{00000000-0005-0000-0000-0000BC120000}"/>
    <cellStyle name="Обычный 4 111 6" xfId="29147" xr:uid="{00000000-0005-0000-0000-0000BD120000}"/>
    <cellStyle name="Обычный 4 111 7" xfId="34487" xr:uid="{00000000-0005-0000-0000-0000BE120000}"/>
    <cellStyle name="Обычный 4 111 8" xfId="39827" xr:uid="{00000000-0005-0000-0000-0000BF120000}"/>
    <cellStyle name="Обычный 4 111 9" xfId="45167" xr:uid="{00000000-0005-0000-0000-0000C0120000}"/>
    <cellStyle name="Обычный 4 112" xfId="2473" xr:uid="{00000000-0005-0000-0000-0000C1120000}"/>
    <cellStyle name="Обычный 4 112 10" xfId="50537" xr:uid="{00000000-0005-0000-0000-0000C2120000}"/>
    <cellStyle name="Обычный 4 112 2" xfId="7816" xr:uid="{00000000-0005-0000-0000-0000C3120000}"/>
    <cellStyle name="Обычный 4 112 2 2" xfId="55878" xr:uid="{00000000-0005-0000-0000-0000C4120000}"/>
    <cellStyle name="Обычный 4 112 3" xfId="13157" xr:uid="{00000000-0005-0000-0000-0000C5120000}"/>
    <cellStyle name="Обычный 4 112 4" xfId="18497" xr:uid="{00000000-0005-0000-0000-0000C6120000}"/>
    <cellStyle name="Обычный 4 112 5" xfId="23837" xr:uid="{00000000-0005-0000-0000-0000C7120000}"/>
    <cellStyle name="Обычный 4 112 6" xfId="29177" xr:uid="{00000000-0005-0000-0000-0000C8120000}"/>
    <cellStyle name="Обычный 4 112 7" xfId="34517" xr:uid="{00000000-0005-0000-0000-0000C9120000}"/>
    <cellStyle name="Обычный 4 112 8" xfId="39857" xr:uid="{00000000-0005-0000-0000-0000CA120000}"/>
    <cellStyle name="Обычный 4 112 9" xfId="45197" xr:uid="{00000000-0005-0000-0000-0000CB120000}"/>
    <cellStyle name="Обычный 4 113" xfId="2505" xr:uid="{00000000-0005-0000-0000-0000CC120000}"/>
    <cellStyle name="Обычный 4 113 10" xfId="50569" xr:uid="{00000000-0005-0000-0000-0000CD120000}"/>
    <cellStyle name="Обычный 4 113 2" xfId="7848" xr:uid="{00000000-0005-0000-0000-0000CE120000}"/>
    <cellStyle name="Обычный 4 113 2 2" xfId="55910" xr:uid="{00000000-0005-0000-0000-0000CF120000}"/>
    <cellStyle name="Обычный 4 113 3" xfId="13189" xr:uid="{00000000-0005-0000-0000-0000D0120000}"/>
    <cellStyle name="Обычный 4 113 4" xfId="18529" xr:uid="{00000000-0005-0000-0000-0000D1120000}"/>
    <cellStyle name="Обычный 4 113 5" xfId="23869" xr:uid="{00000000-0005-0000-0000-0000D2120000}"/>
    <cellStyle name="Обычный 4 113 6" xfId="29209" xr:uid="{00000000-0005-0000-0000-0000D3120000}"/>
    <cellStyle name="Обычный 4 113 7" xfId="34549" xr:uid="{00000000-0005-0000-0000-0000D4120000}"/>
    <cellStyle name="Обычный 4 113 8" xfId="39889" xr:uid="{00000000-0005-0000-0000-0000D5120000}"/>
    <cellStyle name="Обычный 4 113 9" xfId="45229" xr:uid="{00000000-0005-0000-0000-0000D6120000}"/>
    <cellStyle name="Обычный 4 114" xfId="2539" xr:uid="{00000000-0005-0000-0000-0000D7120000}"/>
    <cellStyle name="Обычный 4 114 10" xfId="50603" xr:uid="{00000000-0005-0000-0000-0000D8120000}"/>
    <cellStyle name="Обычный 4 114 2" xfId="7882" xr:uid="{00000000-0005-0000-0000-0000D9120000}"/>
    <cellStyle name="Обычный 4 114 2 2" xfId="55944" xr:uid="{00000000-0005-0000-0000-0000DA120000}"/>
    <cellStyle name="Обычный 4 114 3" xfId="13223" xr:uid="{00000000-0005-0000-0000-0000DB120000}"/>
    <cellStyle name="Обычный 4 114 4" xfId="18563" xr:uid="{00000000-0005-0000-0000-0000DC120000}"/>
    <cellStyle name="Обычный 4 114 5" xfId="23903" xr:uid="{00000000-0005-0000-0000-0000DD120000}"/>
    <cellStyle name="Обычный 4 114 6" xfId="29243" xr:uid="{00000000-0005-0000-0000-0000DE120000}"/>
    <cellStyle name="Обычный 4 114 7" xfId="34583" xr:uid="{00000000-0005-0000-0000-0000DF120000}"/>
    <cellStyle name="Обычный 4 114 8" xfId="39923" xr:uid="{00000000-0005-0000-0000-0000E0120000}"/>
    <cellStyle name="Обычный 4 114 9" xfId="45263" xr:uid="{00000000-0005-0000-0000-0000E1120000}"/>
    <cellStyle name="Обычный 4 115" xfId="2571" xr:uid="{00000000-0005-0000-0000-0000E2120000}"/>
    <cellStyle name="Обычный 4 115 10" xfId="50635" xr:uid="{00000000-0005-0000-0000-0000E3120000}"/>
    <cellStyle name="Обычный 4 115 2" xfId="7914" xr:uid="{00000000-0005-0000-0000-0000E4120000}"/>
    <cellStyle name="Обычный 4 115 2 2" xfId="55976" xr:uid="{00000000-0005-0000-0000-0000E5120000}"/>
    <cellStyle name="Обычный 4 115 3" xfId="13255" xr:uid="{00000000-0005-0000-0000-0000E6120000}"/>
    <cellStyle name="Обычный 4 115 4" xfId="18595" xr:uid="{00000000-0005-0000-0000-0000E7120000}"/>
    <cellStyle name="Обычный 4 115 5" xfId="23935" xr:uid="{00000000-0005-0000-0000-0000E8120000}"/>
    <cellStyle name="Обычный 4 115 6" xfId="29275" xr:uid="{00000000-0005-0000-0000-0000E9120000}"/>
    <cellStyle name="Обычный 4 115 7" xfId="34615" xr:uid="{00000000-0005-0000-0000-0000EA120000}"/>
    <cellStyle name="Обычный 4 115 8" xfId="39955" xr:uid="{00000000-0005-0000-0000-0000EB120000}"/>
    <cellStyle name="Обычный 4 115 9" xfId="45295" xr:uid="{00000000-0005-0000-0000-0000EC120000}"/>
    <cellStyle name="Обычный 4 116" xfId="2603" xr:uid="{00000000-0005-0000-0000-0000ED120000}"/>
    <cellStyle name="Обычный 4 116 10" xfId="50667" xr:uid="{00000000-0005-0000-0000-0000EE120000}"/>
    <cellStyle name="Обычный 4 116 2" xfId="7946" xr:uid="{00000000-0005-0000-0000-0000EF120000}"/>
    <cellStyle name="Обычный 4 116 2 2" xfId="56008" xr:uid="{00000000-0005-0000-0000-0000F0120000}"/>
    <cellStyle name="Обычный 4 116 3" xfId="13287" xr:uid="{00000000-0005-0000-0000-0000F1120000}"/>
    <cellStyle name="Обычный 4 116 4" xfId="18627" xr:uid="{00000000-0005-0000-0000-0000F2120000}"/>
    <cellStyle name="Обычный 4 116 5" xfId="23967" xr:uid="{00000000-0005-0000-0000-0000F3120000}"/>
    <cellStyle name="Обычный 4 116 6" xfId="29307" xr:uid="{00000000-0005-0000-0000-0000F4120000}"/>
    <cellStyle name="Обычный 4 116 7" xfId="34647" xr:uid="{00000000-0005-0000-0000-0000F5120000}"/>
    <cellStyle name="Обычный 4 116 8" xfId="39987" xr:uid="{00000000-0005-0000-0000-0000F6120000}"/>
    <cellStyle name="Обычный 4 116 9" xfId="45327" xr:uid="{00000000-0005-0000-0000-0000F7120000}"/>
    <cellStyle name="Обычный 4 117" xfId="2635" xr:uid="{00000000-0005-0000-0000-0000F8120000}"/>
    <cellStyle name="Обычный 4 117 10" xfId="50699" xr:uid="{00000000-0005-0000-0000-0000F9120000}"/>
    <cellStyle name="Обычный 4 117 2" xfId="7978" xr:uid="{00000000-0005-0000-0000-0000FA120000}"/>
    <cellStyle name="Обычный 4 117 2 2" xfId="56040" xr:uid="{00000000-0005-0000-0000-0000FB120000}"/>
    <cellStyle name="Обычный 4 117 3" xfId="13319" xr:uid="{00000000-0005-0000-0000-0000FC120000}"/>
    <cellStyle name="Обычный 4 117 4" xfId="18659" xr:uid="{00000000-0005-0000-0000-0000FD120000}"/>
    <cellStyle name="Обычный 4 117 5" xfId="23999" xr:uid="{00000000-0005-0000-0000-0000FE120000}"/>
    <cellStyle name="Обычный 4 117 6" xfId="29339" xr:uid="{00000000-0005-0000-0000-0000FF120000}"/>
    <cellStyle name="Обычный 4 117 7" xfId="34679" xr:uid="{00000000-0005-0000-0000-000000130000}"/>
    <cellStyle name="Обычный 4 117 8" xfId="40019" xr:uid="{00000000-0005-0000-0000-000001130000}"/>
    <cellStyle name="Обычный 4 117 9" xfId="45359" xr:uid="{00000000-0005-0000-0000-000002130000}"/>
    <cellStyle name="Обычный 4 118" xfId="2667" xr:uid="{00000000-0005-0000-0000-000003130000}"/>
    <cellStyle name="Обычный 4 118 10" xfId="50731" xr:uid="{00000000-0005-0000-0000-000004130000}"/>
    <cellStyle name="Обычный 4 118 2" xfId="8010" xr:uid="{00000000-0005-0000-0000-000005130000}"/>
    <cellStyle name="Обычный 4 118 2 2" xfId="56072" xr:uid="{00000000-0005-0000-0000-000006130000}"/>
    <cellStyle name="Обычный 4 118 3" xfId="13351" xr:uid="{00000000-0005-0000-0000-000007130000}"/>
    <cellStyle name="Обычный 4 118 4" xfId="18691" xr:uid="{00000000-0005-0000-0000-000008130000}"/>
    <cellStyle name="Обычный 4 118 5" xfId="24031" xr:uid="{00000000-0005-0000-0000-000009130000}"/>
    <cellStyle name="Обычный 4 118 6" xfId="29371" xr:uid="{00000000-0005-0000-0000-00000A130000}"/>
    <cellStyle name="Обычный 4 118 7" xfId="34711" xr:uid="{00000000-0005-0000-0000-00000B130000}"/>
    <cellStyle name="Обычный 4 118 8" xfId="40051" xr:uid="{00000000-0005-0000-0000-00000C130000}"/>
    <cellStyle name="Обычный 4 118 9" xfId="45391" xr:uid="{00000000-0005-0000-0000-00000D130000}"/>
    <cellStyle name="Обычный 4 119" xfId="2699" xr:uid="{00000000-0005-0000-0000-00000E130000}"/>
    <cellStyle name="Обычный 4 119 10" xfId="50763" xr:uid="{00000000-0005-0000-0000-00000F130000}"/>
    <cellStyle name="Обычный 4 119 2" xfId="8042" xr:uid="{00000000-0005-0000-0000-000010130000}"/>
    <cellStyle name="Обычный 4 119 2 2" xfId="56104" xr:uid="{00000000-0005-0000-0000-000011130000}"/>
    <cellStyle name="Обычный 4 119 3" xfId="13383" xr:uid="{00000000-0005-0000-0000-000012130000}"/>
    <cellStyle name="Обычный 4 119 4" xfId="18723" xr:uid="{00000000-0005-0000-0000-000013130000}"/>
    <cellStyle name="Обычный 4 119 5" xfId="24063" xr:uid="{00000000-0005-0000-0000-000014130000}"/>
    <cellStyle name="Обычный 4 119 6" xfId="29403" xr:uid="{00000000-0005-0000-0000-000015130000}"/>
    <cellStyle name="Обычный 4 119 7" xfId="34743" xr:uid="{00000000-0005-0000-0000-000016130000}"/>
    <cellStyle name="Обычный 4 119 8" xfId="40083" xr:uid="{00000000-0005-0000-0000-000017130000}"/>
    <cellStyle name="Обычный 4 119 9" xfId="45423" xr:uid="{00000000-0005-0000-0000-000018130000}"/>
    <cellStyle name="Обычный 4 12" xfId="84" xr:uid="{00000000-0005-0000-0000-000019130000}"/>
    <cellStyle name="Обычный 4 12 10" xfId="42806" xr:uid="{00000000-0005-0000-0000-00001A130000}"/>
    <cellStyle name="Обычный 4 12 11" xfId="48146" xr:uid="{00000000-0005-0000-0000-00001B130000}"/>
    <cellStyle name="Обычный 4 12 2" xfId="551" xr:uid="{00000000-0005-0000-0000-00001C130000}"/>
    <cellStyle name="Обычный 4 12 2 10" xfId="48613" xr:uid="{00000000-0005-0000-0000-00001D130000}"/>
    <cellStyle name="Обычный 4 12 2 2" xfId="5892" xr:uid="{00000000-0005-0000-0000-00001E130000}"/>
    <cellStyle name="Обычный 4 12 2 2 2" xfId="53954" xr:uid="{00000000-0005-0000-0000-00001F130000}"/>
    <cellStyle name="Обычный 4 12 2 3" xfId="11233" xr:uid="{00000000-0005-0000-0000-000020130000}"/>
    <cellStyle name="Обычный 4 12 2 4" xfId="16573" xr:uid="{00000000-0005-0000-0000-000021130000}"/>
    <cellStyle name="Обычный 4 12 2 5" xfId="21913" xr:uid="{00000000-0005-0000-0000-000022130000}"/>
    <cellStyle name="Обычный 4 12 2 6" xfId="27253" xr:uid="{00000000-0005-0000-0000-000023130000}"/>
    <cellStyle name="Обычный 4 12 2 7" xfId="32593" xr:uid="{00000000-0005-0000-0000-000024130000}"/>
    <cellStyle name="Обычный 4 12 2 8" xfId="37933" xr:uid="{00000000-0005-0000-0000-000025130000}"/>
    <cellStyle name="Обычный 4 12 2 9" xfId="43273" xr:uid="{00000000-0005-0000-0000-000026130000}"/>
    <cellStyle name="Обычный 4 12 3" xfId="5425" xr:uid="{00000000-0005-0000-0000-000027130000}"/>
    <cellStyle name="Обычный 4 12 3 2" xfId="53487" xr:uid="{00000000-0005-0000-0000-000028130000}"/>
    <cellStyle name="Обычный 4 12 4" xfId="10766" xr:uid="{00000000-0005-0000-0000-000029130000}"/>
    <cellStyle name="Обычный 4 12 5" xfId="16106" xr:uid="{00000000-0005-0000-0000-00002A130000}"/>
    <cellStyle name="Обычный 4 12 6" xfId="21446" xr:uid="{00000000-0005-0000-0000-00002B130000}"/>
    <cellStyle name="Обычный 4 12 7" xfId="26786" xr:uid="{00000000-0005-0000-0000-00002C130000}"/>
    <cellStyle name="Обычный 4 12 8" xfId="32126" xr:uid="{00000000-0005-0000-0000-00002D130000}"/>
    <cellStyle name="Обычный 4 12 9" xfId="37466" xr:uid="{00000000-0005-0000-0000-00002E130000}"/>
    <cellStyle name="Обычный 4 120" xfId="2731" xr:uid="{00000000-0005-0000-0000-00002F130000}"/>
    <cellStyle name="Обычный 4 120 10" xfId="50795" xr:uid="{00000000-0005-0000-0000-000030130000}"/>
    <cellStyle name="Обычный 4 120 2" xfId="8074" xr:uid="{00000000-0005-0000-0000-000031130000}"/>
    <cellStyle name="Обычный 4 120 2 2" xfId="56136" xr:uid="{00000000-0005-0000-0000-000032130000}"/>
    <cellStyle name="Обычный 4 120 3" xfId="13415" xr:uid="{00000000-0005-0000-0000-000033130000}"/>
    <cellStyle name="Обычный 4 120 4" xfId="18755" xr:uid="{00000000-0005-0000-0000-000034130000}"/>
    <cellStyle name="Обычный 4 120 5" xfId="24095" xr:uid="{00000000-0005-0000-0000-000035130000}"/>
    <cellStyle name="Обычный 4 120 6" xfId="29435" xr:uid="{00000000-0005-0000-0000-000036130000}"/>
    <cellStyle name="Обычный 4 120 7" xfId="34775" xr:uid="{00000000-0005-0000-0000-000037130000}"/>
    <cellStyle name="Обычный 4 120 8" xfId="40115" xr:uid="{00000000-0005-0000-0000-000038130000}"/>
    <cellStyle name="Обычный 4 120 9" xfId="45455" xr:uid="{00000000-0005-0000-0000-000039130000}"/>
    <cellStyle name="Обычный 4 121" xfId="2765" xr:uid="{00000000-0005-0000-0000-00003A130000}"/>
    <cellStyle name="Обычный 4 121 10" xfId="50829" xr:uid="{00000000-0005-0000-0000-00003B130000}"/>
    <cellStyle name="Обычный 4 121 2" xfId="8108" xr:uid="{00000000-0005-0000-0000-00003C130000}"/>
    <cellStyle name="Обычный 4 121 2 2" xfId="56170" xr:uid="{00000000-0005-0000-0000-00003D130000}"/>
    <cellStyle name="Обычный 4 121 3" xfId="13449" xr:uid="{00000000-0005-0000-0000-00003E130000}"/>
    <cellStyle name="Обычный 4 121 4" xfId="18789" xr:uid="{00000000-0005-0000-0000-00003F130000}"/>
    <cellStyle name="Обычный 4 121 5" xfId="24129" xr:uid="{00000000-0005-0000-0000-000040130000}"/>
    <cellStyle name="Обычный 4 121 6" xfId="29469" xr:uid="{00000000-0005-0000-0000-000041130000}"/>
    <cellStyle name="Обычный 4 121 7" xfId="34809" xr:uid="{00000000-0005-0000-0000-000042130000}"/>
    <cellStyle name="Обычный 4 121 8" xfId="40149" xr:uid="{00000000-0005-0000-0000-000043130000}"/>
    <cellStyle name="Обычный 4 121 9" xfId="45489" xr:uid="{00000000-0005-0000-0000-000044130000}"/>
    <cellStyle name="Обычный 4 122" xfId="2797" xr:uid="{00000000-0005-0000-0000-000045130000}"/>
    <cellStyle name="Обычный 4 122 10" xfId="50861" xr:uid="{00000000-0005-0000-0000-000046130000}"/>
    <cellStyle name="Обычный 4 122 2" xfId="8140" xr:uid="{00000000-0005-0000-0000-000047130000}"/>
    <cellStyle name="Обычный 4 122 2 2" xfId="56202" xr:uid="{00000000-0005-0000-0000-000048130000}"/>
    <cellStyle name="Обычный 4 122 3" xfId="13481" xr:uid="{00000000-0005-0000-0000-000049130000}"/>
    <cellStyle name="Обычный 4 122 4" xfId="18821" xr:uid="{00000000-0005-0000-0000-00004A130000}"/>
    <cellStyle name="Обычный 4 122 5" xfId="24161" xr:uid="{00000000-0005-0000-0000-00004B130000}"/>
    <cellStyle name="Обычный 4 122 6" xfId="29501" xr:uid="{00000000-0005-0000-0000-00004C130000}"/>
    <cellStyle name="Обычный 4 122 7" xfId="34841" xr:uid="{00000000-0005-0000-0000-00004D130000}"/>
    <cellStyle name="Обычный 4 122 8" xfId="40181" xr:uid="{00000000-0005-0000-0000-00004E130000}"/>
    <cellStyle name="Обычный 4 122 9" xfId="45521" xr:uid="{00000000-0005-0000-0000-00004F130000}"/>
    <cellStyle name="Обычный 4 123" xfId="2829" xr:uid="{00000000-0005-0000-0000-000050130000}"/>
    <cellStyle name="Обычный 4 123 10" xfId="50893" xr:uid="{00000000-0005-0000-0000-000051130000}"/>
    <cellStyle name="Обычный 4 123 2" xfId="8172" xr:uid="{00000000-0005-0000-0000-000052130000}"/>
    <cellStyle name="Обычный 4 123 2 2" xfId="56234" xr:uid="{00000000-0005-0000-0000-000053130000}"/>
    <cellStyle name="Обычный 4 123 3" xfId="13513" xr:uid="{00000000-0005-0000-0000-000054130000}"/>
    <cellStyle name="Обычный 4 123 4" xfId="18853" xr:uid="{00000000-0005-0000-0000-000055130000}"/>
    <cellStyle name="Обычный 4 123 5" xfId="24193" xr:uid="{00000000-0005-0000-0000-000056130000}"/>
    <cellStyle name="Обычный 4 123 6" xfId="29533" xr:uid="{00000000-0005-0000-0000-000057130000}"/>
    <cellStyle name="Обычный 4 123 7" xfId="34873" xr:uid="{00000000-0005-0000-0000-000058130000}"/>
    <cellStyle name="Обычный 4 123 8" xfId="40213" xr:uid="{00000000-0005-0000-0000-000059130000}"/>
    <cellStyle name="Обычный 4 123 9" xfId="45553" xr:uid="{00000000-0005-0000-0000-00005A130000}"/>
    <cellStyle name="Обычный 4 124" xfId="2861" xr:uid="{00000000-0005-0000-0000-00005B130000}"/>
    <cellStyle name="Обычный 4 124 10" xfId="50925" xr:uid="{00000000-0005-0000-0000-00005C130000}"/>
    <cellStyle name="Обычный 4 124 2" xfId="8204" xr:uid="{00000000-0005-0000-0000-00005D130000}"/>
    <cellStyle name="Обычный 4 124 2 2" xfId="56266" xr:uid="{00000000-0005-0000-0000-00005E130000}"/>
    <cellStyle name="Обычный 4 124 3" xfId="13545" xr:uid="{00000000-0005-0000-0000-00005F130000}"/>
    <cellStyle name="Обычный 4 124 4" xfId="18885" xr:uid="{00000000-0005-0000-0000-000060130000}"/>
    <cellStyle name="Обычный 4 124 5" xfId="24225" xr:uid="{00000000-0005-0000-0000-000061130000}"/>
    <cellStyle name="Обычный 4 124 6" xfId="29565" xr:uid="{00000000-0005-0000-0000-000062130000}"/>
    <cellStyle name="Обычный 4 124 7" xfId="34905" xr:uid="{00000000-0005-0000-0000-000063130000}"/>
    <cellStyle name="Обычный 4 124 8" xfId="40245" xr:uid="{00000000-0005-0000-0000-000064130000}"/>
    <cellStyle name="Обычный 4 124 9" xfId="45585" xr:uid="{00000000-0005-0000-0000-000065130000}"/>
    <cellStyle name="Обычный 4 125" xfId="2893" xr:uid="{00000000-0005-0000-0000-000066130000}"/>
    <cellStyle name="Обычный 4 125 10" xfId="50957" xr:uid="{00000000-0005-0000-0000-000067130000}"/>
    <cellStyle name="Обычный 4 125 2" xfId="8236" xr:uid="{00000000-0005-0000-0000-000068130000}"/>
    <cellStyle name="Обычный 4 125 2 2" xfId="56298" xr:uid="{00000000-0005-0000-0000-000069130000}"/>
    <cellStyle name="Обычный 4 125 3" xfId="13577" xr:uid="{00000000-0005-0000-0000-00006A130000}"/>
    <cellStyle name="Обычный 4 125 4" xfId="18917" xr:uid="{00000000-0005-0000-0000-00006B130000}"/>
    <cellStyle name="Обычный 4 125 5" xfId="24257" xr:uid="{00000000-0005-0000-0000-00006C130000}"/>
    <cellStyle name="Обычный 4 125 6" xfId="29597" xr:uid="{00000000-0005-0000-0000-00006D130000}"/>
    <cellStyle name="Обычный 4 125 7" xfId="34937" xr:uid="{00000000-0005-0000-0000-00006E130000}"/>
    <cellStyle name="Обычный 4 125 8" xfId="40277" xr:uid="{00000000-0005-0000-0000-00006F130000}"/>
    <cellStyle name="Обычный 4 125 9" xfId="45617" xr:uid="{00000000-0005-0000-0000-000070130000}"/>
    <cellStyle name="Обычный 4 126" xfId="2925" xr:uid="{00000000-0005-0000-0000-000071130000}"/>
    <cellStyle name="Обычный 4 126 10" xfId="50989" xr:uid="{00000000-0005-0000-0000-000072130000}"/>
    <cellStyle name="Обычный 4 126 2" xfId="8268" xr:uid="{00000000-0005-0000-0000-000073130000}"/>
    <cellStyle name="Обычный 4 126 2 2" xfId="56330" xr:uid="{00000000-0005-0000-0000-000074130000}"/>
    <cellStyle name="Обычный 4 126 3" xfId="13609" xr:uid="{00000000-0005-0000-0000-000075130000}"/>
    <cellStyle name="Обычный 4 126 4" xfId="18949" xr:uid="{00000000-0005-0000-0000-000076130000}"/>
    <cellStyle name="Обычный 4 126 5" xfId="24289" xr:uid="{00000000-0005-0000-0000-000077130000}"/>
    <cellStyle name="Обычный 4 126 6" xfId="29629" xr:uid="{00000000-0005-0000-0000-000078130000}"/>
    <cellStyle name="Обычный 4 126 7" xfId="34969" xr:uid="{00000000-0005-0000-0000-000079130000}"/>
    <cellStyle name="Обычный 4 126 8" xfId="40309" xr:uid="{00000000-0005-0000-0000-00007A130000}"/>
    <cellStyle name="Обычный 4 126 9" xfId="45649" xr:uid="{00000000-0005-0000-0000-00007B130000}"/>
    <cellStyle name="Обычный 4 127" xfId="2957" xr:uid="{00000000-0005-0000-0000-00007C130000}"/>
    <cellStyle name="Обычный 4 127 10" xfId="51021" xr:uid="{00000000-0005-0000-0000-00007D130000}"/>
    <cellStyle name="Обычный 4 127 2" xfId="8300" xr:uid="{00000000-0005-0000-0000-00007E130000}"/>
    <cellStyle name="Обычный 4 127 2 2" xfId="56362" xr:uid="{00000000-0005-0000-0000-00007F130000}"/>
    <cellStyle name="Обычный 4 127 3" xfId="13641" xr:uid="{00000000-0005-0000-0000-000080130000}"/>
    <cellStyle name="Обычный 4 127 4" xfId="18981" xr:uid="{00000000-0005-0000-0000-000081130000}"/>
    <cellStyle name="Обычный 4 127 5" xfId="24321" xr:uid="{00000000-0005-0000-0000-000082130000}"/>
    <cellStyle name="Обычный 4 127 6" xfId="29661" xr:uid="{00000000-0005-0000-0000-000083130000}"/>
    <cellStyle name="Обычный 4 127 7" xfId="35001" xr:uid="{00000000-0005-0000-0000-000084130000}"/>
    <cellStyle name="Обычный 4 127 8" xfId="40341" xr:uid="{00000000-0005-0000-0000-000085130000}"/>
    <cellStyle name="Обычный 4 127 9" xfId="45681" xr:uid="{00000000-0005-0000-0000-000086130000}"/>
    <cellStyle name="Обычный 4 128" xfId="2989" xr:uid="{00000000-0005-0000-0000-000087130000}"/>
    <cellStyle name="Обычный 4 128 10" xfId="51053" xr:uid="{00000000-0005-0000-0000-000088130000}"/>
    <cellStyle name="Обычный 4 128 2" xfId="8332" xr:uid="{00000000-0005-0000-0000-000089130000}"/>
    <cellStyle name="Обычный 4 128 2 2" xfId="56394" xr:uid="{00000000-0005-0000-0000-00008A130000}"/>
    <cellStyle name="Обычный 4 128 3" xfId="13673" xr:uid="{00000000-0005-0000-0000-00008B130000}"/>
    <cellStyle name="Обычный 4 128 4" xfId="19013" xr:uid="{00000000-0005-0000-0000-00008C130000}"/>
    <cellStyle name="Обычный 4 128 5" xfId="24353" xr:uid="{00000000-0005-0000-0000-00008D130000}"/>
    <cellStyle name="Обычный 4 128 6" xfId="29693" xr:uid="{00000000-0005-0000-0000-00008E130000}"/>
    <cellStyle name="Обычный 4 128 7" xfId="35033" xr:uid="{00000000-0005-0000-0000-00008F130000}"/>
    <cellStyle name="Обычный 4 128 8" xfId="40373" xr:uid="{00000000-0005-0000-0000-000090130000}"/>
    <cellStyle name="Обычный 4 128 9" xfId="45713" xr:uid="{00000000-0005-0000-0000-000091130000}"/>
    <cellStyle name="Обычный 4 129" xfId="3021" xr:uid="{00000000-0005-0000-0000-000092130000}"/>
    <cellStyle name="Обычный 4 129 10" xfId="51085" xr:uid="{00000000-0005-0000-0000-000093130000}"/>
    <cellStyle name="Обычный 4 129 2" xfId="8364" xr:uid="{00000000-0005-0000-0000-000094130000}"/>
    <cellStyle name="Обычный 4 129 2 2" xfId="56426" xr:uid="{00000000-0005-0000-0000-000095130000}"/>
    <cellStyle name="Обычный 4 129 3" xfId="13705" xr:uid="{00000000-0005-0000-0000-000096130000}"/>
    <cellStyle name="Обычный 4 129 4" xfId="19045" xr:uid="{00000000-0005-0000-0000-000097130000}"/>
    <cellStyle name="Обычный 4 129 5" xfId="24385" xr:uid="{00000000-0005-0000-0000-000098130000}"/>
    <cellStyle name="Обычный 4 129 6" xfId="29725" xr:uid="{00000000-0005-0000-0000-000099130000}"/>
    <cellStyle name="Обычный 4 129 7" xfId="35065" xr:uid="{00000000-0005-0000-0000-00009A130000}"/>
    <cellStyle name="Обычный 4 129 8" xfId="40405" xr:uid="{00000000-0005-0000-0000-00009B130000}"/>
    <cellStyle name="Обычный 4 129 9" xfId="45745" xr:uid="{00000000-0005-0000-0000-00009C130000}"/>
    <cellStyle name="Обычный 4 13" xfId="88" xr:uid="{00000000-0005-0000-0000-00009D130000}"/>
    <cellStyle name="Обычный 4 13 10" xfId="42810" xr:uid="{00000000-0005-0000-0000-00009E130000}"/>
    <cellStyle name="Обычный 4 13 11" xfId="48150" xr:uid="{00000000-0005-0000-0000-00009F130000}"/>
    <cellStyle name="Обычный 4 13 2" xfId="555" xr:uid="{00000000-0005-0000-0000-0000A0130000}"/>
    <cellStyle name="Обычный 4 13 2 10" xfId="48617" xr:uid="{00000000-0005-0000-0000-0000A1130000}"/>
    <cellStyle name="Обычный 4 13 2 2" xfId="5896" xr:uid="{00000000-0005-0000-0000-0000A2130000}"/>
    <cellStyle name="Обычный 4 13 2 2 2" xfId="53958" xr:uid="{00000000-0005-0000-0000-0000A3130000}"/>
    <cellStyle name="Обычный 4 13 2 3" xfId="11237" xr:uid="{00000000-0005-0000-0000-0000A4130000}"/>
    <cellStyle name="Обычный 4 13 2 4" xfId="16577" xr:uid="{00000000-0005-0000-0000-0000A5130000}"/>
    <cellStyle name="Обычный 4 13 2 5" xfId="21917" xr:uid="{00000000-0005-0000-0000-0000A6130000}"/>
    <cellStyle name="Обычный 4 13 2 6" xfId="27257" xr:uid="{00000000-0005-0000-0000-0000A7130000}"/>
    <cellStyle name="Обычный 4 13 2 7" xfId="32597" xr:uid="{00000000-0005-0000-0000-0000A8130000}"/>
    <cellStyle name="Обычный 4 13 2 8" xfId="37937" xr:uid="{00000000-0005-0000-0000-0000A9130000}"/>
    <cellStyle name="Обычный 4 13 2 9" xfId="43277" xr:uid="{00000000-0005-0000-0000-0000AA130000}"/>
    <cellStyle name="Обычный 4 13 3" xfId="5429" xr:uid="{00000000-0005-0000-0000-0000AB130000}"/>
    <cellStyle name="Обычный 4 13 3 2" xfId="53491" xr:uid="{00000000-0005-0000-0000-0000AC130000}"/>
    <cellStyle name="Обычный 4 13 4" xfId="10770" xr:uid="{00000000-0005-0000-0000-0000AD130000}"/>
    <cellStyle name="Обычный 4 13 5" xfId="16110" xr:uid="{00000000-0005-0000-0000-0000AE130000}"/>
    <cellStyle name="Обычный 4 13 6" xfId="21450" xr:uid="{00000000-0005-0000-0000-0000AF130000}"/>
    <cellStyle name="Обычный 4 13 7" xfId="26790" xr:uid="{00000000-0005-0000-0000-0000B0130000}"/>
    <cellStyle name="Обычный 4 13 8" xfId="32130" xr:uid="{00000000-0005-0000-0000-0000B1130000}"/>
    <cellStyle name="Обычный 4 13 9" xfId="37470" xr:uid="{00000000-0005-0000-0000-0000B2130000}"/>
    <cellStyle name="Обычный 4 130" xfId="3053" xr:uid="{00000000-0005-0000-0000-0000B3130000}"/>
    <cellStyle name="Обычный 4 130 10" xfId="51117" xr:uid="{00000000-0005-0000-0000-0000B4130000}"/>
    <cellStyle name="Обычный 4 130 2" xfId="8396" xr:uid="{00000000-0005-0000-0000-0000B5130000}"/>
    <cellStyle name="Обычный 4 130 2 2" xfId="56458" xr:uid="{00000000-0005-0000-0000-0000B6130000}"/>
    <cellStyle name="Обычный 4 130 3" xfId="13737" xr:uid="{00000000-0005-0000-0000-0000B7130000}"/>
    <cellStyle name="Обычный 4 130 4" xfId="19077" xr:uid="{00000000-0005-0000-0000-0000B8130000}"/>
    <cellStyle name="Обычный 4 130 5" xfId="24417" xr:uid="{00000000-0005-0000-0000-0000B9130000}"/>
    <cellStyle name="Обычный 4 130 6" xfId="29757" xr:uid="{00000000-0005-0000-0000-0000BA130000}"/>
    <cellStyle name="Обычный 4 130 7" xfId="35097" xr:uid="{00000000-0005-0000-0000-0000BB130000}"/>
    <cellStyle name="Обычный 4 130 8" xfId="40437" xr:uid="{00000000-0005-0000-0000-0000BC130000}"/>
    <cellStyle name="Обычный 4 130 9" xfId="45777" xr:uid="{00000000-0005-0000-0000-0000BD130000}"/>
    <cellStyle name="Обычный 4 131" xfId="3085" xr:uid="{00000000-0005-0000-0000-0000BE130000}"/>
    <cellStyle name="Обычный 4 131 10" xfId="51149" xr:uid="{00000000-0005-0000-0000-0000BF130000}"/>
    <cellStyle name="Обычный 4 131 2" xfId="8428" xr:uid="{00000000-0005-0000-0000-0000C0130000}"/>
    <cellStyle name="Обычный 4 131 2 2" xfId="56490" xr:uid="{00000000-0005-0000-0000-0000C1130000}"/>
    <cellStyle name="Обычный 4 131 3" xfId="13769" xr:uid="{00000000-0005-0000-0000-0000C2130000}"/>
    <cellStyle name="Обычный 4 131 4" xfId="19109" xr:uid="{00000000-0005-0000-0000-0000C3130000}"/>
    <cellStyle name="Обычный 4 131 5" xfId="24449" xr:uid="{00000000-0005-0000-0000-0000C4130000}"/>
    <cellStyle name="Обычный 4 131 6" xfId="29789" xr:uid="{00000000-0005-0000-0000-0000C5130000}"/>
    <cellStyle name="Обычный 4 131 7" xfId="35129" xr:uid="{00000000-0005-0000-0000-0000C6130000}"/>
    <cellStyle name="Обычный 4 131 8" xfId="40469" xr:uid="{00000000-0005-0000-0000-0000C7130000}"/>
    <cellStyle name="Обычный 4 131 9" xfId="45809" xr:uid="{00000000-0005-0000-0000-0000C8130000}"/>
    <cellStyle name="Обычный 4 132" xfId="3118" xr:uid="{00000000-0005-0000-0000-0000C9130000}"/>
    <cellStyle name="Обычный 4 132 10" xfId="51181" xr:uid="{00000000-0005-0000-0000-0000CA130000}"/>
    <cellStyle name="Обычный 4 132 2" xfId="8461" xr:uid="{00000000-0005-0000-0000-0000CB130000}"/>
    <cellStyle name="Обычный 4 132 2 2" xfId="56522" xr:uid="{00000000-0005-0000-0000-0000CC130000}"/>
    <cellStyle name="Обычный 4 132 3" xfId="13801" xr:uid="{00000000-0005-0000-0000-0000CD130000}"/>
    <cellStyle name="Обычный 4 132 4" xfId="19141" xr:uid="{00000000-0005-0000-0000-0000CE130000}"/>
    <cellStyle name="Обычный 4 132 5" xfId="24481" xr:uid="{00000000-0005-0000-0000-0000CF130000}"/>
    <cellStyle name="Обычный 4 132 6" xfId="29821" xr:uid="{00000000-0005-0000-0000-0000D0130000}"/>
    <cellStyle name="Обычный 4 132 7" xfId="35161" xr:uid="{00000000-0005-0000-0000-0000D1130000}"/>
    <cellStyle name="Обычный 4 132 8" xfId="40501" xr:uid="{00000000-0005-0000-0000-0000D2130000}"/>
    <cellStyle name="Обычный 4 132 9" xfId="45841" xr:uid="{00000000-0005-0000-0000-0000D3130000}"/>
    <cellStyle name="Обычный 4 133" xfId="3150" xr:uid="{00000000-0005-0000-0000-0000D4130000}"/>
    <cellStyle name="Обычный 4 133 10" xfId="51213" xr:uid="{00000000-0005-0000-0000-0000D5130000}"/>
    <cellStyle name="Обычный 4 133 2" xfId="8493" xr:uid="{00000000-0005-0000-0000-0000D6130000}"/>
    <cellStyle name="Обычный 4 133 2 2" xfId="56554" xr:uid="{00000000-0005-0000-0000-0000D7130000}"/>
    <cellStyle name="Обычный 4 133 3" xfId="13833" xr:uid="{00000000-0005-0000-0000-0000D8130000}"/>
    <cellStyle name="Обычный 4 133 4" xfId="19173" xr:uid="{00000000-0005-0000-0000-0000D9130000}"/>
    <cellStyle name="Обычный 4 133 5" xfId="24513" xr:uid="{00000000-0005-0000-0000-0000DA130000}"/>
    <cellStyle name="Обычный 4 133 6" xfId="29853" xr:uid="{00000000-0005-0000-0000-0000DB130000}"/>
    <cellStyle name="Обычный 4 133 7" xfId="35193" xr:uid="{00000000-0005-0000-0000-0000DC130000}"/>
    <cellStyle name="Обычный 4 133 8" xfId="40533" xr:uid="{00000000-0005-0000-0000-0000DD130000}"/>
    <cellStyle name="Обычный 4 133 9" xfId="45873" xr:uid="{00000000-0005-0000-0000-0000DE130000}"/>
    <cellStyle name="Обычный 4 134" xfId="3182" xr:uid="{00000000-0005-0000-0000-0000DF130000}"/>
    <cellStyle name="Обычный 4 134 10" xfId="51245" xr:uid="{00000000-0005-0000-0000-0000E0130000}"/>
    <cellStyle name="Обычный 4 134 2" xfId="8525" xr:uid="{00000000-0005-0000-0000-0000E1130000}"/>
    <cellStyle name="Обычный 4 134 2 2" xfId="56586" xr:uid="{00000000-0005-0000-0000-0000E2130000}"/>
    <cellStyle name="Обычный 4 134 3" xfId="13865" xr:uid="{00000000-0005-0000-0000-0000E3130000}"/>
    <cellStyle name="Обычный 4 134 4" xfId="19205" xr:uid="{00000000-0005-0000-0000-0000E4130000}"/>
    <cellStyle name="Обычный 4 134 5" xfId="24545" xr:uid="{00000000-0005-0000-0000-0000E5130000}"/>
    <cellStyle name="Обычный 4 134 6" xfId="29885" xr:uid="{00000000-0005-0000-0000-0000E6130000}"/>
    <cellStyle name="Обычный 4 134 7" xfId="35225" xr:uid="{00000000-0005-0000-0000-0000E7130000}"/>
    <cellStyle name="Обычный 4 134 8" xfId="40565" xr:uid="{00000000-0005-0000-0000-0000E8130000}"/>
    <cellStyle name="Обычный 4 134 9" xfId="45905" xr:uid="{00000000-0005-0000-0000-0000E9130000}"/>
    <cellStyle name="Обычный 4 135" xfId="3214" xr:uid="{00000000-0005-0000-0000-0000EA130000}"/>
    <cellStyle name="Обычный 4 135 10" xfId="51277" xr:uid="{00000000-0005-0000-0000-0000EB130000}"/>
    <cellStyle name="Обычный 4 135 2" xfId="8557" xr:uid="{00000000-0005-0000-0000-0000EC130000}"/>
    <cellStyle name="Обычный 4 135 2 2" xfId="56618" xr:uid="{00000000-0005-0000-0000-0000ED130000}"/>
    <cellStyle name="Обычный 4 135 3" xfId="13897" xr:uid="{00000000-0005-0000-0000-0000EE130000}"/>
    <cellStyle name="Обычный 4 135 4" xfId="19237" xr:uid="{00000000-0005-0000-0000-0000EF130000}"/>
    <cellStyle name="Обычный 4 135 5" xfId="24577" xr:uid="{00000000-0005-0000-0000-0000F0130000}"/>
    <cellStyle name="Обычный 4 135 6" xfId="29917" xr:uid="{00000000-0005-0000-0000-0000F1130000}"/>
    <cellStyle name="Обычный 4 135 7" xfId="35257" xr:uid="{00000000-0005-0000-0000-0000F2130000}"/>
    <cellStyle name="Обычный 4 135 8" xfId="40597" xr:uid="{00000000-0005-0000-0000-0000F3130000}"/>
    <cellStyle name="Обычный 4 135 9" xfId="45937" xr:uid="{00000000-0005-0000-0000-0000F4130000}"/>
    <cellStyle name="Обычный 4 136" xfId="3246" xr:uid="{00000000-0005-0000-0000-0000F5130000}"/>
    <cellStyle name="Обычный 4 136 10" xfId="51309" xr:uid="{00000000-0005-0000-0000-0000F6130000}"/>
    <cellStyle name="Обычный 4 136 2" xfId="8589" xr:uid="{00000000-0005-0000-0000-0000F7130000}"/>
    <cellStyle name="Обычный 4 136 2 2" xfId="56650" xr:uid="{00000000-0005-0000-0000-0000F8130000}"/>
    <cellStyle name="Обычный 4 136 3" xfId="13929" xr:uid="{00000000-0005-0000-0000-0000F9130000}"/>
    <cellStyle name="Обычный 4 136 4" xfId="19269" xr:uid="{00000000-0005-0000-0000-0000FA130000}"/>
    <cellStyle name="Обычный 4 136 5" xfId="24609" xr:uid="{00000000-0005-0000-0000-0000FB130000}"/>
    <cellStyle name="Обычный 4 136 6" xfId="29949" xr:uid="{00000000-0005-0000-0000-0000FC130000}"/>
    <cellStyle name="Обычный 4 136 7" xfId="35289" xr:uid="{00000000-0005-0000-0000-0000FD130000}"/>
    <cellStyle name="Обычный 4 136 8" xfId="40629" xr:uid="{00000000-0005-0000-0000-0000FE130000}"/>
    <cellStyle name="Обычный 4 136 9" xfId="45969" xr:uid="{00000000-0005-0000-0000-0000FF130000}"/>
    <cellStyle name="Обычный 4 137" xfId="3278" xr:uid="{00000000-0005-0000-0000-000000140000}"/>
    <cellStyle name="Обычный 4 137 10" xfId="51341" xr:uid="{00000000-0005-0000-0000-000001140000}"/>
    <cellStyle name="Обычный 4 137 2" xfId="8621" xr:uid="{00000000-0005-0000-0000-000002140000}"/>
    <cellStyle name="Обычный 4 137 2 2" xfId="56682" xr:uid="{00000000-0005-0000-0000-000003140000}"/>
    <cellStyle name="Обычный 4 137 3" xfId="13961" xr:uid="{00000000-0005-0000-0000-000004140000}"/>
    <cellStyle name="Обычный 4 137 4" xfId="19301" xr:uid="{00000000-0005-0000-0000-000005140000}"/>
    <cellStyle name="Обычный 4 137 5" xfId="24641" xr:uid="{00000000-0005-0000-0000-000006140000}"/>
    <cellStyle name="Обычный 4 137 6" xfId="29981" xr:uid="{00000000-0005-0000-0000-000007140000}"/>
    <cellStyle name="Обычный 4 137 7" xfId="35321" xr:uid="{00000000-0005-0000-0000-000008140000}"/>
    <cellStyle name="Обычный 4 137 8" xfId="40661" xr:uid="{00000000-0005-0000-0000-000009140000}"/>
    <cellStyle name="Обычный 4 137 9" xfId="46001" xr:uid="{00000000-0005-0000-0000-00000A140000}"/>
    <cellStyle name="Обычный 4 138" xfId="3310" xr:uid="{00000000-0005-0000-0000-00000B140000}"/>
    <cellStyle name="Обычный 4 138 10" xfId="51373" xr:uid="{00000000-0005-0000-0000-00000C140000}"/>
    <cellStyle name="Обычный 4 138 2" xfId="8653" xr:uid="{00000000-0005-0000-0000-00000D140000}"/>
    <cellStyle name="Обычный 4 138 2 2" xfId="56714" xr:uid="{00000000-0005-0000-0000-00000E140000}"/>
    <cellStyle name="Обычный 4 138 3" xfId="13993" xr:uid="{00000000-0005-0000-0000-00000F140000}"/>
    <cellStyle name="Обычный 4 138 4" xfId="19333" xr:uid="{00000000-0005-0000-0000-000010140000}"/>
    <cellStyle name="Обычный 4 138 5" xfId="24673" xr:uid="{00000000-0005-0000-0000-000011140000}"/>
    <cellStyle name="Обычный 4 138 6" xfId="30013" xr:uid="{00000000-0005-0000-0000-000012140000}"/>
    <cellStyle name="Обычный 4 138 7" xfId="35353" xr:uid="{00000000-0005-0000-0000-000013140000}"/>
    <cellStyle name="Обычный 4 138 8" xfId="40693" xr:uid="{00000000-0005-0000-0000-000014140000}"/>
    <cellStyle name="Обычный 4 138 9" xfId="46033" xr:uid="{00000000-0005-0000-0000-000015140000}"/>
    <cellStyle name="Обычный 4 139" xfId="3342" xr:uid="{00000000-0005-0000-0000-000016140000}"/>
    <cellStyle name="Обычный 4 139 10" xfId="51405" xr:uid="{00000000-0005-0000-0000-000017140000}"/>
    <cellStyle name="Обычный 4 139 2" xfId="8685" xr:uid="{00000000-0005-0000-0000-000018140000}"/>
    <cellStyle name="Обычный 4 139 2 2" xfId="56746" xr:uid="{00000000-0005-0000-0000-000019140000}"/>
    <cellStyle name="Обычный 4 139 3" xfId="14025" xr:uid="{00000000-0005-0000-0000-00001A140000}"/>
    <cellStyle name="Обычный 4 139 4" xfId="19365" xr:uid="{00000000-0005-0000-0000-00001B140000}"/>
    <cellStyle name="Обычный 4 139 5" xfId="24705" xr:uid="{00000000-0005-0000-0000-00001C140000}"/>
    <cellStyle name="Обычный 4 139 6" xfId="30045" xr:uid="{00000000-0005-0000-0000-00001D140000}"/>
    <cellStyle name="Обычный 4 139 7" xfId="35385" xr:uid="{00000000-0005-0000-0000-00001E140000}"/>
    <cellStyle name="Обычный 4 139 8" xfId="40725" xr:uid="{00000000-0005-0000-0000-00001F140000}"/>
    <cellStyle name="Обычный 4 139 9" xfId="46065" xr:uid="{00000000-0005-0000-0000-000020140000}"/>
    <cellStyle name="Обычный 4 14" xfId="92" xr:uid="{00000000-0005-0000-0000-000021140000}"/>
    <cellStyle name="Обычный 4 14 10" xfId="42814" xr:uid="{00000000-0005-0000-0000-000022140000}"/>
    <cellStyle name="Обычный 4 14 11" xfId="48154" xr:uid="{00000000-0005-0000-0000-000023140000}"/>
    <cellStyle name="Обычный 4 14 2" xfId="559" xr:uid="{00000000-0005-0000-0000-000024140000}"/>
    <cellStyle name="Обычный 4 14 2 10" xfId="48621" xr:uid="{00000000-0005-0000-0000-000025140000}"/>
    <cellStyle name="Обычный 4 14 2 2" xfId="5900" xr:uid="{00000000-0005-0000-0000-000026140000}"/>
    <cellStyle name="Обычный 4 14 2 2 2" xfId="53962" xr:uid="{00000000-0005-0000-0000-000027140000}"/>
    <cellStyle name="Обычный 4 14 2 3" xfId="11241" xr:uid="{00000000-0005-0000-0000-000028140000}"/>
    <cellStyle name="Обычный 4 14 2 4" xfId="16581" xr:uid="{00000000-0005-0000-0000-000029140000}"/>
    <cellStyle name="Обычный 4 14 2 5" xfId="21921" xr:uid="{00000000-0005-0000-0000-00002A140000}"/>
    <cellStyle name="Обычный 4 14 2 6" xfId="27261" xr:uid="{00000000-0005-0000-0000-00002B140000}"/>
    <cellStyle name="Обычный 4 14 2 7" xfId="32601" xr:uid="{00000000-0005-0000-0000-00002C140000}"/>
    <cellStyle name="Обычный 4 14 2 8" xfId="37941" xr:uid="{00000000-0005-0000-0000-00002D140000}"/>
    <cellStyle name="Обычный 4 14 2 9" xfId="43281" xr:uid="{00000000-0005-0000-0000-00002E140000}"/>
    <cellStyle name="Обычный 4 14 3" xfId="5433" xr:uid="{00000000-0005-0000-0000-00002F140000}"/>
    <cellStyle name="Обычный 4 14 3 2" xfId="53495" xr:uid="{00000000-0005-0000-0000-000030140000}"/>
    <cellStyle name="Обычный 4 14 4" xfId="10774" xr:uid="{00000000-0005-0000-0000-000031140000}"/>
    <cellStyle name="Обычный 4 14 5" xfId="16114" xr:uid="{00000000-0005-0000-0000-000032140000}"/>
    <cellStyle name="Обычный 4 14 6" xfId="21454" xr:uid="{00000000-0005-0000-0000-000033140000}"/>
    <cellStyle name="Обычный 4 14 7" xfId="26794" xr:uid="{00000000-0005-0000-0000-000034140000}"/>
    <cellStyle name="Обычный 4 14 8" xfId="32134" xr:uid="{00000000-0005-0000-0000-000035140000}"/>
    <cellStyle name="Обычный 4 14 9" xfId="37474" xr:uid="{00000000-0005-0000-0000-000036140000}"/>
    <cellStyle name="Обычный 4 140" xfId="3374" xr:uid="{00000000-0005-0000-0000-000037140000}"/>
    <cellStyle name="Обычный 4 140 10" xfId="51437" xr:uid="{00000000-0005-0000-0000-000038140000}"/>
    <cellStyle name="Обычный 4 140 2" xfId="8717" xr:uid="{00000000-0005-0000-0000-000039140000}"/>
    <cellStyle name="Обычный 4 140 2 2" xfId="56778" xr:uid="{00000000-0005-0000-0000-00003A140000}"/>
    <cellStyle name="Обычный 4 140 3" xfId="14057" xr:uid="{00000000-0005-0000-0000-00003B140000}"/>
    <cellStyle name="Обычный 4 140 4" xfId="19397" xr:uid="{00000000-0005-0000-0000-00003C140000}"/>
    <cellStyle name="Обычный 4 140 5" xfId="24737" xr:uid="{00000000-0005-0000-0000-00003D140000}"/>
    <cellStyle name="Обычный 4 140 6" xfId="30077" xr:uid="{00000000-0005-0000-0000-00003E140000}"/>
    <cellStyle name="Обычный 4 140 7" xfId="35417" xr:uid="{00000000-0005-0000-0000-00003F140000}"/>
    <cellStyle name="Обычный 4 140 8" xfId="40757" xr:uid="{00000000-0005-0000-0000-000040140000}"/>
    <cellStyle name="Обычный 4 140 9" xfId="46097" xr:uid="{00000000-0005-0000-0000-000041140000}"/>
    <cellStyle name="Обычный 4 141" xfId="3406" xr:uid="{00000000-0005-0000-0000-000042140000}"/>
    <cellStyle name="Обычный 4 141 10" xfId="51469" xr:uid="{00000000-0005-0000-0000-000043140000}"/>
    <cellStyle name="Обычный 4 141 2" xfId="8749" xr:uid="{00000000-0005-0000-0000-000044140000}"/>
    <cellStyle name="Обычный 4 141 2 2" xfId="56810" xr:uid="{00000000-0005-0000-0000-000045140000}"/>
    <cellStyle name="Обычный 4 141 3" xfId="14089" xr:uid="{00000000-0005-0000-0000-000046140000}"/>
    <cellStyle name="Обычный 4 141 4" xfId="19429" xr:uid="{00000000-0005-0000-0000-000047140000}"/>
    <cellStyle name="Обычный 4 141 5" xfId="24769" xr:uid="{00000000-0005-0000-0000-000048140000}"/>
    <cellStyle name="Обычный 4 141 6" xfId="30109" xr:uid="{00000000-0005-0000-0000-000049140000}"/>
    <cellStyle name="Обычный 4 141 7" xfId="35449" xr:uid="{00000000-0005-0000-0000-00004A140000}"/>
    <cellStyle name="Обычный 4 141 8" xfId="40789" xr:uid="{00000000-0005-0000-0000-00004B140000}"/>
    <cellStyle name="Обычный 4 141 9" xfId="46129" xr:uid="{00000000-0005-0000-0000-00004C140000}"/>
    <cellStyle name="Обычный 4 142" xfId="3438" xr:uid="{00000000-0005-0000-0000-00004D140000}"/>
    <cellStyle name="Обычный 4 142 10" xfId="51501" xr:uid="{00000000-0005-0000-0000-00004E140000}"/>
    <cellStyle name="Обычный 4 142 2" xfId="8781" xr:uid="{00000000-0005-0000-0000-00004F140000}"/>
    <cellStyle name="Обычный 4 142 2 2" xfId="56842" xr:uid="{00000000-0005-0000-0000-000050140000}"/>
    <cellStyle name="Обычный 4 142 3" xfId="14121" xr:uid="{00000000-0005-0000-0000-000051140000}"/>
    <cellStyle name="Обычный 4 142 4" xfId="19461" xr:uid="{00000000-0005-0000-0000-000052140000}"/>
    <cellStyle name="Обычный 4 142 5" xfId="24801" xr:uid="{00000000-0005-0000-0000-000053140000}"/>
    <cellStyle name="Обычный 4 142 6" xfId="30141" xr:uid="{00000000-0005-0000-0000-000054140000}"/>
    <cellStyle name="Обычный 4 142 7" xfId="35481" xr:uid="{00000000-0005-0000-0000-000055140000}"/>
    <cellStyle name="Обычный 4 142 8" xfId="40821" xr:uid="{00000000-0005-0000-0000-000056140000}"/>
    <cellStyle name="Обычный 4 142 9" xfId="46161" xr:uid="{00000000-0005-0000-0000-000057140000}"/>
    <cellStyle name="Обычный 4 143" xfId="3470" xr:uid="{00000000-0005-0000-0000-000058140000}"/>
    <cellStyle name="Обычный 4 143 10" xfId="51533" xr:uid="{00000000-0005-0000-0000-000059140000}"/>
    <cellStyle name="Обычный 4 143 2" xfId="8813" xr:uid="{00000000-0005-0000-0000-00005A140000}"/>
    <cellStyle name="Обычный 4 143 2 2" xfId="56874" xr:uid="{00000000-0005-0000-0000-00005B140000}"/>
    <cellStyle name="Обычный 4 143 3" xfId="14153" xr:uid="{00000000-0005-0000-0000-00005C140000}"/>
    <cellStyle name="Обычный 4 143 4" xfId="19493" xr:uid="{00000000-0005-0000-0000-00005D140000}"/>
    <cellStyle name="Обычный 4 143 5" xfId="24833" xr:uid="{00000000-0005-0000-0000-00005E140000}"/>
    <cellStyle name="Обычный 4 143 6" xfId="30173" xr:uid="{00000000-0005-0000-0000-00005F140000}"/>
    <cellStyle name="Обычный 4 143 7" xfId="35513" xr:uid="{00000000-0005-0000-0000-000060140000}"/>
    <cellStyle name="Обычный 4 143 8" xfId="40853" xr:uid="{00000000-0005-0000-0000-000061140000}"/>
    <cellStyle name="Обычный 4 143 9" xfId="46193" xr:uid="{00000000-0005-0000-0000-000062140000}"/>
    <cellStyle name="Обычный 4 144" xfId="3502" xr:uid="{00000000-0005-0000-0000-000063140000}"/>
    <cellStyle name="Обычный 4 144 10" xfId="51565" xr:uid="{00000000-0005-0000-0000-000064140000}"/>
    <cellStyle name="Обычный 4 144 2" xfId="8845" xr:uid="{00000000-0005-0000-0000-000065140000}"/>
    <cellStyle name="Обычный 4 144 2 2" xfId="56906" xr:uid="{00000000-0005-0000-0000-000066140000}"/>
    <cellStyle name="Обычный 4 144 3" xfId="14185" xr:uid="{00000000-0005-0000-0000-000067140000}"/>
    <cellStyle name="Обычный 4 144 4" xfId="19525" xr:uid="{00000000-0005-0000-0000-000068140000}"/>
    <cellStyle name="Обычный 4 144 5" xfId="24865" xr:uid="{00000000-0005-0000-0000-000069140000}"/>
    <cellStyle name="Обычный 4 144 6" xfId="30205" xr:uid="{00000000-0005-0000-0000-00006A140000}"/>
    <cellStyle name="Обычный 4 144 7" xfId="35545" xr:uid="{00000000-0005-0000-0000-00006B140000}"/>
    <cellStyle name="Обычный 4 144 8" xfId="40885" xr:uid="{00000000-0005-0000-0000-00006C140000}"/>
    <cellStyle name="Обычный 4 144 9" xfId="46225" xr:uid="{00000000-0005-0000-0000-00006D140000}"/>
    <cellStyle name="Обычный 4 145" xfId="3534" xr:uid="{00000000-0005-0000-0000-00006E140000}"/>
    <cellStyle name="Обычный 4 145 10" xfId="51597" xr:uid="{00000000-0005-0000-0000-00006F140000}"/>
    <cellStyle name="Обычный 4 145 2" xfId="8877" xr:uid="{00000000-0005-0000-0000-000070140000}"/>
    <cellStyle name="Обычный 4 145 2 2" xfId="56938" xr:uid="{00000000-0005-0000-0000-000071140000}"/>
    <cellStyle name="Обычный 4 145 3" xfId="14217" xr:uid="{00000000-0005-0000-0000-000072140000}"/>
    <cellStyle name="Обычный 4 145 4" xfId="19557" xr:uid="{00000000-0005-0000-0000-000073140000}"/>
    <cellStyle name="Обычный 4 145 5" xfId="24897" xr:uid="{00000000-0005-0000-0000-000074140000}"/>
    <cellStyle name="Обычный 4 145 6" xfId="30237" xr:uid="{00000000-0005-0000-0000-000075140000}"/>
    <cellStyle name="Обычный 4 145 7" xfId="35577" xr:uid="{00000000-0005-0000-0000-000076140000}"/>
    <cellStyle name="Обычный 4 145 8" xfId="40917" xr:uid="{00000000-0005-0000-0000-000077140000}"/>
    <cellStyle name="Обычный 4 145 9" xfId="46257" xr:uid="{00000000-0005-0000-0000-000078140000}"/>
    <cellStyle name="Обычный 4 146" xfId="3566" xr:uid="{00000000-0005-0000-0000-000079140000}"/>
    <cellStyle name="Обычный 4 146 10" xfId="51629" xr:uid="{00000000-0005-0000-0000-00007A140000}"/>
    <cellStyle name="Обычный 4 146 2" xfId="8909" xr:uid="{00000000-0005-0000-0000-00007B140000}"/>
    <cellStyle name="Обычный 4 146 2 2" xfId="56970" xr:uid="{00000000-0005-0000-0000-00007C140000}"/>
    <cellStyle name="Обычный 4 146 3" xfId="14249" xr:uid="{00000000-0005-0000-0000-00007D140000}"/>
    <cellStyle name="Обычный 4 146 4" xfId="19589" xr:uid="{00000000-0005-0000-0000-00007E140000}"/>
    <cellStyle name="Обычный 4 146 5" xfId="24929" xr:uid="{00000000-0005-0000-0000-00007F140000}"/>
    <cellStyle name="Обычный 4 146 6" xfId="30269" xr:uid="{00000000-0005-0000-0000-000080140000}"/>
    <cellStyle name="Обычный 4 146 7" xfId="35609" xr:uid="{00000000-0005-0000-0000-000081140000}"/>
    <cellStyle name="Обычный 4 146 8" xfId="40949" xr:uid="{00000000-0005-0000-0000-000082140000}"/>
    <cellStyle name="Обычный 4 146 9" xfId="46289" xr:uid="{00000000-0005-0000-0000-000083140000}"/>
    <cellStyle name="Обычный 4 147" xfId="3598" xr:uid="{00000000-0005-0000-0000-000084140000}"/>
    <cellStyle name="Обычный 4 147 10" xfId="51661" xr:uid="{00000000-0005-0000-0000-000085140000}"/>
    <cellStyle name="Обычный 4 147 2" xfId="8941" xr:uid="{00000000-0005-0000-0000-000086140000}"/>
    <cellStyle name="Обычный 4 147 2 2" xfId="57002" xr:uid="{00000000-0005-0000-0000-000087140000}"/>
    <cellStyle name="Обычный 4 147 3" xfId="14281" xr:uid="{00000000-0005-0000-0000-000088140000}"/>
    <cellStyle name="Обычный 4 147 4" xfId="19621" xr:uid="{00000000-0005-0000-0000-000089140000}"/>
    <cellStyle name="Обычный 4 147 5" xfId="24961" xr:uid="{00000000-0005-0000-0000-00008A140000}"/>
    <cellStyle name="Обычный 4 147 6" xfId="30301" xr:uid="{00000000-0005-0000-0000-00008B140000}"/>
    <cellStyle name="Обычный 4 147 7" xfId="35641" xr:uid="{00000000-0005-0000-0000-00008C140000}"/>
    <cellStyle name="Обычный 4 147 8" xfId="40981" xr:uid="{00000000-0005-0000-0000-00008D140000}"/>
    <cellStyle name="Обычный 4 147 9" xfId="46321" xr:uid="{00000000-0005-0000-0000-00008E140000}"/>
    <cellStyle name="Обычный 4 148" xfId="3630" xr:uid="{00000000-0005-0000-0000-00008F140000}"/>
    <cellStyle name="Обычный 4 148 10" xfId="51693" xr:uid="{00000000-0005-0000-0000-000090140000}"/>
    <cellStyle name="Обычный 4 148 2" xfId="8973" xr:uid="{00000000-0005-0000-0000-000091140000}"/>
    <cellStyle name="Обычный 4 148 2 2" xfId="57034" xr:uid="{00000000-0005-0000-0000-000092140000}"/>
    <cellStyle name="Обычный 4 148 3" xfId="14313" xr:uid="{00000000-0005-0000-0000-000093140000}"/>
    <cellStyle name="Обычный 4 148 4" xfId="19653" xr:uid="{00000000-0005-0000-0000-000094140000}"/>
    <cellStyle name="Обычный 4 148 5" xfId="24993" xr:uid="{00000000-0005-0000-0000-000095140000}"/>
    <cellStyle name="Обычный 4 148 6" xfId="30333" xr:uid="{00000000-0005-0000-0000-000096140000}"/>
    <cellStyle name="Обычный 4 148 7" xfId="35673" xr:uid="{00000000-0005-0000-0000-000097140000}"/>
    <cellStyle name="Обычный 4 148 8" xfId="41013" xr:uid="{00000000-0005-0000-0000-000098140000}"/>
    <cellStyle name="Обычный 4 148 9" xfId="46353" xr:uid="{00000000-0005-0000-0000-000099140000}"/>
    <cellStyle name="Обычный 4 149" xfId="3662" xr:uid="{00000000-0005-0000-0000-00009A140000}"/>
    <cellStyle name="Обычный 4 149 10" xfId="51725" xr:uid="{00000000-0005-0000-0000-00009B140000}"/>
    <cellStyle name="Обычный 4 149 2" xfId="9005" xr:uid="{00000000-0005-0000-0000-00009C140000}"/>
    <cellStyle name="Обычный 4 149 2 2" xfId="57066" xr:uid="{00000000-0005-0000-0000-00009D140000}"/>
    <cellStyle name="Обычный 4 149 3" xfId="14345" xr:uid="{00000000-0005-0000-0000-00009E140000}"/>
    <cellStyle name="Обычный 4 149 4" xfId="19685" xr:uid="{00000000-0005-0000-0000-00009F140000}"/>
    <cellStyle name="Обычный 4 149 5" xfId="25025" xr:uid="{00000000-0005-0000-0000-0000A0140000}"/>
    <cellStyle name="Обычный 4 149 6" xfId="30365" xr:uid="{00000000-0005-0000-0000-0000A1140000}"/>
    <cellStyle name="Обычный 4 149 7" xfId="35705" xr:uid="{00000000-0005-0000-0000-0000A2140000}"/>
    <cellStyle name="Обычный 4 149 8" xfId="41045" xr:uid="{00000000-0005-0000-0000-0000A3140000}"/>
    <cellStyle name="Обычный 4 149 9" xfId="46385" xr:uid="{00000000-0005-0000-0000-0000A4140000}"/>
    <cellStyle name="Обычный 4 15" xfId="96" xr:uid="{00000000-0005-0000-0000-0000A5140000}"/>
    <cellStyle name="Обычный 4 15 10" xfId="42818" xr:uid="{00000000-0005-0000-0000-0000A6140000}"/>
    <cellStyle name="Обычный 4 15 11" xfId="48158" xr:uid="{00000000-0005-0000-0000-0000A7140000}"/>
    <cellStyle name="Обычный 4 15 2" xfId="563" xr:uid="{00000000-0005-0000-0000-0000A8140000}"/>
    <cellStyle name="Обычный 4 15 2 10" xfId="48625" xr:uid="{00000000-0005-0000-0000-0000A9140000}"/>
    <cellStyle name="Обычный 4 15 2 2" xfId="5904" xr:uid="{00000000-0005-0000-0000-0000AA140000}"/>
    <cellStyle name="Обычный 4 15 2 2 2" xfId="53966" xr:uid="{00000000-0005-0000-0000-0000AB140000}"/>
    <cellStyle name="Обычный 4 15 2 3" xfId="11245" xr:uid="{00000000-0005-0000-0000-0000AC140000}"/>
    <cellStyle name="Обычный 4 15 2 4" xfId="16585" xr:uid="{00000000-0005-0000-0000-0000AD140000}"/>
    <cellStyle name="Обычный 4 15 2 5" xfId="21925" xr:uid="{00000000-0005-0000-0000-0000AE140000}"/>
    <cellStyle name="Обычный 4 15 2 6" xfId="27265" xr:uid="{00000000-0005-0000-0000-0000AF140000}"/>
    <cellStyle name="Обычный 4 15 2 7" xfId="32605" xr:uid="{00000000-0005-0000-0000-0000B0140000}"/>
    <cellStyle name="Обычный 4 15 2 8" xfId="37945" xr:uid="{00000000-0005-0000-0000-0000B1140000}"/>
    <cellStyle name="Обычный 4 15 2 9" xfId="43285" xr:uid="{00000000-0005-0000-0000-0000B2140000}"/>
    <cellStyle name="Обычный 4 15 3" xfId="5437" xr:uid="{00000000-0005-0000-0000-0000B3140000}"/>
    <cellStyle name="Обычный 4 15 3 2" xfId="53499" xr:uid="{00000000-0005-0000-0000-0000B4140000}"/>
    <cellStyle name="Обычный 4 15 4" xfId="10778" xr:uid="{00000000-0005-0000-0000-0000B5140000}"/>
    <cellStyle name="Обычный 4 15 5" xfId="16118" xr:uid="{00000000-0005-0000-0000-0000B6140000}"/>
    <cellStyle name="Обычный 4 15 6" xfId="21458" xr:uid="{00000000-0005-0000-0000-0000B7140000}"/>
    <cellStyle name="Обычный 4 15 7" xfId="26798" xr:uid="{00000000-0005-0000-0000-0000B8140000}"/>
    <cellStyle name="Обычный 4 15 8" xfId="32138" xr:uid="{00000000-0005-0000-0000-0000B9140000}"/>
    <cellStyle name="Обычный 4 15 9" xfId="37478" xr:uid="{00000000-0005-0000-0000-0000BA140000}"/>
    <cellStyle name="Обычный 4 150" xfId="3694" xr:uid="{00000000-0005-0000-0000-0000BB140000}"/>
    <cellStyle name="Обычный 4 150 10" xfId="51757" xr:uid="{00000000-0005-0000-0000-0000BC140000}"/>
    <cellStyle name="Обычный 4 150 2" xfId="9037" xr:uid="{00000000-0005-0000-0000-0000BD140000}"/>
    <cellStyle name="Обычный 4 150 2 2" xfId="57098" xr:uid="{00000000-0005-0000-0000-0000BE140000}"/>
    <cellStyle name="Обычный 4 150 3" xfId="14377" xr:uid="{00000000-0005-0000-0000-0000BF140000}"/>
    <cellStyle name="Обычный 4 150 4" xfId="19717" xr:uid="{00000000-0005-0000-0000-0000C0140000}"/>
    <cellStyle name="Обычный 4 150 5" xfId="25057" xr:uid="{00000000-0005-0000-0000-0000C1140000}"/>
    <cellStyle name="Обычный 4 150 6" xfId="30397" xr:uid="{00000000-0005-0000-0000-0000C2140000}"/>
    <cellStyle name="Обычный 4 150 7" xfId="35737" xr:uid="{00000000-0005-0000-0000-0000C3140000}"/>
    <cellStyle name="Обычный 4 150 8" xfId="41077" xr:uid="{00000000-0005-0000-0000-0000C4140000}"/>
    <cellStyle name="Обычный 4 150 9" xfId="46417" xr:uid="{00000000-0005-0000-0000-0000C5140000}"/>
    <cellStyle name="Обычный 4 151" xfId="3726" xr:uid="{00000000-0005-0000-0000-0000C6140000}"/>
    <cellStyle name="Обычный 4 151 10" xfId="51789" xr:uid="{00000000-0005-0000-0000-0000C7140000}"/>
    <cellStyle name="Обычный 4 151 2" xfId="9069" xr:uid="{00000000-0005-0000-0000-0000C8140000}"/>
    <cellStyle name="Обычный 4 151 2 2" xfId="57130" xr:uid="{00000000-0005-0000-0000-0000C9140000}"/>
    <cellStyle name="Обычный 4 151 3" xfId="14409" xr:uid="{00000000-0005-0000-0000-0000CA140000}"/>
    <cellStyle name="Обычный 4 151 4" xfId="19749" xr:uid="{00000000-0005-0000-0000-0000CB140000}"/>
    <cellStyle name="Обычный 4 151 5" xfId="25089" xr:uid="{00000000-0005-0000-0000-0000CC140000}"/>
    <cellStyle name="Обычный 4 151 6" xfId="30429" xr:uid="{00000000-0005-0000-0000-0000CD140000}"/>
    <cellStyle name="Обычный 4 151 7" xfId="35769" xr:uid="{00000000-0005-0000-0000-0000CE140000}"/>
    <cellStyle name="Обычный 4 151 8" xfId="41109" xr:uid="{00000000-0005-0000-0000-0000CF140000}"/>
    <cellStyle name="Обычный 4 151 9" xfId="46449" xr:uid="{00000000-0005-0000-0000-0000D0140000}"/>
    <cellStyle name="Обычный 4 152" xfId="3758" xr:uid="{00000000-0005-0000-0000-0000D1140000}"/>
    <cellStyle name="Обычный 4 152 10" xfId="51821" xr:uid="{00000000-0005-0000-0000-0000D2140000}"/>
    <cellStyle name="Обычный 4 152 2" xfId="9101" xr:uid="{00000000-0005-0000-0000-0000D3140000}"/>
    <cellStyle name="Обычный 4 152 2 2" xfId="57162" xr:uid="{00000000-0005-0000-0000-0000D4140000}"/>
    <cellStyle name="Обычный 4 152 3" xfId="14441" xr:uid="{00000000-0005-0000-0000-0000D5140000}"/>
    <cellStyle name="Обычный 4 152 4" xfId="19781" xr:uid="{00000000-0005-0000-0000-0000D6140000}"/>
    <cellStyle name="Обычный 4 152 5" xfId="25121" xr:uid="{00000000-0005-0000-0000-0000D7140000}"/>
    <cellStyle name="Обычный 4 152 6" xfId="30461" xr:uid="{00000000-0005-0000-0000-0000D8140000}"/>
    <cellStyle name="Обычный 4 152 7" xfId="35801" xr:uid="{00000000-0005-0000-0000-0000D9140000}"/>
    <cellStyle name="Обычный 4 152 8" xfId="41141" xr:uid="{00000000-0005-0000-0000-0000DA140000}"/>
    <cellStyle name="Обычный 4 152 9" xfId="46481" xr:uid="{00000000-0005-0000-0000-0000DB140000}"/>
    <cellStyle name="Обычный 4 153" xfId="3790" xr:uid="{00000000-0005-0000-0000-0000DC140000}"/>
    <cellStyle name="Обычный 4 153 10" xfId="51853" xr:uid="{00000000-0005-0000-0000-0000DD140000}"/>
    <cellStyle name="Обычный 4 153 2" xfId="9133" xr:uid="{00000000-0005-0000-0000-0000DE140000}"/>
    <cellStyle name="Обычный 4 153 2 2" xfId="57194" xr:uid="{00000000-0005-0000-0000-0000DF140000}"/>
    <cellStyle name="Обычный 4 153 3" xfId="14473" xr:uid="{00000000-0005-0000-0000-0000E0140000}"/>
    <cellStyle name="Обычный 4 153 4" xfId="19813" xr:uid="{00000000-0005-0000-0000-0000E1140000}"/>
    <cellStyle name="Обычный 4 153 5" xfId="25153" xr:uid="{00000000-0005-0000-0000-0000E2140000}"/>
    <cellStyle name="Обычный 4 153 6" xfId="30493" xr:uid="{00000000-0005-0000-0000-0000E3140000}"/>
    <cellStyle name="Обычный 4 153 7" xfId="35833" xr:uid="{00000000-0005-0000-0000-0000E4140000}"/>
    <cellStyle name="Обычный 4 153 8" xfId="41173" xr:uid="{00000000-0005-0000-0000-0000E5140000}"/>
    <cellStyle name="Обычный 4 153 9" xfId="46513" xr:uid="{00000000-0005-0000-0000-0000E6140000}"/>
    <cellStyle name="Обычный 4 154" xfId="3822" xr:uid="{00000000-0005-0000-0000-0000E7140000}"/>
    <cellStyle name="Обычный 4 154 10" xfId="51885" xr:uid="{00000000-0005-0000-0000-0000E8140000}"/>
    <cellStyle name="Обычный 4 154 2" xfId="9165" xr:uid="{00000000-0005-0000-0000-0000E9140000}"/>
    <cellStyle name="Обычный 4 154 2 2" xfId="57226" xr:uid="{00000000-0005-0000-0000-0000EA140000}"/>
    <cellStyle name="Обычный 4 154 3" xfId="14505" xr:uid="{00000000-0005-0000-0000-0000EB140000}"/>
    <cellStyle name="Обычный 4 154 4" xfId="19845" xr:uid="{00000000-0005-0000-0000-0000EC140000}"/>
    <cellStyle name="Обычный 4 154 5" xfId="25185" xr:uid="{00000000-0005-0000-0000-0000ED140000}"/>
    <cellStyle name="Обычный 4 154 6" xfId="30525" xr:uid="{00000000-0005-0000-0000-0000EE140000}"/>
    <cellStyle name="Обычный 4 154 7" xfId="35865" xr:uid="{00000000-0005-0000-0000-0000EF140000}"/>
    <cellStyle name="Обычный 4 154 8" xfId="41205" xr:uid="{00000000-0005-0000-0000-0000F0140000}"/>
    <cellStyle name="Обычный 4 154 9" xfId="46545" xr:uid="{00000000-0005-0000-0000-0000F1140000}"/>
    <cellStyle name="Обычный 4 155" xfId="3854" xr:uid="{00000000-0005-0000-0000-0000F2140000}"/>
    <cellStyle name="Обычный 4 155 10" xfId="51917" xr:uid="{00000000-0005-0000-0000-0000F3140000}"/>
    <cellStyle name="Обычный 4 155 2" xfId="9197" xr:uid="{00000000-0005-0000-0000-0000F4140000}"/>
    <cellStyle name="Обычный 4 155 2 2" xfId="57258" xr:uid="{00000000-0005-0000-0000-0000F5140000}"/>
    <cellStyle name="Обычный 4 155 3" xfId="14537" xr:uid="{00000000-0005-0000-0000-0000F6140000}"/>
    <cellStyle name="Обычный 4 155 4" xfId="19877" xr:uid="{00000000-0005-0000-0000-0000F7140000}"/>
    <cellStyle name="Обычный 4 155 5" xfId="25217" xr:uid="{00000000-0005-0000-0000-0000F8140000}"/>
    <cellStyle name="Обычный 4 155 6" xfId="30557" xr:uid="{00000000-0005-0000-0000-0000F9140000}"/>
    <cellStyle name="Обычный 4 155 7" xfId="35897" xr:uid="{00000000-0005-0000-0000-0000FA140000}"/>
    <cellStyle name="Обычный 4 155 8" xfId="41237" xr:uid="{00000000-0005-0000-0000-0000FB140000}"/>
    <cellStyle name="Обычный 4 155 9" xfId="46577" xr:uid="{00000000-0005-0000-0000-0000FC140000}"/>
    <cellStyle name="Обычный 4 156" xfId="3886" xr:uid="{00000000-0005-0000-0000-0000FD140000}"/>
    <cellStyle name="Обычный 4 156 10" xfId="51949" xr:uid="{00000000-0005-0000-0000-0000FE140000}"/>
    <cellStyle name="Обычный 4 156 2" xfId="9229" xr:uid="{00000000-0005-0000-0000-0000FF140000}"/>
    <cellStyle name="Обычный 4 156 2 2" xfId="57290" xr:uid="{00000000-0005-0000-0000-000000150000}"/>
    <cellStyle name="Обычный 4 156 3" xfId="14569" xr:uid="{00000000-0005-0000-0000-000001150000}"/>
    <cellStyle name="Обычный 4 156 4" xfId="19909" xr:uid="{00000000-0005-0000-0000-000002150000}"/>
    <cellStyle name="Обычный 4 156 5" xfId="25249" xr:uid="{00000000-0005-0000-0000-000003150000}"/>
    <cellStyle name="Обычный 4 156 6" xfId="30589" xr:uid="{00000000-0005-0000-0000-000004150000}"/>
    <cellStyle name="Обычный 4 156 7" xfId="35929" xr:uid="{00000000-0005-0000-0000-000005150000}"/>
    <cellStyle name="Обычный 4 156 8" xfId="41269" xr:uid="{00000000-0005-0000-0000-000006150000}"/>
    <cellStyle name="Обычный 4 156 9" xfId="46609" xr:uid="{00000000-0005-0000-0000-000007150000}"/>
    <cellStyle name="Обычный 4 157" xfId="3918" xr:uid="{00000000-0005-0000-0000-000008150000}"/>
    <cellStyle name="Обычный 4 157 10" xfId="51981" xr:uid="{00000000-0005-0000-0000-000009150000}"/>
    <cellStyle name="Обычный 4 157 2" xfId="9261" xr:uid="{00000000-0005-0000-0000-00000A150000}"/>
    <cellStyle name="Обычный 4 157 2 2" xfId="57322" xr:uid="{00000000-0005-0000-0000-00000B150000}"/>
    <cellStyle name="Обычный 4 157 3" xfId="14601" xr:uid="{00000000-0005-0000-0000-00000C150000}"/>
    <cellStyle name="Обычный 4 157 4" xfId="19941" xr:uid="{00000000-0005-0000-0000-00000D150000}"/>
    <cellStyle name="Обычный 4 157 5" xfId="25281" xr:uid="{00000000-0005-0000-0000-00000E150000}"/>
    <cellStyle name="Обычный 4 157 6" xfId="30621" xr:uid="{00000000-0005-0000-0000-00000F150000}"/>
    <cellStyle name="Обычный 4 157 7" xfId="35961" xr:uid="{00000000-0005-0000-0000-000010150000}"/>
    <cellStyle name="Обычный 4 157 8" xfId="41301" xr:uid="{00000000-0005-0000-0000-000011150000}"/>
    <cellStyle name="Обычный 4 157 9" xfId="46641" xr:uid="{00000000-0005-0000-0000-000012150000}"/>
    <cellStyle name="Обычный 4 158" xfId="3950" xr:uid="{00000000-0005-0000-0000-000013150000}"/>
    <cellStyle name="Обычный 4 158 10" xfId="52013" xr:uid="{00000000-0005-0000-0000-000014150000}"/>
    <cellStyle name="Обычный 4 158 2" xfId="9293" xr:uid="{00000000-0005-0000-0000-000015150000}"/>
    <cellStyle name="Обычный 4 158 2 2" xfId="57354" xr:uid="{00000000-0005-0000-0000-000016150000}"/>
    <cellStyle name="Обычный 4 158 3" xfId="14633" xr:uid="{00000000-0005-0000-0000-000017150000}"/>
    <cellStyle name="Обычный 4 158 4" xfId="19973" xr:uid="{00000000-0005-0000-0000-000018150000}"/>
    <cellStyle name="Обычный 4 158 5" xfId="25313" xr:uid="{00000000-0005-0000-0000-000019150000}"/>
    <cellStyle name="Обычный 4 158 6" xfId="30653" xr:uid="{00000000-0005-0000-0000-00001A150000}"/>
    <cellStyle name="Обычный 4 158 7" xfId="35993" xr:uid="{00000000-0005-0000-0000-00001B150000}"/>
    <cellStyle name="Обычный 4 158 8" xfId="41333" xr:uid="{00000000-0005-0000-0000-00001C150000}"/>
    <cellStyle name="Обычный 4 158 9" xfId="46673" xr:uid="{00000000-0005-0000-0000-00001D150000}"/>
    <cellStyle name="Обычный 4 159" xfId="3982" xr:uid="{00000000-0005-0000-0000-00001E150000}"/>
    <cellStyle name="Обычный 4 159 10" xfId="52045" xr:uid="{00000000-0005-0000-0000-00001F150000}"/>
    <cellStyle name="Обычный 4 159 2" xfId="9325" xr:uid="{00000000-0005-0000-0000-000020150000}"/>
    <cellStyle name="Обычный 4 159 2 2" xfId="57386" xr:uid="{00000000-0005-0000-0000-000021150000}"/>
    <cellStyle name="Обычный 4 159 3" xfId="14665" xr:uid="{00000000-0005-0000-0000-000022150000}"/>
    <cellStyle name="Обычный 4 159 4" xfId="20005" xr:uid="{00000000-0005-0000-0000-000023150000}"/>
    <cellStyle name="Обычный 4 159 5" xfId="25345" xr:uid="{00000000-0005-0000-0000-000024150000}"/>
    <cellStyle name="Обычный 4 159 6" xfId="30685" xr:uid="{00000000-0005-0000-0000-000025150000}"/>
    <cellStyle name="Обычный 4 159 7" xfId="36025" xr:uid="{00000000-0005-0000-0000-000026150000}"/>
    <cellStyle name="Обычный 4 159 8" xfId="41365" xr:uid="{00000000-0005-0000-0000-000027150000}"/>
    <cellStyle name="Обычный 4 159 9" xfId="46705" xr:uid="{00000000-0005-0000-0000-000028150000}"/>
    <cellStyle name="Обычный 4 16" xfId="104" xr:uid="{00000000-0005-0000-0000-000029150000}"/>
    <cellStyle name="Обычный 4 16 10" xfId="42826" xr:uid="{00000000-0005-0000-0000-00002A150000}"/>
    <cellStyle name="Обычный 4 16 11" xfId="48166" xr:uid="{00000000-0005-0000-0000-00002B150000}"/>
    <cellStyle name="Обычный 4 16 2" xfId="571" xr:uid="{00000000-0005-0000-0000-00002C150000}"/>
    <cellStyle name="Обычный 4 16 2 10" xfId="48633" xr:uid="{00000000-0005-0000-0000-00002D150000}"/>
    <cellStyle name="Обычный 4 16 2 2" xfId="5912" xr:uid="{00000000-0005-0000-0000-00002E150000}"/>
    <cellStyle name="Обычный 4 16 2 2 2" xfId="53974" xr:uid="{00000000-0005-0000-0000-00002F150000}"/>
    <cellStyle name="Обычный 4 16 2 3" xfId="11253" xr:uid="{00000000-0005-0000-0000-000030150000}"/>
    <cellStyle name="Обычный 4 16 2 4" xfId="16593" xr:uid="{00000000-0005-0000-0000-000031150000}"/>
    <cellStyle name="Обычный 4 16 2 5" xfId="21933" xr:uid="{00000000-0005-0000-0000-000032150000}"/>
    <cellStyle name="Обычный 4 16 2 6" xfId="27273" xr:uid="{00000000-0005-0000-0000-000033150000}"/>
    <cellStyle name="Обычный 4 16 2 7" xfId="32613" xr:uid="{00000000-0005-0000-0000-000034150000}"/>
    <cellStyle name="Обычный 4 16 2 8" xfId="37953" xr:uid="{00000000-0005-0000-0000-000035150000}"/>
    <cellStyle name="Обычный 4 16 2 9" xfId="43293" xr:uid="{00000000-0005-0000-0000-000036150000}"/>
    <cellStyle name="Обычный 4 16 3" xfId="5445" xr:uid="{00000000-0005-0000-0000-000037150000}"/>
    <cellStyle name="Обычный 4 16 3 2" xfId="53507" xr:uid="{00000000-0005-0000-0000-000038150000}"/>
    <cellStyle name="Обычный 4 16 4" xfId="10786" xr:uid="{00000000-0005-0000-0000-000039150000}"/>
    <cellStyle name="Обычный 4 16 5" xfId="16126" xr:uid="{00000000-0005-0000-0000-00003A150000}"/>
    <cellStyle name="Обычный 4 16 6" xfId="21466" xr:uid="{00000000-0005-0000-0000-00003B150000}"/>
    <cellStyle name="Обычный 4 16 7" xfId="26806" xr:uid="{00000000-0005-0000-0000-00003C150000}"/>
    <cellStyle name="Обычный 4 16 8" xfId="32146" xr:uid="{00000000-0005-0000-0000-00003D150000}"/>
    <cellStyle name="Обычный 4 16 9" xfId="37486" xr:uid="{00000000-0005-0000-0000-00003E150000}"/>
    <cellStyle name="Обычный 4 160" xfId="4014" xr:uid="{00000000-0005-0000-0000-00003F150000}"/>
    <cellStyle name="Обычный 4 160 10" xfId="52077" xr:uid="{00000000-0005-0000-0000-000040150000}"/>
    <cellStyle name="Обычный 4 160 2" xfId="9357" xr:uid="{00000000-0005-0000-0000-000041150000}"/>
    <cellStyle name="Обычный 4 160 2 2" xfId="57418" xr:uid="{00000000-0005-0000-0000-000042150000}"/>
    <cellStyle name="Обычный 4 160 3" xfId="14697" xr:uid="{00000000-0005-0000-0000-000043150000}"/>
    <cellStyle name="Обычный 4 160 4" xfId="20037" xr:uid="{00000000-0005-0000-0000-000044150000}"/>
    <cellStyle name="Обычный 4 160 5" xfId="25377" xr:uid="{00000000-0005-0000-0000-000045150000}"/>
    <cellStyle name="Обычный 4 160 6" xfId="30717" xr:uid="{00000000-0005-0000-0000-000046150000}"/>
    <cellStyle name="Обычный 4 160 7" xfId="36057" xr:uid="{00000000-0005-0000-0000-000047150000}"/>
    <cellStyle name="Обычный 4 160 8" xfId="41397" xr:uid="{00000000-0005-0000-0000-000048150000}"/>
    <cellStyle name="Обычный 4 160 9" xfId="46737" xr:uid="{00000000-0005-0000-0000-000049150000}"/>
    <cellStyle name="Обычный 4 161" xfId="4046" xr:uid="{00000000-0005-0000-0000-00004A150000}"/>
    <cellStyle name="Обычный 4 161 10" xfId="52109" xr:uid="{00000000-0005-0000-0000-00004B150000}"/>
    <cellStyle name="Обычный 4 161 2" xfId="9389" xr:uid="{00000000-0005-0000-0000-00004C150000}"/>
    <cellStyle name="Обычный 4 161 2 2" xfId="57450" xr:uid="{00000000-0005-0000-0000-00004D150000}"/>
    <cellStyle name="Обычный 4 161 3" xfId="14729" xr:uid="{00000000-0005-0000-0000-00004E150000}"/>
    <cellStyle name="Обычный 4 161 4" xfId="20069" xr:uid="{00000000-0005-0000-0000-00004F150000}"/>
    <cellStyle name="Обычный 4 161 5" xfId="25409" xr:uid="{00000000-0005-0000-0000-000050150000}"/>
    <cellStyle name="Обычный 4 161 6" xfId="30749" xr:uid="{00000000-0005-0000-0000-000051150000}"/>
    <cellStyle name="Обычный 4 161 7" xfId="36089" xr:uid="{00000000-0005-0000-0000-000052150000}"/>
    <cellStyle name="Обычный 4 161 8" xfId="41429" xr:uid="{00000000-0005-0000-0000-000053150000}"/>
    <cellStyle name="Обычный 4 161 9" xfId="46769" xr:uid="{00000000-0005-0000-0000-000054150000}"/>
    <cellStyle name="Обычный 4 162" xfId="4078" xr:uid="{00000000-0005-0000-0000-000055150000}"/>
    <cellStyle name="Обычный 4 162 10" xfId="52141" xr:uid="{00000000-0005-0000-0000-000056150000}"/>
    <cellStyle name="Обычный 4 162 2" xfId="9421" xr:uid="{00000000-0005-0000-0000-000057150000}"/>
    <cellStyle name="Обычный 4 162 2 2" xfId="57482" xr:uid="{00000000-0005-0000-0000-000058150000}"/>
    <cellStyle name="Обычный 4 162 3" xfId="14761" xr:uid="{00000000-0005-0000-0000-000059150000}"/>
    <cellStyle name="Обычный 4 162 4" xfId="20101" xr:uid="{00000000-0005-0000-0000-00005A150000}"/>
    <cellStyle name="Обычный 4 162 5" xfId="25441" xr:uid="{00000000-0005-0000-0000-00005B150000}"/>
    <cellStyle name="Обычный 4 162 6" xfId="30781" xr:uid="{00000000-0005-0000-0000-00005C150000}"/>
    <cellStyle name="Обычный 4 162 7" xfId="36121" xr:uid="{00000000-0005-0000-0000-00005D150000}"/>
    <cellStyle name="Обычный 4 162 8" xfId="41461" xr:uid="{00000000-0005-0000-0000-00005E150000}"/>
    <cellStyle name="Обычный 4 162 9" xfId="46801" xr:uid="{00000000-0005-0000-0000-00005F150000}"/>
    <cellStyle name="Обычный 4 163" xfId="4110" xr:uid="{00000000-0005-0000-0000-000060150000}"/>
    <cellStyle name="Обычный 4 163 10" xfId="52173" xr:uid="{00000000-0005-0000-0000-000061150000}"/>
    <cellStyle name="Обычный 4 163 2" xfId="9453" xr:uid="{00000000-0005-0000-0000-000062150000}"/>
    <cellStyle name="Обычный 4 163 2 2" xfId="57514" xr:uid="{00000000-0005-0000-0000-000063150000}"/>
    <cellStyle name="Обычный 4 163 3" xfId="14793" xr:uid="{00000000-0005-0000-0000-000064150000}"/>
    <cellStyle name="Обычный 4 163 4" xfId="20133" xr:uid="{00000000-0005-0000-0000-000065150000}"/>
    <cellStyle name="Обычный 4 163 5" xfId="25473" xr:uid="{00000000-0005-0000-0000-000066150000}"/>
    <cellStyle name="Обычный 4 163 6" xfId="30813" xr:uid="{00000000-0005-0000-0000-000067150000}"/>
    <cellStyle name="Обычный 4 163 7" xfId="36153" xr:uid="{00000000-0005-0000-0000-000068150000}"/>
    <cellStyle name="Обычный 4 163 8" xfId="41493" xr:uid="{00000000-0005-0000-0000-000069150000}"/>
    <cellStyle name="Обычный 4 163 9" xfId="46833" xr:uid="{00000000-0005-0000-0000-00006A150000}"/>
    <cellStyle name="Обычный 4 164" xfId="4142" xr:uid="{00000000-0005-0000-0000-00006B150000}"/>
    <cellStyle name="Обычный 4 164 10" xfId="52205" xr:uid="{00000000-0005-0000-0000-00006C150000}"/>
    <cellStyle name="Обычный 4 164 2" xfId="9485" xr:uid="{00000000-0005-0000-0000-00006D150000}"/>
    <cellStyle name="Обычный 4 164 2 2" xfId="57546" xr:uid="{00000000-0005-0000-0000-00006E150000}"/>
    <cellStyle name="Обычный 4 164 3" xfId="14825" xr:uid="{00000000-0005-0000-0000-00006F150000}"/>
    <cellStyle name="Обычный 4 164 4" xfId="20165" xr:uid="{00000000-0005-0000-0000-000070150000}"/>
    <cellStyle name="Обычный 4 164 5" xfId="25505" xr:uid="{00000000-0005-0000-0000-000071150000}"/>
    <cellStyle name="Обычный 4 164 6" xfId="30845" xr:uid="{00000000-0005-0000-0000-000072150000}"/>
    <cellStyle name="Обычный 4 164 7" xfId="36185" xr:uid="{00000000-0005-0000-0000-000073150000}"/>
    <cellStyle name="Обычный 4 164 8" xfId="41525" xr:uid="{00000000-0005-0000-0000-000074150000}"/>
    <cellStyle name="Обычный 4 164 9" xfId="46865" xr:uid="{00000000-0005-0000-0000-000075150000}"/>
    <cellStyle name="Обычный 4 165" xfId="4174" xr:uid="{00000000-0005-0000-0000-000076150000}"/>
    <cellStyle name="Обычный 4 165 10" xfId="52237" xr:uid="{00000000-0005-0000-0000-000077150000}"/>
    <cellStyle name="Обычный 4 165 2" xfId="9517" xr:uid="{00000000-0005-0000-0000-000078150000}"/>
    <cellStyle name="Обычный 4 165 2 2" xfId="57578" xr:uid="{00000000-0005-0000-0000-000079150000}"/>
    <cellStyle name="Обычный 4 165 3" xfId="14857" xr:uid="{00000000-0005-0000-0000-00007A150000}"/>
    <cellStyle name="Обычный 4 165 4" xfId="20197" xr:uid="{00000000-0005-0000-0000-00007B150000}"/>
    <cellStyle name="Обычный 4 165 5" xfId="25537" xr:uid="{00000000-0005-0000-0000-00007C150000}"/>
    <cellStyle name="Обычный 4 165 6" xfId="30877" xr:uid="{00000000-0005-0000-0000-00007D150000}"/>
    <cellStyle name="Обычный 4 165 7" xfId="36217" xr:uid="{00000000-0005-0000-0000-00007E150000}"/>
    <cellStyle name="Обычный 4 165 8" xfId="41557" xr:uid="{00000000-0005-0000-0000-00007F150000}"/>
    <cellStyle name="Обычный 4 165 9" xfId="46897" xr:uid="{00000000-0005-0000-0000-000080150000}"/>
    <cellStyle name="Обычный 4 166" xfId="4206" xr:uid="{00000000-0005-0000-0000-000081150000}"/>
    <cellStyle name="Обычный 4 166 10" xfId="52269" xr:uid="{00000000-0005-0000-0000-000082150000}"/>
    <cellStyle name="Обычный 4 166 2" xfId="9549" xr:uid="{00000000-0005-0000-0000-000083150000}"/>
    <cellStyle name="Обычный 4 166 2 2" xfId="57610" xr:uid="{00000000-0005-0000-0000-000084150000}"/>
    <cellStyle name="Обычный 4 166 3" xfId="14889" xr:uid="{00000000-0005-0000-0000-000085150000}"/>
    <cellStyle name="Обычный 4 166 4" xfId="20229" xr:uid="{00000000-0005-0000-0000-000086150000}"/>
    <cellStyle name="Обычный 4 166 5" xfId="25569" xr:uid="{00000000-0005-0000-0000-000087150000}"/>
    <cellStyle name="Обычный 4 166 6" xfId="30909" xr:uid="{00000000-0005-0000-0000-000088150000}"/>
    <cellStyle name="Обычный 4 166 7" xfId="36249" xr:uid="{00000000-0005-0000-0000-000089150000}"/>
    <cellStyle name="Обычный 4 166 8" xfId="41589" xr:uid="{00000000-0005-0000-0000-00008A150000}"/>
    <cellStyle name="Обычный 4 166 9" xfId="46929" xr:uid="{00000000-0005-0000-0000-00008B150000}"/>
    <cellStyle name="Обычный 4 167" xfId="4238" xr:uid="{00000000-0005-0000-0000-00008C150000}"/>
    <cellStyle name="Обычный 4 167 10" xfId="52301" xr:uid="{00000000-0005-0000-0000-00008D150000}"/>
    <cellStyle name="Обычный 4 167 2" xfId="9581" xr:uid="{00000000-0005-0000-0000-00008E150000}"/>
    <cellStyle name="Обычный 4 167 2 2" xfId="57642" xr:uid="{00000000-0005-0000-0000-00008F150000}"/>
    <cellStyle name="Обычный 4 167 3" xfId="14921" xr:uid="{00000000-0005-0000-0000-000090150000}"/>
    <cellStyle name="Обычный 4 167 4" xfId="20261" xr:uid="{00000000-0005-0000-0000-000091150000}"/>
    <cellStyle name="Обычный 4 167 5" xfId="25601" xr:uid="{00000000-0005-0000-0000-000092150000}"/>
    <cellStyle name="Обычный 4 167 6" xfId="30941" xr:uid="{00000000-0005-0000-0000-000093150000}"/>
    <cellStyle name="Обычный 4 167 7" xfId="36281" xr:uid="{00000000-0005-0000-0000-000094150000}"/>
    <cellStyle name="Обычный 4 167 8" xfId="41621" xr:uid="{00000000-0005-0000-0000-000095150000}"/>
    <cellStyle name="Обычный 4 167 9" xfId="46961" xr:uid="{00000000-0005-0000-0000-000096150000}"/>
    <cellStyle name="Обычный 4 168" xfId="4270" xr:uid="{00000000-0005-0000-0000-000097150000}"/>
    <cellStyle name="Обычный 4 168 10" xfId="52333" xr:uid="{00000000-0005-0000-0000-000098150000}"/>
    <cellStyle name="Обычный 4 168 2" xfId="9613" xr:uid="{00000000-0005-0000-0000-000099150000}"/>
    <cellStyle name="Обычный 4 168 2 2" xfId="57674" xr:uid="{00000000-0005-0000-0000-00009A150000}"/>
    <cellStyle name="Обычный 4 168 3" xfId="14953" xr:uid="{00000000-0005-0000-0000-00009B150000}"/>
    <cellStyle name="Обычный 4 168 4" xfId="20293" xr:uid="{00000000-0005-0000-0000-00009C150000}"/>
    <cellStyle name="Обычный 4 168 5" xfId="25633" xr:uid="{00000000-0005-0000-0000-00009D150000}"/>
    <cellStyle name="Обычный 4 168 6" xfId="30973" xr:uid="{00000000-0005-0000-0000-00009E150000}"/>
    <cellStyle name="Обычный 4 168 7" xfId="36313" xr:uid="{00000000-0005-0000-0000-00009F150000}"/>
    <cellStyle name="Обычный 4 168 8" xfId="41653" xr:uid="{00000000-0005-0000-0000-0000A0150000}"/>
    <cellStyle name="Обычный 4 168 9" xfId="46993" xr:uid="{00000000-0005-0000-0000-0000A1150000}"/>
    <cellStyle name="Обычный 4 169" xfId="4302" xr:uid="{00000000-0005-0000-0000-0000A2150000}"/>
    <cellStyle name="Обычный 4 169 10" xfId="52365" xr:uid="{00000000-0005-0000-0000-0000A3150000}"/>
    <cellStyle name="Обычный 4 169 2" xfId="9645" xr:uid="{00000000-0005-0000-0000-0000A4150000}"/>
    <cellStyle name="Обычный 4 169 2 2" xfId="57706" xr:uid="{00000000-0005-0000-0000-0000A5150000}"/>
    <cellStyle name="Обычный 4 169 3" xfId="14985" xr:uid="{00000000-0005-0000-0000-0000A6150000}"/>
    <cellStyle name="Обычный 4 169 4" xfId="20325" xr:uid="{00000000-0005-0000-0000-0000A7150000}"/>
    <cellStyle name="Обычный 4 169 5" xfId="25665" xr:uid="{00000000-0005-0000-0000-0000A8150000}"/>
    <cellStyle name="Обычный 4 169 6" xfId="31005" xr:uid="{00000000-0005-0000-0000-0000A9150000}"/>
    <cellStyle name="Обычный 4 169 7" xfId="36345" xr:uid="{00000000-0005-0000-0000-0000AA150000}"/>
    <cellStyle name="Обычный 4 169 8" xfId="41685" xr:uid="{00000000-0005-0000-0000-0000AB150000}"/>
    <cellStyle name="Обычный 4 169 9" xfId="47025" xr:uid="{00000000-0005-0000-0000-0000AC150000}"/>
    <cellStyle name="Обычный 4 17" xfId="112" xr:uid="{00000000-0005-0000-0000-0000AD150000}"/>
    <cellStyle name="Обычный 4 17 10" xfId="42834" xr:uid="{00000000-0005-0000-0000-0000AE150000}"/>
    <cellStyle name="Обычный 4 17 11" xfId="48174" xr:uid="{00000000-0005-0000-0000-0000AF150000}"/>
    <cellStyle name="Обычный 4 17 2" xfId="579" xr:uid="{00000000-0005-0000-0000-0000B0150000}"/>
    <cellStyle name="Обычный 4 17 2 10" xfId="48641" xr:uid="{00000000-0005-0000-0000-0000B1150000}"/>
    <cellStyle name="Обычный 4 17 2 2" xfId="5920" xr:uid="{00000000-0005-0000-0000-0000B2150000}"/>
    <cellStyle name="Обычный 4 17 2 2 2" xfId="53982" xr:uid="{00000000-0005-0000-0000-0000B3150000}"/>
    <cellStyle name="Обычный 4 17 2 3" xfId="11261" xr:uid="{00000000-0005-0000-0000-0000B4150000}"/>
    <cellStyle name="Обычный 4 17 2 4" xfId="16601" xr:uid="{00000000-0005-0000-0000-0000B5150000}"/>
    <cellStyle name="Обычный 4 17 2 5" xfId="21941" xr:uid="{00000000-0005-0000-0000-0000B6150000}"/>
    <cellStyle name="Обычный 4 17 2 6" xfId="27281" xr:uid="{00000000-0005-0000-0000-0000B7150000}"/>
    <cellStyle name="Обычный 4 17 2 7" xfId="32621" xr:uid="{00000000-0005-0000-0000-0000B8150000}"/>
    <cellStyle name="Обычный 4 17 2 8" xfId="37961" xr:uid="{00000000-0005-0000-0000-0000B9150000}"/>
    <cellStyle name="Обычный 4 17 2 9" xfId="43301" xr:uid="{00000000-0005-0000-0000-0000BA150000}"/>
    <cellStyle name="Обычный 4 17 3" xfId="5453" xr:uid="{00000000-0005-0000-0000-0000BB150000}"/>
    <cellStyle name="Обычный 4 17 3 2" xfId="53515" xr:uid="{00000000-0005-0000-0000-0000BC150000}"/>
    <cellStyle name="Обычный 4 17 4" xfId="10794" xr:uid="{00000000-0005-0000-0000-0000BD150000}"/>
    <cellStyle name="Обычный 4 17 5" xfId="16134" xr:uid="{00000000-0005-0000-0000-0000BE150000}"/>
    <cellStyle name="Обычный 4 17 6" xfId="21474" xr:uid="{00000000-0005-0000-0000-0000BF150000}"/>
    <cellStyle name="Обычный 4 17 7" xfId="26814" xr:uid="{00000000-0005-0000-0000-0000C0150000}"/>
    <cellStyle name="Обычный 4 17 8" xfId="32154" xr:uid="{00000000-0005-0000-0000-0000C1150000}"/>
    <cellStyle name="Обычный 4 17 9" xfId="37494" xr:uid="{00000000-0005-0000-0000-0000C2150000}"/>
    <cellStyle name="Обычный 4 170" xfId="4334" xr:uid="{00000000-0005-0000-0000-0000C3150000}"/>
    <cellStyle name="Обычный 4 170 10" xfId="52397" xr:uid="{00000000-0005-0000-0000-0000C4150000}"/>
    <cellStyle name="Обычный 4 170 2" xfId="9677" xr:uid="{00000000-0005-0000-0000-0000C5150000}"/>
    <cellStyle name="Обычный 4 170 2 2" xfId="57738" xr:uid="{00000000-0005-0000-0000-0000C6150000}"/>
    <cellStyle name="Обычный 4 170 3" xfId="15017" xr:uid="{00000000-0005-0000-0000-0000C7150000}"/>
    <cellStyle name="Обычный 4 170 4" xfId="20357" xr:uid="{00000000-0005-0000-0000-0000C8150000}"/>
    <cellStyle name="Обычный 4 170 5" xfId="25697" xr:uid="{00000000-0005-0000-0000-0000C9150000}"/>
    <cellStyle name="Обычный 4 170 6" xfId="31037" xr:uid="{00000000-0005-0000-0000-0000CA150000}"/>
    <cellStyle name="Обычный 4 170 7" xfId="36377" xr:uid="{00000000-0005-0000-0000-0000CB150000}"/>
    <cellStyle name="Обычный 4 170 8" xfId="41717" xr:uid="{00000000-0005-0000-0000-0000CC150000}"/>
    <cellStyle name="Обычный 4 170 9" xfId="47057" xr:uid="{00000000-0005-0000-0000-0000CD150000}"/>
    <cellStyle name="Обычный 4 171" xfId="4366" xr:uid="{00000000-0005-0000-0000-0000CE150000}"/>
    <cellStyle name="Обычный 4 171 10" xfId="52429" xr:uid="{00000000-0005-0000-0000-0000CF150000}"/>
    <cellStyle name="Обычный 4 171 2" xfId="9709" xr:uid="{00000000-0005-0000-0000-0000D0150000}"/>
    <cellStyle name="Обычный 4 171 2 2" xfId="57770" xr:uid="{00000000-0005-0000-0000-0000D1150000}"/>
    <cellStyle name="Обычный 4 171 3" xfId="15049" xr:uid="{00000000-0005-0000-0000-0000D2150000}"/>
    <cellStyle name="Обычный 4 171 4" xfId="20389" xr:uid="{00000000-0005-0000-0000-0000D3150000}"/>
    <cellStyle name="Обычный 4 171 5" xfId="25729" xr:uid="{00000000-0005-0000-0000-0000D4150000}"/>
    <cellStyle name="Обычный 4 171 6" xfId="31069" xr:uid="{00000000-0005-0000-0000-0000D5150000}"/>
    <cellStyle name="Обычный 4 171 7" xfId="36409" xr:uid="{00000000-0005-0000-0000-0000D6150000}"/>
    <cellStyle name="Обычный 4 171 8" xfId="41749" xr:uid="{00000000-0005-0000-0000-0000D7150000}"/>
    <cellStyle name="Обычный 4 171 9" xfId="47089" xr:uid="{00000000-0005-0000-0000-0000D8150000}"/>
    <cellStyle name="Обычный 4 172" xfId="4398" xr:uid="{00000000-0005-0000-0000-0000D9150000}"/>
    <cellStyle name="Обычный 4 172 10" xfId="52461" xr:uid="{00000000-0005-0000-0000-0000DA150000}"/>
    <cellStyle name="Обычный 4 172 2" xfId="9741" xr:uid="{00000000-0005-0000-0000-0000DB150000}"/>
    <cellStyle name="Обычный 4 172 2 2" xfId="57802" xr:uid="{00000000-0005-0000-0000-0000DC150000}"/>
    <cellStyle name="Обычный 4 172 3" xfId="15081" xr:uid="{00000000-0005-0000-0000-0000DD150000}"/>
    <cellStyle name="Обычный 4 172 4" xfId="20421" xr:uid="{00000000-0005-0000-0000-0000DE150000}"/>
    <cellStyle name="Обычный 4 172 5" xfId="25761" xr:uid="{00000000-0005-0000-0000-0000DF150000}"/>
    <cellStyle name="Обычный 4 172 6" xfId="31101" xr:uid="{00000000-0005-0000-0000-0000E0150000}"/>
    <cellStyle name="Обычный 4 172 7" xfId="36441" xr:uid="{00000000-0005-0000-0000-0000E1150000}"/>
    <cellStyle name="Обычный 4 172 8" xfId="41781" xr:uid="{00000000-0005-0000-0000-0000E2150000}"/>
    <cellStyle name="Обычный 4 172 9" xfId="47121" xr:uid="{00000000-0005-0000-0000-0000E3150000}"/>
    <cellStyle name="Обычный 4 173" xfId="4430" xr:uid="{00000000-0005-0000-0000-0000E4150000}"/>
    <cellStyle name="Обычный 4 173 10" xfId="52493" xr:uid="{00000000-0005-0000-0000-0000E5150000}"/>
    <cellStyle name="Обычный 4 173 2" xfId="9773" xr:uid="{00000000-0005-0000-0000-0000E6150000}"/>
    <cellStyle name="Обычный 4 173 2 2" xfId="57834" xr:uid="{00000000-0005-0000-0000-0000E7150000}"/>
    <cellStyle name="Обычный 4 173 3" xfId="15113" xr:uid="{00000000-0005-0000-0000-0000E8150000}"/>
    <cellStyle name="Обычный 4 173 4" xfId="20453" xr:uid="{00000000-0005-0000-0000-0000E9150000}"/>
    <cellStyle name="Обычный 4 173 5" xfId="25793" xr:uid="{00000000-0005-0000-0000-0000EA150000}"/>
    <cellStyle name="Обычный 4 173 6" xfId="31133" xr:uid="{00000000-0005-0000-0000-0000EB150000}"/>
    <cellStyle name="Обычный 4 173 7" xfId="36473" xr:uid="{00000000-0005-0000-0000-0000EC150000}"/>
    <cellStyle name="Обычный 4 173 8" xfId="41813" xr:uid="{00000000-0005-0000-0000-0000ED150000}"/>
    <cellStyle name="Обычный 4 173 9" xfId="47153" xr:uid="{00000000-0005-0000-0000-0000EE150000}"/>
    <cellStyle name="Обычный 4 174" xfId="4462" xr:uid="{00000000-0005-0000-0000-0000EF150000}"/>
    <cellStyle name="Обычный 4 174 10" xfId="52525" xr:uid="{00000000-0005-0000-0000-0000F0150000}"/>
    <cellStyle name="Обычный 4 174 2" xfId="9805" xr:uid="{00000000-0005-0000-0000-0000F1150000}"/>
    <cellStyle name="Обычный 4 174 2 2" xfId="57866" xr:uid="{00000000-0005-0000-0000-0000F2150000}"/>
    <cellStyle name="Обычный 4 174 3" xfId="15145" xr:uid="{00000000-0005-0000-0000-0000F3150000}"/>
    <cellStyle name="Обычный 4 174 4" xfId="20485" xr:uid="{00000000-0005-0000-0000-0000F4150000}"/>
    <cellStyle name="Обычный 4 174 5" xfId="25825" xr:uid="{00000000-0005-0000-0000-0000F5150000}"/>
    <cellStyle name="Обычный 4 174 6" xfId="31165" xr:uid="{00000000-0005-0000-0000-0000F6150000}"/>
    <cellStyle name="Обычный 4 174 7" xfId="36505" xr:uid="{00000000-0005-0000-0000-0000F7150000}"/>
    <cellStyle name="Обычный 4 174 8" xfId="41845" xr:uid="{00000000-0005-0000-0000-0000F8150000}"/>
    <cellStyle name="Обычный 4 174 9" xfId="47185" xr:uid="{00000000-0005-0000-0000-0000F9150000}"/>
    <cellStyle name="Обычный 4 175" xfId="4494" xr:uid="{00000000-0005-0000-0000-0000FA150000}"/>
    <cellStyle name="Обычный 4 175 10" xfId="52557" xr:uid="{00000000-0005-0000-0000-0000FB150000}"/>
    <cellStyle name="Обычный 4 175 2" xfId="9837" xr:uid="{00000000-0005-0000-0000-0000FC150000}"/>
    <cellStyle name="Обычный 4 175 2 2" xfId="57898" xr:uid="{00000000-0005-0000-0000-0000FD150000}"/>
    <cellStyle name="Обычный 4 175 3" xfId="15177" xr:uid="{00000000-0005-0000-0000-0000FE150000}"/>
    <cellStyle name="Обычный 4 175 4" xfId="20517" xr:uid="{00000000-0005-0000-0000-0000FF150000}"/>
    <cellStyle name="Обычный 4 175 5" xfId="25857" xr:uid="{00000000-0005-0000-0000-000000160000}"/>
    <cellStyle name="Обычный 4 175 6" xfId="31197" xr:uid="{00000000-0005-0000-0000-000001160000}"/>
    <cellStyle name="Обычный 4 175 7" xfId="36537" xr:uid="{00000000-0005-0000-0000-000002160000}"/>
    <cellStyle name="Обычный 4 175 8" xfId="41877" xr:uid="{00000000-0005-0000-0000-000003160000}"/>
    <cellStyle name="Обычный 4 175 9" xfId="47217" xr:uid="{00000000-0005-0000-0000-000004160000}"/>
    <cellStyle name="Обычный 4 176" xfId="4526" xr:uid="{00000000-0005-0000-0000-000005160000}"/>
    <cellStyle name="Обычный 4 176 10" xfId="52589" xr:uid="{00000000-0005-0000-0000-000006160000}"/>
    <cellStyle name="Обычный 4 176 2" xfId="9869" xr:uid="{00000000-0005-0000-0000-000007160000}"/>
    <cellStyle name="Обычный 4 176 2 2" xfId="57930" xr:uid="{00000000-0005-0000-0000-000008160000}"/>
    <cellStyle name="Обычный 4 176 3" xfId="15209" xr:uid="{00000000-0005-0000-0000-000009160000}"/>
    <cellStyle name="Обычный 4 176 4" xfId="20549" xr:uid="{00000000-0005-0000-0000-00000A160000}"/>
    <cellStyle name="Обычный 4 176 5" xfId="25889" xr:uid="{00000000-0005-0000-0000-00000B160000}"/>
    <cellStyle name="Обычный 4 176 6" xfId="31229" xr:uid="{00000000-0005-0000-0000-00000C160000}"/>
    <cellStyle name="Обычный 4 176 7" xfId="36569" xr:uid="{00000000-0005-0000-0000-00000D160000}"/>
    <cellStyle name="Обычный 4 176 8" xfId="41909" xr:uid="{00000000-0005-0000-0000-00000E160000}"/>
    <cellStyle name="Обычный 4 176 9" xfId="47249" xr:uid="{00000000-0005-0000-0000-00000F160000}"/>
    <cellStyle name="Обычный 4 177" xfId="4558" xr:uid="{00000000-0005-0000-0000-000010160000}"/>
    <cellStyle name="Обычный 4 177 10" xfId="52621" xr:uid="{00000000-0005-0000-0000-000011160000}"/>
    <cellStyle name="Обычный 4 177 2" xfId="9901" xr:uid="{00000000-0005-0000-0000-000012160000}"/>
    <cellStyle name="Обычный 4 177 2 2" xfId="57962" xr:uid="{00000000-0005-0000-0000-000013160000}"/>
    <cellStyle name="Обычный 4 177 3" xfId="15241" xr:uid="{00000000-0005-0000-0000-000014160000}"/>
    <cellStyle name="Обычный 4 177 4" xfId="20581" xr:uid="{00000000-0005-0000-0000-000015160000}"/>
    <cellStyle name="Обычный 4 177 5" xfId="25921" xr:uid="{00000000-0005-0000-0000-000016160000}"/>
    <cellStyle name="Обычный 4 177 6" xfId="31261" xr:uid="{00000000-0005-0000-0000-000017160000}"/>
    <cellStyle name="Обычный 4 177 7" xfId="36601" xr:uid="{00000000-0005-0000-0000-000018160000}"/>
    <cellStyle name="Обычный 4 177 8" xfId="41941" xr:uid="{00000000-0005-0000-0000-000019160000}"/>
    <cellStyle name="Обычный 4 177 9" xfId="47281" xr:uid="{00000000-0005-0000-0000-00001A160000}"/>
    <cellStyle name="Обычный 4 178" xfId="4590" xr:uid="{00000000-0005-0000-0000-00001B160000}"/>
    <cellStyle name="Обычный 4 178 10" xfId="52653" xr:uid="{00000000-0005-0000-0000-00001C160000}"/>
    <cellStyle name="Обычный 4 178 2" xfId="9933" xr:uid="{00000000-0005-0000-0000-00001D160000}"/>
    <cellStyle name="Обычный 4 178 2 2" xfId="57994" xr:uid="{00000000-0005-0000-0000-00001E160000}"/>
    <cellStyle name="Обычный 4 178 3" xfId="15273" xr:uid="{00000000-0005-0000-0000-00001F160000}"/>
    <cellStyle name="Обычный 4 178 4" xfId="20613" xr:uid="{00000000-0005-0000-0000-000020160000}"/>
    <cellStyle name="Обычный 4 178 5" xfId="25953" xr:uid="{00000000-0005-0000-0000-000021160000}"/>
    <cellStyle name="Обычный 4 178 6" xfId="31293" xr:uid="{00000000-0005-0000-0000-000022160000}"/>
    <cellStyle name="Обычный 4 178 7" xfId="36633" xr:uid="{00000000-0005-0000-0000-000023160000}"/>
    <cellStyle name="Обычный 4 178 8" xfId="41973" xr:uid="{00000000-0005-0000-0000-000024160000}"/>
    <cellStyle name="Обычный 4 178 9" xfId="47313" xr:uid="{00000000-0005-0000-0000-000025160000}"/>
    <cellStyle name="Обычный 4 179" xfId="4622" xr:uid="{00000000-0005-0000-0000-000026160000}"/>
    <cellStyle name="Обычный 4 179 10" xfId="52685" xr:uid="{00000000-0005-0000-0000-000027160000}"/>
    <cellStyle name="Обычный 4 179 2" xfId="9965" xr:uid="{00000000-0005-0000-0000-000028160000}"/>
    <cellStyle name="Обычный 4 179 2 2" xfId="58026" xr:uid="{00000000-0005-0000-0000-000029160000}"/>
    <cellStyle name="Обычный 4 179 3" xfId="15305" xr:uid="{00000000-0005-0000-0000-00002A160000}"/>
    <cellStyle name="Обычный 4 179 4" xfId="20645" xr:uid="{00000000-0005-0000-0000-00002B160000}"/>
    <cellStyle name="Обычный 4 179 5" xfId="25985" xr:uid="{00000000-0005-0000-0000-00002C160000}"/>
    <cellStyle name="Обычный 4 179 6" xfId="31325" xr:uid="{00000000-0005-0000-0000-00002D160000}"/>
    <cellStyle name="Обычный 4 179 7" xfId="36665" xr:uid="{00000000-0005-0000-0000-00002E160000}"/>
    <cellStyle name="Обычный 4 179 8" xfId="42005" xr:uid="{00000000-0005-0000-0000-00002F160000}"/>
    <cellStyle name="Обычный 4 179 9" xfId="47345" xr:uid="{00000000-0005-0000-0000-000030160000}"/>
    <cellStyle name="Обычный 4 18" xfId="122" xr:uid="{00000000-0005-0000-0000-000031160000}"/>
    <cellStyle name="Обычный 4 18 10" xfId="42844" xr:uid="{00000000-0005-0000-0000-000032160000}"/>
    <cellStyle name="Обычный 4 18 11" xfId="48184" xr:uid="{00000000-0005-0000-0000-000033160000}"/>
    <cellStyle name="Обычный 4 18 2" xfId="589" xr:uid="{00000000-0005-0000-0000-000034160000}"/>
    <cellStyle name="Обычный 4 18 2 10" xfId="48651" xr:uid="{00000000-0005-0000-0000-000035160000}"/>
    <cellStyle name="Обычный 4 18 2 2" xfId="5930" xr:uid="{00000000-0005-0000-0000-000036160000}"/>
    <cellStyle name="Обычный 4 18 2 2 2" xfId="53992" xr:uid="{00000000-0005-0000-0000-000037160000}"/>
    <cellStyle name="Обычный 4 18 2 3" xfId="11271" xr:uid="{00000000-0005-0000-0000-000038160000}"/>
    <cellStyle name="Обычный 4 18 2 4" xfId="16611" xr:uid="{00000000-0005-0000-0000-000039160000}"/>
    <cellStyle name="Обычный 4 18 2 5" xfId="21951" xr:uid="{00000000-0005-0000-0000-00003A160000}"/>
    <cellStyle name="Обычный 4 18 2 6" xfId="27291" xr:uid="{00000000-0005-0000-0000-00003B160000}"/>
    <cellStyle name="Обычный 4 18 2 7" xfId="32631" xr:uid="{00000000-0005-0000-0000-00003C160000}"/>
    <cellStyle name="Обычный 4 18 2 8" xfId="37971" xr:uid="{00000000-0005-0000-0000-00003D160000}"/>
    <cellStyle name="Обычный 4 18 2 9" xfId="43311" xr:uid="{00000000-0005-0000-0000-00003E160000}"/>
    <cellStyle name="Обычный 4 18 3" xfId="5463" xr:uid="{00000000-0005-0000-0000-00003F160000}"/>
    <cellStyle name="Обычный 4 18 3 2" xfId="53525" xr:uid="{00000000-0005-0000-0000-000040160000}"/>
    <cellStyle name="Обычный 4 18 4" xfId="10804" xr:uid="{00000000-0005-0000-0000-000041160000}"/>
    <cellStyle name="Обычный 4 18 5" xfId="16144" xr:uid="{00000000-0005-0000-0000-000042160000}"/>
    <cellStyle name="Обычный 4 18 6" xfId="21484" xr:uid="{00000000-0005-0000-0000-000043160000}"/>
    <cellStyle name="Обычный 4 18 7" xfId="26824" xr:uid="{00000000-0005-0000-0000-000044160000}"/>
    <cellStyle name="Обычный 4 18 8" xfId="32164" xr:uid="{00000000-0005-0000-0000-000045160000}"/>
    <cellStyle name="Обычный 4 18 9" xfId="37504" xr:uid="{00000000-0005-0000-0000-000046160000}"/>
    <cellStyle name="Обычный 4 180" xfId="4654" xr:uid="{00000000-0005-0000-0000-000047160000}"/>
    <cellStyle name="Обычный 4 180 10" xfId="52717" xr:uid="{00000000-0005-0000-0000-000048160000}"/>
    <cellStyle name="Обычный 4 180 2" xfId="9997" xr:uid="{00000000-0005-0000-0000-000049160000}"/>
    <cellStyle name="Обычный 4 180 2 2" xfId="58058" xr:uid="{00000000-0005-0000-0000-00004A160000}"/>
    <cellStyle name="Обычный 4 180 3" xfId="15337" xr:uid="{00000000-0005-0000-0000-00004B160000}"/>
    <cellStyle name="Обычный 4 180 4" xfId="20677" xr:uid="{00000000-0005-0000-0000-00004C160000}"/>
    <cellStyle name="Обычный 4 180 5" xfId="26017" xr:uid="{00000000-0005-0000-0000-00004D160000}"/>
    <cellStyle name="Обычный 4 180 6" xfId="31357" xr:uid="{00000000-0005-0000-0000-00004E160000}"/>
    <cellStyle name="Обычный 4 180 7" xfId="36697" xr:uid="{00000000-0005-0000-0000-00004F160000}"/>
    <cellStyle name="Обычный 4 180 8" xfId="42037" xr:uid="{00000000-0005-0000-0000-000050160000}"/>
    <cellStyle name="Обычный 4 180 9" xfId="47377" xr:uid="{00000000-0005-0000-0000-000051160000}"/>
    <cellStyle name="Обычный 4 181" xfId="4686" xr:uid="{00000000-0005-0000-0000-000052160000}"/>
    <cellStyle name="Обычный 4 181 10" xfId="52749" xr:uid="{00000000-0005-0000-0000-000053160000}"/>
    <cellStyle name="Обычный 4 181 2" xfId="10029" xr:uid="{00000000-0005-0000-0000-000054160000}"/>
    <cellStyle name="Обычный 4 181 2 2" xfId="58090" xr:uid="{00000000-0005-0000-0000-000055160000}"/>
    <cellStyle name="Обычный 4 181 3" xfId="15369" xr:uid="{00000000-0005-0000-0000-000056160000}"/>
    <cellStyle name="Обычный 4 181 4" xfId="20709" xr:uid="{00000000-0005-0000-0000-000057160000}"/>
    <cellStyle name="Обычный 4 181 5" xfId="26049" xr:uid="{00000000-0005-0000-0000-000058160000}"/>
    <cellStyle name="Обычный 4 181 6" xfId="31389" xr:uid="{00000000-0005-0000-0000-000059160000}"/>
    <cellStyle name="Обычный 4 181 7" xfId="36729" xr:uid="{00000000-0005-0000-0000-00005A160000}"/>
    <cellStyle name="Обычный 4 181 8" xfId="42069" xr:uid="{00000000-0005-0000-0000-00005B160000}"/>
    <cellStyle name="Обычный 4 181 9" xfId="47409" xr:uid="{00000000-0005-0000-0000-00005C160000}"/>
    <cellStyle name="Обычный 4 182" xfId="4720" xr:uid="{00000000-0005-0000-0000-00005D160000}"/>
    <cellStyle name="Обычный 4 182 10" xfId="52783" xr:uid="{00000000-0005-0000-0000-00005E160000}"/>
    <cellStyle name="Обычный 4 182 2" xfId="10063" xr:uid="{00000000-0005-0000-0000-00005F160000}"/>
    <cellStyle name="Обычный 4 182 2 2" xfId="58124" xr:uid="{00000000-0005-0000-0000-000060160000}"/>
    <cellStyle name="Обычный 4 182 3" xfId="15403" xr:uid="{00000000-0005-0000-0000-000061160000}"/>
    <cellStyle name="Обычный 4 182 4" xfId="20743" xr:uid="{00000000-0005-0000-0000-000062160000}"/>
    <cellStyle name="Обычный 4 182 5" xfId="26083" xr:uid="{00000000-0005-0000-0000-000063160000}"/>
    <cellStyle name="Обычный 4 182 6" xfId="31423" xr:uid="{00000000-0005-0000-0000-000064160000}"/>
    <cellStyle name="Обычный 4 182 7" xfId="36763" xr:uid="{00000000-0005-0000-0000-000065160000}"/>
    <cellStyle name="Обычный 4 182 8" xfId="42103" xr:uid="{00000000-0005-0000-0000-000066160000}"/>
    <cellStyle name="Обычный 4 182 9" xfId="47443" xr:uid="{00000000-0005-0000-0000-000067160000}"/>
    <cellStyle name="Обычный 4 183" xfId="4752" xr:uid="{00000000-0005-0000-0000-000068160000}"/>
    <cellStyle name="Обычный 4 183 10" xfId="52815" xr:uid="{00000000-0005-0000-0000-000069160000}"/>
    <cellStyle name="Обычный 4 183 2" xfId="10095" xr:uid="{00000000-0005-0000-0000-00006A160000}"/>
    <cellStyle name="Обычный 4 183 2 2" xfId="58156" xr:uid="{00000000-0005-0000-0000-00006B160000}"/>
    <cellStyle name="Обычный 4 183 3" xfId="15435" xr:uid="{00000000-0005-0000-0000-00006C160000}"/>
    <cellStyle name="Обычный 4 183 4" xfId="20775" xr:uid="{00000000-0005-0000-0000-00006D160000}"/>
    <cellStyle name="Обычный 4 183 5" xfId="26115" xr:uid="{00000000-0005-0000-0000-00006E160000}"/>
    <cellStyle name="Обычный 4 183 6" xfId="31455" xr:uid="{00000000-0005-0000-0000-00006F160000}"/>
    <cellStyle name="Обычный 4 183 7" xfId="36795" xr:uid="{00000000-0005-0000-0000-000070160000}"/>
    <cellStyle name="Обычный 4 183 8" xfId="42135" xr:uid="{00000000-0005-0000-0000-000071160000}"/>
    <cellStyle name="Обычный 4 183 9" xfId="47475" xr:uid="{00000000-0005-0000-0000-000072160000}"/>
    <cellStyle name="Обычный 4 184" xfId="4784" xr:uid="{00000000-0005-0000-0000-000073160000}"/>
    <cellStyle name="Обычный 4 184 10" xfId="52847" xr:uid="{00000000-0005-0000-0000-000074160000}"/>
    <cellStyle name="Обычный 4 184 2" xfId="10127" xr:uid="{00000000-0005-0000-0000-000075160000}"/>
    <cellStyle name="Обычный 4 184 2 2" xfId="58188" xr:uid="{00000000-0005-0000-0000-000076160000}"/>
    <cellStyle name="Обычный 4 184 3" xfId="15467" xr:uid="{00000000-0005-0000-0000-000077160000}"/>
    <cellStyle name="Обычный 4 184 4" xfId="20807" xr:uid="{00000000-0005-0000-0000-000078160000}"/>
    <cellStyle name="Обычный 4 184 5" xfId="26147" xr:uid="{00000000-0005-0000-0000-000079160000}"/>
    <cellStyle name="Обычный 4 184 6" xfId="31487" xr:uid="{00000000-0005-0000-0000-00007A160000}"/>
    <cellStyle name="Обычный 4 184 7" xfId="36827" xr:uid="{00000000-0005-0000-0000-00007B160000}"/>
    <cellStyle name="Обычный 4 184 8" xfId="42167" xr:uid="{00000000-0005-0000-0000-00007C160000}"/>
    <cellStyle name="Обычный 4 184 9" xfId="47507" xr:uid="{00000000-0005-0000-0000-00007D160000}"/>
    <cellStyle name="Обычный 4 185" xfId="4816" xr:uid="{00000000-0005-0000-0000-00007E160000}"/>
    <cellStyle name="Обычный 4 185 10" xfId="52879" xr:uid="{00000000-0005-0000-0000-00007F160000}"/>
    <cellStyle name="Обычный 4 185 2" xfId="10159" xr:uid="{00000000-0005-0000-0000-000080160000}"/>
    <cellStyle name="Обычный 4 185 2 2" xfId="58220" xr:uid="{00000000-0005-0000-0000-000081160000}"/>
    <cellStyle name="Обычный 4 185 3" xfId="15499" xr:uid="{00000000-0005-0000-0000-000082160000}"/>
    <cellStyle name="Обычный 4 185 4" xfId="20839" xr:uid="{00000000-0005-0000-0000-000083160000}"/>
    <cellStyle name="Обычный 4 185 5" xfId="26179" xr:uid="{00000000-0005-0000-0000-000084160000}"/>
    <cellStyle name="Обычный 4 185 6" xfId="31519" xr:uid="{00000000-0005-0000-0000-000085160000}"/>
    <cellStyle name="Обычный 4 185 7" xfId="36859" xr:uid="{00000000-0005-0000-0000-000086160000}"/>
    <cellStyle name="Обычный 4 185 8" xfId="42199" xr:uid="{00000000-0005-0000-0000-000087160000}"/>
    <cellStyle name="Обычный 4 185 9" xfId="47539" xr:uid="{00000000-0005-0000-0000-000088160000}"/>
    <cellStyle name="Обычный 4 186" xfId="4848" xr:uid="{00000000-0005-0000-0000-000089160000}"/>
    <cellStyle name="Обычный 4 186 10" xfId="52911" xr:uid="{00000000-0005-0000-0000-00008A160000}"/>
    <cellStyle name="Обычный 4 186 2" xfId="10191" xr:uid="{00000000-0005-0000-0000-00008B160000}"/>
    <cellStyle name="Обычный 4 186 2 2" xfId="58252" xr:uid="{00000000-0005-0000-0000-00008C160000}"/>
    <cellStyle name="Обычный 4 186 3" xfId="15531" xr:uid="{00000000-0005-0000-0000-00008D160000}"/>
    <cellStyle name="Обычный 4 186 4" xfId="20871" xr:uid="{00000000-0005-0000-0000-00008E160000}"/>
    <cellStyle name="Обычный 4 186 5" xfId="26211" xr:uid="{00000000-0005-0000-0000-00008F160000}"/>
    <cellStyle name="Обычный 4 186 6" xfId="31551" xr:uid="{00000000-0005-0000-0000-000090160000}"/>
    <cellStyle name="Обычный 4 186 7" xfId="36891" xr:uid="{00000000-0005-0000-0000-000091160000}"/>
    <cellStyle name="Обычный 4 186 8" xfId="42231" xr:uid="{00000000-0005-0000-0000-000092160000}"/>
    <cellStyle name="Обычный 4 186 9" xfId="47571" xr:uid="{00000000-0005-0000-0000-000093160000}"/>
    <cellStyle name="Обычный 4 187" xfId="4880" xr:uid="{00000000-0005-0000-0000-000094160000}"/>
    <cellStyle name="Обычный 4 187 10" xfId="52943" xr:uid="{00000000-0005-0000-0000-000095160000}"/>
    <cellStyle name="Обычный 4 187 2" xfId="10223" xr:uid="{00000000-0005-0000-0000-000096160000}"/>
    <cellStyle name="Обычный 4 187 2 2" xfId="58284" xr:uid="{00000000-0005-0000-0000-000097160000}"/>
    <cellStyle name="Обычный 4 187 3" xfId="15563" xr:uid="{00000000-0005-0000-0000-000098160000}"/>
    <cellStyle name="Обычный 4 187 4" xfId="20903" xr:uid="{00000000-0005-0000-0000-000099160000}"/>
    <cellStyle name="Обычный 4 187 5" xfId="26243" xr:uid="{00000000-0005-0000-0000-00009A160000}"/>
    <cellStyle name="Обычный 4 187 6" xfId="31583" xr:uid="{00000000-0005-0000-0000-00009B160000}"/>
    <cellStyle name="Обычный 4 187 7" xfId="36923" xr:uid="{00000000-0005-0000-0000-00009C160000}"/>
    <cellStyle name="Обычный 4 187 8" xfId="42263" xr:uid="{00000000-0005-0000-0000-00009D160000}"/>
    <cellStyle name="Обычный 4 187 9" xfId="47603" xr:uid="{00000000-0005-0000-0000-00009E160000}"/>
    <cellStyle name="Обычный 4 188" xfId="4912" xr:uid="{00000000-0005-0000-0000-00009F160000}"/>
    <cellStyle name="Обычный 4 188 10" xfId="52975" xr:uid="{00000000-0005-0000-0000-0000A0160000}"/>
    <cellStyle name="Обычный 4 188 2" xfId="10255" xr:uid="{00000000-0005-0000-0000-0000A1160000}"/>
    <cellStyle name="Обычный 4 188 2 2" xfId="58316" xr:uid="{00000000-0005-0000-0000-0000A2160000}"/>
    <cellStyle name="Обычный 4 188 3" xfId="15595" xr:uid="{00000000-0005-0000-0000-0000A3160000}"/>
    <cellStyle name="Обычный 4 188 4" xfId="20935" xr:uid="{00000000-0005-0000-0000-0000A4160000}"/>
    <cellStyle name="Обычный 4 188 5" xfId="26275" xr:uid="{00000000-0005-0000-0000-0000A5160000}"/>
    <cellStyle name="Обычный 4 188 6" xfId="31615" xr:uid="{00000000-0005-0000-0000-0000A6160000}"/>
    <cellStyle name="Обычный 4 188 7" xfId="36955" xr:uid="{00000000-0005-0000-0000-0000A7160000}"/>
    <cellStyle name="Обычный 4 188 8" xfId="42295" xr:uid="{00000000-0005-0000-0000-0000A8160000}"/>
    <cellStyle name="Обычный 4 188 9" xfId="47635" xr:uid="{00000000-0005-0000-0000-0000A9160000}"/>
    <cellStyle name="Обычный 4 189" xfId="4944" xr:uid="{00000000-0005-0000-0000-0000AA160000}"/>
    <cellStyle name="Обычный 4 189 10" xfId="53007" xr:uid="{00000000-0005-0000-0000-0000AB160000}"/>
    <cellStyle name="Обычный 4 189 2" xfId="10287" xr:uid="{00000000-0005-0000-0000-0000AC160000}"/>
    <cellStyle name="Обычный 4 189 2 2" xfId="58348" xr:uid="{00000000-0005-0000-0000-0000AD160000}"/>
    <cellStyle name="Обычный 4 189 3" xfId="15627" xr:uid="{00000000-0005-0000-0000-0000AE160000}"/>
    <cellStyle name="Обычный 4 189 4" xfId="20967" xr:uid="{00000000-0005-0000-0000-0000AF160000}"/>
    <cellStyle name="Обычный 4 189 5" xfId="26307" xr:uid="{00000000-0005-0000-0000-0000B0160000}"/>
    <cellStyle name="Обычный 4 189 6" xfId="31647" xr:uid="{00000000-0005-0000-0000-0000B1160000}"/>
    <cellStyle name="Обычный 4 189 7" xfId="36987" xr:uid="{00000000-0005-0000-0000-0000B2160000}"/>
    <cellStyle name="Обычный 4 189 8" xfId="42327" xr:uid="{00000000-0005-0000-0000-0000B3160000}"/>
    <cellStyle name="Обычный 4 189 9" xfId="47667" xr:uid="{00000000-0005-0000-0000-0000B4160000}"/>
    <cellStyle name="Обычный 4 19" xfId="132" xr:uid="{00000000-0005-0000-0000-0000B5160000}"/>
    <cellStyle name="Обычный 4 19 10" xfId="42854" xr:uid="{00000000-0005-0000-0000-0000B6160000}"/>
    <cellStyle name="Обычный 4 19 11" xfId="48194" xr:uid="{00000000-0005-0000-0000-0000B7160000}"/>
    <cellStyle name="Обычный 4 19 2" xfId="599" xr:uid="{00000000-0005-0000-0000-0000B8160000}"/>
    <cellStyle name="Обычный 4 19 2 10" xfId="48661" xr:uid="{00000000-0005-0000-0000-0000B9160000}"/>
    <cellStyle name="Обычный 4 19 2 2" xfId="5940" xr:uid="{00000000-0005-0000-0000-0000BA160000}"/>
    <cellStyle name="Обычный 4 19 2 2 2" xfId="54002" xr:uid="{00000000-0005-0000-0000-0000BB160000}"/>
    <cellStyle name="Обычный 4 19 2 3" xfId="11281" xr:uid="{00000000-0005-0000-0000-0000BC160000}"/>
    <cellStyle name="Обычный 4 19 2 4" xfId="16621" xr:uid="{00000000-0005-0000-0000-0000BD160000}"/>
    <cellStyle name="Обычный 4 19 2 5" xfId="21961" xr:uid="{00000000-0005-0000-0000-0000BE160000}"/>
    <cellStyle name="Обычный 4 19 2 6" xfId="27301" xr:uid="{00000000-0005-0000-0000-0000BF160000}"/>
    <cellStyle name="Обычный 4 19 2 7" xfId="32641" xr:uid="{00000000-0005-0000-0000-0000C0160000}"/>
    <cellStyle name="Обычный 4 19 2 8" xfId="37981" xr:uid="{00000000-0005-0000-0000-0000C1160000}"/>
    <cellStyle name="Обычный 4 19 2 9" xfId="43321" xr:uid="{00000000-0005-0000-0000-0000C2160000}"/>
    <cellStyle name="Обычный 4 19 3" xfId="5473" xr:uid="{00000000-0005-0000-0000-0000C3160000}"/>
    <cellStyle name="Обычный 4 19 3 2" xfId="53535" xr:uid="{00000000-0005-0000-0000-0000C4160000}"/>
    <cellStyle name="Обычный 4 19 4" xfId="10814" xr:uid="{00000000-0005-0000-0000-0000C5160000}"/>
    <cellStyle name="Обычный 4 19 5" xfId="16154" xr:uid="{00000000-0005-0000-0000-0000C6160000}"/>
    <cellStyle name="Обычный 4 19 6" xfId="21494" xr:uid="{00000000-0005-0000-0000-0000C7160000}"/>
    <cellStyle name="Обычный 4 19 7" xfId="26834" xr:uid="{00000000-0005-0000-0000-0000C8160000}"/>
    <cellStyle name="Обычный 4 19 8" xfId="32174" xr:uid="{00000000-0005-0000-0000-0000C9160000}"/>
    <cellStyle name="Обычный 4 19 9" xfId="37514" xr:uid="{00000000-0005-0000-0000-0000CA160000}"/>
    <cellStyle name="Обычный 4 190" xfId="4976" xr:uid="{00000000-0005-0000-0000-0000CB160000}"/>
    <cellStyle name="Обычный 4 190 10" xfId="53039" xr:uid="{00000000-0005-0000-0000-0000CC160000}"/>
    <cellStyle name="Обычный 4 190 2" xfId="10319" xr:uid="{00000000-0005-0000-0000-0000CD160000}"/>
    <cellStyle name="Обычный 4 190 2 2" xfId="58380" xr:uid="{00000000-0005-0000-0000-0000CE160000}"/>
    <cellStyle name="Обычный 4 190 3" xfId="15659" xr:uid="{00000000-0005-0000-0000-0000CF160000}"/>
    <cellStyle name="Обычный 4 190 4" xfId="20999" xr:uid="{00000000-0005-0000-0000-0000D0160000}"/>
    <cellStyle name="Обычный 4 190 5" xfId="26339" xr:uid="{00000000-0005-0000-0000-0000D1160000}"/>
    <cellStyle name="Обычный 4 190 6" xfId="31679" xr:uid="{00000000-0005-0000-0000-0000D2160000}"/>
    <cellStyle name="Обычный 4 190 7" xfId="37019" xr:uid="{00000000-0005-0000-0000-0000D3160000}"/>
    <cellStyle name="Обычный 4 190 8" xfId="42359" xr:uid="{00000000-0005-0000-0000-0000D4160000}"/>
    <cellStyle name="Обычный 4 190 9" xfId="47699" xr:uid="{00000000-0005-0000-0000-0000D5160000}"/>
    <cellStyle name="Обычный 4 191" xfId="5008" xr:uid="{00000000-0005-0000-0000-0000D6160000}"/>
    <cellStyle name="Обычный 4 191 10" xfId="53071" xr:uid="{00000000-0005-0000-0000-0000D7160000}"/>
    <cellStyle name="Обычный 4 191 2" xfId="10351" xr:uid="{00000000-0005-0000-0000-0000D8160000}"/>
    <cellStyle name="Обычный 4 191 2 2" xfId="58412" xr:uid="{00000000-0005-0000-0000-0000D9160000}"/>
    <cellStyle name="Обычный 4 191 3" xfId="15691" xr:uid="{00000000-0005-0000-0000-0000DA160000}"/>
    <cellStyle name="Обычный 4 191 4" xfId="21031" xr:uid="{00000000-0005-0000-0000-0000DB160000}"/>
    <cellStyle name="Обычный 4 191 5" xfId="26371" xr:uid="{00000000-0005-0000-0000-0000DC160000}"/>
    <cellStyle name="Обычный 4 191 6" xfId="31711" xr:uid="{00000000-0005-0000-0000-0000DD160000}"/>
    <cellStyle name="Обычный 4 191 7" xfId="37051" xr:uid="{00000000-0005-0000-0000-0000DE160000}"/>
    <cellStyle name="Обычный 4 191 8" xfId="42391" xr:uid="{00000000-0005-0000-0000-0000DF160000}"/>
    <cellStyle name="Обычный 4 191 9" xfId="47731" xr:uid="{00000000-0005-0000-0000-0000E0160000}"/>
    <cellStyle name="Обычный 4 192" xfId="5040" xr:uid="{00000000-0005-0000-0000-0000E1160000}"/>
    <cellStyle name="Обычный 4 192 10" xfId="53103" xr:uid="{00000000-0005-0000-0000-0000E2160000}"/>
    <cellStyle name="Обычный 4 192 2" xfId="10383" xr:uid="{00000000-0005-0000-0000-0000E3160000}"/>
    <cellStyle name="Обычный 4 192 2 2" xfId="58444" xr:uid="{00000000-0005-0000-0000-0000E4160000}"/>
    <cellStyle name="Обычный 4 192 3" xfId="15723" xr:uid="{00000000-0005-0000-0000-0000E5160000}"/>
    <cellStyle name="Обычный 4 192 4" xfId="21063" xr:uid="{00000000-0005-0000-0000-0000E6160000}"/>
    <cellStyle name="Обычный 4 192 5" xfId="26403" xr:uid="{00000000-0005-0000-0000-0000E7160000}"/>
    <cellStyle name="Обычный 4 192 6" xfId="31743" xr:uid="{00000000-0005-0000-0000-0000E8160000}"/>
    <cellStyle name="Обычный 4 192 7" xfId="37083" xr:uid="{00000000-0005-0000-0000-0000E9160000}"/>
    <cellStyle name="Обычный 4 192 8" xfId="42423" xr:uid="{00000000-0005-0000-0000-0000EA160000}"/>
    <cellStyle name="Обычный 4 192 9" xfId="47763" xr:uid="{00000000-0005-0000-0000-0000EB160000}"/>
    <cellStyle name="Обычный 4 193" xfId="5072" xr:uid="{00000000-0005-0000-0000-0000EC160000}"/>
    <cellStyle name="Обычный 4 193 10" xfId="53135" xr:uid="{00000000-0005-0000-0000-0000ED160000}"/>
    <cellStyle name="Обычный 4 193 2" xfId="10415" xr:uid="{00000000-0005-0000-0000-0000EE160000}"/>
    <cellStyle name="Обычный 4 193 2 2" xfId="58476" xr:uid="{00000000-0005-0000-0000-0000EF160000}"/>
    <cellStyle name="Обычный 4 193 3" xfId="15755" xr:uid="{00000000-0005-0000-0000-0000F0160000}"/>
    <cellStyle name="Обычный 4 193 4" xfId="21095" xr:uid="{00000000-0005-0000-0000-0000F1160000}"/>
    <cellStyle name="Обычный 4 193 5" xfId="26435" xr:uid="{00000000-0005-0000-0000-0000F2160000}"/>
    <cellStyle name="Обычный 4 193 6" xfId="31775" xr:uid="{00000000-0005-0000-0000-0000F3160000}"/>
    <cellStyle name="Обычный 4 193 7" xfId="37115" xr:uid="{00000000-0005-0000-0000-0000F4160000}"/>
    <cellStyle name="Обычный 4 193 8" xfId="42455" xr:uid="{00000000-0005-0000-0000-0000F5160000}"/>
    <cellStyle name="Обычный 4 193 9" xfId="47795" xr:uid="{00000000-0005-0000-0000-0000F6160000}"/>
    <cellStyle name="Обычный 4 194" xfId="5104" xr:uid="{00000000-0005-0000-0000-0000F7160000}"/>
    <cellStyle name="Обычный 4 194 10" xfId="53167" xr:uid="{00000000-0005-0000-0000-0000F8160000}"/>
    <cellStyle name="Обычный 4 194 2" xfId="10447" xr:uid="{00000000-0005-0000-0000-0000F9160000}"/>
    <cellStyle name="Обычный 4 194 2 2" xfId="58508" xr:uid="{00000000-0005-0000-0000-0000FA160000}"/>
    <cellStyle name="Обычный 4 194 3" xfId="15787" xr:uid="{00000000-0005-0000-0000-0000FB160000}"/>
    <cellStyle name="Обычный 4 194 4" xfId="21127" xr:uid="{00000000-0005-0000-0000-0000FC160000}"/>
    <cellStyle name="Обычный 4 194 5" xfId="26467" xr:uid="{00000000-0005-0000-0000-0000FD160000}"/>
    <cellStyle name="Обычный 4 194 6" xfId="31807" xr:uid="{00000000-0005-0000-0000-0000FE160000}"/>
    <cellStyle name="Обычный 4 194 7" xfId="37147" xr:uid="{00000000-0005-0000-0000-0000FF160000}"/>
    <cellStyle name="Обычный 4 194 8" xfId="42487" xr:uid="{00000000-0005-0000-0000-000000170000}"/>
    <cellStyle name="Обычный 4 194 9" xfId="47827" xr:uid="{00000000-0005-0000-0000-000001170000}"/>
    <cellStyle name="Обычный 4 195" xfId="5136" xr:uid="{00000000-0005-0000-0000-000002170000}"/>
    <cellStyle name="Обычный 4 195 10" xfId="53199" xr:uid="{00000000-0005-0000-0000-000003170000}"/>
    <cellStyle name="Обычный 4 195 2" xfId="10479" xr:uid="{00000000-0005-0000-0000-000004170000}"/>
    <cellStyle name="Обычный 4 195 2 2" xfId="58540" xr:uid="{00000000-0005-0000-0000-000005170000}"/>
    <cellStyle name="Обычный 4 195 3" xfId="15819" xr:uid="{00000000-0005-0000-0000-000006170000}"/>
    <cellStyle name="Обычный 4 195 4" xfId="21159" xr:uid="{00000000-0005-0000-0000-000007170000}"/>
    <cellStyle name="Обычный 4 195 5" xfId="26499" xr:uid="{00000000-0005-0000-0000-000008170000}"/>
    <cellStyle name="Обычный 4 195 6" xfId="31839" xr:uid="{00000000-0005-0000-0000-000009170000}"/>
    <cellStyle name="Обычный 4 195 7" xfId="37179" xr:uid="{00000000-0005-0000-0000-00000A170000}"/>
    <cellStyle name="Обычный 4 195 8" xfId="42519" xr:uid="{00000000-0005-0000-0000-00000B170000}"/>
    <cellStyle name="Обычный 4 195 9" xfId="47859" xr:uid="{00000000-0005-0000-0000-00000C170000}"/>
    <cellStyle name="Обычный 4 196" xfId="5168" xr:uid="{00000000-0005-0000-0000-00000D170000}"/>
    <cellStyle name="Обычный 4 196 10" xfId="53231" xr:uid="{00000000-0005-0000-0000-00000E170000}"/>
    <cellStyle name="Обычный 4 196 2" xfId="10511" xr:uid="{00000000-0005-0000-0000-00000F170000}"/>
    <cellStyle name="Обычный 4 196 2 2" xfId="58572" xr:uid="{00000000-0005-0000-0000-000010170000}"/>
    <cellStyle name="Обычный 4 196 3" xfId="15851" xr:uid="{00000000-0005-0000-0000-000011170000}"/>
    <cellStyle name="Обычный 4 196 4" xfId="21191" xr:uid="{00000000-0005-0000-0000-000012170000}"/>
    <cellStyle name="Обычный 4 196 5" xfId="26531" xr:uid="{00000000-0005-0000-0000-000013170000}"/>
    <cellStyle name="Обычный 4 196 6" xfId="31871" xr:uid="{00000000-0005-0000-0000-000014170000}"/>
    <cellStyle name="Обычный 4 196 7" xfId="37211" xr:uid="{00000000-0005-0000-0000-000015170000}"/>
    <cellStyle name="Обычный 4 196 8" xfId="42551" xr:uid="{00000000-0005-0000-0000-000016170000}"/>
    <cellStyle name="Обычный 4 196 9" xfId="47891" xr:uid="{00000000-0005-0000-0000-000017170000}"/>
    <cellStyle name="Обычный 4 197" xfId="5200" xr:uid="{00000000-0005-0000-0000-000018170000}"/>
    <cellStyle name="Обычный 4 197 10" xfId="53263" xr:uid="{00000000-0005-0000-0000-000019170000}"/>
    <cellStyle name="Обычный 4 197 2" xfId="10543" xr:uid="{00000000-0005-0000-0000-00001A170000}"/>
    <cellStyle name="Обычный 4 197 2 2" xfId="58604" xr:uid="{00000000-0005-0000-0000-00001B170000}"/>
    <cellStyle name="Обычный 4 197 3" xfId="15883" xr:uid="{00000000-0005-0000-0000-00001C170000}"/>
    <cellStyle name="Обычный 4 197 4" xfId="21223" xr:uid="{00000000-0005-0000-0000-00001D170000}"/>
    <cellStyle name="Обычный 4 197 5" xfId="26563" xr:uid="{00000000-0005-0000-0000-00001E170000}"/>
    <cellStyle name="Обычный 4 197 6" xfId="31903" xr:uid="{00000000-0005-0000-0000-00001F170000}"/>
    <cellStyle name="Обычный 4 197 7" xfId="37243" xr:uid="{00000000-0005-0000-0000-000020170000}"/>
    <cellStyle name="Обычный 4 197 8" xfId="42583" xr:uid="{00000000-0005-0000-0000-000021170000}"/>
    <cellStyle name="Обычный 4 197 9" xfId="47923" xr:uid="{00000000-0005-0000-0000-000022170000}"/>
    <cellStyle name="Обычный 4 198" xfId="5232" xr:uid="{00000000-0005-0000-0000-000023170000}"/>
    <cellStyle name="Обычный 4 198 10" xfId="53295" xr:uid="{00000000-0005-0000-0000-000024170000}"/>
    <cellStyle name="Обычный 4 198 2" xfId="10575" xr:uid="{00000000-0005-0000-0000-000025170000}"/>
    <cellStyle name="Обычный 4 198 2 2" xfId="58636" xr:uid="{00000000-0005-0000-0000-000026170000}"/>
    <cellStyle name="Обычный 4 198 3" xfId="15915" xr:uid="{00000000-0005-0000-0000-000027170000}"/>
    <cellStyle name="Обычный 4 198 4" xfId="21255" xr:uid="{00000000-0005-0000-0000-000028170000}"/>
    <cellStyle name="Обычный 4 198 5" xfId="26595" xr:uid="{00000000-0005-0000-0000-000029170000}"/>
    <cellStyle name="Обычный 4 198 6" xfId="31935" xr:uid="{00000000-0005-0000-0000-00002A170000}"/>
    <cellStyle name="Обычный 4 198 7" xfId="37275" xr:uid="{00000000-0005-0000-0000-00002B170000}"/>
    <cellStyle name="Обычный 4 198 8" xfId="42615" xr:uid="{00000000-0005-0000-0000-00002C170000}"/>
    <cellStyle name="Обычный 4 198 9" xfId="47955" xr:uid="{00000000-0005-0000-0000-00002D170000}"/>
    <cellStyle name="Обычный 4 199" xfId="5264" xr:uid="{00000000-0005-0000-0000-00002E170000}"/>
    <cellStyle name="Обычный 4 199 10" xfId="53327" xr:uid="{00000000-0005-0000-0000-00002F170000}"/>
    <cellStyle name="Обычный 4 199 2" xfId="10607" xr:uid="{00000000-0005-0000-0000-000030170000}"/>
    <cellStyle name="Обычный 4 199 2 2" xfId="58668" xr:uid="{00000000-0005-0000-0000-000031170000}"/>
    <cellStyle name="Обычный 4 199 3" xfId="15947" xr:uid="{00000000-0005-0000-0000-000032170000}"/>
    <cellStyle name="Обычный 4 199 4" xfId="21287" xr:uid="{00000000-0005-0000-0000-000033170000}"/>
    <cellStyle name="Обычный 4 199 5" xfId="26627" xr:uid="{00000000-0005-0000-0000-000034170000}"/>
    <cellStyle name="Обычный 4 199 6" xfId="31967" xr:uid="{00000000-0005-0000-0000-000035170000}"/>
    <cellStyle name="Обычный 4 199 7" xfId="37307" xr:uid="{00000000-0005-0000-0000-000036170000}"/>
    <cellStyle name="Обычный 4 199 8" xfId="42647" xr:uid="{00000000-0005-0000-0000-000037170000}"/>
    <cellStyle name="Обычный 4 199 9" xfId="47987" xr:uid="{00000000-0005-0000-0000-000038170000}"/>
    <cellStyle name="Обычный 4 2" xfId="56" xr:uid="{00000000-0005-0000-0000-000039170000}"/>
    <cellStyle name="Обычный 4 2 10" xfId="176" xr:uid="{00000000-0005-0000-0000-00003A170000}"/>
    <cellStyle name="Обычный 4 2 10 10" xfId="42898" xr:uid="{00000000-0005-0000-0000-00003B170000}"/>
    <cellStyle name="Обычный 4 2 10 11" xfId="48238" xr:uid="{00000000-0005-0000-0000-00003C170000}"/>
    <cellStyle name="Обычный 4 2 10 2" xfId="643" xr:uid="{00000000-0005-0000-0000-00003D170000}"/>
    <cellStyle name="Обычный 4 2 10 2 10" xfId="48705" xr:uid="{00000000-0005-0000-0000-00003E170000}"/>
    <cellStyle name="Обычный 4 2 10 2 2" xfId="5984" xr:uid="{00000000-0005-0000-0000-00003F170000}"/>
    <cellStyle name="Обычный 4 2 10 2 2 2" xfId="54046" xr:uid="{00000000-0005-0000-0000-000040170000}"/>
    <cellStyle name="Обычный 4 2 10 2 3" xfId="11325" xr:uid="{00000000-0005-0000-0000-000041170000}"/>
    <cellStyle name="Обычный 4 2 10 2 4" xfId="16665" xr:uid="{00000000-0005-0000-0000-000042170000}"/>
    <cellStyle name="Обычный 4 2 10 2 5" xfId="22005" xr:uid="{00000000-0005-0000-0000-000043170000}"/>
    <cellStyle name="Обычный 4 2 10 2 6" xfId="27345" xr:uid="{00000000-0005-0000-0000-000044170000}"/>
    <cellStyle name="Обычный 4 2 10 2 7" xfId="32685" xr:uid="{00000000-0005-0000-0000-000045170000}"/>
    <cellStyle name="Обычный 4 2 10 2 8" xfId="38025" xr:uid="{00000000-0005-0000-0000-000046170000}"/>
    <cellStyle name="Обычный 4 2 10 2 9" xfId="43365" xr:uid="{00000000-0005-0000-0000-000047170000}"/>
    <cellStyle name="Обычный 4 2 10 3" xfId="5517" xr:uid="{00000000-0005-0000-0000-000048170000}"/>
    <cellStyle name="Обычный 4 2 10 3 2" xfId="53579" xr:uid="{00000000-0005-0000-0000-000049170000}"/>
    <cellStyle name="Обычный 4 2 10 4" xfId="10858" xr:uid="{00000000-0005-0000-0000-00004A170000}"/>
    <cellStyle name="Обычный 4 2 10 5" xfId="16198" xr:uid="{00000000-0005-0000-0000-00004B170000}"/>
    <cellStyle name="Обычный 4 2 10 6" xfId="21538" xr:uid="{00000000-0005-0000-0000-00004C170000}"/>
    <cellStyle name="Обычный 4 2 10 7" xfId="26878" xr:uid="{00000000-0005-0000-0000-00004D170000}"/>
    <cellStyle name="Обычный 4 2 10 8" xfId="32218" xr:uid="{00000000-0005-0000-0000-00004E170000}"/>
    <cellStyle name="Обычный 4 2 10 9" xfId="37558" xr:uid="{00000000-0005-0000-0000-00004F170000}"/>
    <cellStyle name="Обычный 4 2 100" xfId="2509" xr:uid="{00000000-0005-0000-0000-000050170000}"/>
    <cellStyle name="Обычный 4 2 100 10" xfId="50573" xr:uid="{00000000-0005-0000-0000-000051170000}"/>
    <cellStyle name="Обычный 4 2 100 2" xfId="7852" xr:uid="{00000000-0005-0000-0000-000052170000}"/>
    <cellStyle name="Обычный 4 2 100 2 2" xfId="55914" xr:uid="{00000000-0005-0000-0000-000053170000}"/>
    <cellStyle name="Обычный 4 2 100 3" xfId="13193" xr:uid="{00000000-0005-0000-0000-000054170000}"/>
    <cellStyle name="Обычный 4 2 100 4" xfId="18533" xr:uid="{00000000-0005-0000-0000-000055170000}"/>
    <cellStyle name="Обычный 4 2 100 5" xfId="23873" xr:uid="{00000000-0005-0000-0000-000056170000}"/>
    <cellStyle name="Обычный 4 2 100 6" xfId="29213" xr:uid="{00000000-0005-0000-0000-000057170000}"/>
    <cellStyle name="Обычный 4 2 100 7" xfId="34553" xr:uid="{00000000-0005-0000-0000-000058170000}"/>
    <cellStyle name="Обычный 4 2 100 8" xfId="39893" xr:uid="{00000000-0005-0000-0000-000059170000}"/>
    <cellStyle name="Обычный 4 2 100 9" xfId="45233" xr:uid="{00000000-0005-0000-0000-00005A170000}"/>
    <cellStyle name="Обычный 4 2 101" xfId="2543" xr:uid="{00000000-0005-0000-0000-00005B170000}"/>
    <cellStyle name="Обычный 4 2 101 10" xfId="50607" xr:uid="{00000000-0005-0000-0000-00005C170000}"/>
    <cellStyle name="Обычный 4 2 101 2" xfId="7886" xr:uid="{00000000-0005-0000-0000-00005D170000}"/>
    <cellStyle name="Обычный 4 2 101 2 2" xfId="55948" xr:uid="{00000000-0005-0000-0000-00005E170000}"/>
    <cellStyle name="Обычный 4 2 101 3" xfId="13227" xr:uid="{00000000-0005-0000-0000-00005F170000}"/>
    <cellStyle name="Обычный 4 2 101 4" xfId="18567" xr:uid="{00000000-0005-0000-0000-000060170000}"/>
    <cellStyle name="Обычный 4 2 101 5" xfId="23907" xr:uid="{00000000-0005-0000-0000-000061170000}"/>
    <cellStyle name="Обычный 4 2 101 6" xfId="29247" xr:uid="{00000000-0005-0000-0000-000062170000}"/>
    <cellStyle name="Обычный 4 2 101 7" xfId="34587" xr:uid="{00000000-0005-0000-0000-000063170000}"/>
    <cellStyle name="Обычный 4 2 101 8" xfId="39927" xr:uid="{00000000-0005-0000-0000-000064170000}"/>
    <cellStyle name="Обычный 4 2 101 9" xfId="45267" xr:uid="{00000000-0005-0000-0000-000065170000}"/>
    <cellStyle name="Обычный 4 2 102" xfId="2575" xr:uid="{00000000-0005-0000-0000-000066170000}"/>
    <cellStyle name="Обычный 4 2 102 10" xfId="50639" xr:uid="{00000000-0005-0000-0000-000067170000}"/>
    <cellStyle name="Обычный 4 2 102 2" xfId="7918" xr:uid="{00000000-0005-0000-0000-000068170000}"/>
    <cellStyle name="Обычный 4 2 102 2 2" xfId="55980" xr:uid="{00000000-0005-0000-0000-000069170000}"/>
    <cellStyle name="Обычный 4 2 102 3" xfId="13259" xr:uid="{00000000-0005-0000-0000-00006A170000}"/>
    <cellStyle name="Обычный 4 2 102 4" xfId="18599" xr:uid="{00000000-0005-0000-0000-00006B170000}"/>
    <cellStyle name="Обычный 4 2 102 5" xfId="23939" xr:uid="{00000000-0005-0000-0000-00006C170000}"/>
    <cellStyle name="Обычный 4 2 102 6" xfId="29279" xr:uid="{00000000-0005-0000-0000-00006D170000}"/>
    <cellStyle name="Обычный 4 2 102 7" xfId="34619" xr:uid="{00000000-0005-0000-0000-00006E170000}"/>
    <cellStyle name="Обычный 4 2 102 8" xfId="39959" xr:uid="{00000000-0005-0000-0000-00006F170000}"/>
    <cellStyle name="Обычный 4 2 102 9" xfId="45299" xr:uid="{00000000-0005-0000-0000-000070170000}"/>
    <cellStyle name="Обычный 4 2 103" xfId="2607" xr:uid="{00000000-0005-0000-0000-000071170000}"/>
    <cellStyle name="Обычный 4 2 103 10" xfId="50671" xr:uid="{00000000-0005-0000-0000-000072170000}"/>
    <cellStyle name="Обычный 4 2 103 2" xfId="7950" xr:uid="{00000000-0005-0000-0000-000073170000}"/>
    <cellStyle name="Обычный 4 2 103 2 2" xfId="56012" xr:uid="{00000000-0005-0000-0000-000074170000}"/>
    <cellStyle name="Обычный 4 2 103 3" xfId="13291" xr:uid="{00000000-0005-0000-0000-000075170000}"/>
    <cellStyle name="Обычный 4 2 103 4" xfId="18631" xr:uid="{00000000-0005-0000-0000-000076170000}"/>
    <cellStyle name="Обычный 4 2 103 5" xfId="23971" xr:uid="{00000000-0005-0000-0000-000077170000}"/>
    <cellStyle name="Обычный 4 2 103 6" xfId="29311" xr:uid="{00000000-0005-0000-0000-000078170000}"/>
    <cellStyle name="Обычный 4 2 103 7" xfId="34651" xr:uid="{00000000-0005-0000-0000-000079170000}"/>
    <cellStyle name="Обычный 4 2 103 8" xfId="39991" xr:uid="{00000000-0005-0000-0000-00007A170000}"/>
    <cellStyle name="Обычный 4 2 103 9" xfId="45331" xr:uid="{00000000-0005-0000-0000-00007B170000}"/>
    <cellStyle name="Обычный 4 2 104" xfId="2639" xr:uid="{00000000-0005-0000-0000-00007C170000}"/>
    <cellStyle name="Обычный 4 2 104 10" xfId="50703" xr:uid="{00000000-0005-0000-0000-00007D170000}"/>
    <cellStyle name="Обычный 4 2 104 2" xfId="7982" xr:uid="{00000000-0005-0000-0000-00007E170000}"/>
    <cellStyle name="Обычный 4 2 104 2 2" xfId="56044" xr:uid="{00000000-0005-0000-0000-00007F170000}"/>
    <cellStyle name="Обычный 4 2 104 3" xfId="13323" xr:uid="{00000000-0005-0000-0000-000080170000}"/>
    <cellStyle name="Обычный 4 2 104 4" xfId="18663" xr:uid="{00000000-0005-0000-0000-000081170000}"/>
    <cellStyle name="Обычный 4 2 104 5" xfId="24003" xr:uid="{00000000-0005-0000-0000-000082170000}"/>
    <cellStyle name="Обычный 4 2 104 6" xfId="29343" xr:uid="{00000000-0005-0000-0000-000083170000}"/>
    <cellStyle name="Обычный 4 2 104 7" xfId="34683" xr:uid="{00000000-0005-0000-0000-000084170000}"/>
    <cellStyle name="Обычный 4 2 104 8" xfId="40023" xr:uid="{00000000-0005-0000-0000-000085170000}"/>
    <cellStyle name="Обычный 4 2 104 9" xfId="45363" xr:uid="{00000000-0005-0000-0000-000086170000}"/>
    <cellStyle name="Обычный 4 2 105" xfId="2671" xr:uid="{00000000-0005-0000-0000-000087170000}"/>
    <cellStyle name="Обычный 4 2 105 10" xfId="50735" xr:uid="{00000000-0005-0000-0000-000088170000}"/>
    <cellStyle name="Обычный 4 2 105 2" xfId="8014" xr:uid="{00000000-0005-0000-0000-000089170000}"/>
    <cellStyle name="Обычный 4 2 105 2 2" xfId="56076" xr:uid="{00000000-0005-0000-0000-00008A170000}"/>
    <cellStyle name="Обычный 4 2 105 3" xfId="13355" xr:uid="{00000000-0005-0000-0000-00008B170000}"/>
    <cellStyle name="Обычный 4 2 105 4" xfId="18695" xr:uid="{00000000-0005-0000-0000-00008C170000}"/>
    <cellStyle name="Обычный 4 2 105 5" xfId="24035" xr:uid="{00000000-0005-0000-0000-00008D170000}"/>
    <cellStyle name="Обычный 4 2 105 6" xfId="29375" xr:uid="{00000000-0005-0000-0000-00008E170000}"/>
    <cellStyle name="Обычный 4 2 105 7" xfId="34715" xr:uid="{00000000-0005-0000-0000-00008F170000}"/>
    <cellStyle name="Обычный 4 2 105 8" xfId="40055" xr:uid="{00000000-0005-0000-0000-000090170000}"/>
    <cellStyle name="Обычный 4 2 105 9" xfId="45395" xr:uid="{00000000-0005-0000-0000-000091170000}"/>
    <cellStyle name="Обычный 4 2 106" xfId="2703" xr:uid="{00000000-0005-0000-0000-000092170000}"/>
    <cellStyle name="Обычный 4 2 106 10" xfId="50767" xr:uid="{00000000-0005-0000-0000-000093170000}"/>
    <cellStyle name="Обычный 4 2 106 2" xfId="8046" xr:uid="{00000000-0005-0000-0000-000094170000}"/>
    <cellStyle name="Обычный 4 2 106 2 2" xfId="56108" xr:uid="{00000000-0005-0000-0000-000095170000}"/>
    <cellStyle name="Обычный 4 2 106 3" xfId="13387" xr:uid="{00000000-0005-0000-0000-000096170000}"/>
    <cellStyle name="Обычный 4 2 106 4" xfId="18727" xr:uid="{00000000-0005-0000-0000-000097170000}"/>
    <cellStyle name="Обычный 4 2 106 5" xfId="24067" xr:uid="{00000000-0005-0000-0000-000098170000}"/>
    <cellStyle name="Обычный 4 2 106 6" xfId="29407" xr:uid="{00000000-0005-0000-0000-000099170000}"/>
    <cellStyle name="Обычный 4 2 106 7" xfId="34747" xr:uid="{00000000-0005-0000-0000-00009A170000}"/>
    <cellStyle name="Обычный 4 2 106 8" xfId="40087" xr:uid="{00000000-0005-0000-0000-00009B170000}"/>
    <cellStyle name="Обычный 4 2 106 9" xfId="45427" xr:uid="{00000000-0005-0000-0000-00009C170000}"/>
    <cellStyle name="Обычный 4 2 107" xfId="2735" xr:uid="{00000000-0005-0000-0000-00009D170000}"/>
    <cellStyle name="Обычный 4 2 107 10" xfId="50799" xr:uid="{00000000-0005-0000-0000-00009E170000}"/>
    <cellStyle name="Обычный 4 2 107 2" xfId="8078" xr:uid="{00000000-0005-0000-0000-00009F170000}"/>
    <cellStyle name="Обычный 4 2 107 2 2" xfId="56140" xr:uid="{00000000-0005-0000-0000-0000A0170000}"/>
    <cellStyle name="Обычный 4 2 107 3" xfId="13419" xr:uid="{00000000-0005-0000-0000-0000A1170000}"/>
    <cellStyle name="Обычный 4 2 107 4" xfId="18759" xr:uid="{00000000-0005-0000-0000-0000A2170000}"/>
    <cellStyle name="Обычный 4 2 107 5" xfId="24099" xr:uid="{00000000-0005-0000-0000-0000A3170000}"/>
    <cellStyle name="Обычный 4 2 107 6" xfId="29439" xr:uid="{00000000-0005-0000-0000-0000A4170000}"/>
    <cellStyle name="Обычный 4 2 107 7" xfId="34779" xr:uid="{00000000-0005-0000-0000-0000A5170000}"/>
    <cellStyle name="Обычный 4 2 107 8" xfId="40119" xr:uid="{00000000-0005-0000-0000-0000A6170000}"/>
    <cellStyle name="Обычный 4 2 107 9" xfId="45459" xr:uid="{00000000-0005-0000-0000-0000A7170000}"/>
    <cellStyle name="Обычный 4 2 108" xfId="2769" xr:uid="{00000000-0005-0000-0000-0000A8170000}"/>
    <cellStyle name="Обычный 4 2 108 10" xfId="50833" xr:uid="{00000000-0005-0000-0000-0000A9170000}"/>
    <cellStyle name="Обычный 4 2 108 2" xfId="8112" xr:uid="{00000000-0005-0000-0000-0000AA170000}"/>
    <cellStyle name="Обычный 4 2 108 2 2" xfId="56174" xr:uid="{00000000-0005-0000-0000-0000AB170000}"/>
    <cellStyle name="Обычный 4 2 108 3" xfId="13453" xr:uid="{00000000-0005-0000-0000-0000AC170000}"/>
    <cellStyle name="Обычный 4 2 108 4" xfId="18793" xr:uid="{00000000-0005-0000-0000-0000AD170000}"/>
    <cellStyle name="Обычный 4 2 108 5" xfId="24133" xr:uid="{00000000-0005-0000-0000-0000AE170000}"/>
    <cellStyle name="Обычный 4 2 108 6" xfId="29473" xr:uid="{00000000-0005-0000-0000-0000AF170000}"/>
    <cellStyle name="Обычный 4 2 108 7" xfId="34813" xr:uid="{00000000-0005-0000-0000-0000B0170000}"/>
    <cellStyle name="Обычный 4 2 108 8" xfId="40153" xr:uid="{00000000-0005-0000-0000-0000B1170000}"/>
    <cellStyle name="Обычный 4 2 108 9" xfId="45493" xr:uid="{00000000-0005-0000-0000-0000B2170000}"/>
    <cellStyle name="Обычный 4 2 109" xfId="2801" xr:uid="{00000000-0005-0000-0000-0000B3170000}"/>
    <cellStyle name="Обычный 4 2 109 10" xfId="50865" xr:uid="{00000000-0005-0000-0000-0000B4170000}"/>
    <cellStyle name="Обычный 4 2 109 2" xfId="8144" xr:uid="{00000000-0005-0000-0000-0000B5170000}"/>
    <cellStyle name="Обычный 4 2 109 2 2" xfId="56206" xr:uid="{00000000-0005-0000-0000-0000B6170000}"/>
    <cellStyle name="Обычный 4 2 109 3" xfId="13485" xr:uid="{00000000-0005-0000-0000-0000B7170000}"/>
    <cellStyle name="Обычный 4 2 109 4" xfId="18825" xr:uid="{00000000-0005-0000-0000-0000B8170000}"/>
    <cellStyle name="Обычный 4 2 109 5" xfId="24165" xr:uid="{00000000-0005-0000-0000-0000B9170000}"/>
    <cellStyle name="Обычный 4 2 109 6" xfId="29505" xr:uid="{00000000-0005-0000-0000-0000BA170000}"/>
    <cellStyle name="Обычный 4 2 109 7" xfId="34845" xr:uid="{00000000-0005-0000-0000-0000BB170000}"/>
    <cellStyle name="Обычный 4 2 109 8" xfId="40185" xr:uid="{00000000-0005-0000-0000-0000BC170000}"/>
    <cellStyle name="Обычный 4 2 109 9" xfId="45525" xr:uid="{00000000-0005-0000-0000-0000BD170000}"/>
    <cellStyle name="Обычный 4 2 11" xfId="186" xr:uid="{00000000-0005-0000-0000-0000BE170000}"/>
    <cellStyle name="Обычный 4 2 11 10" xfId="42908" xr:uid="{00000000-0005-0000-0000-0000BF170000}"/>
    <cellStyle name="Обычный 4 2 11 11" xfId="48248" xr:uid="{00000000-0005-0000-0000-0000C0170000}"/>
    <cellStyle name="Обычный 4 2 11 2" xfId="653" xr:uid="{00000000-0005-0000-0000-0000C1170000}"/>
    <cellStyle name="Обычный 4 2 11 2 10" xfId="48715" xr:uid="{00000000-0005-0000-0000-0000C2170000}"/>
    <cellStyle name="Обычный 4 2 11 2 2" xfId="5994" xr:uid="{00000000-0005-0000-0000-0000C3170000}"/>
    <cellStyle name="Обычный 4 2 11 2 2 2" xfId="54056" xr:uid="{00000000-0005-0000-0000-0000C4170000}"/>
    <cellStyle name="Обычный 4 2 11 2 3" xfId="11335" xr:uid="{00000000-0005-0000-0000-0000C5170000}"/>
    <cellStyle name="Обычный 4 2 11 2 4" xfId="16675" xr:uid="{00000000-0005-0000-0000-0000C6170000}"/>
    <cellStyle name="Обычный 4 2 11 2 5" xfId="22015" xr:uid="{00000000-0005-0000-0000-0000C7170000}"/>
    <cellStyle name="Обычный 4 2 11 2 6" xfId="27355" xr:uid="{00000000-0005-0000-0000-0000C8170000}"/>
    <cellStyle name="Обычный 4 2 11 2 7" xfId="32695" xr:uid="{00000000-0005-0000-0000-0000C9170000}"/>
    <cellStyle name="Обычный 4 2 11 2 8" xfId="38035" xr:uid="{00000000-0005-0000-0000-0000CA170000}"/>
    <cellStyle name="Обычный 4 2 11 2 9" xfId="43375" xr:uid="{00000000-0005-0000-0000-0000CB170000}"/>
    <cellStyle name="Обычный 4 2 11 3" xfId="5527" xr:uid="{00000000-0005-0000-0000-0000CC170000}"/>
    <cellStyle name="Обычный 4 2 11 3 2" xfId="53589" xr:uid="{00000000-0005-0000-0000-0000CD170000}"/>
    <cellStyle name="Обычный 4 2 11 4" xfId="10868" xr:uid="{00000000-0005-0000-0000-0000CE170000}"/>
    <cellStyle name="Обычный 4 2 11 5" xfId="16208" xr:uid="{00000000-0005-0000-0000-0000CF170000}"/>
    <cellStyle name="Обычный 4 2 11 6" xfId="21548" xr:uid="{00000000-0005-0000-0000-0000D0170000}"/>
    <cellStyle name="Обычный 4 2 11 7" xfId="26888" xr:uid="{00000000-0005-0000-0000-0000D1170000}"/>
    <cellStyle name="Обычный 4 2 11 8" xfId="32228" xr:uid="{00000000-0005-0000-0000-0000D2170000}"/>
    <cellStyle name="Обычный 4 2 11 9" xfId="37568" xr:uid="{00000000-0005-0000-0000-0000D3170000}"/>
    <cellStyle name="Обычный 4 2 110" xfId="2833" xr:uid="{00000000-0005-0000-0000-0000D4170000}"/>
    <cellStyle name="Обычный 4 2 110 10" xfId="50897" xr:uid="{00000000-0005-0000-0000-0000D5170000}"/>
    <cellStyle name="Обычный 4 2 110 2" xfId="8176" xr:uid="{00000000-0005-0000-0000-0000D6170000}"/>
    <cellStyle name="Обычный 4 2 110 2 2" xfId="56238" xr:uid="{00000000-0005-0000-0000-0000D7170000}"/>
    <cellStyle name="Обычный 4 2 110 3" xfId="13517" xr:uid="{00000000-0005-0000-0000-0000D8170000}"/>
    <cellStyle name="Обычный 4 2 110 4" xfId="18857" xr:uid="{00000000-0005-0000-0000-0000D9170000}"/>
    <cellStyle name="Обычный 4 2 110 5" xfId="24197" xr:uid="{00000000-0005-0000-0000-0000DA170000}"/>
    <cellStyle name="Обычный 4 2 110 6" xfId="29537" xr:uid="{00000000-0005-0000-0000-0000DB170000}"/>
    <cellStyle name="Обычный 4 2 110 7" xfId="34877" xr:uid="{00000000-0005-0000-0000-0000DC170000}"/>
    <cellStyle name="Обычный 4 2 110 8" xfId="40217" xr:uid="{00000000-0005-0000-0000-0000DD170000}"/>
    <cellStyle name="Обычный 4 2 110 9" xfId="45557" xr:uid="{00000000-0005-0000-0000-0000DE170000}"/>
    <cellStyle name="Обычный 4 2 111" xfId="2865" xr:uid="{00000000-0005-0000-0000-0000DF170000}"/>
    <cellStyle name="Обычный 4 2 111 10" xfId="50929" xr:uid="{00000000-0005-0000-0000-0000E0170000}"/>
    <cellStyle name="Обычный 4 2 111 2" xfId="8208" xr:uid="{00000000-0005-0000-0000-0000E1170000}"/>
    <cellStyle name="Обычный 4 2 111 2 2" xfId="56270" xr:uid="{00000000-0005-0000-0000-0000E2170000}"/>
    <cellStyle name="Обычный 4 2 111 3" xfId="13549" xr:uid="{00000000-0005-0000-0000-0000E3170000}"/>
    <cellStyle name="Обычный 4 2 111 4" xfId="18889" xr:uid="{00000000-0005-0000-0000-0000E4170000}"/>
    <cellStyle name="Обычный 4 2 111 5" xfId="24229" xr:uid="{00000000-0005-0000-0000-0000E5170000}"/>
    <cellStyle name="Обычный 4 2 111 6" xfId="29569" xr:uid="{00000000-0005-0000-0000-0000E6170000}"/>
    <cellStyle name="Обычный 4 2 111 7" xfId="34909" xr:uid="{00000000-0005-0000-0000-0000E7170000}"/>
    <cellStyle name="Обычный 4 2 111 8" xfId="40249" xr:uid="{00000000-0005-0000-0000-0000E8170000}"/>
    <cellStyle name="Обычный 4 2 111 9" xfId="45589" xr:uid="{00000000-0005-0000-0000-0000E9170000}"/>
    <cellStyle name="Обычный 4 2 112" xfId="2897" xr:uid="{00000000-0005-0000-0000-0000EA170000}"/>
    <cellStyle name="Обычный 4 2 112 10" xfId="50961" xr:uid="{00000000-0005-0000-0000-0000EB170000}"/>
    <cellStyle name="Обычный 4 2 112 2" xfId="8240" xr:uid="{00000000-0005-0000-0000-0000EC170000}"/>
    <cellStyle name="Обычный 4 2 112 2 2" xfId="56302" xr:uid="{00000000-0005-0000-0000-0000ED170000}"/>
    <cellStyle name="Обычный 4 2 112 3" xfId="13581" xr:uid="{00000000-0005-0000-0000-0000EE170000}"/>
    <cellStyle name="Обычный 4 2 112 4" xfId="18921" xr:uid="{00000000-0005-0000-0000-0000EF170000}"/>
    <cellStyle name="Обычный 4 2 112 5" xfId="24261" xr:uid="{00000000-0005-0000-0000-0000F0170000}"/>
    <cellStyle name="Обычный 4 2 112 6" xfId="29601" xr:uid="{00000000-0005-0000-0000-0000F1170000}"/>
    <cellStyle name="Обычный 4 2 112 7" xfId="34941" xr:uid="{00000000-0005-0000-0000-0000F2170000}"/>
    <cellStyle name="Обычный 4 2 112 8" xfId="40281" xr:uid="{00000000-0005-0000-0000-0000F3170000}"/>
    <cellStyle name="Обычный 4 2 112 9" xfId="45621" xr:uid="{00000000-0005-0000-0000-0000F4170000}"/>
    <cellStyle name="Обычный 4 2 113" xfId="2929" xr:uid="{00000000-0005-0000-0000-0000F5170000}"/>
    <cellStyle name="Обычный 4 2 113 10" xfId="50993" xr:uid="{00000000-0005-0000-0000-0000F6170000}"/>
    <cellStyle name="Обычный 4 2 113 2" xfId="8272" xr:uid="{00000000-0005-0000-0000-0000F7170000}"/>
    <cellStyle name="Обычный 4 2 113 2 2" xfId="56334" xr:uid="{00000000-0005-0000-0000-0000F8170000}"/>
    <cellStyle name="Обычный 4 2 113 3" xfId="13613" xr:uid="{00000000-0005-0000-0000-0000F9170000}"/>
    <cellStyle name="Обычный 4 2 113 4" xfId="18953" xr:uid="{00000000-0005-0000-0000-0000FA170000}"/>
    <cellStyle name="Обычный 4 2 113 5" xfId="24293" xr:uid="{00000000-0005-0000-0000-0000FB170000}"/>
    <cellStyle name="Обычный 4 2 113 6" xfId="29633" xr:uid="{00000000-0005-0000-0000-0000FC170000}"/>
    <cellStyle name="Обычный 4 2 113 7" xfId="34973" xr:uid="{00000000-0005-0000-0000-0000FD170000}"/>
    <cellStyle name="Обычный 4 2 113 8" xfId="40313" xr:uid="{00000000-0005-0000-0000-0000FE170000}"/>
    <cellStyle name="Обычный 4 2 113 9" xfId="45653" xr:uid="{00000000-0005-0000-0000-0000FF170000}"/>
    <cellStyle name="Обычный 4 2 114" xfId="2961" xr:uid="{00000000-0005-0000-0000-000000180000}"/>
    <cellStyle name="Обычный 4 2 114 10" xfId="51025" xr:uid="{00000000-0005-0000-0000-000001180000}"/>
    <cellStyle name="Обычный 4 2 114 2" xfId="8304" xr:uid="{00000000-0005-0000-0000-000002180000}"/>
    <cellStyle name="Обычный 4 2 114 2 2" xfId="56366" xr:uid="{00000000-0005-0000-0000-000003180000}"/>
    <cellStyle name="Обычный 4 2 114 3" xfId="13645" xr:uid="{00000000-0005-0000-0000-000004180000}"/>
    <cellStyle name="Обычный 4 2 114 4" xfId="18985" xr:uid="{00000000-0005-0000-0000-000005180000}"/>
    <cellStyle name="Обычный 4 2 114 5" xfId="24325" xr:uid="{00000000-0005-0000-0000-000006180000}"/>
    <cellStyle name="Обычный 4 2 114 6" xfId="29665" xr:uid="{00000000-0005-0000-0000-000007180000}"/>
    <cellStyle name="Обычный 4 2 114 7" xfId="35005" xr:uid="{00000000-0005-0000-0000-000008180000}"/>
    <cellStyle name="Обычный 4 2 114 8" xfId="40345" xr:uid="{00000000-0005-0000-0000-000009180000}"/>
    <cellStyle name="Обычный 4 2 114 9" xfId="45685" xr:uid="{00000000-0005-0000-0000-00000A180000}"/>
    <cellStyle name="Обычный 4 2 115" xfId="2993" xr:uid="{00000000-0005-0000-0000-00000B180000}"/>
    <cellStyle name="Обычный 4 2 115 10" xfId="51057" xr:uid="{00000000-0005-0000-0000-00000C180000}"/>
    <cellStyle name="Обычный 4 2 115 2" xfId="8336" xr:uid="{00000000-0005-0000-0000-00000D180000}"/>
    <cellStyle name="Обычный 4 2 115 2 2" xfId="56398" xr:uid="{00000000-0005-0000-0000-00000E180000}"/>
    <cellStyle name="Обычный 4 2 115 3" xfId="13677" xr:uid="{00000000-0005-0000-0000-00000F180000}"/>
    <cellStyle name="Обычный 4 2 115 4" xfId="19017" xr:uid="{00000000-0005-0000-0000-000010180000}"/>
    <cellStyle name="Обычный 4 2 115 5" xfId="24357" xr:uid="{00000000-0005-0000-0000-000011180000}"/>
    <cellStyle name="Обычный 4 2 115 6" xfId="29697" xr:uid="{00000000-0005-0000-0000-000012180000}"/>
    <cellStyle name="Обычный 4 2 115 7" xfId="35037" xr:uid="{00000000-0005-0000-0000-000013180000}"/>
    <cellStyle name="Обычный 4 2 115 8" xfId="40377" xr:uid="{00000000-0005-0000-0000-000014180000}"/>
    <cellStyle name="Обычный 4 2 115 9" xfId="45717" xr:uid="{00000000-0005-0000-0000-000015180000}"/>
    <cellStyle name="Обычный 4 2 116" xfId="3025" xr:uid="{00000000-0005-0000-0000-000016180000}"/>
    <cellStyle name="Обычный 4 2 116 10" xfId="51089" xr:uid="{00000000-0005-0000-0000-000017180000}"/>
    <cellStyle name="Обычный 4 2 116 2" xfId="8368" xr:uid="{00000000-0005-0000-0000-000018180000}"/>
    <cellStyle name="Обычный 4 2 116 2 2" xfId="56430" xr:uid="{00000000-0005-0000-0000-000019180000}"/>
    <cellStyle name="Обычный 4 2 116 3" xfId="13709" xr:uid="{00000000-0005-0000-0000-00001A180000}"/>
    <cellStyle name="Обычный 4 2 116 4" xfId="19049" xr:uid="{00000000-0005-0000-0000-00001B180000}"/>
    <cellStyle name="Обычный 4 2 116 5" xfId="24389" xr:uid="{00000000-0005-0000-0000-00001C180000}"/>
    <cellStyle name="Обычный 4 2 116 6" xfId="29729" xr:uid="{00000000-0005-0000-0000-00001D180000}"/>
    <cellStyle name="Обычный 4 2 116 7" xfId="35069" xr:uid="{00000000-0005-0000-0000-00001E180000}"/>
    <cellStyle name="Обычный 4 2 116 8" xfId="40409" xr:uid="{00000000-0005-0000-0000-00001F180000}"/>
    <cellStyle name="Обычный 4 2 116 9" xfId="45749" xr:uid="{00000000-0005-0000-0000-000020180000}"/>
    <cellStyle name="Обычный 4 2 117" xfId="3057" xr:uid="{00000000-0005-0000-0000-000021180000}"/>
    <cellStyle name="Обычный 4 2 117 10" xfId="51121" xr:uid="{00000000-0005-0000-0000-000022180000}"/>
    <cellStyle name="Обычный 4 2 117 2" xfId="8400" xr:uid="{00000000-0005-0000-0000-000023180000}"/>
    <cellStyle name="Обычный 4 2 117 2 2" xfId="56462" xr:uid="{00000000-0005-0000-0000-000024180000}"/>
    <cellStyle name="Обычный 4 2 117 3" xfId="13741" xr:uid="{00000000-0005-0000-0000-000025180000}"/>
    <cellStyle name="Обычный 4 2 117 4" xfId="19081" xr:uid="{00000000-0005-0000-0000-000026180000}"/>
    <cellStyle name="Обычный 4 2 117 5" xfId="24421" xr:uid="{00000000-0005-0000-0000-000027180000}"/>
    <cellStyle name="Обычный 4 2 117 6" xfId="29761" xr:uid="{00000000-0005-0000-0000-000028180000}"/>
    <cellStyle name="Обычный 4 2 117 7" xfId="35101" xr:uid="{00000000-0005-0000-0000-000029180000}"/>
    <cellStyle name="Обычный 4 2 117 8" xfId="40441" xr:uid="{00000000-0005-0000-0000-00002A180000}"/>
    <cellStyle name="Обычный 4 2 117 9" xfId="45781" xr:uid="{00000000-0005-0000-0000-00002B180000}"/>
    <cellStyle name="Обычный 4 2 118" xfId="3089" xr:uid="{00000000-0005-0000-0000-00002C180000}"/>
    <cellStyle name="Обычный 4 2 118 10" xfId="51153" xr:uid="{00000000-0005-0000-0000-00002D180000}"/>
    <cellStyle name="Обычный 4 2 118 2" xfId="8432" xr:uid="{00000000-0005-0000-0000-00002E180000}"/>
    <cellStyle name="Обычный 4 2 118 2 2" xfId="56494" xr:uid="{00000000-0005-0000-0000-00002F180000}"/>
    <cellStyle name="Обычный 4 2 118 3" xfId="13773" xr:uid="{00000000-0005-0000-0000-000030180000}"/>
    <cellStyle name="Обычный 4 2 118 4" xfId="19113" xr:uid="{00000000-0005-0000-0000-000031180000}"/>
    <cellStyle name="Обычный 4 2 118 5" xfId="24453" xr:uid="{00000000-0005-0000-0000-000032180000}"/>
    <cellStyle name="Обычный 4 2 118 6" xfId="29793" xr:uid="{00000000-0005-0000-0000-000033180000}"/>
    <cellStyle name="Обычный 4 2 118 7" xfId="35133" xr:uid="{00000000-0005-0000-0000-000034180000}"/>
    <cellStyle name="Обычный 4 2 118 8" xfId="40473" xr:uid="{00000000-0005-0000-0000-000035180000}"/>
    <cellStyle name="Обычный 4 2 118 9" xfId="45813" xr:uid="{00000000-0005-0000-0000-000036180000}"/>
    <cellStyle name="Обычный 4 2 119" xfId="3122" xr:uid="{00000000-0005-0000-0000-000037180000}"/>
    <cellStyle name="Обычный 4 2 119 10" xfId="51185" xr:uid="{00000000-0005-0000-0000-000038180000}"/>
    <cellStyle name="Обычный 4 2 119 2" xfId="8465" xr:uid="{00000000-0005-0000-0000-000039180000}"/>
    <cellStyle name="Обычный 4 2 119 2 2" xfId="56526" xr:uid="{00000000-0005-0000-0000-00003A180000}"/>
    <cellStyle name="Обычный 4 2 119 3" xfId="13805" xr:uid="{00000000-0005-0000-0000-00003B180000}"/>
    <cellStyle name="Обычный 4 2 119 4" xfId="19145" xr:uid="{00000000-0005-0000-0000-00003C180000}"/>
    <cellStyle name="Обычный 4 2 119 5" xfId="24485" xr:uid="{00000000-0005-0000-0000-00003D180000}"/>
    <cellStyle name="Обычный 4 2 119 6" xfId="29825" xr:uid="{00000000-0005-0000-0000-00003E180000}"/>
    <cellStyle name="Обычный 4 2 119 7" xfId="35165" xr:uid="{00000000-0005-0000-0000-00003F180000}"/>
    <cellStyle name="Обычный 4 2 119 8" xfId="40505" xr:uid="{00000000-0005-0000-0000-000040180000}"/>
    <cellStyle name="Обычный 4 2 119 9" xfId="45845" xr:uid="{00000000-0005-0000-0000-000041180000}"/>
    <cellStyle name="Обычный 4 2 12" xfId="196" xr:uid="{00000000-0005-0000-0000-000042180000}"/>
    <cellStyle name="Обычный 4 2 12 10" xfId="42918" xr:uid="{00000000-0005-0000-0000-000043180000}"/>
    <cellStyle name="Обычный 4 2 12 11" xfId="48258" xr:uid="{00000000-0005-0000-0000-000044180000}"/>
    <cellStyle name="Обычный 4 2 12 2" xfId="663" xr:uid="{00000000-0005-0000-0000-000045180000}"/>
    <cellStyle name="Обычный 4 2 12 2 10" xfId="48725" xr:uid="{00000000-0005-0000-0000-000046180000}"/>
    <cellStyle name="Обычный 4 2 12 2 2" xfId="6004" xr:uid="{00000000-0005-0000-0000-000047180000}"/>
    <cellStyle name="Обычный 4 2 12 2 2 2" xfId="54066" xr:uid="{00000000-0005-0000-0000-000048180000}"/>
    <cellStyle name="Обычный 4 2 12 2 3" xfId="11345" xr:uid="{00000000-0005-0000-0000-000049180000}"/>
    <cellStyle name="Обычный 4 2 12 2 4" xfId="16685" xr:uid="{00000000-0005-0000-0000-00004A180000}"/>
    <cellStyle name="Обычный 4 2 12 2 5" xfId="22025" xr:uid="{00000000-0005-0000-0000-00004B180000}"/>
    <cellStyle name="Обычный 4 2 12 2 6" xfId="27365" xr:uid="{00000000-0005-0000-0000-00004C180000}"/>
    <cellStyle name="Обычный 4 2 12 2 7" xfId="32705" xr:uid="{00000000-0005-0000-0000-00004D180000}"/>
    <cellStyle name="Обычный 4 2 12 2 8" xfId="38045" xr:uid="{00000000-0005-0000-0000-00004E180000}"/>
    <cellStyle name="Обычный 4 2 12 2 9" xfId="43385" xr:uid="{00000000-0005-0000-0000-00004F180000}"/>
    <cellStyle name="Обычный 4 2 12 3" xfId="5537" xr:uid="{00000000-0005-0000-0000-000050180000}"/>
    <cellStyle name="Обычный 4 2 12 3 2" xfId="53599" xr:uid="{00000000-0005-0000-0000-000051180000}"/>
    <cellStyle name="Обычный 4 2 12 4" xfId="10878" xr:uid="{00000000-0005-0000-0000-000052180000}"/>
    <cellStyle name="Обычный 4 2 12 5" xfId="16218" xr:uid="{00000000-0005-0000-0000-000053180000}"/>
    <cellStyle name="Обычный 4 2 12 6" xfId="21558" xr:uid="{00000000-0005-0000-0000-000054180000}"/>
    <cellStyle name="Обычный 4 2 12 7" xfId="26898" xr:uid="{00000000-0005-0000-0000-000055180000}"/>
    <cellStyle name="Обычный 4 2 12 8" xfId="32238" xr:uid="{00000000-0005-0000-0000-000056180000}"/>
    <cellStyle name="Обычный 4 2 12 9" xfId="37578" xr:uid="{00000000-0005-0000-0000-000057180000}"/>
    <cellStyle name="Обычный 4 2 120" xfId="3154" xr:uid="{00000000-0005-0000-0000-000058180000}"/>
    <cellStyle name="Обычный 4 2 120 10" xfId="51217" xr:uid="{00000000-0005-0000-0000-000059180000}"/>
    <cellStyle name="Обычный 4 2 120 2" xfId="8497" xr:uid="{00000000-0005-0000-0000-00005A180000}"/>
    <cellStyle name="Обычный 4 2 120 2 2" xfId="56558" xr:uid="{00000000-0005-0000-0000-00005B180000}"/>
    <cellStyle name="Обычный 4 2 120 3" xfId="13837" xr:uid="{00000000-0005-0000-0000-00005C180000}"/>
    <cellStyle name="Обычный 4 2 120 4" xfId="19177" xr:uid="{00000000-0005-0000-0000-00005D180000}"/>
    <cellStyle name="Обычный 4 2 120 5" xfId="24517" xr:uid="{00000000-0005-0000-0000-00005E180000}"/>
    <cellStyle name="Обычный 4 2 120 6" xfId="29857" xr:uid="{00000000-0005-0000-0000-00005F180000}"/>
    <cellStyle name="Обычный 4 2 120 7" xfId="35197" xr:uid="{00000000-0005-0000-0000-000060180000}"/>
    <cellStyle name="Обычный 4 2 120 8" xfId="40537" xr:uid="{00000000-0005-0000-0000-000061180000}"/>
    <cellStyle name="Обычный 4 2 120 9" xfId="45877" xr:uid="{00000000-0005-0000-0000-000062180000}"/>
    <cellStyle name="Обычный 4 2 121" xfId="3186" xr:uid="{00000000-0005-0000-0000-000063180000}"/>
    <cellStyle name="Обычный 4 2 121 10" xfId="51249" xr:uid="{00000000-0005-0000-0000-000064180000}"/>
    <cellStyle name="Обычный 4 2 121 2" xfId="8529" xr:uid="{00000000-0005-0000-0000-000065180000}"/>
    <cellStyle name="Обычный 4 2 121 2 2" xfId="56590" xr:uid="{00000000-0005-0000-0000-000066180000}"/>
    <cellStyle name="Обычный 4 2 121 3" xfId="13869" xr:uid="{00000000-0005-0000-0000-000067180000}"/>
    <cellStyle name="Обычный 4 2 121 4" xfId="19209" xr:uid="{00000000-0005-0000-0000-000068180000}"/>
    <cellStyle name="Обычный 4 2 121 5" xfId="24549" xr:uid="{00000000-0005-0000-0000-000069180000}"/>
    <cellStyle name="Обычный 4 2 121 6" xfId="29889" xr:uid="{00000000-0005-0000-0000-00006A180000}"/>
    <cellStyle name="Обычный 4 2 121 7" xfId="35229" xr:uid="{00000000-0005-0000-0000-00006B180000}"/>
    <cellStyle name="Обычный 4 2 121 8" xfId="40569" xr:uid="{00000000-0005-0000-0000-00006C180000}"/>
    <cellStyle name="Обычный 4 2 121 9" xfId="45909" xr:uid="{00000000-0005-0000-0000-00006D180000}"/>
    <cellStyle name="Обычный 4 2 122" xfId="3218" xr:uid="{00000000-0005-0000-0000-00006E180000}"/>
    <cellStyle name="Обычный 4 2 122 10" xfId="51281" xr:uid="{00000000-0005-0000-0000-00006F180000}"/>
    <cellStyle name="Обычный 4 2 122 2" xfId="8561" xr:uid="{00000000-0005-0000-0000-000070180000}"/>
    <cellStyle name="Обычный 4 2 122 2 2" xfId="56622" xr:uid="{00000000-0005-0000-0000-000071180000}"/>
    <cellStyle name="Обычный 4 2 122 3" xfId="13901" xr:uid="{00000000-0005-0000-0000-000072180000}"/>
    <cellStyle name="Обычный 4 2 122 4" xfId="19241" xr:uid="{00000000-0005-0000-0000-000073180000}"/>
    <cellStyle name="Обычный 4 2 122 5" xfId="24581" xr:uid="{00000000-0005-0000-0000-000074180000}"/>
    <cellStyle name="Обычный 4 2 122 6" xfId="29921" xr:uid="{00000000-0005-0000-0000-000075180000}"/>
    <cellStyle name="Обычный 4 2 122 7" xfId="35261" xr:uid="{00000000-0005-0000-0000-000076180000}"/>
    <cellStyle name="Обычный 4 2 122 8" xfId="40601" xr:uid="{00000000-0005-0000-0000-000077180000}"/>
    <cellStyle name="Обычный 4 2 122 9" xfId="45941" xr:uid="{00000000-0005-0000-0000-000078180000}"/>
    <cellStyle name="Обычный 4 2 123" xfId="3250" xr:uid="{00000000-0005-0000-0000-000079180000}"/>
    <cellStyle name="Обычный 4 2 123 10" xfId="51313" xr:uid="{00000000-0005-0000-0000-00007A180000}"/>
    <cellStyle name="Обычный 4 2 123 2" xfId="8593" xr:uid="{00000000-0005-0000-0000-00007B180000}"/>
    <cellStyle name="Обычный 4 2 123 2 2" xfId="56654" xr:uid="{00000000-0005-0000-0000-00007C180000}"/>
    <cellStyle name="Обычный 4 2 123 3" xfId="13933" xr:uid="{00000000-0005-0000-0000-00007D180000}"/>
    <cellStyle name="Обычный 4 2 123 4" xfId="19273" xr:uid="{00000000-0005-0000-0000-00007E180000}"/>
    <cellStyle name="Обычный 4 2 123 5" xfId="24613" xr:uid="{00000000-0005-0000-0000-00007F180000}"/>
    <cellStyle name="Обычный 4 2 123 6" xfId="29953" xr:uid="{00000000-0005-0000-0000-000080180000}"/>
    <cellStyle name="Обычный 4 2 123 7" xfId="35293" xr:uid="{00000000-0005-0000-0000-000081180000}"/>
    <cellStyle name="Обычный 4 2 123 8" xfId="40633" xr:uid="{00000000-0005-0000-0000-000082180000}"/>
    <cellStyle name="Обычный 4 2 123 9" xfId="45973" xr:uid="{00000000-0005-0000-0000-000083180000}"/>
    <cellStyle name="Обычный 4 2 124" xfId="3282" xr:uid="{00000000-0005-0000-0000-000084180000}"/>
    <cellStyle name="Обычный 4 2 124 10" xfId="51345" xr:uid="{00000000-0005-0000-0000-000085180000}"/>
    <cellStyle name="Обычный 4 2 124 2" xfId="8625" xr:uid="{00000000-0005-0000-0000-000086180000}"/>
    <cellStyle name="Обычный 4 2 124 2 2" xfId="56686" xr:uid="{00000000-0005-0000-0000-000087180000}"/>
    <cellStyle name="Обычный 4 2 124 3" xfId="13965" xr:uid="{00000000-0005-0000-0000-000088180000}"/>
    <cellStyle name="Обычный 4 2 124 4" xfId="19305" xr:uid="{00000000-0005-0000-0000-000089180000}"/>
    <cellStyle name="Обычный 4 2 124 5" xfId="24645" xr:uid="{00000000-0005-0000-0000-00008A180000}"/>
    <cellStyle name="Обычный 4 2 124 6" xfId="29985" xr:uid="{00000000-0005-0000-0000-00008B180000}"/>
    <cellStyle name="Обычный 4 2 124 7" xfId="35325" xr:uid="{00000000-0005-0000-0000-00008C180000}"/>
    <cellStyle name="Обычный 4 2 124 8" xfId="40665" xr:uid="{00000000-0005-0000-0000-00008D180000}"/>
    <cellStyle name="Обычный 4 2 124 9" xfId="46005" xr:uid="{00000000-0005-0000-0000-00008E180000}"/>
    <cellStyle name="Обычный 4 2 125" xfId="3314" xr:uid="{00000000-0005-0000-0000-00008F180000}"/>
    <cellStyle name="Обычный 4 2 125 10" xfId="51377" xr:uid="{00000000-0005-0000-0000-000090180000}"/>
    <cellStyle name="Обычный 4 2 125 2" xfId="8657" xr:uid="{00000000-0005-0000-0000-000091180000}"/>
    <cellStyle name="Обычный 4 2 125 2 2" xfId="56718" xr:uid="{00000000-0005-0000-0000-000092180000}"/>
    <cellStyle name="Обычный 4 2 125 3" xfId="13997" xr:uid="{00000000-0005-0000-0000-000093180000}"/>
    <cellStyle name="Обычный 4 2 125 4" xfId="19337" xr:uid="{00000000-0005-0000-0000-000094180000}"/>
    <cellStyle name="Обычный 4 2 125 5" xfId="24677" xr:uid="{00000000-0005-0000-0000-000095180000}"/>
    <cellStyle name="Обычный 4 2 125 6" xfId="30017" xr:uid="{00000000-0005-0000-0000-000096180000}"/>
    <cellStyle name="Обычный 4 2 125 7" xfId="35357" xr:uid="{00000000-0005-0000-0000-000097180000}"/>
    <cellStyle name="Обычный 4 2 125 8" xfId="40697" xr:uid="{00000000-0005-0000-0000-000098180000}"/>
    <cellStyle name="Обычный 4 2 125 9" xfId="46037" xr:uid="{00000000-0005-0000-0000-000099180000}"/>
    <cellStyle name="Обычный 4 2 126" xfId="3346" xr:uid="{00000000-0005-0000-0000-00009A180000}"/>
    <cellStyle name="Обычный 4 2 126 10" xfId="51409" xr:uid="{00000000-0005-0000-0000-00009B180000}"/>
    <cellStyle name="Обычный 4 2 126 2" xfId="8689" xr:uid="{00000000-0005-0000-0000-00009C180000}"/>
    <cellStyle name="Обычный 4 2 126 2 2" xfId="56750" xr:uid="{00000000-0005-0000-0000-00009D180000}"/>
    <cellStyle name="Обычный 4 2 126 3" xfId="14029" xr:uid="{00000000-0005-0000-0000-00009E180000}"/>
    <cellStyle name="Обычный 4 2 126 4" xfId="19369" xr:uid="{00000000-0005-0000-0000-00009F180000}"/>
    <cellStyle name="Обычный 4 2 126 5" xfId="24709" xr:uid="{00000000-0005-0000-0000-0000A0180000}"/>
    <cellStyle name="Обычный 4 2 126 6" xfId="30049" xr:uid="{00000000-0005-0000-0000-0000A1180000}"/>
    <cellStyle name="Обычный 4 2 126 7" xfId="35389" xr:uid="{00000000-0005-0000-0000-0000A2180000}"/>
    <cellStyle name="Обычный 4 2 126 8" xfId="40729" xr:uid="{00000000-0005-0000-0000-0000A3180000}"/>
    <cellStyle name="Обычный 4 2 126 9" xfId="46069" xr:uid="{00000000-0005-0000-0000-0000A4180000}"/>
    <cellStyle name="Обычный 4 2 127" xfId="3378" xr:uid="{00000000-0005-0000-0000-0000A5180000}"/>
    <cellStyle name="Обычный 4 2 127 10" xfId="51441" xr:uid="{00000000-0005-0000-0000-0000A6180000}"/>
    <cellStyle name="Обычный 4 2 127 2" xfId="8721" xr:uid="{00000000-0005-0000-0000-0000A7180000}"/>
    <cellStyle name="Обычный 4 2 127 2 2" xfId="56782" xr:uid="{00000000-0005-0000-0000-0000A8180000}"/>
    <cellStyle name="Обычный 4 2 127 3" xfId="14061" xr:uid="{00000000-0005-0000-0000-0000A9180000}"/>
    <cellStyle name="Обычный 4 2 127 4" xfId="19401" xr:uid="{00000000-0005-0000-0000-0000AA180000}"/>
    <cellStyle name="Обычный 4 2 127 5" xfId="24741" xr:uid="{00000000-0005-0000-0000-0000AB180000}"/>
    <cellStyle name="Обычный 4 2 127 6" xfId="30081" xr:uid="{00000000-0005-0000-0000-0000AC180000}"/>
    <cellStyle name="Обычный 4 2 127 7" xfId="35421" xr:uid="{00000000-0005-0000-0000-0000AD180000}"/>
    <cellStyle name="Обычный 4 2 127 8" xfId="40761" xr:uid="{00000000-0005-0000-0000-0000AE180000}"/>
    <cellStyle name="Обычный 4 2 127 9" xfId="46101" xr:uid="{00000000-0005-0000-0000-0000AF180000}"/>
    <cellStyle name="Обычный 4 2 128" xfId="3410" xr:uid="{00000000-0005-0000-0000-0000B0180000}"/>
    <cellStyle name="Обычный 4 2 128 10" xfId="51473" xr:uid="{00000000-0005-0000-0000-0000B1180000}"/>
    <cellStyle name="Обычный 4 2 128 2" xfId="8753" xr:uid="{00000000-0005-0000-0000-0000B2180000}"/>
    <cellStyle name="Обычный 4 2 128 2 2" xfId="56814" xr:uid="{00000000-0005-0000-0000-0000B3180000}"/>
    <cellStyle name="Обычный 4 2 128 3" xfId="14093" xr:uid="{00000000-0005-0000-0000-0000B4180000}"/>
    <cellStyle name="Обычный 4 2 128 4" xfId="19433" xr:uid="{00000000-0005-0000-0000-0000B5180000}"/>
    <cellStyle name="Обычный 4 2 128 5" xfId="24773" xr:uid="{00000000-0005-0000-0000-0000B6180000}"/>
    <cellStyle name="Обычный 4 2 128 6" xfId="30113" xr:uid="{00000000-0005-0000-0000-0000B7180000}"/>
    <cellStyle name="Обычный 4 2 128 7" xfId="35453" xr:uid="{00000000-0005-0000-0000-0000B8180000}"/>
    <cellStyle name="Обычный 4 2 128 8" xfId="40793" xr:uid="{00000000-0005-0000-0000-0000B9180000}"/>
    <cellStyle name="Обычный 4 2 128 9" xfId="46133" xr:uid="{00000000-0005-0000-0000-0000BA180000}"/>
    <cellStyle name="Обычный 4 2 129" xfId="3442" xr:uid="{00000000-0005-0000-0000-0000BB180000}"/>
    <cellStyle name="Обычный 4 2 129 10" xfId="51505" xr:uid="{00000000-0005-0000-0000-0000BC180000}"/>
    <cellStyle name="Обычный 4 2 129 2" xfId="8785" xr:uid="{00000000-0005-0000-0000-0000BD180000}"/>
    <cellStyle name="Обычный 4 2 129 2 2" xfId="56846" xr:uid="{00000000-0005-0000-0000-0000BE180000}"/>
    <cellStyle name="Обычный 4 2 129 3" xfId="14125" xr:uid="{00000000-0005-0000-0000-0000BF180000}"/>
    <cellStyle name="Обычный 4 2 129 4" xfId="19465" xr:uid="{00000000-0005-0000-0000-0000C0180000}"/>
    <cellStyle name="Обычный 4 2 129 5" xfId="24805" xr:uid="{00000000-0005-0000-0000-0000C1180000}"/>
    <cellStyle name="Обычный 4 2 129 6" xfId="30145" xr:uid="{00000000-0005-0000-0000-0000C2180000}"/>
    <cellStyle name="Обычный 4 2 129 7" xfId="35485" xr:uid="{00000000-0005-0000-0000-0000C3180000}"/>
    <cellStyle name="Обычный 4 2 129 8" xfId="40825" xr:uid="{00000000-0005-0000-0000-0000C4180000}"/>
    <cellStyle name="Обычный 4 2 129 9" xfId="46165" xr:uid="{00000000-0005-0000-0000-0000C5180000}"/>
    <cellStyle name="Обычный 4 2 13" xfId="206" xr:uid="{00000000-0005-0000-0000-0000C6180000}"/>
    <cellStyle name="Обычный 4 2 13 10" xfId="42928" xr:uid="{00000000-0005-0000-0000-0000C7180000}"/>
    <cellStyle name="Обычный 4 2 13 11" xfId="48268" xr:uid="{00000000-0005-0000-0000-0000C8180000}"/>
    <cellStyle name="Обычный 4 2 13 2" xfId="673" xr:uid="{00000000-0005-0000-0000-0000C9180000}"/>
    <cellStyle name="Обычный 4 2 13 2 10" xfId="48735" xr:uid="{00000000-0005-0000-0000-0000CA180000}"/>
    <cellStyle name="Обычный 4 2 13 2 2" xfId="6014" xr:uid="{00000000-0005-0000-0000-0000CB180000}"/>
    <cellStyle name="Обычный 4 2 13 2 2 2" xfId="54076" xr:uid="{00000000-0005-0000-0000-0000CC180000}"/>
    <cellStyle name="Обычный 4 2 13 2 3" xfId="11355" xr:uid="{00000000-0005-0000-0000-0000CD180000}"/>
    <cellStyle name="Обычный 4 2 13 2 4" xfId="16695" xr:uid="{00000000-0005-0000-0000-0000CE180000}"/>
    <cellStyle name="Обычный 4 2 13 2 5" xfId="22035" xr:uid="{00000000-0005-0000-0000-0000CF180000}"/>
    <cellStyle name="Обычный 4 2 13 2 6" xfId="27375" xr:uid="{00000000-0005-0000-0000-0000D0180000}"/>
    <cellStyle name="Обычный 4 2 13 2 7" xfId="32715" xr:uid="{00000000-0005-0000-0000-0000D1180000}"/>
    <cellStyle name="Обычный 4 2 13 2 8" xfId="38055" xr:uid="{00000000-0005-0000-0000-0000D2180000}"/>
    <cellStyle name="Обычный 4 2 13 2 9" xfId="43395" xr:uid="{00000000-0005-0000-0000-0000D3180000}"/>
    <cellStyle name="Обычный 4 2 13 3" xfId="5547" xr:uid="{00000000-0005-0000-0000-0000D4180000}"/>
    <cellStyle name="Обычный 4 2 13 3 2" xfId="53609" xr:uid="{00000000-0005-0000-0000-0000D5180000}"/>
    <cellStyle name="Обычный 4 2 13 4" xfId="10888" xr:uid="{00000000-0005-0000-0000-0000D6180000}"/>
    <cellStyle name="Обычный 4 2 13 5" xfId="16228" xr:uid="{00000000-0005-0000-0000-0000D7180000}"/>
    <cellStyle name="Обычный 4 2 13 6" xfId="21568" xr:uid="{00000000-0005-0000-0000-0000D8180000}"/>
    <cellStyle name="Обычный 4 2 13 7" xfId="26908" xr:uid="{00000000-0005-0000-0000-0000D9180000}"/>
    <cellStyle name="Обычный 4 2 13 8" xfId="32248" xr:uid="{00000000-0005-0000-0000-0000DA180000}"/>
    <cellStyle name="Обычный 4 2 13 9" xfId="37588" xr:uid="{00000000-0005-0000-0000-0000DB180000}"/>
    <cellStyle name="Обычный 4 2 130" xfId="3474" xr:uid="{00000000-0005-0000-0000-0000DC180000}"/>
    <cellStyle name="Обычный 4 2 130 10" xfId="51537" xr:uid="{00000000-0005-0000-0000-0000DD180000}"/>
    <cellStyle name="Обычный 4 2 130 2" xfId="8817" xr:uid="{00000000-0005-0000-0000-0000DE180000}"/>
    <cellStyle name="Обычный 4 2 130 2 2" xfId="56878" xr:uid="{00000000-0005-0000-0000-0000DF180000}"/>
    <cellStyle name="Обычный 4 2 130 3" xfId="14157" xr:uid="{00000000-0005-0000-0000-0000E0180000}"/>
    <cellStyle name="Обычный 4 2 130 4" xfId="19497" xr:uid="{00000000-0005-0000-0000-0000E1180000}"/>
    <cellStyle name="Обычный 4 2 130 5" xfId="24837" xr:uid="{00000000-0005-0000-0000-0000E2180000}"/>
    <cellStyle name="Обычный 4 2 130 6" xfId="30177" xr:uid="{00000000-0005-0000-0000-0000E3180000}"/>
    <cellStyle name="Обычный 4 2 130 7" xfId="35517" xr:uid="{00000000-0005-0000-0000-0000E4180000}"/>
    <cellStyle name="Обычный 4 2 130 8" xfId="40857" xr:uid="{00000000-0005-0000-0000-0000E5180000}"/>
    <cellStyle name="Обычный 4 2 130 9" xfId="46197" xr:uid="{00000000-0005-0000-0000-0000E6180000}"/>
    <cellStyle name="Обычный 4 2 131" xfId="3506" xr:uid="{00000000-0005-0000-0000-0000E7180000}"/>
    <cellStyle name="Обычный 4 2 131 10" xfId="51569" xr:uid="{00000000-0005-0000-0000-0000E8180000}"/>
    <cellStyle name="Обычный 4 2 131 2" xfId="8849" xr:uid="{00000000-0005-0000-0000-0000E9180000}"/>
    <cellStyle name="Обычный 4 2 131 2 2" xfId="56910" xr:uid="{00000000-0005-0000-0000-0000EA180000}"/>
    <cellStyle name="Обычный 4 2 131 3" xfId="14189" xr:uid="{00000000-0005-0000-0000-0000EB180000}"/>
    <cellStyle name="Обычный 4 2 131 4" xfId="19529" xr:uid="{00000000-0005-0000-0000-0000EC180000}"/>
    <cellStyle name="Обычный 4 2 131 5" xfId="24869" xr:uid="{00000000-0005-0000-0000-0000ED180000}"/>
    <cellStyle name="Обычный 4 2 131 6" xfId="30209" xr:uid="{00000000-0005-0000-0000-0000EE180000}"/>
    <cellStyle name="Обычный 4 2 131 7" xfId="35549" xr:uid="{00000000-0005-0000-0000-0000EF180000}"/>
    <cellStyle name="Обычный 4 2 131 8" xfId="40889" xr:uid="{00000000-0005-0000-0000-0000F0180000}"/>
    <cellStyle name="Обычный 4 2 131 9" xfId="46229" xr:uid="{00000000-0005-0000-0000-0000F1180000}"/>
    <cellStyle name="Обычный 4 2 132" xfId="3538" xr:uid="{00000000-0005-0000-0000-0000F2180000}"/>
    <cellStyle name="Обычный 4 2 132 10" xfId="51601" xr:uid="{00000000-0005-0000-0000-0000F3180000}"/>
    <cellStyle name="Обычный 4 2 132 2" xfId="8881" xr:uid="{00000000-0005-0000-0000-0000F4180000}"/>
    <cellStyle name="Обычный 4 2 132 2 2" xfId="56942" xr:uid="{00000000-0005-0000-0000-0000F5180000}"/>
    <cellStyle name="Обычный 4 2 132 3" xfId="14221" xr:uid="{00000000-0005-0000-0000-0000F6180000}"/>
    <cellStyle name="Обычный 4 2 132 4" xfId="19561" xr:uid="{00000000-0005-0000-0000-0000F7180000}"/>
    <cellStyle name="Обычный 4 2 132 5" xfId="24901" xr:uid="{00000000-0005-0000-0000-0000F8180000}"/>
    <cellStyle name="Обычный 4 2 132 6" xfId="30241" xr:uid="{00000000-0005-0000-0000-0000F9180000}"/>
    <cellStyle name="Обычный 4 2 132 7" xfId="35581" xr:uid="{00000000-0005-0000-0000-0000FA180000}"/>
    <cellStyle name="Обычный 4 2 132 8" xfId="40921" xr:uid="{00000000-0005-0000-0000-0000FB180000}"/>
    <cellStyle name="Обычный 4 2 132 9" xfId="46261" xr:uid="{00000000-0005-0000-0000-0000FC180000}"/>
    <cellStyle name="Обычный 4 2 133" xfId="3570" xr:uid="{00000000-0005-0000-0000-0000FD180000}"/>
    <cellStyle name="Обычный 4 2 133 10" xfId="51633" xr:uid="{00000000-0005-0000-0000-0000FE180000}"/>
    <cellStyle name="Обычный 4 2 133 2" xfId="8913" xr:uid="{00000000-0005-0000-0000-0000FF180000}"/>
    <cellStyle name="Обычный 4 2 133 2 2" xfId="56974" xr:uid="{00000000-0005-0000-0000-000000190000}"/>
    <cellStyle name="Обычный 4 2 133 3" xfId="14253" xr:uid="{00000000-0005-0000-0000-000001190000}"/>
    <cellStyle name="Обычный 4 2 133 4" xfId="19593" xr:uid="{00000000-0005-0000-0000-000002190000}"/>
    <cellStyle name="Обычный 4 2 133 5" xfId="24933" xr:uid="{00000000-0005-0000-0000-000003190000}"/>
    <cellStyle name="Обычный 4 2 133 6" xfId="30273" xr:uid="{00000000-0005-0000-0000-000004190000}"/>
    <cellStyle name="Обычный 4 2 133 7" xfId="35613" xr:uid="{00000000-0005-0000-0000-000005190000}"/>
    <cellStyle name="Обычный 4 2 133 8" xfId="40953" xr:uid="{00000000-0005-0000-0000-000006190000}"/>
    <cellStyle name="Обычный 4 2 133 9" xfId="46293" xr:uid="{00000000-0005-0000-0000-000007190000}"/>
    <cellStyle name="Обычный 4 2 134" xfId="3602" xr:uid="{00000000-0005-0000-0000-000008190000}"/>
    <cellStyle name="Обычный 4 2 134 10" xfId="51665" xr:uid="{00000000-0005-0000-0000-000009190000}"/>
    <cellStyle name="Обычный 4 2 134 2" xfId="8945" xr:uid="{00000000-0005-0000-0000-00000A190000}"/>
    <cellStyle name="Обычный 4 2 134 2 2" xfId="57006" xr:uid="{00000000-0005-0000-0000-00000B190000}"/>
    <cellStyle name="Обычный 4 2 134 3" xfId="14285" xr:uid="{00000000-0005-0000-0000-00000C190000}"/>
    <cellStyle name="Обычный 4 2 134 4" xfId="19625" xr:uid="{00000000-0005-0000-0000-00000D190000}"/>
    <cellStyle name="Обычный 4 2 134 5" xfId="24965" xr:uid="{00000000-0005-0000-0000-00000E190000}"/>
    <cellStyle name="Обычный 4 2 134 6" xfId="30305" xr:uid="{00000000-0005-0000-0000-00000F190000}"/>
    <cellStyle name="Обычный 4 2 134 7" xfId="35645" xr:uid="{00000000-0005-0000-0000-000010190000}"/>
    <cellStyle name="Обычный 4 2 134 8" xfId="40985" xr:uid="{00000000-0005-0000-0000-000011190000}"/>
    <cellStyle name="Обычный 4 2 134 9" xfId="46325" xr:uid="{00000000-0005-0000-0000-000012190000}"/>
    <cellStyle name="Обычный 4 2 135" xfId="3634" xr:uid="{00000000-0005-0000-0000-000013190000}"/>
    <cellStyle name="Обычный 4 2 135 10" xfId="51697" xr:uid="{00000000-0005-0000-0000-000014190000}"/>
    <cellStyle name="Обычный 4 2 135 2" xfId="8977" xr:uid="{00000000-0005-0000-0000-000015190000}"/>
    <cellStyle name="Обычный 4 2 135 2 2" xfId="57038" xr:uid="{00000000-0005-0000-0000-000016190000}"/>
    <cellStyle name="Обычный 4 2 135 3" xfId="14317" xr:uid="{00000000-0005-0000-0000-000017190000}"/>
    <cellStyle name="Обычный 4 2 135 4" xfId="19657" xr:uid="{00000000-0005-0000-0000-000018190000}"/>
    <cellStyle name="Обычный 4 2 135 5" xfId="24997" xr:uid="{00000000-0005-0000-0000-000019190000}"/>
    <cellStyle name="Обычный 4 2 135 6" xfId="30337" xr:uid="{00000000-0005-0000-0000-00001A190000}"/>
    <cellStyle name="Обычный 4 2 135 7" xfId="35677" xr:uid="{00000000-0005-0000-0000-00001B190000}"/>
    <cellStyle name="Обычный 4 2 135 8" xfId="41017" xr:uid="{00000000-0005-0000-0000-00001C190000}"/>
    <cellStyle name="Обычный 4 2 135 9" xfId="46357" xr:uid="{00000000-0005-0000-0000-00001D190000}"/>
    <cellStyle name="Обычный 4 2 136" xfId="3666" xr:uid="{00000000-0005-0000-0000-00001E190000}"/>
    <cellStyle name="Обычный 4 2 136 10" xfId="51729" xr:uid="{00000000-0005-0000-0000-00001F190000}"/>
    <cellStyle name="Обычный 4 2 136 2" xfId="9009" xr:uid="{00000000-0005-0000-0000-000020190000}"/>
    <cellStyle name="Обычный 4 2 136 2 2" xfId="57070" xr:uid="{00000000-0005-0000-0000-000021190000}"/>
    <cellStyle name="Обычный 4 2 136 3" xfId="14349" xr:uid="{00000000-0005-0000-0000-000022190000}"/>
    <cellStyle name="Обычный 4 2 136 4" xfId="19689" xr:uid="{00000000-0005-0000-0000-000023190000}"/>
    <cellStyle name="Обычный 4 2 136 5" xfId="25029" xr:uid="{00000000-0005-0000-0000-000024190000}"/>
    <cellStyle name="Обычный 4 2 136 6" xfId="30369" xr:uid="{00000000-0005-0000-0000-000025190000}"/>
    <cellStyle name="Обычный 4 2 136 7" xfId="35709" xr:uid="{00000000-0005-0000-0000-000026190000}"/>
    <cellStyle name="Обычный 4 2 136 8" xfId="41049" xr:uid="{00000000-0005-0000-0000-000027190000}"/>
    <cellStyle name="Обычный 4 2 136 9" xfId="46389" xr:uid="{00000000-0005-0000-0000-000028190000}"/>
    <cellStyle name="Обычный 4 2 137" xfId="3698" xr:uid="{00000000-0005-0000-0000-000029190000}"/>
    <cellStyle name="Обычный 4 2 137 10" xfId="51761" xr:uid="{00000000-0005-0000-0000-00002A190000}"/>
    <cellStyle name="Обычный 4 2 137 2" xfId="9041" xr:uid="{00000000-0005-0000-0000-00002B190000}"/>
    <cellStyle name="Обычный 4 2 137 2 2" xfId="57102" xr:uid="{00000000-0005-0000-0000-00002C190000}"/>
    <cellStyle name="Обычный 4 2 137 3" xfId="14381" xr:uid="{00000000-0005-0000-0000-00002D190000}"/>
    <cellStyle name="Обычный 4 2 137 4" xfId="19721" xr:uid="{00000000-0005-0000-0000-00002E190000}"/>
    <cellStyle name="Обычный 4 2 137 5" xfId="25061" xr:uid="{00000000-0005-0000-0000-00002F190000}"/>
    <cellStyle name="Обычный 4 2 137 6" xfId="30401" xr:uid="{00000000-0005-0000-0000-000030190000}"/>
    <cellStyle name="Обычный 4 2 137 7" xfId="35741" xr:uid="{00000000-0005-0000-0000-000031190000}"/>
    <cellStyle name="Обычный 4 2 137 8" xfId="41081" xr:uid="{00000000-0005-0000-0000-000032190000}"/>
    <cellStyle name="Обычный 4 2 137 9" xfId="46421" xr:uid="{00000000-0005-0000-0000-000033190000}"/>
    <cellStyle name="Обычный 4 2 138" xfId="3730" xr:uid="{00000000-0005-0000-0000-000034190000}"/>
    <cellStyle name="Обычный 4 2 138 10" xfId="51793" xr:uid="{00000000-0005-0000-0000-000035190000}"/>
    <cellStyle name="Обычный 4 2 138 2" xfId="9073" xr:uid="{00000000-0005-0000-0000-000036190000}"/>
    <cellStyle name="Обычный 4 2 138 2 2" xfId="57134" xr:uid="{00000000-0005-0000-0000-000037190000}"/>
    <cellStyle name="Обычный 4 2 138 3" xfId="14413" xr:uid="{00000000-0005-0000-0000-000038190000}"/>
    <cellStyle name="Обычный 4 2 138 4" xfId="19753" xr:uid="{00000000-0005-0000-0000-000039190000}"/>
    <cellStyle name="Обычный 4 2 138 5" xfId="25093" xr:uid="{00000000-0005-0000-0000-00003A190000}"/>
    <cellStyle name="Обычный 4 2 138 6" xfId="30433" xr:uid="{00000000-0005-0000-0000-00003B190000}"/>
    <cellStyle name="Обычный 4 2 138 7" xfId="35773" xr:uid="{00000000-0005-0000-0000-00003C190000}"/>
    <cellStyle name="Обычный 4 2 138 8" xfId="41113" xr:uid="{00000000-0005-0000-0000-00003D190000}"/>
    <cellStyle name="Обычный 4 2 138 9" xfId="46453" xr:uid="{00000000-0005-0000-0000-00003E190000}"/>
    <cellStyle name="Обычный 4 2 139" xfId="3762" xr:uid="{00000000-0005-0000-0000-00003F190000}"/>
    <cellStyle name="Обычный 4 2 139 10" xfId="51825" xr:uid="{00000000-0005-0000-0000-000040190000}"/>
    <cellStyle name="Обычный 4 2 139 2" xfId="9105" xr:uid="{00000000-0005-0000-0000-000041190000}"/>
    <cellStyle name="Обычный 4 2 139 2 2" xfId="57166" xr:uid="{00000000-0005-0000-0000-000042190000}"/>
    <cellStyle name="Обычный 4 2 139 3" xfId="14445" xr:uid="{00000000-0005-0000-0000-000043190000}"/>
    <cellStyle name="Обычный 4 2 139 4" xfId="19785" xr:uid="{00000000-0005-0000-0000-000044190000}"/>
    <cellStyle name="Обычный 4 2 139 5" xfId="25125" xr:uid="{00000000-0005-0000-0000-000045190000}"/>
    <cellStyle name="Обычный 4 2 139 6" xfId="30465" xr:uid="{00000000-0005-0000-0000-000046190000}"/>
    <cellStyle name="Обычный 4 2 139 7" xfId="35805" xr:uid="{00000000-0005-0000-0000-000047190000}"/>
    <cellStyle name="Обычный 4 2 139 8" xfId="41145" xr:uid="{00000000-0005-0000-0000-000048190000}"/>
    <cellStyle name="Обычный 4 2 139 9" xfId="46485" xr:uid="{00000000-0005-0000-0000-000049190000}"/>
    <cellStyle name="Обычный 4 2 14" xfId="216" xr:uid="{00000000-0005-0000-0000-00004A190000}"/>
    <cellStyle name="Обычный 4 2 14 10" xfId="42938" xr:uid="{00000000-0005-0000-0000-00004B190000}"/>
    <cellStyle name="Обычный 4 2 14 11" xfId="48278" xr:uid="{00000000-0005-0000-0000-00004C190000}"/>
    <cellStyle name="Обычный 4 2 14 2" xfId="683" xr:uid="{00000000-0005-0000-0000-00004D190000}"/>
    <cellStyle name="Обычный 4 2 14 2 10" xfId="48745" xr:uid="{00000000-0005-0000-0000-00004E190000}"/>
    <cellStyle name="Обычный 4 2 14 2 2" xfId="6024" xr:uid="{00000000-0005-0000-0000-00004F190000}"/>
    <cellStyle name="Обычный 4 2 14 2 2 2" xfId="54086" xr:uid="{00000000-0005-0000-0000-000050190000}"/>
    <cellStyle name="Обычный 4 2 14 2 3" xfId="11365" xr:uid="{00000000-0005-0000-0000-000051190000}"/>
    <cellStyle name="Обычный 4 2 14 2 4" xfId="16705" xr:uid="{00000000-0005-0000-0000-000052190000}"/>
    <cellStyle name="Обычный 4 2 14 2 5" xfId="22045" xr:uid="{00000000-0005-0000-0000-000053190000}"/>
    <cellStyle name="Обычный 4 2 14 2 6" xfId="27385" xr:uid="{00000000-0005-0000-0000-000054190000}"/>
    <cellStyle name="Обычный 4 2 14 2 7" xfId="32725" xr:uid="{00000000-0005-0000-0000-000055190000}"/>
    <cellStyle name="Обычный 4 2 14 2 8" xfId="38065" xr:uid="{00000000-0005-0000-0000-000056190000}"/>
    <cellStyle name="Обычный 4 2 14 2 9" xfId="43405" xr:uid="{00000000-0005-0000-0000-000057190000}"/>
    <cellStyle name="Обычный 4 2 14 3" xfId="5557" xr:uid="{00000000-0005-0000-0000-000058190000}"/>
    <cellStyle name="Обычный 4 2 14 3 2" xfId="53619" xr:uid="{00000000-0005-0000-0000-000059190000}"/>
    <cellStyle name="Обычный 4 2 14 4" xfId="10898" xr:uid="{00000000-0005-0000-0000-00005A190000}"/>
    <cellStyle name="Обычный 4 2 14 5" xfId="16238" xr:uid="{00000000-0005-0000-0000-00005B190000}"/>
    <cellStyle name="Обычный 4 2 14 6" xfId="21578" xr:uid="{00000000-0005-0000-0000-00005C190000}"/>
    <cellStyle name="Обычный 4 2 14 7" xfId="26918" xr:uid="{00000000-0005-0000-0000-00005D190000}"/>
    <cellStyle name="Обычный 4 2 14 8" xfId="32258" xr:uid="{00000000-0005-0000-0000-00005E190000}"/>
    <cellStyle name="Обычный 4 2 14 9" xfId="37598" xr:uid="{00000000-0005-0000-0000-00005F190000}"/>
    <cellStyle name="Обычный 4 2 140" xfId="3794" xr:uid="{00000000-0005-0000-0000-000060190000}"/>
    <cellStyle name="Обычный 4 2 140 10" xfId="51857" xr:uid="{00000000-0005-0000-0000-000061190000}"/>
    <cellStyle name="Обычный 4 2 140 2" xfId="9137" xr:uid="{00000000-0005-0000-0000-000062190000}"/>
    <cellStyle name="Обычный 4 2 140 2 2" xfId="57198" xr:uid="{00000000-0005-0000-0000-000063190000}"/>
    <cellStyle name="Обычный 4 2 140 3" xfId="14477" xr:uid="{00000000-0005-0000-0000-000064190000}"/>
    <cellStyle name="Обычный 4 2 140 4" xfId="19817" xr:uid="{00000000-0005-0000-0000-000065190000}"/>
    <cellStyle name="Обычный 4 2 140 5" xfId="25157" xr:uid="{00000000-0005-0000-0000-000066190000}"/>
    <cellStyle name="Обычный 4 2 140 6" xfId="30497" xr:uid="{00000000-0005-0000-0000-000067190000}"/>
    <cellStyle name="Обычный 4 2 140 7" xfId="35837" xr:uid="{00000000-0005-0000-0000-000068190000}"/>
    <cellStyle name="Обычный 4 2 140 8" xfId="41177" xr:uid="{00000000-0005-0000-0000-000069190000}"/>
    <cellStyle name="Обычный 4 2 140 9" xfId="46517" xr:uid="{00000000-0005-0000-0000-00006A190000}"/>
    <cellStyle name="Обычный 4 2 141" xfId="3826" xr:uid="{00000000-0005-0000-0000-00006B190000}"/>
    <cellStyle name="Обычный 4 2 141 10" xfId="51889" xr:uid="{00000000-0005-0000-0000-00006C190000}"/>
    <cellStyle name="Обычный 4 2 141 2" xfId="9169" xr:uid="{00000000-0005-0000-0000-00006D190000}"/>
    <cellStyle name="Обычный 4 2 141 2 2" xfId="57230" xr:uid="{00000000-0005-0000-0000-00006E190000}"/>
    <cellStyle name="Обычный 4 2 141 3" xfId="14509" xr:uid="{00000000-0005-0000-0000-00006F190000}"/>
    <cellStyle name="Обычный 4 2 141 4" xfId="19849" xr:uid="{00000000-0005-0000-0000-000070190000}"/>
    <cellStyle name="Обычный 4 2 141 5" xfId="25189" xr:uid="{00000000-0005-0000-0000-000071190000}"/>
    <cellStyle name="Обычный 4 2 141 6" xfId="30529" xr:uid="{00000000-0005-0000-0000-000072190000}"/>
    <cellStyle name="Обычный 4 2 141 7" xfId="35869" xr:uid="{00000000-0005-0000-0000-000073190000}"/>
    <cellStyle name="Обычный 4 2 141 8" xfId="41209" xr:uid="{00000000-0005-0000-0000-000074190000}"/>
    <cellStyle name="Обычный 4 2 141 9" xfId="46549" xr:uid="{00000000-0005-0000-0000-000075190000}"/>
    <cellStyle name="Обычный 4 2 142" xfId="3858" xr:uid="{00000000-0005-0000-0000-000076190000}"/>
    <cellStyle name="Обычный 4 2 142 10" xfId="51921" xr:uid="{00000000-0005-0000-0000-000077190000}"/>
    <cellStyle name="Обычный 4 2 142 2" xfId="9201" xr:uid="{00000000-0005-0000-0000-000078190000}"/>
    <cellStyle name="Обычный 4 2 142 2 2" xfId="57262" xr:uid="{00000000-0005-0000-0000-000079190000}"/>
    <cellStyle name="Обычный 4 2 142 3" xfId="14541" xr:uid="{00000000-0005-0000-0000-00007A190000}"/>
    <cellStyle name="Обычный 4 2 142 4" xfId="19881" xr:uid="{00000000-0005-0000-0000-00007B190000}"/>
    <cellStyle name="Обычный 4 2 142 5" xfId="25221" xr:uid="{00000000-0005-0000-0000-00007C190000}"/>
    <cellStyle name="Обычный 4 2 142 6" xfId="30561" xr:uid="{00000000-0005-0000-0000-00007D190000}"/>
    <cellStyle name="Обычный 4 2 142 7" xfId="35901" xr:uid="{00000000-0005-0000-0000-00007E190000}"/>
    <cellStyle name="Обычный 4 2 142 8" xfId="41241" xr:uid="{00000000-0005-0000-0000-00007F190000}"/>
    <cellStyle name="Обычный 4 2 142 9" xfId="46581" xr:uid="{00000000-0005-0000-0000-000080190000}"/>
    <cellStyle name="Обычный 4 2 143" xfId="3890" xr:uid="{00000000-0005-0000-0000-000081190000}"/>
    <cellStyle name="Обычный 4 2 143 10" xfId="51953" xr:uid="{00000000-0005-0000-0000-000082190000}"/>
    <cellStyle name="Обычный 4 2 143 2" xfId="9233" xr:uid="{00000000-0005-0000-0000-000083190000}"/>
    <cellStyle name="Обычный 4 2 143 2 2" xfId="57294" xr:uid="{00000000-0005-0000-0000-000084190000}"/>
    <cellStyle name="Обычный 4 2 143 3" xfId="14573" xr:uid="{00000000-0005-0000-0000-000085190000}"/>
    <cellStyle name="Обычный 4 2 143 4" xfId="19913" xr:uid="{00000000-0005-0000-0000-000086190000}"/>
    <cellStyle name="Обычный 4 2 143 5" xfId="25253" xr:uid="{00000000-0005-0000-0000-000087190000}"/>
    <cellStyle name="Обычный 4 2 143 6" xfId="30593" xr:uid="{00000000-0005-0000-0000-000088190000}"/>
    <cellStyle name="Обычный 4 2 143 7" xfId="35933" xr:uid="{00000000-0005-0000-0000-000089190000}"/>
    <cellStyle name="Обычный 4 2 143 8" xfId="41273" xr:uid="{00000000-0005-0000-0000-00008A190000}"/>
    <cellStyle name="Обычный 4 2 143 9" xfId="46613" xr:uid="{00000000-0005-0000-0000-00008B190000}"/>
    <cellStyle name="Обычный 4 2 144" xfId="3922" xr:uid="{00000000-0005-0000-0000-00008C190000}"/>
    <cellStyle name="Обычный 4 2 144 10" xfId="51985" xr:uid="{00000000-0005-0000-0000-00008D190000}"/>
    <cellStyle name="Обычный 4 2 144 2" xfId="9265" xr:uid="{00000000-0005-0000-0000-00008E190000}"/>
    <cellStyle name="Обычный 4 2 144 2 2" xfId="57326" xr:uid="{00000000-0005-0000-0000-00008F190000}"/>
    <cellStyle name="Обычный 4 2 144 3" xfId="14605" xr:uid="{00000000-0005-0000-0000-000090190000}"/>
    <cellStyle name="Обычный 4 2 144 4" xfId="19945" xr:uid="{00000000-0005-0000-0000-000091190000}"/>
    <cellStyle name="Обычный 4 2 144 5" xfId="25285" xr:uid="{00000000-0005-0000-0000-000092190000}"/>
    <cellStyle name="Обычный 4 2 144 6" xfId="30625" xr:uid="{00000000-0005-0000-0000-000093190000}"/>
    <cellStyle name="Обычный 4 2 144 7" xfId="35965" xr:uid="{00000000-0005-0000-0000-000094190000}"/>
    <cellStyle name="Обычный 4 2 144 8" xfId="41305" xr:uid="{00000000-0005-0000-0000-000095190000}"/>
    <cellStyle name="Обычный 4 2 144 9" xfId="46645" xr:uid="{00000000-0005-0000-0000-000096190000}"/>
    <cellStyle name="Обычный 4 2 145" xfId="3954" xr:uid="{00000000-0005-0000-0000-000097190000}"/>
    <cellStyle name="Обычный 4 2 145 10" xfId="52017" xr:uid="{00000000-0005-0000-0000-000098190000}"/>
    <cellStyle name="Обычный 4 2 145 2" xfId="9297" xr:uid="{00000000-0005-0000-0000-000099190000}"/>
    <cellStyle name="Обычный 4 2 145 2 2" xfId="57358" xr:uid="{00000000-0005-0000-0000-00009A190000}"/>
    <cellStyle name="Обычный 4 2 145 3" xfId="14637" xr:uid="{00000000-0005-0000-0000-00009B190000}"/>
    <cellStyle name="Обычный 4 2 145 4" xfId="19977" xr:uid="{00000000-0005-0000-0000-00009C190000}"/>
    <cellStyle name="Обычный 4 2 145 5" xfId="25317" xr:uid="{00000000-0005-0000-0000-00009D190000}"/>
    <cellStyle name="Обычный 4 2 145 6" xfId="30657" xr:uid="{00000000-0005-0000-0000-00009E190000}"/>
    <cellStyle name="Обычный 4 2 145 7" xfId="35997" xr:uid="{00000000-0005-0000-0000-00009F190000}"/>
    <cellStyle name="Обычный 4 2 145 8" xfId="41337" xr:uid="{00000000-0005-0000-0000-0000A0190000}"/>
    <cellStyle name="Обычный 4 2 145 9" xfId="46677" xr:uid="{00000000-0005-0000-0000-0000A1190000}"/>
    <cellStyle name="Обычный 4 2 146" xfId="3986" xr:uid="{00000000-0005-0000-0000-0000A2190000}"/>
    <cellStyle name="Обычный 4 2 146 10" xfId="52049" xr:uid="{00000000-0005-0000-0000-0000A3190000}"/>
    <cellStyle name="Обычный 4 2 146 2" xfId="9329" xr:uid="{00000000-0005-0000-0000-0000A4190000}"/>
    <cellStyle name="Обычный 4 2 146 2 2" xfId="57390" xr:uid="{00000000-0005-0000-0000-0000A5190000}"/>
    <cellStyle name="Обычный 4 2 146 3" xfId="14669" xr:uid="{00000000-0005-0000-0000-0000A6190000}"/>
    <cellStyle name="Обычный 4 2 146 4" xfId="20009" xr:uid="{00000000-0005-0000-0000-0000A7190000}"/>
    <cellStyle name="Обычный 4 2 146 5" xfId="25349" xr:uid="{00000000-0005-0000-0000-0000A8190000}"/>
    <cellStyle name="Обычный 4 2 146 6" xfId="30689" xr:uid="{00000000-0005-0000-0000-0000A9190000}"/>
    <cellStyle name="Обычный 4 2 146 7" xfId="36029" xr:uid="{00000000-0005-0000-0000-0000AA190000}"/>
    <cellStyle name="Обычный 4 2 146 8" xfId="41369" xr:uid="{00000000-0005-0000-0000-0000AB190000}"/>
    <cellStyle name="Обычный 4 2 146 9" xfId="46709" xr:uid="{00000000-0005-0000-0000-0000AC190000}"/>
    <cellStyle name="Обычный 4 2 147" xfId="4018" xr:uid="{00000000-0005-0000-0000-0000AD190000}"/>
    <cellStyle name="Обычный 4 2 147 10" xfId="52081" xr:uid="{00000000-0005-0000-0000-0000AE190000}"/>
    <cellStyle name="Обычный 4 2 147 2" xfId="9361" xr:uid="{00000000-0005-0000-0000-0000AF190000}"/>
    <cellStyle name="Обычный 4 2 147 2 2" xfId="57422" xr:uid="{00000000-0005-0000-0000-0000B0190000}"/>
    <cellStyle name="Обычный 4 2 147 3" xfId="14701" xr:uid="{00000000-0005-0000-0000-0000B1190000}"/>
    <cellStyle name="Обычный 4 2 147 4" xfId="20041" xr:uid="{00000000-0005-0000-0000-0000B2190000}"/>
    <cellStyle name="Обычный 4 2 147 5" xfId="25381" xr:uid="{00000000-0005-0000-0000-0000B3190000}"/>
    <cellStyle name="Обычный 4 2 147 6" xfId="30721" xr:uid="{00000000-0005-0000-0000-0000B4190000}"/>
    <cellStyle name="Обычный 4 2 147 7" xfId="36061" xr:uid="{00000000-0005-0000-0000-0000B5190000}"/>
    <cellStyle name="Обычный 4 2 147 8" xfId="41401" xr:uid="{00000000-0005-0000-0000-0000B6190000}"/>
    <cellStyle name="Обычный 4 2 147 9" xfId="46741" xr:uid="{00000000-0005-0000-0000-0000B7190000}"/>
    <cellStyle name="Обычный 4 2 148" xfId="4050" xr:uid="{00000000-0005-0000-0000-0000B8190000}"/>
    <cellStyle name="Обычный 4 2 148 10" xfId="52113" xr:uid="{00000000-0005-0000-0000-0000B9190000}"/>
    <cellStyle name="Обычный 4 2 148 2" xfId="9393" xr:uid="{00000000-0005-0000-0000-0000BA190000}"/>
    <cellStyle name="Обычный 4 2 148 2 2" xfId="57454" xr:uid="{00000000-0005-0000-0000-0000BB190000}"/>
    <cellStyle name="Обычный 4 2 148 3" xfId="14733" xr:uid="{00000000-0005-0000-0000-0000BC190000}"/>
    <cellStyle name="Обычный 4 2 148 4" xfId="20073" xr:uid="{00000000-0005-0000-0000-0000BD190000}"/>
    <cellStyle name="Обычный 4 2 148 5" xfId="25413" xr:uid="{00000000-0005-0000-0000-0000BE190000}"/>
    <cellStyle name="Обычный 4 2 148 6" xfId="30753" xr:uid="{00000000-0005-0000-0000-0000BF190000}"/>
    <cellStyle name="Обычный 4 2 148 7" xfId="36093" xr:uid="{00000000-0005-0000-0000-0000C0190000}"/>
    <cellStyle name="Обычный 4 2 148 8" xfId="41433" xr:uid="{00000000-0005-0000-0000-0000C1190000}"/>
    <cellStyle name="Обычный 4 2 148 9" xfId="46773" xr:uid="{00000000-0005-0000-0000-0000C2190000}"/>
    <cellStyle name="Обычный 4 2 149" xfId="4082" xr:uid="{00000000-0005-0000-0000-0000C3190000}"/>
    <cellStyle name="Обычный 4 2 149 10" xfId="52145" xr:uid="{00000000-0005-0000-0000-0000C4190000}"/>
    <cellStyle name="Обычный 4 2 149 2" xfId="9425" xr:uid="{00000000-0005-0000-0000-0000C5190000}"/>
    <cellStyle name="Обычный 4 2 149 2 2" xfId="57486" xr:uid="{00000000-0005-0000-0000-0000C6190000}"/>
    <cellStyle name="Обычный 4 2 149 3" xfId="14765" xr:uid="{00000000-0005-0000-0000-0000C7190000}"/>
    <cellStyle name="Обычный 4 2 149 4" xfId="20105" xr:uid="{00000000-0005-0000-0000-0000C8190000}"/>
    <cellStyle name="Обычный 4 2 149 5" xfId="25445" xr:uid="{00000000-0005-0000-0000-0000C9190000}"/>
    <cellStyle name="Обычный 4 2 149 6" xfId="30785" xr:uid="{00000000-0005-0000-0000-0000CA190000}"/>
    <cellStyle name="Обычный 4 2 149 7" xfId="36125" xr:uid="{00000000-0005-0000-0000-0000CB190000}"/>
    <cellStyle name="Обычный 4 2 149 8" xfId="41465" xr:uid="{00000000-0005-0000-0000-0000CC190000}"/>
    <cellStyle name="Обычный 4 2 149 9" xfId="46805" xr:uid="{00000000-0005-0000-0000-0000CD190000}"/>
    <cellStyle name="Обычный 4 2 15" xfId="226" xr:uid="{00000000-0005-0000-0000-0000CE190000}"/>
    <cellStyle name="Обычный 4 2 15 10" xfId="42948" xr:uid="{00000000-0005-0000-0000-0000CF190000}"/>
    <cellStyle name="Обычный 4 2 15 11" xfId="48288" xr:uid="{00000000-0005-0000-0000-0000D0190000}"/>
    <cellStyle name="Обычный 4 2 15 2" xfId="693" xr:uid="{00000000-0005-0000-0000-0000D1190000}"/>
    <cellStyle name="Обычный 4 2 15 2 10" xfId="48755" xr:uid="{00000000-0005-0000-0000-0000D2190000}"/>
    <cellStyle name="Обычный 4 2 15 2 2" xfId="6034" xr:uid="{00000000-0005-0000-0000-0000D3190000}"/>
    <cellStyle name="Обычный 4 2 15 2 2 2" xfId="54096" xr:uid="{00000000-0005-0000-0000-0000D4190000}"/>
    <cellStyle name="Обычный 4 2 15 2 3" xfId="11375" xr:uid="{00000000-0005-0000-0000-0000D5190000}"/>
    <cellStyle name="Обычный 4 2 15 2 4" xfId="16715" xr:uid="{00000000-0005-0000-0000-0000D6190000}"/>
    <cellStyle name="Обычный 4 2 15 2 5" xfId="22055" xr:uid="{00000000-0005-0000-0000-0000D7190000}"/>
    <cellStyle name="Обычный 4 2 15 2 6" xfId="27395" xr:uid="{00000000-0005-0000-0000-0000D8190000}"/>
    <cellStyle name="Обычный 4 2 15 2 7" xfId="32735" xr:uid="{00000000-0005-0000-0000-0000D9190000}"/>
    <cellStyle name="Обычный 4 2 15 2 8" xfId="38075" xr:uid="{00000000-0005-0000-0000-0000DA190000}"/>
    <cellStyle name="Обычный 4 2 15 2 9" xfId="43415" xr:uid="{00000000-0005-0000-0000-0000DB190000}"/>
    <cellStyle name="Обычный 4 2 15 3" xfId="5567" xr:uid="{00000000-0005-0000-0000-0000DC190000}"/>
    <cellStyle name="Обычный 4 2 15 3 2" xfId="53629" xr:uid="{00000000-0005-0000-0000-0000DD190000}"/>
    <cellStyle name="Обычный 4 2 15 4" xfId="10908" xr:uid="{00000000-0005-0000-0000-0000DE190000}"/>
    <cellStyle name="Обычный 4 2 15 5" xfId="16248" xr:uid="{00000000-0005-0000-0000-0000DF190000}"/>
    <cellStyle name="Обычный 4 2 15 6" xfId="21588" xr:uid="{00000000-0005-0000-0000-0000E0190000}"/>
    <cellStyle name="Обычный 4 2 15 7" xfId="26928" xr:uid="{00000000-0005-0000-0000-0000E1190000}"/>
    <cellStyle name="Обычный 4 2 15 8" xfId="32268" xr:uid="{00000000-0005-0000-0000-0000E2190000}"/>
    <cellStyle name="Обычный 4 2 15 9" xfId="37608" xr:uid="{00000000-0005-0000-0000-0000E3190000}"/>
    <cellStyle name="Обычный 4 2 150" xfId="4114" xr:uid="{00000000-0005-0000-0000-0000E4190000}"/>
    <cellStyle name="Обычный 4 2 150 10" xfId="52177" xr:uid="{00000000-0005-0000-0000-0000E5190000}"/>
    <cellStyle name="Обычный 4 2 150 2" xfId="9457" xr:uid="{00000000-0005-0000-0000-0000E6190000}"/>
    <cellStyle name="Обычный 4 2 150 2 2" xfId="57518" xr:uid="{00000000-0005-0000-0000-0000E7190000}"/>
    <cellStyle name="Обычный 4 2 150 3" xfId="14797" xr:uid="{00000000-0005-0000-0000-0000E8190000}"/>
    <cellStyle name="Обычный 4 2 150 4" xfId="20137" xr:uid="{00000000-0005-0000-0000-0000E9190000}"/>
    <cellStyle name="Обычный 4 2 150 5" xfId="25477" xr:uid="{00000000-0005-0000-0000-0000EA190000}"/>
    <cellStyle name="Обычный 4 2 150 6" xfId="30817" xr:uid="{00000000-0005-0000-0000-0000EB190000}"/>
    <cellStyle name="Обычный 4 2 150 7" xfId="36157" xr:uid="{00000000-0005-0000-0000-0000EC190000}"/>
    <cellStyle name="Обычный 4 2 150 8" xfId="41497" xr:uid="{00000000-0005-0000-0000-0000ED190000}"/>
    <cellStyle name="Обычный 4 2 150 9" xfId="46837" xr:uid="{00000000-0005-0000-0000-0000EE190000}"/>
    <cellStyle name="Обычный 4 2 151" xfId="4146" xr:uid="{00000000-0005-0000-0000-0000EF190000}"/>
    <cellStyle name="Обычный 4 2 151 10" xfId="52209" xr:uid="{00000000-0005-0000-0000-0000F0190000}"/>
    <cellStyle name="Обычный 4 2 151 2" xfId="9489" xr:uid="{00000000-0005-0000-0000-0000F1190000}"/>
    <cellStyle name="Обычный 4 2 151 2 2" xfId="57550" xr:uid="{00000000-0005-0000-0000-0000F2190000}"/>
    <cellStyle name="Обычный 4 2 151 3" xfId="14829" xr:uid="{00000000-0005-0000-0000-0000F3190000}"/>
    <cellStyle name="Обычный 4 2 151 4" xfId="20169" xr:uid="{00000000-0005-0000-0000-0000F4190000}"/>
    <cellStyle name="Обычный 4 2 151 5" xfId="25509" xr:uid="{00000000-0005-0000-0000-0000F5190000}"/>
    <cellStyle name="Обычный 4 2 151 6" xfId="30849" xr:uid="{00000000-0005-0000-0000-0000F6190000}"/>
    <cellStyle name="Обычный 4 2 151 7" xfId="36189" xr:uid="{00000000-0005-0000-0000-0000F7190000}"/>
    <cellStyle name="Обычный 4 2 151 8" xfId="41529" xr:uid="{00000000-0005-0000-0000-0000F8190000}"/>
    <cellStyle name="Обычный 4 2 151 9" xfId="46869" xr:uid="{00000000-0005-0000-0000-0000F9190000}"/>
    <cellStyle name="Обычный 4 2 152" xfId="4178" xr:uid="{00000000-0005-0000-0000-0000FA190000}"/>
    <cellStyle name="Обычный 4 2 152 10" xfId="52241" xr:uid="{00000000-0005-0000-0000-0000FB190000}"/>
    <cellStyle name="Обычный 4 2 152 2" xfId="9521" xr:uid="{00000000-0005-0000-0000-0000FC190000}"/>
    <cellStyle name="Обычный 4 2 152 2 2" xfId="57582" xr:uid="{00000000-0005-0000-0000-0000FD190000}"/>
    <cellStyle name="Обычный 4 2 152 3" xfId="14861" xr:uid="{00000000-0005-0000-0000-0000FE190000}"/>
    <cellStyle name="Обычный 4 2 152 4" xfId="20201" xr:uid="{00000000-0005-0000-0000-0000FF190000}"/>
    <cellStyle name="Обычный 4 2 152 5" xfId="25541" xr:uid="{00000000-0005-0000-0000-0000001A0000}"/>
    <cellStyle name="Обычный 4 2 152 6" xfId="30881" xr:uid="{00000000-0005-0000-0000-0000011A0000}"/>
    <cellStyle name="Обычный 4 2 152 7" xfId="36221" xr:uid="{00000000-0005-0000-0000-0000021A0000}"/>
    <cellStyle name="Обычный 4 2 152 8" xfId="41561" xr:uid="{00000000-0005-0000-0000-0000031A0000}"/>
    <cellStyle name="Обычный 4 2 152 9" xfId="46901" xr:uid="{00000000-0005-0000-0000-0000041A0000}"/>
    <cellStyle name="Обычный 4 2 153" xfId="4210" xr:uid="{00000000-0005-0000-0000-0000051A0000}"/>
    <cellStyle name="Обычный 4 2 153 10" xfId="52273" xr:uid="{00000000-0005-0000-0000-0000061A0000}"/>
    <cellStyle name="Обычный 4 2 153 2" xfId="9553" xr:uid="{00000000-0005-0000-0000-0000071A0000}"/>
    <cellStyle name="Обычный 4 2 153 2 2" xfId="57614" xr:uid="{00000000-0005-0000-0000-0000081A0000}"/>
    <cellStyle name="Обычный 4 2 153 3" xfId="14893" xr:uid="{00000000-0005-0000-0000-0000091A0000}"/>
    <cellStyle name="Обычный 4 2 153 4" xfId="20233" xr:uid="{00000000-0005-0000-0000-00000A1A0000}"/>
    <cellStyle name="Обычный 4 2 153 5" xfId="25573" xr:uid="{00000000-0005-0000-0000-00000B1A0000}"/>
    <cellStyle name="Обычный 4 2 153 6" xfId="30913" xr:uid="{00000000-0005-0000-0000-00000C1A0000}"/>
    <cellStyle name="Обычный 4 2 153 7" xfId="36253" xr:uid="{00000000-0005-0000-0000-00000D1A0000}"/>
    <cellStyle name="Обычный 4 2 153 8" xfId="41593" xr:uid="{00000000-0005-0000-0000-00000E1A0000}"/>
    <cellStyle name="Обычный 4 2 153 9" xfId="46933" xr:uid="{00000000-0005-0000-0000-00000F1A0000}"/>
    <cellStyle name="Обычный 4 2 154" xfId="4242" xr:uid="{00000000-0005-0000-0000-0000101A0000}"/>
    <cellStyle name="Обычный 4 2 154 10" xfId="52305" xr:uid="{00000000-0005-0000-0000-0000111A0000}"/>
    <cellStyle name="Обычный 4 2 154 2" xfId="9585" xr:uid="{00000000-0005-0000-0000-0000121A0000}"/>
    <cellStyle name="Обычный 4 2 154 2 2" xfId="57646" xr:uid="{00000000-0005-0000-0000-0000131A0000}"/>
    <cellStyle name="Обычный 4 2 154 3" xfId="14925" xr:uid="{00000000-0005-0000-0000-0000141A0000}"/>
    <cellStyle name="Обычный 4 2 154 4" xfId="20265" xr:uid="{00000000-0005-0000-0000-0000151A0000}"/>
    <cellStyle name="Обычный 4 2 154 5" xfId="25605" xr:uid="{00000000-0005-0000-0000-0000161A0000}"/>
    <cellStyle name="Обычный 4 2 154 6" xfId="30945" xr:uid="{00000000-0005-0000-0000-0000171A0000}"/>
    <cellStyle name="Обычный 4 2 154 7" xfId="36285" xr:uid="{00000000-0005-0000-0000-0000181A0000}"/>
    <cellStyle name="Обычный 4 2 154 8" xfId="41625" xr:uid="{00000000-0005-0000-0000-0000191A0000}"/>
    <cellStyle name="Обычный 4 2 154 9" xfId="46965" xr:uid="{00000000-0005-0000-0000-00001A1A0000}"/>
    <cellStyle name="Обычный 4 2 155" xfId="4274" xr:uid="{00000000-0005-0000-0000-00001B1A0000}"/>
    <cellStyle name="Обычный 4 2 155 10" xfId="52337" xr:uid="{00000000-0005-0000-0000-00001C1A0000}"/>
    <cellStyle name="Обычный 4 2 155 2" xfId="9617" xr:uid="{00000000-0005-0000-0000-00001D1A0000}"/>
    <cellStyle name="Обычный 4 2 155 2 2" xfId="57678" xr:uid="{00000000-0005-0000-0000-00001E1A0000}"/>
    <cellStyle name="Обычный 4 2 155 3" xfId="14957" xr:uid="{00000000-0005-0000-0000-00001F1A0000}"/>
    <cellStyle name="Обычный 4 2 155 4" xfId="20297" xr:uid="{00000000-0005-0000-0000-0000201A0000}"/>
    <cellStyle name="Обычный 4 2 155 5" xfId="25637" xr:uid="{00000000-0005-0000-0000-0000211A0000}"/>
    <cellStyle name="Обычный 4 2 155 6" xfId="30977" xr:uid="{00000000-0005-0000-0000-0000221A0000}"/>
    <cellStyle name="Обычный 4 2 155 7" xfId="36317" xr:uid="{00000000-0005-0000-0000-0000231A0000}"/>
    <cellStyle name="Обычный 4 2 155 8" xfId="41657" xr:uid="{00000000-0005-0000-0000-0000241A0000}"/>
    <cellStyle name="Обычный 4 2 155 9" xfId="46997" xr:uid="{00000000-0005-0000-0000-0000251A0000}"/>
    <cellStyle name="Обычный 4 2 156" xfId="4306" xr:uid="{00000000-0005-0000-0000-0000261A0000}"/>
    <cellStyle name="Обычный 4 2 156 10" xfId="52369" xr:uid="{00000000-0005-0000-0000-0000271A0000}"/>
    <cellStyle name="Обычный 4 2 156 2" xfId="9649" xr:uid="{00000000-0005-0000-0000-0000281A0000}"/>
    <cellStyle name="Обычный 4 2 156 2 2" xfId="57710" xr:uid="{00000000-0005-0000-0000-0000291A0000}"/>
    <cellStyle name="Обычный 4 2 156 3" xfId="14989" xr:uid="{00000000-0005-0000-0000-00002A1A0000}"/>
    <cellStyle name="Обычный 4 2 156 4" xfId="20329" xr:uid="{00000000-0005-0000-0000-00002B1A0000}"/>
    <cellStyle name="Обычный 4 2 156 5" xfId="25669" xr:uid="{00000000-0005-0000-0000-00002C1A0000}"/>
    <cellStyle name="Обычный 4 2 156 6" xfId="31009" xr:uid="{00000000-0005-0000-0000-00002D1A0000}"/>
    <cellStyle name="Обычный 4 2 156 7" xfId="36349" xr:uid="{00000000-0005-0000-0000-00002E1A0000}"/>
    <cellStyle name="Обычный 4 2 156 8" xfId="41689" xr:uid="{00000000-0005-0000-0000-00002F1A0000}"/>
    <cellStyle name="Обычный 4 2 156 9" xfId="47029" xr:uid="{00000000-0005-0000-0000-0000301A0000}"/>
    <cellStyle name="Обычный 4 2 157" xfId="4338" xr:uid="{00000000-0005-0000-0000-0000311A0000}"/>
    <cellStyle name="Обычный 4 2 157 10" xfId="52401" xr:uid="{00000000-0005-0000-0000-0000321A0000}"/>
    <cellStyle name="Обычный 4 2 157 2" xfId="9681" xr:uid="{00000000-0005-0000-0000-0000331A0000}"/>
    <cellStyle name="Обычный 4 2 157 2 2" xfId="57742" xr:uid="{00000000-0005-0000-0000-0000341A0000}"/>
    <cellStyle name="Обычный 4 2 157 3" xfId="15021" xr:uid="{00000000-0005-0000-0000-0000351A0000}"/>
    <cellStyle name="Обычный 4 2 157 4" xfId="20361" xr:uid="{00000000-0005-0000-0000-0000361A0000}"/>
    <cellStyle name="Обычный 4 2 157 5" xfId="25701" xr:uid="{00000000-0005-0000-0000-0000371A0000}"/>
    <cellStyle name="Обычный 4 2 157 6" xfId="31041" xr:uid="{00000000-0005-0000-0000-0000381A0000}"/>
    <cellStyle name="Обычный 4 2 157 7" xfId="36381" xr:uid="{00000000-0005-0000-0000-0000391A0000}"/>
    <cellStyle name="Обычный 4 2 157 8" xfId="41721" xr:uid="{00000000-0005-0000-0000-00003A1A0000}"/>
    <cellStyle name="Обычный 4 2 157 9" xfId="47061" xr:uid="{00000000-0005-0000-0000-00003B1A0000}"/>
    <cellStyle name="Обычный 4 2 158" xfId="4370" xr:uid="{00000000-0005-0000-0000-00003C1A0000}"/>
    <cellStyle name="Обычный 4 2 158 10" xfId="52433" xr:uid="{00000000-0005-0000-0000-00003D1A0000}"/>
    <cellStyle name="Обычный 4 2 158 2" xfId="9713" xr:uid="{00000000-0005-0000-0000-00003E1A0000}"/>
    <cellStyle name="Обычный 4 2 158 2 2" xfId="57774" xr:uid="{00000000-0005-0000-0000-00003F1A0000}"/>
    <cellStyle name="Обычный 4 2 158 3" xfId="15053" xr:uid="{00000000-0005-0000-0000-0000401A0000}"/>
    <cellStyle name="Обычный 4 2 158 4" xfId="20393" xr:uid="{00000000-0005-0000-0000-0000411A0000}"/>
    <cellStyle name="Обычный 4 2 158 5" xfId="25733" xr:uid="{00000000-0005-0000-0000-0000421A0000}"/>
    <cellStyle name="Обычный 4 2 158 6" xfId="31073" xr:uid="{00000000-0005-0000-0000-0000431A0000}"/>
    <cellStyle name="Обычный 4 2 158 7" xfId="36413" xr:uid="{00000000-0005-0000-0000-0000441A0000}"/>
    <cellStyle name="Обычный 4 2 158 8" xfId="41753" xr:uid="{00000000-0005-0000-0000-0000451A0000}"/>
    <cellStyle name="Обычный 4 2 158 9" xfId="47093" xr:uid="{00000000-0005-0000-0000-0000461A0000}"/>
    <cellStyle name="Обычный 4 2 159" xfId="4402" xr:uid="{00000000-0005-0000-0000-0000471A0000}"/>
    <cellStyle name="Обычный 4 2 159 10" xfId="52465" xr:uid="{00000000-0005-0000-0000-0000481A0000}"/>
    <cellStyle name="Обычный 4 2 159 2" xfId="9745" xr:uid="{00000000-0005-0000-0000-0000491A0000}"/>
    <cellStyle name="Обычный 4 2 159 2 2" xfId="57806" xr:uid="{00000000-0005-0000-0000-00004A1A0000}"/>
    <cellStyle name="Обычный 4 2 159 3" xfId="15085" xr:uid="{00000000-0005-0000-0000-00004B1A0000}"/>
    <cellStyle name="Обычный 4 2 159 4" xfId="20425" xr:uid="{00000000-0005-0000-0000-00004C1A0000}"/>
    <cellStyle name="Обычный 4 2 159 5" xfId="25765" xr:uid="{00000000-0005-0000-0000-00004D1A0000}"/>
    <cellStyle name="Обычный 4 2 159 6" xfId="31105" xr:uid="{00000000-0005-0000-0000-00004E1A0000}"/>
    <cellStyle name="Обычный 4 2 159 7" xfId="36445" xr:uid="{00000000-0005-0000-0000-00004F1A0000}"/>
    <cellStyle name="Обычный 4 2 159 8" xfId="41785" xr:uid="{00000000-0005-0000-0000-0000501A0000}"/>
    <cellStyle name="Обычный 4 2 159 9" xfId="47125" xr:uid="{00000000-0005-0000-0000-0000511A0000}"/>
    <cellStyle name="Обычный 4 2 16" xfId="236" xr:uid="{00000000-0005-0000-0000-0000521A0000}"/>
    <cellStyle name="Обычный 4 2 16 10" xfId="42958" xr:uid="{00000000-0005-0000-0000-0000531A0000}"/>
    <cellStyle name="Обычный 4 2 16 11" xfId="48298" xr:uid="{00000000-0005-0000-0000-0000541A0000}"/>
    <cellStyle name="Обычный 4 2 16 2" xfId="703" xr:uid="{00000000-0005-0000-0000-0000551A0000}"/>
    <cellStyle name="Обычный 4 2 16 2 10" xfId="48765" xr:uid="{00000000-0005-0000-0000-0000561A0000}"/>
    <cellStyle name="Обычный 4 2 16 2 2" xfId="6044" xr:uid="{00000000-0005-0000-0000-0000571A0000}"/>
    <cellStyle name="Обычный 4 2 16 2 2 2" xfId="54106" xr:uid="{00000000-0005-0000-0000-0000581A0000}"/>
    <cellStyle name="Обычный 4 2 16 2 3" xfId="11385" xr:uid="{00000000-0005-0000-0000-0000591A0000}"/>
    <cellStyle name="Обычный 4 2 16 2 4" xfId="16725" xr:uid="{00000000-0005-0000-0000-00005A1A0000}"/>
    <cellStyle name="Обычный 4 2 16 2 5" xfId="22065" xr:uid="{00000000-0005-0000-0000-00005B1A0000}"/>
    <cellStyle name="Обычный 4 2 16 2 6" xfId="27405" xr:uid="{00000000-0005-0000-0000-00005C1A0000}"/>
    <cellStyle name="Обычный 4 2 16 2 7" xfId="32745" xr:uid="{00000000-0005-0000-0000-00005D1A0000}"/>
    <cellStyle name="Обычный 4 2 16 2 8" xfId="38085" xr:uid="{00000000-0005-0000-0000-00005E1A0000}"/>
    <cellStyle name="Обычный 4 2 16 2 9" xfId="43425" xr:uid="{00000000-0005-0000-0000-00005F1A0000}"/>
    <cellStyle name="Обычный 4 2 16 3" xfId="5577" xr:uid="{00000000-0005-0000-0000-0000601A0000}"/>
    <cellStyle name="Обычный 4 2 16 3 2" xfId="53639" xr:uid="{00000000-0005-0000-0000-0000611A0000}"/>
    <cellStyle name="Обычный 4 2 16 4" xfId="10918" xr:uid="{00000000-0005-0000-0000-0000621A0000}"/>
    <cellStyle name="Обычный 4 2 16 5" xfId="16258" xr:uid="{00000000-0005-0000-0000-0000631A0000}"/>
    <cellStyle name="Обычный 4 2 16 6" xfId="21598" xr:uid="{00000000-0005-0000-0000-0000641A0000}"/>
    <cellStyle name="Обычный 4 2 16 7" xfId="26938" xr:uid="{00000000-0005-0000-0000-0000651A0000}"/>
    <cellStyle name="Обычный 4 2 16 8" xfId="32278" xr:uid="{00000000-0005-0000-0000-0000661A0000}"/>
    <cellStyle name="Обычный 4 2 16 9" xfId="37618" xr:uid="{00000000-0005-0000-0000-0000671A0000}"/>
    <cellStyle name="Обычный 4 2 160" xfId="4434" xr:uid="{00000000-0005-0000-0000-0000681A0000}"/>
    <cellStyle name="Обычный 4 2 160 10" xfId="52497" xr:uid="{00000000-0005-0000-0000-0000691A0000}"/>
    <cellStyle name="Обычный 4 2 160 2" xfId="9777" xr:uid="{00000000-0005-0000-0000-00006A1A0000}"/>
    <cellStyle name="Обычный 4 2 160 2 2" xfId="57838" xr:uid="{00000000-0005-0000-0000-00006B1A0000}"/>
    <cellStyle name="Обычный 4 2 160 3" xfId="15117" xr:uid="{00000000-0005-0000-0000-00006C1A0000}"/>
    <cellStyle name="Обычный 4 2 160 4" xfId="20457" xr:uid="{00000000-0005-0000-0000-00006D1A0000}"/>
    <cellStyle name="Обычный 4 2 160 5" xfId="25797" xr:uid="{00000000-0005-0000-0000-00006E1A0000}"/>
    <cellStyle name="Обычный 4 2 160 6" xfId="31137" xr:uid="{00000000-0005-0000-0000-00006F1A0000}"/>
    <cellStyle name="Обычный 4 2 160 7" xfId="36477" xr:uid="{00000000-0005-0000-0000-0000701A0000}"/>
    <cellStyle name="Обычный 4 2 160 8" xfId="41817" xr:uid="{00000000-0005-0000-0000-0000711A0000}"/>
    <cellStyle name="Обычный 4 2 160 9" xfId="47157" xr:uid="{00000000-0005-0000-0000-0000721A0000}"/>
    <cellStyle name="Обычный 4 2 161" xfId="4466" xr:uid="{00000000-0005-0000-0000-0000731A0000}"/>
    <cellStyle name="Обычный 4 2 161 10" xfId="52529" xr:uid="{00000000-0005-0000-0000-0000741A0000}"/>
    <cellStyle name="Обычный 4 2 161 2" xfId="9809" xr:uid="{00000000-0005-0000-0000-0000751A0000}"/>
    <cellStyle name="Обычный 4 2 161 2 2" xfId="57870" xr:uid="{00000000-0005-0000-0000-0000761A0000}"/>
    <cellStyle name="Обычный 4 2 161 3" xfId="15149" xr:uid="{00000000-0005-0000-0000-0000771A0000}"/>
    <cellStyle name="Обычный 4 2 161 4" xfId="20489" xr:uid="{00000000-0005-0000-0000-0000781A0000}"/>
    <cellStyle name="Обычный 4 2 161 5" xfId="25829" xr:uid="{00000000-0005-0000-0000-0000791A0000}"/>
    <cellStyle name="Обычный 4 2 161 6" xfId="31169" xr:uid="{00000000-0005-0000-0000-00007A1A0000}"/>
    <cellStyle name="Обычный 4 2 161 7" xfId="36509" xr:uid="{00000000-0005-0000-0000-00007B1A0000}"/>
    <cellStyle name="Обычный 4 2 161 8" xfId="41849" xr:uid="{00000000-0005-0000-0000-00007C1A0000}"/>
    <cellStyle name="Обычный 4 2 161 9" xfId="47189" xr:uid="{00000000-0005-0000-0000-00007D1A0000}"/>
    <cellStyle name="Обычный 4 2 162" xfId="4498" xr:uid="{00000000-0005-0000-0000-00007E1A0000}"/>
    <cellStyle name="Обычный 4 2 162 10" xfId="52561" xr:uid="{00000000-0005-0000-0000-00007F1A0000}"/>
    <cellStyle name="Обычный 4 2 162 2" xfId="9841" xr:uid="{00000000-0005-0000-0000-0000801A0000}"/>
    <cellStyle name="Обычный 4 2 162 2 2" xfId="57902" xr:uid="{00000000-0005-0000-0000-0000811A0000}"/>
    <cellStyle name="Обычный 4 2 162 3" xfId="15181" xr:uid="{00000000-0005-0000-0000-0000821A0000}"/>
    <cellStyle name="Обычный 4 2 162 4" xfId="20521" xr:uid="{00000000-0005-0000-0000-0000831A0000}"/>
    <cellStyle name="Обычный 4 2 162 5" xfId="25861" xr:uid="{00000000-0005-0000-0000-0000841A0000}"/>
    <cellStyle name="Обычный 4 2 162 6" xfId="31201" xr:uid="{00000000-0005-0000-0000-0000851A0000}"/>
    <cellStyle name="Обычный 4 2 162 7" xfId="36541" xr:uid="{00000000-0005-0000-0000-0000861A0000}"/>
    <cellStyle name="Обычный 4 2 162 8" xfId="41881" xr:uid="{00000000-0005-0000-0000-0000871A0000}"/>
    <cellStyle name="Обычный 4 2 162 9" xfId="47221" xr:uid="{00000000-0005-0000-0000-0000881A0000}"/>
    <cellStyle name="Обычный 4 2 163" xfId="4530" xr:uid="{00000000-0005-0000-0000-0000891A0000}"/>
    <cellStyle name="Обычный 4 2 163 10" xfId="52593" xr:uid="{00000000-0005-0000-0000-00008A1A0000}"/>
    <cellStyle name="Обычный 4 2 163 2" xfId="9873" xr:uid="{00000000-0005-0000-0000-00008B1A0000}"/>
    <cellStyle name="Обычный 4 2 163 2 2" xfId="57934" xr:uid="{00000000-0005-0000-0000-00008C1A0000}"/>
    <cellStyle name="Обычный 4 2 163 3" xfId="15213" xr:uid="{00000000-0005-0000-0000-00008D1A0000}"/>
    <cellStyle name="Обычный 4 2 163 4" xfId="20553" xr:uid="{00000000-0005-0000-0000-00008E1A0000}"/>
    <cellStyle name="Обычный 4 2 163 5" xfId="25893" xr:uid="{00000000-0005-0000-0000-00008F1A0000}"/>
    <cellStyle name="Обычный 4 2 163 6" xfId="31233" xr:uid="{00000000-0005-0000-0000-0000901A0000}"/>
    <cellStyle name="Обычный 4 2 163 7" xfId="36573" xr:uid="{00000000-0005-0000-0000-0000911A0000}"/>
    <cellStyle name="Обычный 4 2 163 8" xfId="41913" xr:uid="{00000000-0005-0000-0000-0000921A0000}"/>
    <cellStyle name="Обычный 4 2 163 9" xfId="47253" xr:uid="{00000000-0005-0000-0000-0000931A0000}"/>
    <cellStyle name="Обычный 4 2 164" xfId="4562" xr:uid="{00000000-0005-0000-0000-0000941A0000}"/>
    <cellStyle name="Обычный 4 2 164 10" xfId="52625" xr:uid="{00000000-0005-0000-0000-0000951A0000}"/>
    <cellStyle name="Обычный 4 2 164 2" xfId="9905" xr:uid="{00000000-0005-0000-0000-0000961A0000}"/>
    <cellStyle name="Обычный 4 2 164 2 2" xfId="57966" xr:uid="{00000000-0005-0000-0000-0000971A0000}"/>
    <cellStyle name="Обычный 4 2 164 3" xfId="15245" xr:uid="{00000000-0005-0000-0000-0000981A0000}"/>
    <cellStyle name="Обычный 4 2 164 4" xfId="20585" xr:uid="{00000000-0005-0000-0000-0000991A0000}"/>
    <cellStyle name="Обычный 4 2 164 5" xfId="25925" xr:uid="{00000000-0005-0000-0000-00009A1A0000}"/>
    <cellStyle name="Обычный 4 2 164 6" xfId="31265" xr:uid="{00000000-0005-0000-0000-00009B1A0000}"/>
    <cellStyle name="Обычный 4 2 164 7" xfId="36605" xr:uid="{00000000-0005-0000-0000-00009C1A0000}"/>
    <cellStyle name="Обычный 4 2 164 8" xfId="41945" xr:uid="{00000000-0005-0000-0000-00009D1A0000}"/>
    <cellStyle name="Обычный 4 2 164 9" xfId="47285" xr:uid="{00000000-0005-0000-0000-00009E1A0000}"/>
    <cellStyle name="Обычный 4 2 165" xfId="4594" xr:uid="{00000000-0005-0000-0000-00009F1A0000}"/>
    <cellStyle name="Обычный 4 2 165 10" xfId="52657" xr:uid="{00000000-0005-0000-0000-0000A01A0000}"/>
    <cellStyle name="Обычный 4 2 165 2" xfId="9937" xr:uid="{00000000-0005-0000-0000-0000A11A0000}"/>
    <cellStyle name="Обычный 4 2 165 2 2" xfId="57998" xr:uid="{00000000-0005-0000-0000-0000A21A0000}"/>
    <cellStyle name="Обычный 4 2 165 3" xfId="15277" xr:uid="{00000000-0005-0000-0000-0000A31A0000}"/>
    <cellStyle name="Обычный 4 2 165 4" xfId="20617" xr:uid="{00000000-0005-0000-0000-0000A41A0000}"/>
    <cellStyle name="Обычный 4 2 165 5" xfId="25957" xr:uid="{00000000-0005-0000-0000-0000A51A0000}"/>
    <cellStyle name="Обычный 4 2 165 6" xfId="31297" xr:uid="{00000000-0005-0000-0000-0000A61A0000}"/>
    <cellStyle name="Обычный 4 2 165 7" xfId="36637" xr:uid="{00000000-0005-0000-0000-0000A71A0000}"/>
    <cellStyle name="Обычный 4 2 165 8" xfId="41977" xr:uid="{00000000-0005-0000-0000-0000A81A0000}"/>
    <cellStyle name="Обычный 4 2 165 9" xfId="47317" xr:uid="{00000000-0005-0000-0000-0000A91A0000}"/>
    <cellStyle name="Обычный 4 2 166" xfId="4626" xr:uid="{00000000-0005-0000-0000-0000AA1A0000}"/>
    <cellStyle name="Обычный 4 2 166 10" xfId="52689" xr:uid="{00000000-0005-0000-0000-0000AB1A0000}"/>
    <cellStyle name="Обычный 4 2 166 2" xfId="9969" xr:uid="{00000000-0005-0000-0000-0000AC1A0000}"/>
    <cellStyle name="Обычный 4 2 166 2 2" xfId="58030" xr:uid="{00000000-0005-0000-0000-0000AD1A0000}"/>
    <cellStyle name="Обычный 4 2 166 3" xfId="15309" xr:uid="{00000000-0005-0000-0000-0000AE1A0000}"/>
    <cellStyle name="Обычный 4 2 166 4" xfId="20649" xr:uid="{00000000-0005-0000-0000-0000AF1A0000}"/>
    <cellStyle name="Обычный 4 2 166 5" xfId="25989" xr:uid="{00000000-0005-0000-0000-0000B01A0000}"/>
    <cellStyle name="Обычный 4 2 166 6" xfId="31329" xr:uid="{00000000-0005-0000-0000-0000B11A0000}"/>
    <cellStyle name="Обычный 4 2 166 7" xfId="36669" xr:uid="{00000000-0005-0000-0000-0000B21A0000}"/>
    <cellStyle name="Обычный 4 2 166 8" xfId="42009" xr:uid="{00000000-0005-0000-0000-0000B31A0000}"/>
    <cellStyle name="Обычный 4 2 166 9" xfId="47349" xr:uid="{00000000-0005-0000-0000-0000B41A0000}"/>
    <cellStyle name="Обычный 4 2 167" xfId="4658" xr:uid="{00000000-0005-0000-0000-0000B51A0000}"/>
    <cellStyle name="Обычный 4 2 167 10" xfId="52721" xr:uid="{00000000-0005-0000-0000-0000B61A0000}"/>
    <cellStyle name="Обычный 4 2 167 2" xfId="10001" xr:uid="{00000000-0005-0000-0000-0000B71A0000}"/>
    <cellStyle name="Обычный 4 2 167 2 2" xfId="58062" xr:uid="{00000000-0005-0000-0000-0000B81A0000}"/>
    <cellStyle name="Обычный 4 2 167 3" xfId="15341" xr:uid="{00000000-0005-0000-0000-0000B91A0000}"/>
    <cellStyle name="Обычный 4 2 167 4" xfId="20681" xr:uid="{00000000-0005-0000-0000-0000BA1A0000}"/>
    <cellStyle name="Обычный 4 2 167 5" xfId="26021" xr:uid="{00000000-0005-0000-0000-0000BB1A0000}"/>
    <cellStyle name="Обычный 4 2 167 6" xfId="31361" xr:uid="{00000000-0005-0000-0000-0000BC1A0000}"/>
    <cellStyle name="Обычный 4 2 167 7" xfId="36701" xr:uid="{00000000-0005-0000-0000-0000BD1A0000}"/>
    <cellStyle name="Обычный 4 2 167 8" xfId="42041" xr:uid="{00000000-0005-0000-0000-0000BE1A0000}"/>
    <cellStyle name="Обычный 4 2 167 9" xfId="47381" xr:uid="{00000000-0005-0000-0000-0000BF1A0000}"/>
    <cellStyle name="Обычный 4 2 168" xfId="4690" xr:uid="{00000000-0005-0000-0000-0000C01A0000}"/>
    <cellStyle name="Обычный 4 2 168 10" xfId="52753" xr:uid="{00000000-0005-0000-0000-0000C11A0000}"/>
    <cellStyle name="Обычный 4 2 168 2" xfId="10033" xr:uid="{00000000-0005-0000-0000-0000C21A0000}"/>
    <cellStyle name="Обычный 4 2 168 2 2" xfId="58094" xr:uid="{00000000-0005-0000-0000-0000C31A0000}"/>
    <cellStyle name="Обычный 4 2 168 3" xfId="15373" xr:uid="{00000000-0005-0000-0000-0000C41A0000}"/>
    <cellStyle name="Обычный 4 2 168 4" xfId="20713" xr:uid="{00000000-0005-0000-0000-0000C51A0000}"/>
    <cellStyle name="Обычный 4 2 168 5" xfId="26053" xr:uid="{00000000-0005-0000-0000-0000C61A0000}"/>
    <cellStyle name="Обычный 4 2 168 6" xfId="31393" xr:uid="{00000000-0005-0000-0000-0000C71A0000}"/>
    <cellStyle name="Обычный 4 2 168 7" xfId="36733" xr:uid="{00000000-0005-0000-0000-0000C81A0000}"/>
    <cellStyle name="Обычный 4 2 168 8" xfId="42073" xr:uid="{00000000-0005-0000-0000-0000C91A0000}"/>
    <cellStyle name="Обычный 4 2 168 9" xfId="47413" xr:uid="{00000000-0005-0000-0000-0000CA1A0000}"/>
    <cellStyle name="Обычный 4 2 169" xfId="4724" xr:uid="{00000000-0005-0000-0000-0000CB1A0000}"/>
    <cellStyle name="Обычный 4 2 169 10" xfId="52787" xr:uid="{00000000-0005-0000-0000-0000CC1A0000}"/>
    <cellStyle name="Обычный 4 2 169 2" xfId="10067" xr:uid="{00000000-0005-0000-0000-0000CD1A0000}"/>
    <cellStyle name="Обычный 4 2 169 2 2" xfId="58128" xr:uid="{00000000-0005-0000-0000-0000CE1A0000}"/>
    <cellStyle name="Обычный 4 2 169 3" xfId="15407" xr:uid="{00000000-0005-0000-0000-0000CF1A0000}"/>
    <cellStyle name="Обычный 4 2 169 4" xfId="20747" xr:uid="{00000000-0005-0000-0000-0000D01A0000}"/>
    <cellStyle name="Обычный 4 2 169 5" xfId="26087" xr:uid="{00000000-0005-0000-0000-0000D11A0000}"/>
    <cellStyle name="Обычный 4 2 169 6" xfId="31427" xr:uid="{00000000-0005-0000-0000-0000D21A0000}"/>
    <cellStyle name="Обычный 4 2 169 7" xfId="36767" xr:uid="{00000000-0005-0000-0000-0000D31A0000}"/>
    <cellStyle name="Обычный 4 2 169 8" xfId="42107" xr:uid="{00000000-0005-0000-0000-0000D41A0000}"/>
    <cellStyle name="Обычный 4 2 169 9" xfId="47447" xr:uid="{00000000-0005-0000-0000-0000D51A0000}"/>
    <cellStyle name="Обычный 4 2 17" xfId="246" xr:uid="{00000000-0005-0000-0000-0000D61A0000}"/>
    <cellStyle name="Обычный 4 2 17 10" xfId="42968" xr:uid="{00000000-0005-0000-0000-0000D71A0000}"/>
    <cellStyle name="Обычный 4 2 17 11" xfId="48308" xr:uid="{00000000-0005-0000-0000-0000D81A0000}"/>
    <cellStyle name="Обычный 4 2 17 2" xfId="713" xr:uid="{00000000-0005-0000-0000-0000D91A0000}"/>
    <cellStyle name="Обычный 4 2 17 2 10" xfId="48775" xr:uid="{00000000-0005-0000-0000-0000DA1A0000}"/>
    <cellStyle name="Обычный 4 2 17 2 2" xfId="6054" xr:uid="{00000000-0005-0000-0000-0000DB1A0000}"/>
    <cellStyle name="Обычный 4 2 17 2 2 2" xfId="54116" xr:uid="{00000000-0005-0000-0000-0000DC1A0000}"/>
    <cellStyle name="Обычный 4 2 17 2 3" xfId="11395" xr:uid="{00000000-0005-0000-0000-0000DD1A0000}"/>
    <cellStyle name="Обычный 4 2 17 2 4" xfId="16735" xr:uid="{00000000-0005-0000-0000-0000DE1A0000}"/>
    <cellStyle name="Обычный 4 2 17 2 5" xfId="22075" xr:uid="{00000000-0005-0000-0000-0000DF1A0000}"/>
    <cellStyle name="Обычный 4 2 17 2 6" xfId="27415" xr:uid="{00000000-0005-0000-0000-0000E01A0000}"/>
    <cellStyle name="Обычный 4 2 17 2 7" xfId="32755" xr:uid="{00000000-0005-0000-0000-0000E11A0000}"/>
    <cellStyle name="Обычный 4 2 17 2 8" xfId="38095" xr:uid="{00000000-0005-0000-0000-0000E21A0000}"/>
    <cellStyle name="Обычный 4 2 17 2 9" xfId="43435" xr:uid="{00000000-0005-0000-0000-0000E31A0000}"/>
    <cellStyle name="Обычный 4 2 17 3" xfId="5587" xr:uid="{00000000-0005-0000-0000-0000E41A0000}"/>
    <cellStyle name="Обычный 4 2 17 3 2" xfId="53649" xr:uid="{00000000-0005-0000-0000-0000E51A0000}"/>
    <cellStyle name="Обычный 4 2 17 4" xfId="10928" xr:uid="{00000000-0005-0000-0000-0000E61A0000}"/>
    <cellStyle name="Обычный 4 2 17 5" xfId="16268" xr:uid="{00000000-0005-0000-0000-0000E71A0000}"/>
    <cellStyle name="Обычный 4 2 17 6" xfId="21608" xr:uid="{00000000-0005-0000-0000-0000E81A0000}"/>
    <cellStyle name="Обычный 4 2 17 7" xfId="26948" xr:uid="{00000000-0005-0000-0000-0000E91A0000}"/>
    <cellStyle name="Обычный 4 2 17 8" xfId="32288" xr:uid="{00000000-0005-0000-0000-0000EA1A0000}"/>
    <cellStyle name="Обычный 4 2 17 9" xfId="37628" xr:uid="{00000000-0005-0000-0000-0000EB1A0000}"/>
    <cellStyle name="Обычный 4 2 170" xfId="4756" xr:uid="{00000000-0005-0000-0000-0000EC1A0000}"/>
    <cellStyle name="Обычный 4 2 170 10" xfId="52819" xr:uid="{00000000-0005-0000-0000-0000ED1A0000}"/>
    <cellStyle name="Обычный 4 2 170 2" xfId="10099" xr:uid="{00000000-0005-0000-0000-0000EE1A0000}"/>
    <cellStyle name="Обычный 4 2 170 2 2" xfId="58160" xr:uid="{00000000-0005-0000-0000-0000EF1A0000}"/>
    <cellStyle name="Обычный 4 2 170 3" xfId="15439" xr:uid="{00000000-0005-0000-0000-0000F01A0000}"/>
    <cellStyle name="Обычный 4 2 170 4" xfId="20779" xr:uid="{00000000-0005-0000-0000-0000F11A0000}"/>
    <cellStyle name="Обычный 4 2 170 5" xfId="26119" xr:uid="{00000000-0005-0000-0000-0000F21A0000}"/>
    <cellStyle name="Обычный 4 2 170 6" xfId="31459" xr:uid="{00000000-0005-0000-0000-0000F31A0000}"/>
    <cellStyle name="Обычный 4 2 170 7" xfId="36799" xr:uid="{00000000-0005-0000-0000-0000F41A0000}"/>
    <cellStyle name="Обычный 4 2 170 8" xfId="42139" xr:uid="{00000000-0005-0000-0000-0000F51A0000}"/>
    <cellStyle name="Обычный 4 2 170 9" xfId="47479" xr:uid="{00000000-0005-0000-0000-0000F61A0000}"/>
    <cellStyle name="Обычный 4 2 171" xfId="4788" xr:uid="{00000000-0005-0000-0000-0000F71A0000}"/>
    <cellStyle name="Обычный 4 2 171 10" xfId="52851" xr:uid="{00000000-0005-0000-0000-0000F81A0000}"/>
    <cellStyle name="Обычный 4 2 171 2" xfId="10131" xr:uid="{00000000-0005-0000-0000-0000F91A0000}"/>
    <cellStyle name="Обычный 4 2 171 2 2" xfId="58192" xr:uid="{00000000-0005-0000-0000-0000FA1A0000}"/>
    <cellStyle name="Обычный 4 2 171 3" xfId="15471" xr:uid="{00000000-0005-0000-0000-0000FB1A0000}"/>
    <cellStyle name="Обычный 4 2 171 4" xfId="20811" xr:uid="{00000000-0005-0000-0000-0000FC1A0000}"/>
    <cellStyle name="Обычный 4 2 171 5" xfId="26151" xr:uid="{00000000-0005-0000-0000-0000FD1A0000}"/>
    <cellStyle name="Обычный 4 2 171 6" xfId="31491" xr:uid="{00000000-0005-0000-0000-0000FE1A0000}"/>
    <cellStyle name="Обычный 4 2 171 7" xfId="36831" xr:uid="{00000000-0005-0000-0000-0000FF1A0000}"/>
    <cellStyle name="Обычный 4 2 171 8" xfId="42171" xr:uid="{00000000-0005-0000-0000-0000001B0000}"/>
    <cellStyle name="Обычный 4 2 171 9" xfId="47511" xr:uid="{00000000-0005-0000-0000-0000011B0000}"/>
    <cellStyle name="Обычный 4 2 172" xfId="4820" xr:uid="{00000000-0005-0000-0000-0000021B0000}"/>
    <cellStyle name="Обычный 4 2 172 10" xfId="52883" xr:uid="{00000000-0005-0000-0000-0000031B0000}"/>
    <cellStyle name="Обычный 4 2 172 2" xfId="10163" xr:uid="{00000000-0005-0000-0000-0000041B0000}"/>
    <cellStyle name="Обычный 4 2 172 2 2" xfId="58224" xr:uid="{00000000-0005-0000-0000-0000051B0000}"/>
    <cellStyle name="Обычный 4 2 172 3" xfId="15503" xr:uid="{00000000-0005-0000-0000-0000061B0000}"/>
    <cellStyle name="Обычный 4 2 172 4" xfId="20843" xr:uid="{00000000-0005-0000-0000-0000071B0000}"/>
    <cellStyle name="Обычный 4 2 172 5" xfId="26183" xr:uid="{00000000-0005-0000-0000-0000081B0000}"/>
    <cellStyle name="Обычный 4 2 172 6" xfId="31523" xr:uid="{00000000-0005-0000-0000-0000091B0000}"/>
    <cellStyle name="Обычный 4 2 172 7" xfId="36863" xr:uid="{00000000-0005-0000-0000-00000A1B0000}"/>
    <cellStyle name="Обычный 4 2 172 8" xfId="42203" xr:uid="{00000000-0005-0000-0000-00000B1B0000}"/>
    <cellStyle name="Обычный 4 2 172 9" xfId="47543" xr:uid="{00000000-0005-0000-0000-00000C1B0000}"/>
    <cellStyle name="Обычный 4 2 173" xfId="4852" xr:uid="{00000000-0005-0000-0000-00000D1B0000}"/>
    <cellStyle name="Обычный 4 2 173 10" xfId="52915" xr:uid="{00000000-0005-0000-0000-00000E1B0000}"/>
    <cellStyle name="Обычный 4 2 173 2" xfId="10195" xr:uid="{00000000-0005-0000-0000-00000F1B0000}"/>
    <cellStyle name="Обычный 4 2 173 2 2" xfId="58256" xr:uid="{00000000-0005-0000-0000-0000101B0000}"/>
    <cellStyle name="Обычный 4 2 173 3" xfId="15535" xr:uid="{00000000-0005-0000-0000-0000111B0000}"/>
    <cellStyle name="Обычный 4 2 173 4" xfId="20875" xr:uid="{00000000-0005-0000-0000-0000121B0000}"/>
    <cellStyle name="Обычный 4 2 173 5" xfId="26215" xr:uid="{00000000-0005-0000-0000-0000131B0000}"/>
    <cellStyle name="Обычный 4 2 173 6" xfId="31555" xr:uid="{00000000-0005-0000-0000-0000141B0000}"/>
    <cellStyle name="Обычный 4 2 173 7" xfId="36895" xr:uid="{00000000-0005-0000-0000-0000151B0000}"/>
    <cellStyle name="Обычный 4 2 173 8" xfId="42235" xr:uid="{00000000-0005-0000-0000-0000161B0000}"/>
    <cellStyle name="Обычный 4 2 173 9" xfId="47575" xr:uid="{00000000-0005-0000-0000-0000171B0000}"/>
    <cellStyle name="Обычный 4 2 174" xfId="4884" xr:uid="{00000000-0005-0000-0000-0000181B0000}"/>
    <cellStyle name="Обычный 4 2 174 10" xfId="52947" xr:uid="{00000000-0005-0000-0000-0000191B0000}"/>
    <cellStyle name="Обычный 4 2 174 2" xfId="10227" xr:uid="{00000000-0005-0000-0000-00001A1B0000}"/>
    <cellStyle name="Обычный 4 2 174 2 2" xfId="58288" xr:uid="{00000000-0005-0000-0000-00001B1B0000}"/>
    <cellStyle name="Обычный 4 2 174 3" xfId="15567" xr:uid="{00000000-0005-0000-0000-00001C1B0000}"/>
    <cellStyle name="Обычный 4 2 174 4" xfId="20907" xr:uid="{00000000-0005-0000-0000-00001D1B0000}"/>
    <cellStyle name="Обычный 4 2 174 5" xfId="26247" xr:uid="{00000000-0005-0000-0000-00001E1B0000}"/>
    <cellStyle name="Обычный 4 2 174 6" xfId="31587" xr:uid="{00000000-0005-0000-0000-00001F1B0000}"/>
    <cellStyle name="Обычный 4 2 174 7" xfId="36927" xr:uid="{00000000-0005-0000-0000-0000201B0000}"/>
    <cellStyle name="Обычный 4 2 174 8" xfId="42267" xr:uid="{00000000-0005-0000-0000-0000211B0000}"/>
    <cellStyle name="Обычный 4 2 174 9" xfId="47607" xr:uid="{00000000-0005-0000-0000-0000221B0000}"/>
    <cellStyle name="Обычный 4 2 175" xfId="4916" xr:uid="{00000000-0005-0000-0000-0000231B0000}"/>
    <cellStyle name="Обычный 4 2 175 10" xfId="52979" xr:uid="{00000000-0005-0000-0000-0000241B0000}"/>
    <cellStyle name="Обычный 4 2 175 2" xfId="10259" xr:uid="{00000000-0005-0000-0000-0000251B0000}"/>
    <cellStyle name="Обычный 4 2 175 2 2" xfId="58320" xr:uid="{00000000-0005-0000-0000-0000261B0000}"/>
    <cellStyle name="Обычный 4 2 175 3" xfId="15599" xr:uid="{00000000-0005-0000-0000-0000271B0000}"/>
    <cellStyle name="Обычный 4 2 175 4" xfId="20939" xr:uid="{00000000-0005-0000-0000-0000281B0000}"/>
    <cellStyle name="Обычный 4 2 175 5" xfId="26279" xr:uid="{00000000-0005-0000-0000-0000291B0000}"/>
    <cellStyle name="Обычный 4 2 175 6" xfId="31619" xr:uid="{00000000-0005-0000-0000-00002A1B0000}"/>
    <cellStyle name="Обычный 4 2 175 7" xfId="36959" xr:uid="{00000000-0005-0000-0000-00002B1B0000}"/>
    <cellStyle name="Обычный 4 2 175 8" xfId="42299" xr:uid="{00000000-0005-0000-0000-00002C1B0000}"/>
    <cellStyle name="Обычный 4 2 175 9" xfId="47639" xr:uid="{00000000-0005-0000-0000-00002D1B0000}"/>
    <cellStyle name="Обычный 4 2 176" xfId="4948" xr:uid="{00000000-0005-0000-0000-00002E1B0000}"/>
    <cellStyle name="Обычный 4 2 176 10" xfId="53011" xr:uid="{00000000-0005-0000-0000-00002F1B0000}"/>
    <cellStyle name="Обычный 4 2 176 2" xfId="10291" xr:uid="{00000000-0005-0000-0000-0000301B0000}"/>
    <cellStyle name="Обычный 4 2 176 2 2" xfId="58352" xr:uid="{00000000-0005-0000-0000-0000311B0000}"/>
    <cellStyle name="Обычный 4 2 176 3" xfId="15631" xr:uid="{00000000-0005-0000-0000-0000321B0000}"/>
    <cellStyle name="Обычный 4 2 176 4" xfId="20971" xr:uid="{00000000-0005-0000-0000-0000331B0000}"/>
    <cellStyle name="Обычный 4 2 176 5" xfId="26311" xr:uid="{00000000-0005-0000-0000-0000341B0000}"/>
    <cellStyle name="Обычный 4 2 176 6" xfId="31651" xr:uid="{00000000-0005-0000-0000-0000351B0000}"/>
    <cellStyle name="Обычный 4 2 176 7" xfId="36991" xr:uid="{00000000-0005-0000-0000-0000361B0000}"/>
    <cellStyle name="Обычный 4 2 176 8" xfId="42331" xr:uid="{00000000-0005-0000-0000-0000371B0000}"/>
    <cellStyle name="Обычный 4 2 176 9" xfId="47671" xr:uid="{00000000-0005-0000-0000-0000381B0000}"/>
    <cellStyle name="Обычный 4 2 177" xfId="4980" xr:uid="{00000000-0005-0000-0000-0000391B0000}"/>
    <cellStyle name="Обычный 4 2 177 10" xfId="53043" xr:uid="{00000000-0005-0000-0000-00003A1B0000}"/>
    <cellStyle name="Обычный 4 2 177 2" xfId="10323" xr:uid="{00000000-0005-0000-0000-00003B1B0000}"/>
    <cellStyle name="Обычный 4 2 177 2 2" xfId="58384" xr:uid="{00000000-0005-0000-0000-00003C1B0000}"/>
    <cellStyle name="Обычный 4 2 177 3" xfId="15663" xr:uid="{00000000-0005-0000-0000-00003D1B0000}"/>
    <cellStyle name="Обычный 4 2 177 4" xfId="21003" xr:uid="{00000000-0005-0000-0000-00003E1B0000}"/>
    <cellStyle name="Обычный 4 2 177 5" xfId="26343" xr:uid="{00000000-0005-0000-0000-00003F1B0000}"/>
    <cellStyle name="Обычный 4 2 177 6" xfId="31683" xr:uid="{00000000-0005-0000-0000-0000401B0000}"/>
    <cellStyle name="Обычный 4 2 177 7" xfId="37023" xr:uid="{00000000-0005-0000-0000-0000411B0000}"/>
    <cellStyle name="Обычный 4 2 177 8" xfId="42363" xr:uid="{00000000-0005-0000-0000-0000421B0000}"/>
    <cellStyle name="Обычный 4 2 177 9" xfId="47703" xr:uid="{00000000-0005-0000-0000-0000431B0000}"/>
    <cellStyle name="Обычный 4 2 178" xfId="5012" xr:uid="{00000000-0005-0000-0000-0000441B0000}"/>
    <cellStyle name="Обычный 4 2 178 10" xfId="53075" xr:uid="{00000000-0005-0000-0000-0000451B0000}"/>
    <cellStyle name="Обычный 4 2 178 2" xfId="10355" xr:uid="{00000000-0005-0000-0000-0000461B0000}"/>
    <cellStyle name="Обычный 4 2 178 2 2" xfId="58416" xr:uid="{00000000-0005-0000-0000-0000471B0000}"/>
    <cellStyle name="Обычный 4 2 178 3" xfId="15695" xr:uid="{00000000-0005-0000-0000-0000481B0000}"/>
    <cellStyle name="Обычный 4 2 178 4" xfId="21035" xr:uid="{00000000-0005-0000-0000-0000491B0000}"/>
    <cellStyle name="Обычный 4 2 178 5" xfId="26375" xr:uid="{00000000-0005-0000-0000-00004A1B0000}"/>
    <cellStyle name="Обычный 4 2 178 6" xfId="31715" xr:uid="{00000000-0005-0000-0000-00004B1B0000}"/>
    <cellStyle name="Обычный 4 2 178 7" xfId="37055" xr:uid="{00000000-0005-0000-0000-00004C1B0000}"/>
    <cellStyle name="Обычный 4 2 178 8" xfId="42395" xr:uid="{00000000-0005-0000-0000-00004D1B0000}"/>
    <cellStyle name="Обычный 4 2 178 9" xfId="47735" xr:uid="{00000000-0005-0000-0000-00004E1B0000}"/>
    <cellStyle name="Обычный 4 2 179" xfId="5044" xr:uid="{00000000-0005-0000-0000-00004F1B0000}"/>
    <cellStyle name="Обычный 4 2 179 10" xfId="53107" xr:uid="{00000000-0005-0000-0000-0000501B0000}"/>
    <cellStyle name="Обычный 4 2 179 2" xfId="10387" xr:uid="{00000000-0005-0000-0000-0000511B0000}"/>
    <cellStyle name="Обычный 4 2 179 2 2" xfId="58448" xr:uid="{00000000-0005-0000-0000-0000521B0000}"/>
    <cellStyle name="Обычный 4 2 179 3" xfId="15727" xr:uid="{00000000-0005-0000-0000-0000531B0000}"/>
    <cellStyle name="Обычный 4 2 179 4" xfId="21067" xr:uid="{00000000-0005-0000-0000-0000541B0000}"/>
    <cellStyle name="Обычный 4 2 179 5" xfId="26407" xr:uid="{00000000-0005-0000-0000-0000551B0000}"/>
    <cellStyle name="Обычный 4 2 179 6" xfId="31747" xr:uid="{00000000-0005-0000-0000-0000561B0000}"/>
    <cellStyle name="Обычный 4 2 179 7" xfId="37087" xr:uid="{00000000-0005-0000-0000-0000571B0000}"/>
    <cellStyle name="Обычный 4 2 179 8" xfId="42427" xr:uid="{00000000-0005-0000-0000-0000581B0000}"/>
    <cellStyle name="Обычный 4 2 179 9" xfId="47767" xr:uid="{00000000-0005-0000-0000-0000591B0000}"/>
    <cellStyle name="Обычный 4 2 18" xfId="256" xr:uid="{00000000-0005-0000-0000-00005A1B0000}"/>
    <cellStyle name="Обычный 4 2 18 10" xfId="42978" xr:uid="{00000000-0005-0000-0000-00005B1B0000}"/>
    <cellStyle name="Обычный 4 2 18 11" xfId="48318" xr:uid="{00000000-0005-0000-0000-00005C1B0000}"/>
    <cellStyle name="Обычный 4 2 18 2" xfId="723" xr:uid="{00000000-0005-0000-0000-00005D1B0000}"/>
    <cellStyle name="Обычный 4 2 18 2 10" xfId="48785" xr:uid="{00000000-0005-0000-0000-00005E1B0000}"/>
    <cellStyle name="Обычный 4 2 18 2 2" xfId="6064" xr:uid="{00000000-0005-0000-0000-00005F1B0000}"/>
    <cellStyle name="Обычный 4 2 18 2 2 2" xfId="54126" xr:uid="{00000000-0005-0000-0000-0000601B0000}"/>
    <cellStyle name="Обычный 4 2 18 2 3" xfId="11405" xr:uid="{00000000-0005-0000-0000-0000611B0000}"/>
    <cellStyle name="Обычный 4 2 18 2 4" xfId="16745" xr:uid="{00000000-0005-0000-0000-0000621B0000}"/>
    <cellStyle name="Обычный 4 2 18 2 5" xfId="22085" xr:uid="{00000000-0005-0000-0000-0000631B0000}"/>
    <cellStyle name="Обычный 4 2 18 2 6" xfId="27425" xr:uid="{00000000-0005-0000-0000-0000641B0000}"/>
    <cellStyle name="Обычный 4 2 18 2 7" xfId="32765" xr:uid="{00000000-0005-0000-0000-0000651B0000}"/>
    <cellStyle name="Обычный 4 2 18 2 8" xfId="38105" xr:uid="{00000000-0005-0000-0000-0000661B0000}"/>
    <cellStyle name="Обычный 4 2 18 2 9" xfId="43445" xr:uid="{00000000-0005-0000-0000-0000671B0000}"/>
    <cellStyle name="Обычный 4 2 18 3" xfId="5597" xr:uid="{00000000-0005-0000-0000-0000681B0000}"/>
    <cellStyle name="Обычный 4 2 18 3 2" xfId="53659" xr:uid="{00000000-0005-0000-0000-0000691B0000}"/>
    <cellStyle name="Обычный 4 2 18 4" xfId="10938" xr:uid="{00000000-0005-0000-0000-00006A1B0000}"/>
    <cellStyle name="Обычный 4 2 18 5" xfId="16278" xr:uid="{00000000-0005-0000-0000-00006B1B0000}"/>
    <cellStyle name="Обычный 4 2 18 6" xfId="21618" xr:uid="{00000000-0005-0000-0000-00006C1B0000}"/>
    <cellStyle name="Обычный 4 2 18 7" xfId="26958" xr:uid="{00000000-0005-0000-0000-00006D1B0000}"/>
    <cellStyle name="Обычный 4 2 18 8" xfId="32298" xr:uid="{00000000-0005-0000-0000-00006E1B0000}"/>
    <cellStyle name="Обычный 4 2 18 9" xfId="37638" xr:uid="{00000000-0005-0000-0000-00006F1B0000}"/>
    <cellStyle name="Обычный 4 2 180" xfId="5076" xr:uid="{00000000-0005-0000-0000-0000701B0000}"/>
    <cellStyle name="Обычный 4 2 180 10" xfId="53139" xr:uid="{00000000-0005-0000-0000-0000711B0000}"/>
    <cellStyle name="Обычный 4 2 180 2" xfId="10419" xr:uid="{00000000-0005-0000-0000-0000721B0000}"/>
    <cellStyle name="Обычный 4 2 180 2 2" xfId="58480" xr:uid="{00000000-0005-0000-0000-0000731B0000}"/>
    <cellStyle name="Обычный 4 2 180 3" xfId="15759" xr:uid="{00000000-0005-0000-0000-0000741B0000}"/>
    <cellStyle name="Обычный 4 2 180 4" xfId="21099" xr:uid="{00000000-0005-0000-0000-0000751B0000}"/>
    <cellStyle name="Обычный 4 2 180 5" xfId="26439" xr:uid="{00000000-0005-0000-0000-0000761B0000}"/>
    <cellStyle name="Обычный 4 2 180 6" xfId="31779" xr:uid="{00000000-0005-0000-0000-0000771B0000}"/>
    <cellStyle name="Обычный 4 2 180 7" xfId="37119" xr:uid="{00000000-0005-0000-0000-0000781B0000}"/>
    <cellStyle name="Обычный 4 2 180 8" xfId="42459" xr:uid="{00000000-0005-0000-0000-0000791B0000}"/>
    <cellStyle name="Обычный 4 2 180 9" xfId="47799" xr:uid="{00000000-0005-0000-0000-00007A1B0000}"/>
    <cellStyle name="Обычный 4 2 181" xfId="5108" xr:uid="{00000000-0005-0000-0000-00007B1B0000}"/>
    <cellStyle name="Обычный 4 2 181 10" xfId="53171" xr:uid="{00000000-0005-0000-0000-00007C1B0000}"/>
    <cellStyle name="Обычный 4 2 181 2" xfId="10451" xr:uid="{00000000-0005-0000-0000-00007D1B0000}"/>
    <cellStyle name="Обычный 4 2 181 2 2" xfId="58512" xr:uid="{00000000-0005-0000-0000-00007E1B0000}"/>
    <cellStyle name="Обычный 4 2 181 3" xfId="15791" xr:uid="{00000000-0005-0000-0000-00007F1B0000}"/>
    <cellStyle name="Обычный 4 2 181 4" xfId="21131" xr:uid="{00000000-0005-0000-0000-0000801B0000}"/>
    <cellStyle name="Обычный 4 2 181 5" xfId="26471" xr:uid="{00000000-0005-0000-0000-0000811B0000}"/>
    <cellStyle name="Обычный 4 2 181 6" xfId="31811" xr:uid="{00000000-0005-0000-0000-0000821B0000}"/>
    <cellStyle name="Обычный 4 2 181 7" xfId="37151" xr:uid="{00000000-0005-0000-0000-0000831B0000}"/>
    <cellStyle name="Обычный 4 2 181 8" xfId="42491" xr:uid="{00000000-0005-0000-0000-0000841B0000}"/>
    <cellStyle name="Обычный 4 2 181 9" xfId="47831" xr:uid="{00000000-0005-0000-0000-0000851B0000}"/>
    <cellStyle name="Обычный 4 2 182" xfId="5140" xr:uid="{00000000-0005-0000-0000-0000861B0000}"/>
    <cellStyle name="Обычный 4 2 182 10" xfId="53203" xr:uid="{00000000-0005-0000-0000-0000871B0000}"/>
    <cellStyle name="Обычный 4 2 182 2" xfId="10483" xr:uid="{00000000-0005-0000-0000-0000881B0000}"/>
    <cellStyle name="Обычный 4 2 182 2 2" xfId="58544" xr:uid="{00000000-0005-0000-0000-0000891B0000}"/>
    <cellStyle name="Обычный 4 2 182 3" xfId="15823" xr:uid="{00000000-0005-0000-0000-00008A1B0000}"/>
    <cellStyle name="Обычный 4 2 182 4" xfId="21163" xr:uid="{00000000-0005-0000-0000-00008B1B0000}"/>
    <cellStyle name="Обычный 4 2 182 5" xfId="26503" xr:uid="{00000000-0005-0000-0000-00008C1B0000}"/>
    <cellStyle name="Обычный 4 2 182 6" xfId="31843" xr:uid="{00000000-0005-0000-0000-00008D1B0000}"/>
    <cellStyle name="Обычный 4 2 182 7" xfId="37183" xr:uid="{00000000-0005-0000-0000-00008E1B0000}"/>
    <cellStyle name="Обычный 4 2 182 8" xfId="42523" xr:uid="{00000000-0005-0000-0000-00008F1B0000}"/>
    <cellStyle name="Обычный 4 2 182 9" xfId="47863" xr:uid="{00000000-0005-0000-0000-0000901B0000}"/>
    <cellStyle name="Обычный 4 2 183" xfId="5172" xr:uid="{00000000-0005-0000-0000-0000911B0000}"/>
    <cellStyle name="Обычный 4 2 183 10" xfId="53235" xr:uid="{00000000-0005-0000-0000-0000921B0000}"/>
    <cellStyle name="Обычный 4 2 183 2" xfId="10515" xr:uid="{00000000-0005-0000-0000-0000931B0000}"/>
    <cellStyle name="Обычный 4 2 183 2 2" xfId="58576" xr:uid="{00000000-0005-0000-0000-0000941B0000}"/>
    <cellStyle name="Обычный 4 2 183 3" xfId="15855" xr:uid="{00000000-0005-0000-0000-0000951B0000}"/>
    <cellStyle name="Обычный 4 2 183 4" xfId="21195" xr:uid="{00000000-0005-0000-0000-0000961B0000}"/>
    <cellStyle name="Обычный 4 2 183 5" xfId="26535" xr:uid="{00000000-0005-0000-0000-0000971B0000}"/>
    <cellStyle name="Обычный 4 2 183 6" xfId="31875" xr:uid="{00000000-0005-0000-0000-0000981B0000}"/>
    <cellStyle name="Обычный 4 2 183 7" xfId="37215" xr:uid="{00000000-0005-0000-0000-0000991B0000}"/>
    <cellStyle name="Обычный 4 2 183 8" xfId="42555" xr:uid="{00000000-0005-0000-0000-00009A1B0000}"/>
    <cellStyle name="Обычный 4 2 183 9" xfId="47895" xr:uid="{00000000-0005-0000-0000-00009B1B0000}"/>
    <cellStyle name="Обычный 4 2 184" xfId="5204" xr:uid="{00000000-0005-0000-0000-00009C1B0000}"/>
    <cellStyle name="Обычный 4 2 184 10" xfId="53267" xr:uid="{00000000-0005-0000-0000-00009D1B0000}"/>
    <cellStyle name="Обычный 4 2 184 2" xfId="10547" xr:uid="{00000000-0005-0000-0000-00009E1B0000}"/>
    <cellStyle name="Обычный 4 2 184 2 2" xfId="58608" xr:uid="{00000000-0005-0000-0000-00009F1B0000}"/>
    <cellStyle name="Обычный 4 2 184 3" xfId="15887" xr:uid="{00000000-0005-0000-0000-0000A01B0000}"/>
    <cellStyle name="Обычный 4 2 184 4" xfId="21227" xr:uid="{00000000-0005-0000-0000-0000A11B0000}"/>
    <cellStyle name="Обычный 4 2 184 5" xfId="26567" xr:uid="{00000000-0005-0000-0000-0000A21B0000}"/>
    <cellStyle name="Обычный 4 2 184 6" xfId="31907" xr:uid="{00000000-0005-0000-0000-0000A31B0000}"/>
    <cellStyle name="Обычный 4 2 184 7" xfId="37247" xr:uid="{00000000-0005-0000-0000-0000A41B0000}"/>
    <cellStyle name="Обычный 4 2 184 8" xfId="42587" xr:uid="{00000000-0005-0000-0000-0000A51B0000}"/>
    <cellStyle name="Обычный 4 2 184 9" xfId="47927" xr:uid="{00000000-0005-0000-0000-0000A61B0000}"/>
    <cellStyle name="Обычный 4 2 185" xfId="5236" xr:uid="{00000000-0005-0000-0000-0000A71B0000}"/>
    <cellStyle name="Обычный 4 2 185 10" xfId="53299" xr:uid="{00000000-0005-0000-0000-0000A81B0000}"/>
    <cellStyle name="Обычный 4 2 185 2" xfId="10579" xr:uid="{00000000-0005-0000-0000-0000A91B0000}"/>
    <cellStyle name="Обычный 4 2 185 2 2" xfId="58640" xr:uid="{00000000-0005-0000-0000-0000AA1B0000}"/>
    <cellStyle name="Обычный 4 2 185 3" xfId="15919" xr:uid="{00000000-0005-0000-0000-0000AB1B0000}"/>
    <cellStyle name="Обычный 4 2 185 4" xfId="21259" xr:uid="{00000000-0005-0000-0000-0000AC1B0000}"/>
    <cellStyle name="Обычный 4 2 185 5" xfId="26599" xr:uid="{00000000-0005-0000-0000-0000AD1B0000}"/>
    <cellStyle name="Обычный 4 2 185 6" xfId="31939" xr:uid="{00000000-0005-0000-0000-0000AE1B0000}"/>
    <cellStyle name="Обычный 4 2 185 7" xfId="37279" xr:uid="{00000000-0005-0000-0000-0000AF1B0000}"/>
    <cellStyle name="Обычный 4 2 185 8" xfId="42619" xr:uid="{00000000-0005-0000-0000-0000B01B0000}"/>
    <cellStyle name="Обычный 4 2 185 9" xfId="47959" xr:uid="{00000000-0005-0000-0000-0000B11B0000}"/>
    <cellStyle name="Обычный 4 2 186" xfId="5268" xr:uid="{00000000-0005-0000-0000-0000B21B0000}"/>
    <cellStyle name="Обычный 4 2 186 10" xfId="53331" xr:uid="{00000000-0005-0000-0000-0000B31B0000}"/>
    <cellStyle name="Обычный 4 2 186 2" xfId="10611" xr:uid="{00000000-0005-0000-0000-0000B41B0000}"/>
    <cellStyle name="Обычный 4 2 186 2 2" xfId="58672" xr:uid="{00000000-0005-0000-0000-0000B51B0000}"/>
    <cellStyle name="Обычный 4 2 186 3" xfId="15951" xr:uid="{00000000-0005-0000-0000-0000B61B0000}"/>
    <cellStyle name="Обычный 4 2 186 4" xfId="21291" xr:uid="{00000000-0005-0000-0000-0000B71B0000}"/>
    <cellStyle name="Обычный 4 2 186 5" xfId="26631" xr:uid="{00000000-0005-0000-0000-0000B81B0000}"/>
    <cellStyle name="Обычный 4 2 186 6" xfId="31971" xr:uid="{00000000-0005-0000-0000-0000B91B0000}"/>
    <cellStyle name="Обычный 4 2 186 7" xfId="37311" xr:uid="{00000000-0005-0000-0000-0000BA1B0000}"/>
    <cellStyle name="Обычный 4 2 186 8" xfId="42651" xr:uid="{00000000-0005-0000-0000-0000BB1B0000}"/>
    <cellStyle name="Обычный 4 2 186 9" xfId="47991" xr:uid="{00000000-0005-0000-0000-0000BC1B0000}"/>
    <cellStyle name="Обычный 4 2 187" xfId="5300" xr:uid="{00000000-0005-0000-0000-0000BD1B0000}"/>
    <cellStyle name="Обычный 4 2 187 10" xfId="53363" xr:uid="{00000000-0005-0000-0000-0000BE1B0000}"/>
    <cellStyle name="Обычный 4 2 187 2" xfId="10643" xr:uid="{00000000-0005-0000-0000-0000BF1B0000}"/>
    <cellStyle name="Обычный 4 2 187 2 2" xfId="58704" xr:uid="{00000000-0005-0000-0000-0000C01B0000}"/>
    <cellStyle name="Обычный 4 2 187 3" xfId="15983" xr:uid="{00000000-0005-0000-0000-0000C11B0000}"/>
    <cellStyle name="Обычный 4 2 187 4" xfId="21323" xr:uid="{00000000-0005-0000-0000-0000C21B0000}"/>
    <cellStyle name="Обычный 4 2 187 5" xfId="26663" xr:uid="{00000000-0005-0000-0000-0000C31B0000}"/>
    <cellStyle name="Обычный 4 2 187 6" xfId="32003" xr:uid="{00000000-0005-0000-0000-0000C41B0000}"/>
    <cellStyle name="Обычный 4 2 187 7" xfId="37343" xr:uid="{00000000-0005-0000-0000-0000C51B0000}"/>
    <cellStyle name="Обычный 4 2 187 8" xfId="42683" xr:uid="{00000000-0005-0000-0000-0000C61B0000}"/>
    <cellStyle name="Обычный 4 2 187 9" xfId="48023" xr:uid="{00000000-0005-0000-0000-0000C71B0000}"/>
    <cellStyle name="Обычный 4 2 188" xfId="5332" xr:uid="{00000000-0005-0000-0000-0000C81B0000}"/>
    <cellStyle name="Обычный 4 2 188 10" xfId="53395" xr:uid="{00000000-0005-0000-0000-0000C91B0000}"/>
    <cellStyle name="Обычный 4 2 188 2" xfId="10675" xr:uid="{00000000-0005-0000-0000-0000CA1B0000}"/>
    <cellStyle name="Обычный 4 2 188 2 2" xfId="58736" xr:uid="{00000000-0005-0000-0000-0000CB1B0000}"/>
    <cellStyle name="Обычный 4 2 188 3" xfId="16015" xr:uid="{00000000-0005-0000-0000-0000CC1B0000}"/>
    <cellStyle name="Обычный 4 2 188 4" xfId="21355" xr:uid="{00000000-0005-0000-0000-0000CD1B0000}"/>
    <cellStyle name="Обычный 4 2 188 5" xfId="26695" xr:uid="{00000000-0005-0000-0000-0000CE1B0000}"/>
    <cellStyle name="Обычный 4 2 188 6" xfId="32035" xr:uid="{00000000-0005-0000-0000-0000CF1B0000}"/>
    <cellStyle name="Обычный 4 2 188 7" xfId="37375" xr:uid="{00000000-0005-0000-0000-0000D01B0000}"/>
    <cellStyle name="Обычный 4 2 188 8" xfId="42715" xr:uid="{00000000-0005-0000-0000-0000D11B0000}"/>
    <cellStyle name="Обычный 4 2 188 9" xfId="48055" xr:uid="{00000000-0005-0000-0000-0000D21B0000}"/>
    <cellStyle name="Обычный 4 2 189" xfId="5364" xr:uid="{00000000-0005-0000-0000-0000D31B0000}"/>
    <cellStyle name="Обычный 4 2 189 10" xfId="53427" xr:uid="{00000000-0005-0000-0000-0000D41B0000}"/>
    <cellStyle name="Обычный 4 2 189 2" xfId="10707" xr:uid="{00000000-0005-0000-0000-0000D51B0000}"/>
    <cellStyle name="Обычный 4 2 189 2 2" xfId="58768" xr:uid="{00000000-0005-0000-0000-0000D61B0000}"/>
    <cellStyle name="Обычный 4 2 189 3" xfId="16047" xr:uid="{00000000-0005-0000-0000-0000D71B0000}"/>
    <cellStyle name="Обычный 4 2 189 4" xfId="21387" xr:uid="{00000000-0005-0000-0000-0000D81B0000}"/>
    <cellStyle name="Обычный 4 2 189 5" xfId="26727" xr:uid="{00000000-0005-0000-0000-0000D91B0000}"/>
    <cellStyle name="Обычный 4 2 189 6" xfId="32067" xr:uid="{00000000-0005-0000-0000-0000DA1B0000}"/>
    <cellStyle name="Обычный 4 2 189 7" xfId="37407" xr:uid="{00000000-0005-0000-0000-0000DB1B0000}"/>
    <cellStyle name="Обычный 4 2 189 8" xfId="42747" xr:uid="{00000000-0005-0000-0000-0000DC1B0000}"/>
    <cellStyle name="Обычный 4 2 189 9" xfId="48087" xr:uid="{00000000-0005-0000-0000-0000DD1B0000}"/>
    <cellStyle name="Обычный 4 2 19" xfId="266" xr:uid="{00000000-0005-0000-0000-0000DE1B0000}"/>
    <cellStyle name="Обычный 4 2 19 10" xfId="42988" xr:uid="{00000000-0005-0000-0000-0000DF1B0000}"/>
    <cellStyle name="Обычный 4 2 19 11" xfId="48328" xr:uid="{00000000-0005-0000-0000-0000E01B0000}"/>
    <cellStyle name="Обычный 4 2 19 2" xfId="733" xr:uid="{00000000-0005-0000-0000-0000E11B0000}"/>
    <cellStyle name="Обычный 4 2 19 2 10" xfId="48795" xr:uid="{00000000-0005-0000-0000-0000E21B0000}"/>
    <cellStyle name="Обычный 4 2 19 2 2" xfId="6074" xr:uid="{00000000-0005-0000-0000-0000E31B0000}"/>
    <cellStyle name="Обычный 4 2 19 2 2 2" xfId="54136" xr:uid="{00000000-0005-0000-0000-0000E41B0000}"/>
    <cellStyle name="Обычный 4 2 19 2 3" xfId="11415" xr:uid="{00000000-0005-0000-0000-0000E51B0000}"/>
    <cellStyle name="Обычный 4 2 19 2 4" xfId="16755" xr:uid="{00000000-0005-0000-0000-0000E61B0000}"/>
    <cellStyle name="Обычный 4 2 19 2 5" xfId="22095" xr:uid="{00000000-0005-0000-0000-0000E71B0000}"/>
    <cellStyle name="Обычный 4 2 19 2 6" xfId="27435" xr:uid="{00000000-0005-0000-0000-0000E81B0000}"/>
    <cellStyle name="Обычный 4 2 19 2 7" xfId="32775" xr:uid="{00000000-0005-0000-0000-0000E91B0000}"/>
    <cellStyle name="Обычный 4 2 19 2 8" xfId="38115" xr:uid="{00000000-0005-0000-0000-0000EA1B0000}"/>
    <cellStyle name="Обычный 4 2 19 2 9" xfId="43455" xr:uid="{00000000-0005-0000-0000-0000EB1B0000}"/>
    <cellStyle name="Обычный 4 2 19 3" xfId="5607" xr:uid="{00000000-0005-0000-0000-0000EC1B0000}"/>
    <cellStyle name="Обычный 4 2 19 3 2" xfId="53669" xr:uid="{00000000-0005-0000-0000-0000ED1B0000}"/>
    <cellStyle name="Обычный 4 2 19 4" xfId="10948" xr:uid="{00000000-0005-0000-0000-0000EE1B0000}"/>
    <cellStyle name="Обычный 4 2 19 5" xfId="16288" xr:uid="{00000000-0005-0000-0000-0000EF1B0000}"/>
    <cellStyle name="Обычный 4 2 19 6" xfId="21628" xr:uid="{00000000-0005-0000-0000-0000F01B0000}"/>
    <cellStyle name="Обычный 4 2 19 7" xfId="26968" xr:uid="{00000000-0005-0000-0000-0000F11B0000}"/>
    <cellStyle name="Обычный 4 2 19 8" xfId="32308" xr:uid="{00000000-0005-0000-0000-0000F21B0000}"/>
    <cellStyle name="Обычный 4 2 19 9" xfId="37648" xr:uid="{00000000-0005-0000-0000-0000F31B0000}"/>
    <cellStyle name="Обычный 4 2 190" xfId="5397" xr:uid="{00000000-0005-0000-0000-0000F41B0000}"/>
    <cellStyle name="Обычный 4 2 190 2" xfId="53459" xr:uid="{00000000-0005-0000-0000-0000F51B0000}"/>
    <cellStyle name="Обычный 4 2 191" xfId="10738" xr:uid="{00000000-0005-0000-0000-0000F61B0000}"/>
    <cellStyle name="Обычный 4 2 192" xfId="16078" xr:uid="{00000000-0005-0000-0000-0000F71B0000}"/>
    <cellStyle name="Обычный 4 2 193" xfId="21418" xr:uid="{00000000-0005-0000-0000-0000F81B0000}"/>
    <cellStyle name="Обычный 4 2 194" xfId="26758" xr:uid="{00000000-0005-0000-0000-0000F91B0000}"/>
    <cellStyle name="Обычный 4 2 195" xfId="32098" xr:uid="{00000000-0005-0000-0000-0000FA1B0000}"/>
    <cellStyle name="Обычный 4 2 196" xfId="37438" xr:uid="{00000000-0005-0000-0000-0000FB1B0000}"/>
    <cellStyle name="Обычный 4 2 197" xfId="42778" xr:uid="{00000000-0005-0000-0000-0000FC1B0000}"/>
    <cellStyle name="Обычный 4 2 198" xfId="48118" xr:uid="{00000000-0005-0000-0000-0000FD1B0000}"/>
    <cellStyle name="Обычный 4 2 2" xfId="100" xr:uid="{00000000-0005-0000-0000-0000FE1B0000}"/>
    <cellStyle name="Обычный 4 2 2 10" xfId="1180" xr:uid="{00000000-0005-0000-0000-0000FF1B0000}"/>
    <cellStyle name="Обычный 4 2 2 10 10" xfId="49243" xr:uid="{00000000-0005-0000-0000-0000001C0000}"/>
    <cellStyle name="Обычный 4 2 2 10 2" xfId="6522" xr:uid="{00000000-0005-0000-0000-0000011C0000}"/>
    <cellStyle name="Обычный 4 2 2 10 2 2" xfId="54584" xr:uid="{00000000-0005-0000-0000-0000021C0000}"/>
    <cellStyle name="Обычный 4 2 2 10 3" xfId="11863" xr:uid="{00000000-0005-0000-0000-0000031C0000}"/>
    <cellStyle name="Обычный 4 2 2 10 4" xfId="17203" xr:uid="{00000000-0005-0000-0000-0000041C0000}"/>
    <cellStyle name="Обычный 4 2 2 10 5" xfId="22543" xr:uid="{00000000-0005-0000-0000-0000051C0000}"/>
    <cellStyle name="Обычный 4 2 2 10 6" xfId="27883" xr:uid="{00000000-0005-0000-0000-0000061C0000}"/>
    <cellStyle name="Обычный 4 2 2 10 7" xfId="33223" xr:uid="{00000000-0005-0000-0000-0000071C0000}"/>
    <cellStyle name="Обычный 4 2 2 10 8" xfId="38563" xr:uid="{00000000-0005-0000-0000-0000081C0000}"/>
    <cellStyle name="Обычный 4 2 2 10 9" xfId="43903" xr:uid="{00000000-0005-0000-0000-0000091C0000}"/>
    <cellStyle name="Обычный 4 2 2 100" xfId="3838" xr:uid="{00000000-0005-0000-0000-00000A1C0000}"/>
    <cellStyle name="Обычный 4 2 2 100 10" xfId="51901" xr:uid="{00000000-0005-0000-0000-00000B1C0000}"/>
    <cellStyle name="Обычный 4 2 2 100 2" xfId="9181" xr:uid="{00000000-0005-0000-0000-00000C1C0000}"/>
    <cellStyle name="Обычный 4 2 2 100 2 2" xfId="57242" xr:uid="{00000000-0005-0000-0000-00000D1C0000}"/>
    <cellStyle name="Обычный 4 2 2 100 3" xfId="14521" xr:uid="{00000000-0005-0000-0000-00000E1C0000}"/>
    <cellStyle name="Обычный 4 2 2 100 4" xfId="19861" xr:uid="{00000000-0005-0000-0000-00000F1C0000}"/>
    <cellStyle name="Обычный 4 2 2 100 5" xfId="25201" xr:uid="{00000000-0005-0000-0000-0000101C0000}"/>
    <cellStyle name="Обычный 4 2 2 100 6" xfId="30541" xr:uid="{00000000-0005-0000-0000-0000111C0000}"/>
    <cellStyle name="Обычный 4 2 2 100 7" xfId="35881" xr:uid="{00000000-0005-0000-0000-0000121C0000}"/>
    <cellStyle name="Обычный 4 2 2 100 8" xfId="41221" xr:uid="{00000000-0005-0000-0000-0000131C0000}"/>
    <cellStyle name="Обычный 4 2 2 100 9" xfId="46561" xr:uid="{00000000-0005-0000-0000-0000141C0000}"/>
    <cellStyle name="Обычный 4 2 2 101" xfId="3870" xr:uid="{00000000-0005-0000-0000-0000151C0000}"/>
    <cellStyle name="Обычный 4 2 2 101 10" xfId="51933" xr:uid="{00000000-0005-0000-0000-0000161C0000}"/>
    <cellStyle name="Обычный 4 2 2 101 2" xfId="9213" xr:uid="{00000000-0005-0000-0000-0000171C0000}"/>
    <cellStyle name="Обычный 4 2 2 101 2 2" xfId="57274" xr:uid="{00000000-0005-0000-0000-0000181C0000}"/>
    <cellStyle name="Обычный 4 2 2 101 3" xfId="14553" xr:uid="{00000000-0005-0000-0000-0000191C0000}"/>
    <cellStyle name="Обычный 4 2 2 101 4" xfId="19893" xr:uid="{00000000-0005-0000-0000-00001A1C0000}"/>
    <cellStyle name="Обычный 4 2 2 101 5" xfId="25233" xr:uid="{00000000-0005-0000-0000-00001B1C0000}"/>
    <cellStyle name="Обычный 4 2 2 101 6" xfId="30573" xr:uid="{00000000-0005-0000-0000-00001C1C0000}"/>
    <cellStyle name="Обычный 4 2 2 101 7" xfId="35913" xr:uid="{00000000-0005-0000-0000-00001D1C0000}"/>
    <cellStyle name="Обычный 4 2 2 101 8" xfId="41253" xr:uid="{00000000-0005-0000-0000-00001E1C0000}"/>
    <cellStyle name="Обычный 4 2 2 101 9" xfId="46593" xr:uid="{00000000-0005-0000-0000-00001F1C0000}"/>
    <cellStyle name="Обычный 4 2 2 102" xfId="3902" xr:uid="{00000000-0005-0000-0000-0000201C0000}"/>
    <cellStyle name="Обычный 4 2 2 102 10" xfId="51965" xr:uid="{00000000-0005-0000-0000-0000211C0000}"/>
    <cellStyle name="Обычный 4 2 2 102 2" xfId="9245" xr:uid="{00000000-0005-0000-0000-0000221C0000}"/>
    <cellStyle name="Обычный 4 2 2 102 2 2" xfId="57306" xr:uid="{00000000-0005-0000-0000-0000231C0000}"/>
    <cellStyle name="Обычный 4 2 2 102 3" xfId="14585" xr:uid="{00000000-0005-0000-0000-0000241C0000}"/>
    <cellStyle name="Обычный 4 2 2 102 4" xfId="19925" xr:uid="{00000000-0005-0000-0000-0000251C0000}"/>
    <cellStyle name="Обычный 4 2 2 102 5" xfId="25265" xr:uid="{00000000-0005-0000-0000-0000261C0000}"/>
    <cellStyle name="Обычный 4 2 2 102 6" xfId="30605" xr:uid="{00000000-0005-0000-0000-0000271C0000}"/>
    <cellStyle name="Обычный 4 2 2 102 7" xfId="35945" xr:uid="{00000000-0005-0000-0000-0000281C0000}"/>
    <cellStyle name="Обычный 4 2 2 102 8" xfId="41285" xr:uid="{00000000-0005-0000-0000-0000291C0000}"/>
    <cellStyle name="Обычный 4 2 2 102 9" xfId="46625" xr:uid="{00000000-0005-0000-0000-00002A1C0000}"/>
    <cellStyle name="Обычный 4 2 2 103" xfId="3934" xr:uid="{00000000-0005-0000-0000-00002B1C0000}"/>
    <cellStyle name="Обычный 4 2 2 103 10" xfId="51997" xr:uid="{00000000-0005-0000-0000-00002C1C0000}"/>
    <cellStyle name="Обычный 4 2 2 103 2" xfId="9277" xr:uid="{00000000-0005-0000-0000-00002D1C0000}"/>
    <cellStyle name="Обычный 4 2 2 103 2 2" xfId="57338" xr:uid="{00000000-0005-0000-0000-00002E1C0000}"/>
    <cellStyle name="Обычный 4 2 2 103 3" xfId="14617" xr:uid="{00000000-0005-0000-0000-00002F1C0000}"/>
    <cellStyle name="Обычный 4 2 2 103 4" xfId="19957" xr:uid="{00000000-0005-0000-0000-0000301C0000}"/>
    <cellStyle name="Обычный 4 2 2 103 5" xfId="25297" xr:uid="{00000000-0005-0000-0000-0000311C0000}"/>
    <cellStyle name="Обычный 4 2 2 103 6" xfId="30637" xr:uid="{00000000-0005-0000-0000-0000321C0000}"/>
    <cellStyle name="Обычный 4 2 2 103 7" xfId="35977" xr:uid="{00000000-0005-0000-0000-0000331C0000}"/>
    <cellStyle name="Обычный 4 2 2 103 8" xfId="41317" xr:uid="{00000000-0005-0000-0000-0000341C0000}"/>
    <cellStyle name="Обычный 4 2 2 103 9" xfId="46657" xr:uid="{00000000-0005-0000-0000-0000351C0000}"/>
    <cellStyle name="Обычный 4 2 2 104" xfId="3966" xr:uid="{00000000-0005-0000-0000-0000361C0000}"/>
    <cellStyle name="Обычный 4 2 2 104 10" xfId="52029" xr:uid="{00000000-0005-0000-0000-0000371C0000}"/>
    <cellStyle name="Обычный 4 2 2 104 2" xfId="9309" xr:uid="{00000000-0005-0000-0000-0000381C0000}"/>
    <cellStyle name="Обычный 4 2 2 104 2 2" xfId="57370" xr:uid="{00000000-0005-0000-0000-0000391C0000}"/>
    <cellStyle name="Обычный 4 2 2 104 3" xfId="14649" xr:uid="{00000000-0005-0000-0000-00003A1C0000}"/>
    <cellStyle name="Обычный 4 2 2 104 4" xfId="19989" xr:uid="{00000000-0005-0000-0000-00003B1C0000}"/>
    <cellStyle name="Обычный 4 2 2 104 5" xfId="25329" xr:uid="{00000000-0005-0000-0000-00003C1C0000}"/>
    <cellStyle name="Обычный 4 2 2 104 6" xfId="30669" xr:uid="{00000000-0005-0000-0000-00003D1C0000}"/>
    <cellStyle name="Обычный 4 2 2 104 7" xfId="36009" xr:uid="{00000000-0005-0000-0000-00003E1C0000}"/>
    <cellStyle name="Обычный 4 2 2 104 8" xfId="41349" xr:uid="{00000000-0005-0000-0000-00003F1C0000}"/>
    <cellStyle name="Обычный 4 2 2 104 9" xfId="46689" xr:uid="{00000000-0005-0000-0000-0000401C0000}"/>
    <cellStyle name="Обычный 4 2 2 105" xfId="3998" xr:uid="{00000000-0005-0000-0000-0000411C0000}"/>
    <cellStyle name="Обычный 4 2 2 105 10" xfId="52061" xr:uid="{00000000-0005-0000-0000-0000421C0000}"/>
    <cellStyle name="Обычный 4 2 2 105 2" xfId="9341" xr:uid="{00000000-0005-0000-0000-0000431C0000}"/>
    <cellStyle name="Обычный 4 2 2 105 2 2" xfId="57402" xr:uid="{00000000-0005-0000-0000-0000441C0000}"/>
    <cellStyle name="Обычный 4 2 2 105 3" xfId="14681" xr:uid="{00000000-0005-0000-0000-0000451C0000}"/>
    <cellStyle name="Обычный 4 2 2 105 4" xfId="20021" xr:uid="{00000000-0005-0000-0000-0000461C0000}"/>
    <cellStyle name="Обычный 4 2 2 105 5" xfId="25361" xr:uid="{00000000-0005-0000-0000-0000471C0000}"/>
    <cellStyle name="Обычный 4 2 2 105 6" xfId="30701" xr:uid="{00000000-0005-0000-0000-0000481C0000}"/>
    <cellStyle name="Обычный 4 2 2 105 7" xfId="36041" xr:uid="{00000000-0005-0000-0000-0000491C0000}"/>
    <cellStyle name="Обычный 4 2 2 105 8" xfId="41381" xr:uid="{00000000-0005-0000-0000-00004A1C0000}"/>
    <cellStyle name="Обычный 4 2 2 105 9" xfId="46721" xr:uid="{00000000-0005-0000-0000-00004B1C0000}"/>
    <cellStyle name="Обычный 4 2 2 106" xfId="4030" xr:uid="{00000000-0005-0000-0000-00004C1C0000}"/>
    <cellStyle name="Обычный 4 2 2 106 10" xfId="52093" xr:uid="{00000000-0005-0000-0000-00004D1C0000}"/>
    <cellStyle name="Обычный 4 2 2 106 2" xfId="9373" xr:uid="{00000000-0005-0000-0000-00004E1C0000}"/>
    <cellStyle name="Обычный 4 2 2 106 2 2" xfId="57434" xr:uid="{00000000-0005-0000-0000-00004F1C0000}"/>
    <cellStyle name="Обычный 4 2 2 106 3" xfId="14713" xr:uid="{00000000-0005-0000-0000-0000501C0000}"/>
    <cellStyle name="Обычный 4 2 2 106 4" xfId="20053" xr:uid="{00000000-0005-0000-0000-0000511C0000}"/>
    <cellStyle name="Обычный 4 2 2 106 5" xfId="25393" xr:uid="{00000000-0005-0000-0000-0000521C0000}"/>
    <cellStyle name="Обычный 4 2 2 106 6" xfId="30733" xr:uid="{00000000-0005-0000-0000-0000531C0000}"/>
    <cellStyle name="Обычный 4 2 2 106 7" xfId="36073" xr:uid="{00000000-0005-0000-0000-0000541C0000}"/>
    <cellStyle name="Обычный 4 2 2 106 8" xfId="41413" xr:uid="{00000000-0005-0000-0000-0000551C0000}"/>
    <cellStyle name="Обычный 4 2 2 106 9" xfId="46753" xr:uid="{00000000-0005-0000-0000-0000561C0000}"/>
    <cellStyle name="Обычный 4 2 2 107" xfId="4062" xr:uid="{00000000-0005-0000-0000-0000571C0000}"/>
    <cellStyle name="Обычный 4 2 2 107 10" xfId="52125" xr:uid="{00000000-0005-0000-0000-0000581C0000}"/>
    <cellStyle name="Обычный 4 2 2 107 2" xfId="9405" xr:uid="{00000000-0005-0000-0000-0000591C0000}"/>
    <cellStyle name="Обычный 4 2 2 107 2 2" xfId="57466" xr:uid="{00000000-0005-0000-0000-00005A1C0000}"/>
    <cellStyle name="Обычный 4 2 2 107 3" xfId="14745" xr:uid="{00000000-0005-0000-0000-00005B1C0000}"/>
    <cellStyle name="Обычный 4 2 2 107 4" xfId="20085" xr:uid="{00000000-0005-0000-0000-00005C1C0000}"/>
    <cellStyle name="Обычный 4 2 2 107 5" xfId="25425" xr:uid="{00000000-0005-0000-0000-00005D1C0000}"/>
    <cellStyle name="Обычный 4 2 2 107 6" xfId="30765" xr:uid="{00000000-0005-0000-0000-00005E1C0000}"/>
    <cellStyle name="Обычный 4 2 2 107 7" xfId="36105" xr:uid="{00000000-0005-0000-0000-00005F1C0000}"/>
    <cellStyle name="Обычный 4 2 2 107 8" xfId="41445" xr:uid="{00000000-0005-0000-0000-0000601C0000}"/>
    <cellStyle name="Обычный 4 2 2 107 9" xfId="46785" xr:uid="{00000000-0005-0000-0000-0000611C0000}"/>
    <cellStyle name="Обычный 4 2 2 108" xfId="4094" xr:uid="{00000000-0005-0000-0000-0000621C0000}"/>
    <cellStyle name="Обычный 4 2 2 108 10" xfId="52157" xr:uid="{00000000-0005-0000-0000-0000631C0000}"/>
    <cellStyle name="Обычный 4 2 2 108 2" xfId="9437" xr:uid="{00000000-0005-0000-0000-0000641C0000}"/>
    <cellStyle name="Обычный 4 2 2 108 2 2" xfId="57498" xr:uid="{00000000-0005-0000-0000-0000651C0000}"/>
    <cellStyle name="Обычный 4 2 2 108 3" xfId="14777" xr:uid="{00000000-0005-0000-0000-0000661C0000}"/>
    <cellStyle name="Обычный 4 2 2 108 4" xfId="20117" xr:uid="{00000000-0005-0000-0000-0000671C0000}"/>
    <cellStyle name="Обычный 4 2 2 108 5" xfId="25457" xr:uid="{00000000-0005-0000-0000-0000681C0000}"/>
    <cellStyle name="Обычный 4 2 2 108 6" xfId="30797" xr:uid="{00000000-0005-0000-0000-0000691C0000}"/>
    <cellStyle name="Обычный 4 2 2 108 7" xfId="36137" xr:uid="{00000000-0005-0000-0000-00006A1C0000}"/>
    <cellStyle name="Обычный 4 2 2 108 8" xfId="41477" xr:uid="{00000000-0005-0000-0000-00006B1C0000}"/>
    <cellStyle name="Обычный 4 2 2 108 9" xfId="46817" xr:uid="{00000000-0005-0000-0000-00006C1C0000}"/>
    <cellStyle name="Обычный 4 2 2 109" xfId="4126" xr:uid="{00000000-0005-0000-0000-00006D1C0000}"/>
    <cellStyle name="Обычный 4 2 2 109 10" xfId="52189" xr:uid="{00000000-0005-0000-0000-00006E1C0000}"/>
    <cellStyle name="Обычный 4 2 2 109 2" xfId="9469" xr:uid="{00000000-0005-0000-0000-00006F1C0000}"/>
    <cellStyle name="Обычный 4 2 2 109 2 2" xfId="57530" xr:uid="{00000000-0005-0000-0000-0000701C0000}"/>
    <cellStyle name="Обычный 4 2 2 109 3" xfId="14809" xr:uid="{00000000-0005-0000-0000-0000711C0000}"/>
    <cellStyle name="Обычный 4 2 2 109 4" xfId="20149" xr:uid="{00000000-0005-0000-0000-0000721C0000}"/>
    <cellStyle name="Обычный 4 2 2 109 5" xfId="25489" xr:uid="{00000000-0005-0000-0000-0000731C0000}"/>
    <cellStyle name="Обычный 4 2 2 109 6" xfId="30829" xr:uid="{00000000-0005-0000-0000-0000741C0000}"/>
    <cellStyle name="Обычный 4 2 2 109 7" xfId="36169" xr:uid="{00000000-0005-0000-0000-0000751C0000}"/>
    <cellStyle name="Обычный 4 2 2 109 8" xfId="41509" xr:uid="{00000000-0005-0000-0000-0000761C0000}"/>
    <cellStyle name="Обычный 4 2 2 109 9" xfId="46849" xr:uid="{00000000-0005-0000-0000-0000771C0000}"/>
    <cellStyle name="Обычный 4 2 2 11" xfId="1206" xr:uid="{00000000-0005-0000-0000-0000781C0000}"/>
    <cellStyle name="Обычный 4 2 2 11 10" xfId="49269" xr:uid="{00000000-0005-0000-0000-0000791C0000}"/>
    <cellStyle name="Обычный 4 2 2 11 2" xfId="6548" xr:uid="{00000000-0005-0000-0000-00007A1C0000}"/>
    <cellStyle name="Обычный 4 2 2 11 2 2" xfId="54610" xr:uid="{00000000-0005-0000-0000-00007B1C0000}"/>
    <cellStyle name="Обычный 4 2 2 11 3" xfId="11889" xr:uid="{00000000-0005-0000-0000-00007C1C0000}"/>
    <cellStyle name="Обычный 4 2 2 11 4" xfId="17229" xr:uid="{00000000-0005-0000-0000-00007D1C0000}"/>
    <cellStyle name="Обычный 4 2 2 11 5" xfId="22569" xr:uid="{00000000-0005-0000-0000-00007E1C0000}"/>
    <cellStyle name="Обычный 4 2 2 11 6" xfId="27909" xr:uid="{00000000-0005-0000-0000-00007F1C0000}"/>
    <cellStyle name="Обычный 4 2 2 11 7" xfId="33249" xr:uid="{00000000-0005-0000-0000-0000801C0000}"/>
    <cellStyle name="Обычный 4 2 2 11 8" xfId="38589" xr:uid="{00000000-0005-0000-0000-0000811C0000}"/>
    <cellStyle name="Обычный 4 2 2 11 9" xfId="43929" xr:uid="{00000000-0005-0000-0000-0000821C0000}"/>
    <cellStyle name="Обычный 4 2 2 110" xfId="4158" xr:uid="{00000000-0005-0000-0000-0000831C0000}"/>
    <cellStyle name="Обычный 4 2 2 110 10" xfId="52221" xr:uid="{00000000-0005-0000-0000-0000841C0000}"/>
    <cellStyle name="Обычный 4 2 2 110 2" xfId="9501" xr:uid="{00000000-0005-0000-0000-0000851C0000}"/>
    <cellStyle name="Обычный 4 2 2 110 2 2" xfId="57562" xr:uid="{00000000-0005-0000-0000-0000861C0000}"/>
    <cellStyle name="Обычный 4 2 2 110 3" xfId="14841" xr:uid="{00000000-0005-0000-0000-0000871C0000}"/>
    <cellStyle name="Обычный 4 2 2 110 4" xfId="20181" xr:uid="{00000000-0005-0000-0000-0000881C0000}"/>
    <cellStyle name="Обычный 4 2 2 110 5" xfId="25521" xr:uid="{00000000-0005-0000-0000-0000891C0000}"/>
    <cellStyle name="Обычный 4 2 2 110 6" xfId="30861" xr:uid="{00000000-0005-0000-0000-00008A1C0000}"/>
    <cellStyle name="Обычный 4 2 2 110 7" xfId="36201" xr:uid="{00000000-0005-0000-0000-00008B1C0000}"/>
    <cellStyle name="Обычный 4 2 2 110 8" xfId="41541" xr:uid="{00000000-0005-0000-0000-00008C1C0000}"/>
    <cellStyle name="Обычный 4 2 2 110 9" xfId="46881" xr:uid="{00000000-0005-0000-0000-00008D1C0000}"/>
    <cellStyle name="Обычный 4 2 2 111" xfId="4190" xr:uid="{00000000-0005-0000-0000-00008E1C0000}"/>
    <cellStyle name="Обычный 4 2 2 111 10" xfId="52253" xr:uid="{00000000-0005-0000-0000-00008F1C0000}"/>
    <cellStyle name="Обычный 4 2 2 111 2" xfId="9533" xr:uid="{00000000-0005-0000-0000-0000901C0000}"/>
    <cellStyle name="Обычный 4 2 2 111 2 2" xfId="57594" xr:uid="{00000000-0005-0000-0000-0000911C0000}"/>
    <cellStyle name="Обычный 4 2 2 111 3" xfId="14873" xr:uid="{00000000-0005-0000-0000-0000921C0000}"/>
    <cellStyle name="Обычный 4 2 2 111 4" xfId="20213" xr:uid="{00000000-0005-0000-0000-0000931C0000}"/>
    <cellStyle name="Обычный 4 2 2 111 5" xfId="25553" xr:uid="{00000000-0005-0000-0000-0000941C0000}"/>
    <cellStyle name="Обычный 4 2 2 111 6" xfId="30893" xr:uid="{00000000-0005-0000-0000-0000951C0000}"/>
    <cellStyle name="Обычный 4 2 2 111 7" xfId="36233" xr:uid="{00000000-0005-0000-0000-0000961C0000}"/>
    <cellStyle name="Обычный 4 2 2 111 8" xfId="41573" xr:uid="{00000000-0005-0000-0000-0000971C0000}"/>
    <cellStyle name="Обычный 4 2 2 111 9" xfId="46913" xr:uid="{00000000-0005-0000-0000-0000981C0000}"/>
    <cellStyle name="Обычный 4 2 2 112" xfId="4222" xr:uid="{00000000-0005-0000-0000-0000991C0000}"/>
    <cellStyle name="Обычный 4 2 2 112 10" xfId="52285" xr:uid="{00000000-0005-0000-0000-00009A1C0000}"/>
    <cellStyle name="Обычный 4 2 2 112 2" xfId="9565" xr:uid="{00000000-0005-0000-0000-00009B1C0000}"/>
    <cellStyle name="Обычный 4 2 2 112 2 2" xfId="57626" xr:uid="{00000000-0005-0000-0000-00009C1C0000}"/>
    <cellStyle name="Обычный 4 2 2 112 3" xfId="14905" xr:uid="{00000000-0005-0000-0000-00009D1C0000}"/>
    <cellStyle name="Обычный 4 2 2 112 4" xfId="20245" xr:uid="{00000000-0005-0000-0000-00009E1C0000}"/>
    <cellStyle name="Обычный 4 2 2 112 5" xfId="25585" xr:uid="{00000000-0005-0000-0000-00009F1C0000}"/>
    <cellStyle name="Обычный 4 2 2 112 6" xfId="30925" xr:uid="{00000000-0005-0000-0000-0000A01C0000}"/>
    <cellStyle name="Обычный 4 2 2 112 7" xfId="36265" xr:uid="{00000000-0005-0000-0000-0000A11C0000}"/>
    <cellStyle name="Обычный 4 2 2 112 8" xfId="41605" xr:uid="{00000000-0005-0000-0000-0000A21C0000}"/>
    <cellStyle name="Обычный 4 2 2 112 9" xfId="46945" xr:uid="{00000000-0005-0000-0000-0000A31C0000}"/>
    <cellStyle name="Обычный 4 2 2 113" xfId="4254" xr:uid="{00000000-0005-0000-0000-0000A41C0000}"/>
    <cellStyle name="Обычный 4 2 2 113 10" xfId="52317" xr:uid="{00000000-0005-0000-0000-0000A51C0000}"/>
    <cellStyle name="Обычный 4 2 2 113 2" xfId="9597" xr:uid="{00000000-0005-0000-0000-0000A61C0000}"/>
    <cellStyle name="Обычный 4 2 2 113 2 2" xfId="57658" xr:uid="{00000000-0005-0000-0000-0000A71C0000}"/>
    <cellStyle name="Обычный 4 2 2 113 3" xfId="14937" xr:uid="{00000000-0005-0000-0000-0000A81C0000}"/>
    <cellStyle name="Обычный 4 2 2 113 4" xfId="20277" xr:uid="{00000000-0005-0000-0000-0000A91C0000}"/>
    <cellStyle name="Обычный 4 2 2 113 5" xfId="25617" xr:uid="{00000000-0005-0000-0000-0000AA1C0000}"/>
    <cellStyle name="Обычный 4 2 2 113 6" xfId="30957" xr:uid="{00000000-0005-0000-0000-0000AB1C0000}"/>
    <cellStyle name="Обычный 4 2 2 113 7" xfId="36297" xr:uid="{00000000-0005-0000-0000-0000AC1C0000}"/>
    <cellStyle name="Обычный 4 2 2 113 8" xfId="41637" xr:uid="{00000000-0005-0000-0000-0000AD1C0000}"/>
    <cellStyle name="Обычный 4 2 2 113 9" xfId="46977" xr:uid="{00000000-0005-0000-0000-0000AE1C0000}"/>
    <cellStyle name="Обычный 4 2 2 114" xfId="4286" xr:uid="{00000000-0005-0000-0000-0000AF1C0000}"/>
    <cellStyle name="Обычный 4 2 2 114 10" xfId="52349" xr:uid="{00000000-0005-0000-0000-0000B01C0000}"/>
    <cellStyle name="Обычный 4 2 2 114 2" xfId="9629" xr:uid="{00000000-0005-0000-0000-0000B11C0000}"/>
    <cellStyle name="Обычный 4 2 2 114 2 2" xfId="57690" xr:uid="{00000000-0005-0000-0000-0000B21C0000}"/>
    <cellStyle name="Обычный 4 2 2 114 3" xfId="14969" xr:uid="{00000000-0005-0000-0000-0000B31C0000}"/>
    <cellStyle name="Обычный 4 2 2 114 4" xfId="20309" xr:uid="{00000000-0005-0000-0000-0000B41C0000}"/>
    <cellStyle name="Обычный 4 2 2 114 5" xfId="25649" xr:uid="{00000000-0005-0000-0000-0000B51C0000}"/>
    <cellStyle name="Обычный 4 2 2 114 6" xfId="30989" xr:uid="{00000000-0005-0000-0000-0000B61C0000}"/>
    <cellStyle name="Обычный 4 2 2 114 7" xfId="36329" xr:uid="{00000000-0005-0000-0000-0000B71C0000}"/>
    <cellStyle name="Обычный 4 2 2 114 8" xfId="41669" xr:uid="{00000000-0005-0000-0000-0000B81C0000}"/>
    <cellStyle name="Обычный 4 2 2 114 9" xfId="47009" xr:uid="{00000000-0005-0000-0000-0000B91C0000}"/>
    <cellStyle name="Обычный 4 2 2 115" xfId="4318" xr:uid="{00000000-0005-0000-0000-0000BA1C0000}"/>
    <cellStyle name="Обычный 4 2 2 115 10" xfId="52381" xr:uid="{00000000-0005-0000-0000-0000BB1C0000}"/>
    <cellStyle name="Обычный 4 2 2 115 2" xfId="9661" xr:uid="{00000000-0005-0000-0000-0000BC1C0000}"/>
    <cellStyle name="Обычный 4 2 2 115 2 2" xfId="57722" xr:uid="{00000000-0005-0000-0000-0000BD1C0000}"/>
    <cellStyle name="Обычный 4 2 2 115 3" xfId="15001" xr:uid="{00000000-0005-0000-0000-0000BE1C0000}"/>
    <cellStyle name="Обычный 4 2 2 115 4" xfId="20341" xr:uid="{00000000-0005-0000-0000-0000BF1C0000}"/>
    <cellStyle name="Обычный 4 2 2 115 5" xfId="25681" xr:uid="{00000000-0005-0000-0000-0000C01C0000}"/>
    <cellStyle name="Обычный 4 2 2 115 6" xfId="31021" xr:uid="{00000000-0005-0000-0000-0000C11C0000}"/>
    <cellStyle name="Обычный 4 2 2 115 7" xfId="36361" xr:uid="{00000000-0005-0000-0000-0000C21C0000}"/>
    <cellStyle name="Обычный 4 2 2 115 8" xfId="41701" xr:uid="{00000000-0005-0000-0000-0000C31C0000}"/>
    <cellStyle name="Обычный 4 2 2 115 9" xfId="47041" xr:uid="{00000000-0005-0000-0000-0000C41C0000}"/>
    <cellStyle name="Обычный 4 2 2 116" xfId="4350" xr:uid="{00000000-0005-0000-0000-0000C51C0000}"/>
    <cellStyle name="Обычный 4 2 2 116 10" xfId="52413" xr:uid="{00000000-0005-0000-0000-0000C61C0000}"/>
    <cellStyle name="Обычный 4 2 2 116 2" xfId="9693" xr:uid="{00000000-0005-0000-0000-0000C71C0000}"/>
    <cellStyle name="Обычный 4 2 2 116 2 2" xfId="57754" xr:uid="{00000000-0005-0000-0000-0000C81C0000}"/>
    <cellStyle name="Обычный 4 2 2 116 3" xfId="15033" xr:uid="{00000000-0005-0000-0000-0000C91C0000}"/>
    <cellStyle name="Обычный 4 2 2 116 4" xfId="20373" xr:uid="{00000000-0005-0000-0000-0000CA1C0000}"/>
    <cellStyle name="Обычный 4 2 2 116 5" xfId="25713" xr:uid="{00000000-0005-0000-0000-0000CB1C0000}"/>
    <cellStyle name="Обычный 4 2 2 116 6" xfId="31053" xr:uid="{00000000-0005-0000-0000-0000CC1C0000}"/>
    <cellStyle name="Обычный 4 2 2 116 7" xfId="36393" xr:uid="{00000000-0005-0000-0000-0000CD1C0000}"/>
    <cellStyle name="Обычный 4 2 2 116 8" xfId="41733" xr:uid="{00000000-0005-0000-0000-0000CE1C0000}"/>
    <cellStyle name="Обычный 4 2 2 116 9" xfId="47073" xr:uid="{00000000-0005-0000-0000-0000CF1C0000}"/>
    <cellStyle name="Обычный 4 2 2 117" xfId="4382" xr:uid="{00000000-0005-0000-0000-0000D01C0000}"/>
    <cellStyle name="Обычный 4 2 2 117 10" xfId="52445" xr:uid="{00000000-0005-0000-0000-0000D11C0000}"/>
    <cellStyle name="Обычный 4 2 2 117 2" xfId="9725" xr:uid="{00000000-0005-0000-0000-0000D21C0000}"/>
    <cellStyle name="Обычный 4 2 2 117 2 2" xfId="57786" xr:uid="{00000000-0005-0000-0000-0000D31C0000}"/>
    <cellStyle name="Обычный 4 2 2 117 3" xfId="15065" xr:uid="{00000000-0005-0000-0000-0000D41C0000}"/>
    <cellStyle name="Обычный 4 2 2 117 4" xfId="20405" xr:uid="{00000000-0005-0000-0000-0000D51C0000}"/>
    <cellStyle name="Обычный 4 2 2 117 5" xfId="25745" xr:uid="{00000000-0005-0000-0000-0000D61C0000}"/>
    <cellStyle name="Обычный 4 2 2 117 6" xfId="31085" xr:uid="{00000000-0005-0000-0000-0000D71C0000}"/>
    <cellStyle name="Обычный 4 2 2 117 7" xfId="36425" xr:uid="{00000000-0005-0000-0000-0000D81C0000}"/>
    <cellStyle name="Обычный 4 2 2 117 8" xfId="41765" xr:uid="{00000000-0005-0000-0000-0000D91C0000}"/>
    <cellStyle name="Обычный 4 2 2 117 9" xfId="47105" xr:uid="{00000000-0005-0000-0000-0000DA1C0000}"/>
    <cellStyle name="Обычный 4 2 2 118" xfId="4414" xr:uid="{00000000-0005-0000-0000-0000DB1C0000}"/>
    <cellStyle name="Обычный 4 2 2 118 10" xfId="52477" xr:uid="{00000000-0005-0000-0000-0000DC1C0000}"/>
    <cellStyle name="Обычный 4 2 2 118 2" xfId="9757" xr:uid="{00000000-0005-0000-0000-0000DD1C0000}"/>
    <cellStyle name="Обычный 4 2 2 118 2 2" xfId="57818" xr:uid="{00000000-0005-0000-0000-0000DE1C0000}"/>
    <cellStyle name="Обычный 4 2 2 118 3" xfId="15097" xr:uid="{00000000-0005-0000-0000-0000DF1C0000}"/>
    <cellStyle name="Обычный 4 2 2 118 4" xfId="20437" xr:uid="{00000000-0005-0000-0000-0000E01C0000}"/>
    <cellStyle name="Обычный 4 2 2 118 5" xfId="25777" xr:uid="{00000000-0005-0000-0000-0000E11C0000}"/>
    <cellStyle name="Обычный 4 2 2 118 6" xfId="31117" xr:uid="{00000000-0005-0000-0000-0000E21C0000}"/>
    <cellStyle name="Обычный 4 2 2 118 7" xfId="36457" xr:uid="{00000000-0005-0000-0000-0000E31C0000}"/>
    <cellStyle name="Обычный 4 2 2 118 8" xfId="41797" xr:uid="{00000000-0005-0000-0000-0000E41C0000}"/>
    <cellStyle name="Обычный 4 2 2 118 9" xfId="47137" xr:uid="{00000000-0005-0000-0000-0000E51C0000}"/>
    <cellStyle name="Обычный 4 2 2 119" xfId="4446" xr:uid="{00000000-0005-0000-0000-0000E61C0000}"/>
    <cellStyle name="Обычный 4 2 2 119 10" xfId="52509" xr:uid="{00000000-0005-0000-0000-0000E71C0000}"/>
    <cellStyle name="Обычный 4 2 2 119 2" xfId="9789" xr:uid="{00000000-0005-0000-0000-0000E81C0000}"/>
    <cellStyle name="Обычный 4 2 2 119 2 2" xfId="57850" xr:uid="{00000000-0005-0000-0000-0000E91C0000}"/>
    <cellStyle name="Обычный 4 2 2 119 3" xfId="15129" xr:uid="{00000000-0005-0000-0000-0000EA1C0000}"/>
    <cellStyle name="Обычный 4 2 2 119 4" xfId="20469" xr:uid="{00000000-0005-0000-0000-0000EB1C0000}"/>
    <cellStyle name="Обычный 4 2 2 119 5" xfId="25809" xr:uid="{00000000-0005-0000-0000-0000EC1C0000}"/>
    <cellStyle name="Обычный 4 2 2 119 6" xfId="31149" xr:uid="{00000000-0005-0000-0000-0000ED1C0000}"/>
    <cellStyle name="Обычный 4 2 2 119 7" xfId="36489" xr:uid="{00000000-0005-0000-0000-0000EE1C0000}"/>
    <cellStyle name="Обычный 4 2 2 119 8" xfId="41829" xr:uid="{00000000-0005-0000-0000-0000EF1C0000}"/>
    <cellStyle name="Обычный 4 2 2 119 9" xfId="47169" xr:uid="{00000000-0005-0000-0000-0000F01C0000}"/>
    <cellStyle name="Обычный 4 2 2 12" xfId="1232" xr:uid="{00000000-0005-0000-0000-0000F11C0000}"/>
    <cellStyle name="Обычный 4 2 2 12 10" xfId="49295" xr:uid="{00000000-0005-0000-0000-0000F21C0000}"/>
    <cellStyle name="Обычный 4 2 2 12 2" xfId="6574" xr:uid="{00000000-0005-0000-0000-0000F31C0000}"/>
    <cellStyle name="Обычный 4 2 2 12 2 2" xfId="54636" xr:uid="{00000000-0005-0000-0000-0000F41C0000}"/>
    <cellStyle name="Обычный 4 2 2 12 3" xfId="11915" xr:uid="{00000000-0005-0000-0000-0000F51C0000}"/>
    <cellStyle name="Обычный 4 2 2 12 4" xfId="17255" xr:uid="{00000000-0005-0000-0000-0000F61C0000}"/>
    <cellStyle name="Обычный 4 2 2 12 5" xfId="22595" xr:uid="{00000000-0005-0000-0000-0000F71C0000}"/>
    <cellStyle name="Обычный 4 2 2 12 6" xfId="27935" xr:uid="{00000000-0005-0000-0000-0000F81C0000}"/>
    <cellStyle name="Обычный 4 2 2 12 7" xfId="33275" xr:uid="{00000000-0005-0000-0000-0000F91C0000}"/>
    <cellStyle name="Обычный 4 2 2 12 8" xfId="38615" xr:uid="{00000000-0005-0000-0000-0000FA1C0000}"/>
    <cellStyle name="Обычный 4 2 2 12 9" xfId="43955" xr:uid="{00000000-0005-0000-0000-0000FB1C0000}"/>
    <cellStyle name="Обычный 4 2 2 120" xfId="4478" xr:uid="{00000000-0005-0000-0000-0000FC1C0000}"/>
    <cellStyle name="Обычный 4 2 2 120 10" xfId="52541" xr:uid="{00000000-0005-0000-0000-0000FD1C0000}"/>
    <cellStyle name="Обычный 4 2 2 120 2" xfId="9821" xr:uid="{00000000-0005-0000-0000-0000FE1C0000}"/>
    <cellStyle name="Обычный 4 2 2 120 2 2" xfId="57882" xr:uid="{00000000-0005-0000-0000-0000FF1C0000}"/>
    <cellStyle name="Обычный 4 2 2 120 3" xfId="15161" xr:uid="{00000000-0005-0000-0000-0000001D0000}"/>
    <cellStyle name="Обычный 4 2 2 120 4" xfId="20501" xr:uid="{00000000-0005-0000-0000-0000011D0000}"/>
    <cellStyle name="Обычный 4 2 2 120 5" xfId="25841" xr:uid="{00000000-0005-0000-0000-0000021D0000}"/>
    <cellStyle name="Обычный 4 2 2 120 6" xfId="31181" xr:uid="{00000000-0005-0000-0000-0000031D0000}"/>
    <cellStyle name="Обычный 4 2 2 120 7" xfId="36521" xr:uid="{00000000-0005-0000-0000-0000041D0000}"/>
    <cellStyle name="Обычный 4 2 2 120 8" xfId="41861" xr:uid="{00000000-0005-0000-0000-0000051D0000}"/>
    <cellStyle name="Обычный 4 2 2 120 9" xfId="47201" xr:uid="{00000000-0005-0000-0000-0000061D0000}"/>
    <cellStyle name="Обычный 4 2 2 121" xfId="4510" xr:uid="{00000000-0005-0000-0000-0000071D0000}"/>
    <cellStyle name="Обычный 4 2 2 121 10" xfId="52573" xr:uid="{00000000-0005-0000-0000-0000081D0000}"/>
    <cellStyle name="Обычный 4 2 2 121 2" xfId="9853" xr:uid="{00000000-0005-0000-0000-0000091D0000}"/>
    <cellStyle name="Обычный 4 2 2 121 2 2" xfId="57914" xr:uid="{00000000-0005-0000-0000-00000A1D0000}"/>
    <cellStyle name="Обычный 4 2 2 121 3" xfId="15193" xr:uid="{00000000-0005-0000-0000-00000B1D0000}"/>
    <cellStyle name="Обычный 4 2 2 121 4" xfId="20533" xr:uid="{00000000-0005-0000-0000-00000C1D0000}"/>
    <cellStyle name="Обычный 4 2 2 121 5" xfId="25873" xr:uid="{00000000-0005-0000-0000-00000D1D0000}"/>
    <cellStyle name="Обычный 4 2 2 121 6" xfId="31213" xr:uid="{00000000-0005-0000-0000-00000E1D0000}"/>
    <cellStyle name="Обычный 4 2 2 121 7" xfId="36553" xr:uid="{00000000-0005-0000-0000-00000F1D0000}"/>
    <cellStyle name="Обычный 4 2 2 121 8" xfId="41893" xr:uid="{00000000-0005-0000-0000-0000101D0000}"/>
    <cellStyle name="Обычный 4 2 2 121 9" xfId="47233" xr:uid="{00000000-0005-0000-0000-0000111D0000}"/>
    <cellStyle name="Обычный 4 2 2 122" xfId="4542" xr:uid="{00000000-0005-0000-0000-0000121D0000}"/>
    <cellStyle name="Обычный 4 2 2 122 10" xfId="52605" xr:uid="{00000000-0005-0000-0000-0000131D0000}"/>
    <cellStyle name="Обычный 4 2 2 122 2" xfId="9885" xr:uid="{00000000-0005-0000-0000-0000141D0000}"/>
    <cellStyle name="Обычный 4 2 2 122 2 2" xfId="57946" xr:uid="{00000000-0005-0000-0000-0000151D0000}"/>
    <cellStyle name="Обычный 4 2 2 122 3" xfId="15225" xr:uid="{00000000-0005-0000-0000-0000161D0000}"/>
    <cellStyle name="Обычный 4 2 2 122 4" xfId="20565" xr:uid="{00000000-0005-0000-0000-0000171D0000}"/>
    <cellStyle name="Обычный 4 2 2 122 5" xfId="25905" xr:uid="{00000000-0005-0000-0000-0000181D0000}"/>
    <cellStyle name="Обычный 4 2 2 122 6" xfId="31245" xr:uid="{00000000-0005-0000-0000-0000191D0000}"/>
    <cellStyle name="Обычный 4 2 2 122 7" xfId="36585" xr:uid="{00000000-0005-0000-0000-00001A1D0000}"/>
    <cellStyle name="Обычный 4 2 2 122 8" xfId="41925" xr:uid="{00000000-0005-0000-0000-00001B1D0000}"/>
    <cellStyle name="Обычный 4 2 2 122 9" xfId="47265" xr:uid="{00000000-0005-0000-0000-00001C1D0000}"/>
    <cellStyle name="Обычный 4 2 2 123" xfId="4574" xr:uid="{00000000-0005-0000-0000-00001D1D0000}"/>
    <cellStyle name="Обычный 4 2 2 123 10" xfId="52637" xr:uid="{00000000-0005-0000-0000-00001E1D0000}"/>
    <cellStyle name="Обычный 4 2 2 123 2" xfId="9917" xr:uid="{00000000-0005-0000-0000-00001F1D0000}"/>
    <cellStyle name="Обычный 4 2 2 123 2 2" xfId="57978" xr:uid="{00000000-0005-0000-0000-0000201D0000}"/>
    <cellStyle name="Обычный 4 2 2 123 3" xfId="15257" xr:uid="{00000000-0005-0000-0000-0000211D0000}"/>
    <cellStyle name="Обычный 4 2 2 123 4" xfId="20597" xr:uid="{00000000-0005-0000-0000-0000221D0000}"/>
    <cellStyle name="Обычный 4 2 2 123 5" xfId="25937" xr:uid="{00000000-0005-0000-0000-0000231D0000}"/>
    <cellStyle name="Обычный 4 2 2 123 6" xfId="31277" xr:uid="{00000000-0005-0000-0000-0000241D0000}"/>
    <cellStyle name="Обычный 4 2 2 123 7" xfId="36617" xr:uid="{00000000-0005-0000-0000-0000251D0000}"/>
    <cellStyle name="Обычный 4 2 2 123 8" xfId="41957" xr:uid="{00000000-0005-0000-0000-0000261D0000}"/>
    <cellStyle name="Обычный 4 2 2 123 9" xfId="47297" xr:uid="{00000000-0005-0000-0000-0000271D0000}"/>
    <cellStyle name="Обычный 4 2 2 124" xfId="4606" xr:uid="{00000000-0005-0000-0000-0000281D0000}"/>
    <cellStyle name="Обычный 4 2 2 124 10" xfId="52669" xr:uid="{00000000-0005-0000-0000-0000291D0000}"/>
    <cellStyle name="Обычный 4 2 2 124 2" xfId="9949" xr:uid="{00000000-0005-0000-0000-00002A1D0000}"/>
    <cellStyle name="Обычный 4 2 2 124 2 2" xfId="58010" xr:uid="{00000000-0005-0000-0000-00002B1D0000}"/>
    <cellStyle name="Обычный 4 2 2 124 3" xfId="15289" xr:uid="{00000000-0005-0000-0000-00002C1D0000}"/>
    <cellStyle name="Обычный 4 2 2 124 4" xfId="20629" xr:uid="{00000000-0005-0000-0000-00002D1D0000}"/>
    <cellStyle name="Обычный 4 2 2 124 5" xfId="25969" xr:uid="{00000000-0005-0000-0000-00002E1D0000}"/>
    <cellStyle name="Обычный 4 2 2 124 6" xfId="31309" xr:uid="{00000000-0005-0000-0000-00002F1D0000}"/>
    <cellStyle name="Обычный 4 2 2 124 7" xfId="36649" xr:uid="{00000000-0005-0000-0000-0000301D0000}"/>
    <cellStyle name="Обычный 4 2 2 124 8" xfId="41989" xr:uid="{00000000-0005-0000-0000-0000311D0000}"/>
    <cellStyle name="Обычный 4 2 2 124 9" xfId="47329" xr:uid="{00000000-0005-0000-0000-0000321D0000}"/>
    <cellStyle name="Обычный 4 2 2 125" xfId="4638" xr:uid="{00000000-0005-0000-0000-0000331D0000}"/>
    <cellStyle name="Обычный 4 2 2 125 10" xfId="52701" xr:uid="{00000000-0005-0000-0000-0000341D0000}"/>
    <cellStyle name="Обычный 4 2 2 125 2" xfId="9981" xr:uid="{00000000-0005-0000-0000-0000351D0000}"/>
    <cellStyle name="Обычный 4 2 2 125 2 2" xfId="58042" xr:uid="{00000000-0005-0000-0000-0000361D0000}"/>
    <cellStyle name="Обычный 4 2 2 125 3" xfId="15321" xr:uid="{00000000-0005-0000-0000-0000371D0000}"/>
    <cellStyle name="Обычный 4 2 2 125 4" xfId="20661" xr:uid="{00000000-0005-0000-0000-0000381D0000}"/>
    <cellStyle name="Обычный 4 2 2 125 5" xfId="26001" xr:uid="{00000000-0005-0000-0000-0000391D0000}"/>
    <cellStyle name="Обычный 4 2 2 125 6" xfId="31341" xr:uid="{00000000-0005-0000-0000-00003A1D0000}"/>
    <cellStyle name="Обычный 4 2 2 125 7" xfId="36681" xr:uid="{00000000-0005-0000-0000-00003B1D0000}"/>
    <cellStyle name="Обычный 4 2 2 125 8" xfId="42021" xr:uid="{00000000-0005-0000-0000-00003C1D0000}"/>
    <cellStyle name="Обычный 4 2 2 125 9" xfId="47361" xr:uid="{00000000-0005-0000-0000-00003D1D0000}"/>
    <cellStyle name="Обычный 4 2 2 126" xfId="4670" xr:uid="{00000000-0005-0000-0000-00003E1D0000}"/>
    <cellStyle name="Обычный 4 2 2 126 10" xfId="52733" xr:uid="{00000000-0005-0000-0000-00003F1D0000}"/>
    <cellStyle name="Обычный 4 2 2 126 2" xfId="10013" xr:uid="{00000000-0005-0000-0000-0000401D0000}"/>
    <cellStyle name="Обычный 4 2 2 126 2 2" xfId="58074" xr:uid="{00000000-0005-0000-0000-0000411D0000}"/>
    <cellStyle name="Обычный 4 2 2 126 3" xfId="15353" xr:uid="{00000000-0005-0000-0000-0000421D0000}"/>
    <cellStyle name="Обычный 4 2 2 126 4" xfId="20693" xr:uid="{00000000-0005-0000-0000-0000431D0000}"/>
    <cellStyle name="Обычный 4 2 2 126 5" xfId="26033" xr:uid="{00000000-0005-0000-0000-0000441D0000}"/>
    <cellStyle name="Обычный 4 2 2 126 6" xfId="31373" xr:uid="{00000000-0005-0000-0000-0000451D0000}"/>
    <cellStyle name="Обычный 4 2 2 126 7" xfId="36713" xr:uid="{00000000-0005-0000-0000-0000461D0000}"/>
    <cellStyle name="Обычный 4 2 2 126 8" xfId="42053" xr:uid="{00000000-0005-0000-0000-0000471D0000}"/>
    <cellStyle name="Обычный 4 2 2 126 9" xfId="47393" xr:uid="{00000000-0005-0000-0000-0000481D0000}"/>
    <cellStyle name="Обычный 4 2 2 127" xfId="4702" xr:uid="{00000000-0005-0000-0000-0000491D0000}"/>
    <cellStyle name="Обычный 4 2 2 127 10" xfId="52765" xr:uid="{00000000-0005-0000-0000-00004A1D0000}"/>
    <cellStyle name="Обычный 4 2 2 127 2" xfId="10045" xr:uid="{00000000-0005-0000-0000-00004B1D0000}"/>
    <cellStyle name="Обычный 4 2 2 127 2 2" xfId="58106" xr:uid="{00000000-0005-0000-0000-00004C1D0000}"/>
    <cellStyle name="Обычный 4 2 2 127 3" xfId="15385" xr:uid="{00000000-0005-0000-0000-00004D1D0000}"/>
    <cellStyle name="Обычный 4 2 2 127 4" xfId="20725" xr:uid="{00000000-0005-0000-0000-00004E1D0000}"/>
    <cellStyle name="Обычный 4 2 2 127 5" xfId="26065" xr:uid="{00000000-0005-0000-0000-00004F1D0000}"/>
    <cellStyle name="Обычный 4 2 2 127 6" xfId="31405" xr:uid="{00000000-0005-0000-0000-0000501D0000}"/>
    <cellStyle name="Обычный 4 2 2 127 7" xfId="36745" xr:uid="{00000000-0005-0000-0000-0000511D0000}"/>
    <cellStyle name="Обычный 4 2 2 127 8" xfId="42085" xr:uid="{00000000-0005-0000-0000-0000521D0000}"/>
    <cellStyle name="Обычный 4 2 2 127 9" xfId="47425" xr:uid="{00000000-0005-0000-0000-0000531D0000}"/>
    <cellStyle name="Обычный 4 2 2 128" xfId="4736" xr:uid="{00000000-0005-0000-0000-0000541D0000}"/>
    <cellStyle name="Обычный 4 2 2 128 10" xfId="52799" xr:uid="{00000000-0005-0000-0000-0000551D0000}"/>
    <cellStyle name="Обычный 4 2 2 128 2" xfId="10079" xr:uid="{00000000-0005-0000-0000-0000561D0000}"/>
    <cellStyle name="Обычный 4 2 2 128 2 2" xfId="58140" xr:uid="{00000000-0005-0000-0000-0000571D0000}"/>
    <cellStyle name="Обычный 4 2 2 128 3" xfId="15419" xr:uid="{00000000-0005-0000-0000-0000581D0000}"/>
    <cellStyle name="Обычный 4 2 2 128 4" xfId="20759" xr:uid="{00000000-0005-0000-0000-0000591D0000}"/>
    <cellStyle name="Обычный 4 2 2 128 5" xfId="26099" xr:uid="{00000000-0005-0000-0000-00005A1D0000}"/>
    <cellStyle name="Обычный 4 2 2 128 6" xfId="31439" xr:uid="{00000000-0005-0000-0000-00005B1D0000}"/>
    <cellStyle name="Обычный 4 2 2 128 7" xfId="36779" xr:uid="{00000000-0005-0000-0000-00005C1D0000}"/>
    <cellStyle name="Обычный 4 2 2 128 8" xfId="42119" xr:uid="{00000000-0005-0000-0000-00005D1D0000}"/>
    <cellStyle name="Обычный 4 2 2 128 9" xfId="47459" xr:uid="{00000000-0005-0000-0000-00005E1D0000}"/>
    <cellStyle name="Обычный 4 2 2 129" xfId="4768" xr:uid="{00000000-0005-0000-0000-00005F1D0000}"/>
    <cellStyle name="Обычный 4 2 2 129 10" xfId="52831" xr:uid="{00000000-0005-0000-0000-0000601D0000}"/>
    <cellStyle name="Обычный 4 2 2 129 2" xfId="10111" xr:uid="{00000000-0005-0000-0000-0000611D0000}"/>
    <cellStyle name="Обычный 4 2 2 129 2 2" xfId="58172" xr:uid="{00000000-0005-0000-0000-0000621D0000}"/>
    <cellStyle name="Обычный 4 2 2 129 3" xfId="15451" xr:uid="{00000000-0005-0000-0000-0000631D0000}"/>
    <cellStyle name="Обычный 4 2 2 129 4" xfId="20791" xr:uid="{00000000-0005-0000-0000-0000641D0000}"/>
    <cellStyle name="Обычный 4 2 2 129 5" xfId="26131" xr:uid="{00000000-0005-0000-0000-0000651D0000}"/>
    <cellStyle name="Обычный 4 2 2 129 6" xfId="31471" xr:uid="{00000000-0005-0000-0000-0000661D0000}"/>
    <cellStyle name="Обычный 4 2 2 129 7" xfId="36811" xr:uid="{00000000-0005-0000-0000-0000671D0000}"/>
    <cellStyle name="Обычный 4 2 2 129 8" xfId="42151" xr:uid="{00000000-0005-0000-0000-0000681D0000}"/>
    <cellStyle name="Обычный 4 2 2 129 9" xfId="47491" xr:uid="{00000000-0005-0000-0000-0000691D0000}"/>
    <cellStyle name="Обычный 4 2 2 13" xfId="1258" xr:uid="{00000000-0005-0000-0000-00006A1D0000}"/>
    <cellStyle name="Обычный 4 2 2 13 10" xfId="49321" xr:uid="{00000000-0005-0000-0000-00006B1D0000}"/>
    <cellStyle name="Обычный 4 2 2 13 2" xfId="6600" xr:uid="{00000000-0005-0000-0000-00006C1D0000}"/>
    <cellStyle name="Обычный 4 2 2 13 2 2" xfId="54662" xr:uid="{00000000-0005-0000-0000-00006D1D0000}"/>
    <cellStyle name="Обычный 4 2 2 13 3" xfId="11941" xr:uid="{00000000-0005-0000-0000-00006E1D0000}"/>
    <cellStyle name="Обычный 4 2 2 13 4" xfId="17281" xr:uid="{00000000-0005-0000-0000-00006F1D0000}"/>
    <cellStyle name="Обычный 4 2 2 13 5" xfId="22621" xr:uid="{00000000-0005-0000-0000-0000701D0000}"/>
    <cellStyle name="Обычный 4 2 2 13 6" xfId="27961" xr:uid="{00000000-0005-0000-0000-0000711D0000}"/>
    <cellStyle name="Обычный 4 2 2 13 7" xfId="33301" xr:uid="{00000000-0005-0000-0000-0000721D0000}"/>
    <cellStyle name="Обычный 4 2 2 13 8" xfId="38641" xr:uid="{00000000-0005-0000-0000-0000731D0000}"/>
    <cellStyle name="Обычный 4 2 2 13 9" xfId="43981" xr:uid="{00000000-0005-0000-0000-0000741D0000}"/>
    <cellStyle name="Обычный 4 2 2 130" xfId="4800" xr:uid="{00000000-0005-0000-0000-0000751D0000}"/>
    <cellStyle name="Обычный 4 2 2 130 10" xfId="52863" xr:uid="{00000000-0005-0000-0000-0000761D0000}"/>
    <cellStyle name="Обычный 4 2 2 130 2" xfId="10143" xr:uid="{00000000-0005-0000-0000-0000771D0000}"/>
    <cellStyle name="Обычный 4 2 2 130 2 2" xfId="58204" xr:uid="{00000000-0005-0000-0000-0000781D0000}"/>
    <cellStyle name="Обычный 4 2 2 130 3" xfId="15483" xr:uid="{00000000-0005-0000-0000-0000791D0000}"/>
    <cellStyle name="Обычный 4 2 2 130 4" xfId="20823" xr:uid="{00000000-0005-0000-0000-00007A1D0000}"/>
    <cellStyle name="Обычный 4 2 2 130 5" xfId="26163" xr:uid="{00000000-0005-0000-0000-00007B1D0000}"/>
    <cellStyle name="Обычный 4 2 2 130 6" xfId="31503" xr:uid="{00000000-0005-0000-0000-00007C1D0000}"/>
    <cellStyle name="Обычный 4 2 2 130 7" xfId="36843" xr:uid="{00000000-0005-0000-0000-00007D1D0000}"/>
    <cellStyle name="Обычный 4 2 2 130 8" xfId="42183" xr:uid="{00000000-0005-0000-0000-00007E1D0000}"/>
    <cellStyle name="Обычный 4 2 2 130 9" xfId="47523" xr:uid="{00000000-0005-0000-0000-00007F1D0000}"/>
    <cellStyle name="Обычный 4 2 2 131" xfId="4832" xr:uid="{00000000-0005-0000-0000-0000801D0000}"/>
    <cellStyle name="Обычный 4 2 2 131 10" xfId="52895" xr:uid="{00000000-0005-0000-0000-0000811D0000}"/>
    <cellStyle name="Обычный 4 2 2 131 2" xfId="10175" xr:uid="{00000000-0005-0000-0000-0000821D0000}"/>
    <cellStyle name="Обычный 4 2 2 131 2 2" xfId="58236" xr:uid="{00000000-0005-0000-0000-0000831D0000}"/>
    <cellStyle name="Обычный 4 2 2 131 3" xfId="15515" xr:uid="{00000000-0005-0000-0000-0000841D0000}"/>
    <cellStyle name="Обычный 4 2 2 131 4" xfId="20855" xr:uid="{00000000-0005-0000-0000-0000851D0000}"/>
    <cellStyle name="Обычный 4 2 2 131 5" xfId="26195" xr:uid="{00000000-0005-0000-0000-0000861D0000}"/>
    <cellStyle name="Обычный 4 2 2 131 6" xfId="31535" xr:uid="{00000000-0005-0000-0000-0000871D0000}"/>
    <cellStyle name="Обычный 4 2 2 131 7" xfId="36875" xr:uid="{00000000-0005-0000-0000-0000881D0000}"/>
    <cellStyle name="Обычный 4 2 2 131 8" xfId="42215" xr:uid="{00000000-0005-0000-0000-0000891D0000}"/>
    <cellStyle name="Обычный 4 2 2 131 9" xfId="47555" xr:uid="{00000000-0005-0000-0000-00008A1D0000}"/>
    <cellStyle name="Обычный 4 2 2 132" xfId="4864" xr:uid="{00000000-0005-0000-0000-00008B1D0000}"/>
    <cellStyle name="Обычный 4 2 2 132 10" xfId="52927" xr:uid="{00000000-0005-0000-0000-00008C1D0000}"/>
    <cellStyle name="Обычный 4 2 2 132 2" xfId="10207" xr:uid="{00000000-0005-0000-0000-00008D1D0000}"/>
    <cellStyle name="Обычный 4 2 2 132 2 2" xfId="58268" xr:uid="{00000000-0005-0000-0000-00008E1D0000}"/>
    <cellStyle name="Обычный 4 2 2 132 3" xfId="15547" xr:uid="{00000000-0005-0000-0000-00008F1D0000}"/>
    <cellStyle name="Обычный 4 2 2 132 4" xfId="20887" xr:uid="{00000000-0005-0000-0000-0000901D0000}"/>
    <cellStyle name="Обычный 4 2 2 132 5" xfId="26227" xr:uid="{00000000-0005-0000-0000-0000911D0000}"/>
    <cellStyle name="Обычный 4 2 2 132 6" xfId="31567" xr:uid="{00000000-0005-0000-0000-0000921D0000}"/>
    <cellStyle name="Обычный 4 2 2 132 7" xfId="36907" xr:uid="{00000000-0005-0000-0000-0000931D0000}"/>
    <cellStyle name="Обычный 4 2 2 132 8" xfId="42247" xr:uid="{00000000-0005-0000-0000-0000941D0000}"/>
    <cellStyle name="Обычный 4 2 2 132 9" xfId="47587" xr:uid="{00000000-0005-0000-0000-0000951D0000}"/>
    <cellStyle name="Обычный 4 2 2 133" xfId="4896" xr:uid="{00000000-0005-0000-0000-0000961D0000}"/>
    <cellStyle name="Обычный 4 2 2 133 10" xfId="52959" xr:uid="{00000000-0005-0000-0000-0000971D0000}"/>
    <cellStyle name="Обычный 4 2 2 133 2" xfId="10239" xr:uid="{00000000-0005-0000-0000-0000981D0000}"/>
    <cellStyle name="Обычный 4 2 2 133 2 2" xfId="58300" xr:uid="{00000000-0005-0000-0000-0000991D0000}"/>
    <cellStyle name="Обычный 4 2 2 133 3" xfId="15579" xr:uid="{00000000-0005-0000-0000-00009A1D0000}"/>
    <cellStyle name="Обычный 4 2 2 133 4" xfId="20919" xr:uid="{00000000-0005-0000-0000-00009B1D0000}"/>
    <cellStyle name="Обычный 4 2 2 133 5" xfId="26259" xr:uid="{00000000-0005-0000-0000-00009C1D0000}"/>
    <cellStyle name="Обычный 4 2 2 133 6" xfId="31599" xr:uid="{00000000-0005-0000-0000-00009D1D0000}"/>
    <cellStyle name="Обычный 4 2 2 133 7" xfId="36939" xr:uid="{00000000-0005-0000-0000-00009E1D0000}"/>
    <cellStyle name="Обычный 4 2 2 133 8" xfId="42279" xr:uid="{00000000-0005-0000-0000-00009F1D0000}"/>
    <cellStyle name="Обычный 4 2 2 133 9" xfId="47619" xr:uid="{00000000-0005-0000-0000-0000A01D0000}"/>
    <cellStyle name="Обычный 4 2 2 134" xfId="4928" xr:uid="{00000000-0005-0000-0000-0000A11D0000}"/>
    <cellStyle name="Обычный 4 2 2 134 10" xfId="52991" xr:uid="{00000000-0005-0000-0000-0000A21D0000}"/>
    <cellStyle name="Обычный 4 2 2 134 2" xfId="10271" xr:uid="{00000000-0005-0000-0000-0000A31D0000}"/>
    <cellStyle name="Обычный 4 2 2 134 2 2" xfId="58332" xr:uid="{00000000-0005-0000-0000-0000A41D0000}"/>
    <cellStyle name="Обычный 4 2 2 134 3" xfId="15611" xr:uid="{00000000-0005-0000-0000-0000A51D0000}"/>
    <cellStyle name="Обычный 4 2 2 134 4" xfId="20951" xr:uid="{00000000-0005-0000-0000-0000A61D0000}"/>
    <cellStyle name="Обычный 4 2 2 134 5" xfId="26291" xr:uid="{00000000-0005-0000-0000-0000A71D0000}"/>
    <cellStyle name="Обычный 4 2 2 134 6" xfId="31631" xr:uid="{00000000-0005-0000-0000-0000A81D0000}"/>
    <cellStyle name="Обычный 4 2 2 134 7" xfId="36971" xr:uid="{00000000-0005-0000-0000-0000A91D0000}"/>
    <cellStyle name="Обычный 4 2 2 134 8" xfId="42311" xr:uid="{00000000-0005-0000-0000-0000AA1D0000}"/>
    <cellStyle name="Обычный 4 2 2 134 9" xfId="47651" xr:uid="{00000000-0005-0000-0000-0000AB1D0000}"/>
    <cellStyle name="Обычный 4 2 2 135" xfId="4960" xr:uid="{00000000-0005-0000-0000-0000AC1D0000}"/>
    <cellStyle name="Обычный 4 2 2 135 10" xfId="53023" xr:uid="{00000000-0005-0000-0000-0000AD1D0000}"/>
    <cellStyle name="Обычный 4 2 2 135 2" xfId="10303" xr:uid="{00000000-0005-0000-0000-0000AE1D0000}"/>
    <cellStyle name="Обычный 4 2 2 135 2 2" xfId="58364" xr:uid="{00000000-0005-0000-0000-0000AF1D0000}"/>
    <cellStyle name="Обычный 4 2 2 135 3" xfId="15643" xr:uid="{00000000-0005-0000-0000-0000B01D0000}"/>
    <cellStyle name="Обычный 4 2 2 135 4" xfId="20983" xr:uid="{00000000-0005-0000-0000-0000B11D0000}"/>
    <cellStyle name="Обычный 4 2 2 135 5" xfId="26323" xr:uid="{00000000-0005-0000-0000-0000B21D0000}"/>
    <cellStyle name="Обычный 4 2 2 135 6" xfId="31663" xr:uid="{00000000-0005-0000-0000-0000B31D0000}"/>
    <cellStyle name="Обычный 4 2 2 135 7" xfId="37003" xr:uid="{00000000-0005-0000-0000-0000B41D0000}"/>
    <cellStyle name="Обычный 4 2 2 135 8" xfId="42343" xr:uid="{00000000-0005-0000-0000-0000B51D0000}"/>
    <cellStyle name="Обычный 4 2 2 135 9" xfId="47683" xr:uid="{00000000-0005-0000-0000-0000B61D0000}"/>
    <cellStyle name="Обычный 4 2 2 136" xfId="4992" xr:uid="{00000000-0005-0000-0000-0000B71D0000}"/>
    <cellStyle name="Обычный 4 2 2 136 10" xfId="53055" xr:uid="{00000000-0005-0000-0000-0000B81D0000}"/>
    <cellStyle name="Обычный 4 2 2 136 2" xfId="10335" xr:uid="{00000000-0005-0000-0000-0000B91D0000}"/>
    <cellStyle name="Обычный 4 2 2 136 2 2" xfId="58396" xr:uid="{00000000-0005-0000-0000-0000BA1D0000}"/>
    <cellStyle name="Обычный 4 2 2 136 3" xfId="15675" xr:uid="{00000000-0005-0000-0000-0000BB1D0000}"/>
    <cellStyle name="Обычный 4 2 2 136 4" xfId="21015" xr:uid="{00000000-0005-0000-0000-0000BC1D0000}"/>
    <cellStyle name="Обычный 4 2 2 136 5" xfId="26355" xr:uid="{00000000-0005-0000-0000-0000BD1D0000}"/>
    <cellStyle name="Обычный 4 2 2 136 6" xfId="31695" xr:uid="{00000000-0005-0000-0000-0000BE1D0000}"/>
    <cellStyle name="Обычный 4 2 2 136 7" xfId="37035" xr:uid="{00000000-0005-0000-0000-0000BF1D0000}"/>
    <cellStyle name="Обычный 4 2 2 136 8" xfId="42375" xr:uid="{00000000-0005-0000-0000-0000C01D0000}"/>
    <cellStyle name="Обычный 4 2 2 136 9" xfId="47715" xr:uid="{00000000-0005-0000-0000-0000C11D0000}"/>
    <cellStyle name="Обычный 4 2 2 137" xfId="5024" xr:uid="{00000000-0005-0000-0000-0000C21D0000}"/>
    <cellStyle name="Обычный 4 2 2 137 10" xfId="53087" xr:uid="{00000000-0005-0000-0000-0000C31D0000}"/>
    <cellStyle name="Обычный 4 2 2 137 2" xfId="10367" xr:uid="{00000000-0005-0000-0000-0000C41D0000}"/>
    <cellStyle name="Обычный 4 2 2 137 2 2" xfId="58428" xr:uid="{00000000-0005-0000-0000-0000C51D0000}"/>
    <cellStyle name="Обычный 4 2 2 137 3" xfId="15707" xr:uid="{00000000-0005-0000-0000-0000C61D0000}"/>
    <cellStyle name="Обычный 4 2 2 137 4" xfId="21047" xr:uid="{00000000-0005-0000-0000-0000C71D0000}"/>
    <cellStyle name="Обычный 4 2 2 137 5" xfId="26387" xr:uid="{00000000-0005-0000-0000-0000C81D0000}"/>
    <cellStyle name="Обычный 4 2 2 137 6" xfId="31727" xr:uid="{00000000-0005-0000-0000-0000C91D0000}"/>
    <cellStyle name="Обычный 4 2 2 137 7" xfId="37067" xr:uid="{00000000-0005-0000-0000-0000CA1D0000}"/>
    <cellStyle name="Обычный 4 2 2 137 8" xfId="42407" xr:uid="{00000000-0005-0000-0000-0000CB1D0000}"/>
    <cellStyle name="Обычный 4 2 2 137 9" xfId="47747" xr:uid="{00000000-0005-0000-0000-0000CC1D0000}"/>
    <cellStyle name="Обычный 4 2 2 138" xfId="5056" xr:uid="{00000000-0005-0000-0000-0000CD1D0000}"/>
    <cellStyle name="Обычный 4 2 2 138 10" xfId="53119" xr:uid="{00000000-0005-0000-0000-0000CE1D0000}"/>
    <cellStyle name="Обычный 4 2 2 138 2" xfId="10399" xr:uid="{00000000-0005-0000-0000-0000CF1D0000}"/>
    <cellStyle name="Обычный 4 2 2 138 2 2" xfId="58460" xr:uid="{00000000-0005-0000-0000-0000D01D0000}"/>
    <cellStyle name="Обычный 4 2 2 138 3" xfId="15739" xr:uid="{00000000-0005-0000-0000-0000D11D0000}"/>
    <cellStyle name="Обычный 4 2 2 138 4" xfId="21079" xr:uid="{00000000-0005-0000-0000-0000D21D0000}"/>
    <cellStyle name="Обычный 4 2 2 138 5" xfId="26419" xr:uid="{00000000-0005-0000-0000-0000D31D0000}"/>
    <cellStyle name="Обычный 4 2 2 138 6" xfId="31759" xr:uid="{00000000-0005-0000-0000-0000D41D0000}"/>
    <cellStyle name="Обычный 4 2 2 138 7" xfId="37099" xr:uid="{00000000-0005-0000-0000-0000D51D0000}"/>
    <cellStyle name="Обычный 4 2 2 138 8" xfId="42439" xr:uid="{00000000-0005-0000-0000-0000D61D0000}"/>
    <cellStyle name="Обычный 4 2 2 138 9" xfId="47779" xr:uid="{00000000-0005-0000-0000-0000D71D0000}"/>
    <cellStyle name="Обычный 4 2 2 139" xfId="5088" xr:uid="{00000000-0005-0000-0000-0000D81D0000}"/>
    <cellStyle name="Обычный 4 2 2 139 10" xfId="53151" xr:uid="{00000000-0005-0000-0000-0000D91D0000}"/>
    <cellStyle name="Обычный 4 2 2 139 2" xfId="10431" xr:uid="{00000000-0005-0000-0000-0000DA1D0000}"/>
    <cellStyle name="Обычный 4 2 2 139 2 2" xfId="58492" xr:uid="{00000000-0005-0000-0000-0000DB1D0000}"/>
    <cellStyle name="Обычный 4 2 2 139 3" xfId="15771" xr:uid="{00000000-0005-0000-0000-0000DC1D0000}"/>
    <cellStyle name="Обычный 4 2 2 139 4" xfId="21111" xr:uid="{00000000-0005-0000-0000-0000DD1D0000}"/>
    <cellStyle name="Обычный 4 2 2 139 5" xfId="26451" xr:uid="{00000000-0005-0000-0000-0000DE1D0000}"/>
    <cellStyle name="Обычный 4 2 2 139 6" xfId="31791" xr:uid="{00000000-0005-0000-0000-0000DF1D0000}"/>
    <cellStyle name="Обычный 4 2 2 139 7" xfId="37131" xr:uid="{00000000-0005-0000-0000-0000E01D0000}"/>
    <cellStyle name="Обычный 4 2 2 139 8" xfId="42471" xr:uid="{00000000-0005-0000-0000-0000E11D0000}"/>
    <cellStyle name="Обычный 4 2 2 139 9" xfId="47811" xr:uid="{00000000-0005-0000-0000-0000E21D0000}"/>
    <cellStyle name="Обычный 4 2 2 14" xfId="1284" xr:uid="{00000000-0005-0000-0000-0000E31D0000}"/>
    <cellStyle name="Обычный 4 2 2 14 10" xfId="49347" xr:uid="{00000000-0005-0000-0000-0000E41D0000}"/>
    <cellStyle name="Обычный 4 2 2 14 2" xfId="6626" xr:uid="{00000000-0005-0000-0000-0000E51D0000}"/>
    <cellStyle name="Обычный 4 2 2 14 2 2" xfId="54688" xr:uid="{00000000-0005-0000-0000-0000E61D0000}"/>
    <cellStyle name="Обычный 4 2 2 14 3" xfId="11967" xr:uid="{00000000-0005-0000-0000-0000E71D0000}"/>
    <cellStyle name="Обычный 4 2 2 14 4" xfId="17307" xr:uid="{00000000-0005-0000-0000-0000E81D0000}"/>
    <cellStyle name="Обычный 4 2 2 14 5" xfId="22647" xr:uid="{00000000-0005-0000-0000-0000E91D0000}"/>
    <cellStyle name="Обычный 4 2 2 14 6" xfId="27987" xr:uid="{00000000-0005-0000-0000-0000EA1D0000}"/>
    <cellStyle name="Обычный 4 2 2 14 7" xfId="33327" xr:uid="{00000000-0005-0000-0000-0000EB1D0000}"/>
    <cellStyle name="Обычный 4 2 2 14 8" xfId="38667" xr:uid="{00000000-0005-0000-0000-0000EC1D0000}"/>
    <cellStyle name="Обычный 4 2 2 14 9" xfId="44007" xr:uid="{00000000-0005-0000-0000-0000ED1D0000}"/>
    <cellStyle name="Обычный 4 2 2 140" xfId="5120" xr:uid="{00000000-0005-0000-0000-0000EE1D0000}"/>
    <cellStyle name="Обычный 4 2 2 140 10" xfId="53183" xr:uid="{00000000-0005-0000-0000-0000EF1D0000}"/>
    <cellStyle name="Обычный 4 2 2 140 2" xfId="10463" xr:uid="{00000000-0005-0000-0000-0000F01D0000}"/>
    <cellStyle name="Обычный 4 2 2 140 2 2" xfId="58524" xr:uid="{00000000-0005-0000-0000-0000F11D0000}"/>
    <cellStyle name="Обычный 4 2 2 140 3" xfId="15803" xr:uid="{00000000-0005-0000-0000-0000F21D0000}"/>
    <cellStyle name="Обычный 4 2 2 140 4" xfId="21143" xr:uid="{00000000-0005-0000-0000-0000F31D0000}"/>
    <cellStyle name="Обычный 4 2 2 140 5" xfId="26483" xr:uid="{00000000-0005-0000-0000-0000F41D0000}"/>
    <cellStyle name="Обычный 4 2 2 140 6" xfId="31823" xr:uid="{00000000-0005-0000-0000-0000F51D0000}"/>
    <cellStyle name="Обычный 4 2 2 140 7" xfId="37163" xr:uid="{00000000-0005-0000-0000-0000F61D0000}"/>
    <cellStyle name="Обычный 4 2 2 140 8" xfId="42503" xr:uid="{00000000-0005-0000-0000-0000F71D0000}"/>
    <cellStyle name="Обычный 4 2 2 140 9" xfId="47843" xr:uid="{00000000-0005-0000-0000-0000F81D0000}"/>
    <cellStyle name="Обычный 4 2 2 141" xfId="5152" xr:uid="{00000000-0005-0000-0000-0000F91D0000}"/>
    <cellStyle name="Обычный 4 2 2 141 10" xfId="53215" xr:uid="{00000000-0005-0000-0000-0000FA1D0000}"/>
    <cellStyle name="Обычный 4 2 2 141 2" xfId="10495" xr:uid="{00000000-0005-0000-0000-0000FB1D0000}"/>
    <cellStyle name="Обычный 4 2 2 141 2 2" xfId="58556" xr:uid="{00000000-0005-0000-0000-0000FC1D0000}"/>
    <cellStyle name="Обычный 4 2 2 141 3" xfId="15835" xr:uid="{00000000-0005-0000-0000-0000FD1D0000}"/>
    <cellStyle name="Обычный 4 2 2 141 4" xfId="21175" xr:uid="{00000000-0005-0000-0000-0000FE1D0000}"/>
    <cellStyle name="Обычный 4 2 2 141 5" xfId="26515" xr:uid="{00000000-0005-0000-0000-0000FF1D0000}"/>
    <cellStyle name="Обычный 4 2 2 141 6" xfId="31855" xr:uid="{00000000-0005-0000-0000-0000001E0000}"/>
    <cellStyle name="Обычный 4 2 2 141 7" xfId="37195" xr:uid="{00000000-0005-0000-0000-0000011E0000}"/>
    <cellStyle name="Обычный 4 2 2 141 8" xfId="42535" xr:uid="{00000000-0005-0000-0000-0000021E0000}"/>
    <cellStyle name="Обычный 4 2 2 141 9" xfId="47875" xr:uid="{00000000-0005-0000-0000-0000031E0000}"/>
    <cellStyle name="Обычный 4 2 2 142" xfId="5184" xr:uid="{00000000-0005-0000-0000-0000041E0000}"/>
    <cellStyle name="Обычный 4 2 2 142 10" xfId="53247" xr:uid="{00000000-0005-0000-0000-0000051E0000}"/>
    <cellStyle name="Обычный 4 2 2 142 2" xfId="10527" xr:uid="{00000000-0005-0000-0000-0000061E0000}"/>
    <cellStyle name="Обычный 4 2 2 142 2 2" xfId="58588" xr:uid="{00000000-0005-0000-0000-0000071E0000}"/>
    <cellStyle name="Обычный 4 2 2 142 3" xfId="15867" xr:uid="{00000000-0005-0000-0000-0000081E0000}"/>
    <cellStyle name="Обычный 4 2 2 142 4" xfId="21207" xr:uid="{00000000-0005-0000-0000-0000091E0000}"/>
    <cellStyle name="Обычный 4 2 2 142 5" xfId="26547" xr:uid="{00000000-0005-0000-0000-00000A1E0000}"/>
    <cellStyle name="Обычный 4 2 2 142 6" xfId="31887" xr:uid="{00000000-0005-0000-0000-00000B1E0000}"/>
    <cellStyle name="Обычный 4 2 2 142 7" xfId="37227" xr:uid="{00000000-0005-0000-0000-00000C1E0000}"/>
    <cellStyle name="Обычный 4 2 2 142 8" xfId="42567" xr:uid="{00000000-0005-0000-0000-00000D1E0000}"/>
    <cellStyle name="Обычный 4 2 2 142 9" xfId="47907" xr:uid="{00000000-0005-0000-0000-00000E1E0000}"/>
    <cellStyle name="Обычный 4 2 2 143" xfId="5216" xr:uid="{00000000-0005-0000-0000-00000F1E0000}"/>
    <cellStyle name="Обычный 4 2 2 143 10" xfId="53279" xr:uid="{00000000-0005-0000-0000-0000101E0000}"/>
    <cellStyle name="Обычный 4 2 2 143 2" xfId="10559" xr:uid="{00000000-0005-0000-0000-0000111E0000}"/>
    <cellStyle name="Обычный 4 2 2 143 2 2" xfId="58620" xr:uid="{00000000-0005-0000-0000-0000121E0000}"/>
    <cellStyle name="Обычный 4 2 2 143 3" xfId="15899" xr:uid="{00000000-0005-0000-0000-0000131E0000}"/>
    <cellStyle name="Обычный 4 2 2 143 4" xfId="21239" xr:uid="{00000000-0005-0000-0000-0000141E0000}"/>
    <cellStyle name="Обычный 4 2 2 143 5" xfId="26579" xr:uid="{00000000-0005-0000-0000-0000151E0000}"/>
    <cellStyle name="Обычный 4 2 2 143 6" xfId="31919" xr:uid="{00000000-0005-0000-0000-0000161E0000}"/>
    <cellStyle name="Обычный 4 2 2 143 7" xfId="37259" xr:uid="{00000000-0005-0000-0000-0000171E0000}"/>
    <cellStyle name="Обычный 4 2 2 143 8" xfId="42599" xr:uid="{00000000-0005-0000-0000-0000181E0000}"/>
    <cellStyle name="Обычный 4 2 2 143 9" xfId="47939" xr:uid="{00000000-0005-0000-0000-0000191E0000}"/>
    <cellStyle name="Обычный 4 2 2 144" xfId="5248" xr:uid="{00000000-0005-0000-0000-00001A1E0000}"/>
    <cellStyle name="Обычный 4 2 2 144 10" xfId="53311" xr:uid="{00000000-0005-0000-0000-00001B1E0000}"/>
    <cellStyle name="Обычный 4 2 2 144 2" xfId="10591" xr:uid="{00000000-0005-0000-0000-00001C1E0000}"/>
    <cellStyle name="Обычный 4 2 2 144 2 2" xfId="58652" xr:uid="{00000000-0005-0000-0000-00001D1E0000}"/>
    <cellStyle name="Обычный 4 2 2 144 3" xfId="15931" xr:uid="{00000000-0005-0000-0000-00001E1E0000}"/>
    <cellStyle name="Обычный 4 2 2 144 4" xfId="21271" xr:uid="{00000000-0005-0000-0000-00001F1E0000}"/>
    <cellStyle name="Обычный 4 2 2 144 5" xfId="26611" xr:uid="{00000000-0005-0000-0000-0000201E0000}"/>
    <cellStyle name="Обычный 4 2 2 144 6" xfId="31951" xr:uid="{00000000-0005-0000-0000-0000211E0000}"/>
    <cellStyle name="Обычный 4 2 2 144 7" xfId="37291" xr:uid="{00000000-0005-0000-0000-0000221E0000}"/>
    <cellStyle name="Обычный 4 2 2 144 8" xfId="42631" xr:uid="{00000000-0005-0000-0000-0000231E0000}"/>
    <cellStyle name="Обычный 4 2 2 144 9" xfId="47971" xr:uid="{00000000-0005-0000-0000-0000241E0000}"/>
    <cellStyle name="Обычный 4 2 2 145" xfId="5280" xr:uid="{00000000-0005-0000-0000-0000251E0000}"/>
    <cellStyle name="Обычный 4 2 2 145 10" xfId="53343" xr:uid="{00000000-0005-0000-0000-0000261E0000}"/>
    <cellStyle name="Обычный 4 2 2 145 2" xfId="10623" xr:uid="{00000000-0005-0000-0000-0000271E0000}"/>
    <cellStyle name="Обычный 4 2 2 145 2 2" xfId="58684" xr:uid="{00000000-0005-0000-0000-0000281E0000}"/>
    <cellStyle name="Обычный 4 2 2 145 3" xfId="15963" xr:uid="{00000000-0005-0000-0000-0000291E0000}"/>
    <cellStyle name="Обычный 4 2 2 145 4" xfId="21303" xr:uid="{00000000-0005-0000-0000-00002A1E0000}"/>
    <cellStyle name="Обычный 4 2 2 145 5" xfId="26643" xr:uid="{00000000-0005-0000-0000-00002B1E0000}"/>
    <cellStyle name="Обычный 4 2 2 145 6" xfId="31983" xr:uid="{00000000-0005-0000-0000-00002C1E0000}"/>
    <cellStyle name="Обычный 4 2 2 145 7" xfId="37323" xr:uid="{00000000-0005-0000-0000-00002D1E0000}"/>
    <cellStyle name="Обычный 4 2 2 145 8" xfId="42663" xr:uid="{00000000-0005-0000-0000-00002E1E0000}"/>
    <cellStyle name="Обычный 4 2 2 145 9" xfId="48003" xr:uid="{00000000-0005-0000-0000-00002F1E0000}"/>
    <cellStyle name="Обычный 4 2 2 146" xfId="5312" xr:uid="{00000000-0005-0000-0000-0000301E0000}"/>
    <cellStyle name="Обычный 4 2 2 146 10" xfId="53375" xr:uid="{00000000-0005-0000-0000-0000311E0000}"/>
    <cellStyle name="Обычный 4 2 2 146 2" xfId="10655" xr:uid="{00000000-0005-0000-0000-0000321E0000}"/>
    <cellStyle name="Обычный 4 2 2 146 2 2" xfId="58716" xr:uid="{00000000-0005-0000-0000-0000331E0000}"/>
    <cellStyle name="Обычный 4 2 2 146 3" xfId="15995" xr:uid="{00000000-0005-0000-0000-0000341E0000}"/>
    <cellStyle name="Обычный 4 2 2 146 4" xfId="21335" xr:uid="{00000000-0005-0000-0000-0000351E0000}"/>
    <cellStyle name="Обычный 4 2 2 146 5" xfId="26675" xr:uid="{00000000-0005-0000-0000-0000361E0000}"/>
    <cellStyle name="Обычный 4 2 2 146 6" xfId="32015" xr:uid="{00000000-0005-0000-0000-0000371E0000}"/>
    <cellStyle name="Обычный 4 2 2 146 7" xfId="37355" xr:uid="{00000000-0005-0000-0000-0000381E0000}"/>
    <cellStyle name="Обычный 4 2 2 146 8" xfId="42695" xr:uid="{00000000-0005-0000-0000-0000391E0000}"/>
    <cellStyle name="Обычный 4 2 2 146 9" xfId="48035" xr:uid="{00000000-0005-0000-0000-00003A1E0000}"/>
    <cellStyle name="Обычный 4 2 2 147" xfId="5344" xr:uid="{00000000-0005-0000-0000-00003B1E0000}"/>
    <cellStyle name="Обычный 4 2 2 147 10" xfId="53407" xr:uid="{00000000-0005-0000-0000-00003C1E0000}"/>
    <cellStyle name="Обычный 4 2 2 147 2" xfId="10687" xr:uid="{00000000-0005-0000-0000-00003D1E0000}"/>
    <cellStyle name="Обычный 4 2 2 147 2 2" xfId="58748" xr:uid="{00000000-0005-0000-0000-00003E1E0000}"/>
    <cellStyle name="Обычный 4 2 2 147 3" xfId="16027" xr:uid="{00000000-0005-0000-0000-00003F1E0000}"/>
    <cellStyle name="Обычный 4 2 2 147 4" xfId="21367" xr:uid="{00000000-0005-0000-0000-0000401E0000}"/>
    <cellStyle name="Обычный 4 2 2 147 5" xfId="26707" xr:uid="{00000000-0005-0000-0000-0000411E0000}"/>
    <cellStyle name="Обычный 4 2 2 147 6" xfId="32047" xr:uid="{00000000-0005-0000-0000-0000421E0000}"/>
    <cellStyle name="Обычный 4 2 2 147 7" xfId="37387" xr:uid="{00000000-0005-0000-0000-0000431E0000}"/>
    <cellStyle name="Обычный 4 2 2 147 8" xfId="42727" xr:uid="{00000000-0005-0000-0000-0000441E0000}"/>
    <cellStyle name="Обычный 4 2 2 147 9" xfId="48067" xr:uid="{00000000-0005-0000-0000-0000451E0000}"/>
    <cellStyle name="Обычный 4 2 2 148" xfId="5376" xr:uid="{00000000-0005-0000-0000-0000461E0000}"/>
    <cellStyle name="Обычный 4 2 2 148 10" xfId="53439" xr:uid="{00000000-0005-0000-0000-0000471E0000}"/>
    <cellStyle name="Обычный 4 2 2 148 2" xfId="10719" xr:uid="{00000000-0005-0000-0000-0000481E0000}"/>
    <cellStyle name="Обычный 4 2 2 148 2 2" xfId="58780" xr:uid="{00000000-0005-0000-0000-0000491E0000}"/>
    <cellStyle name="Обычный 4 2 2 148 3" xfId="16059" xr:uid="{00000000-0005-0000-0000-00004A1E0000}"/>
    <cellStyle name="Обычный 4 2 2 148 4" xfId="21399" xr:uid="{00000000-0005-0000-0000-00004B1E0000}"/>
    <cellStyle name="Обычный 4 2 2 148 5" xfId="26739" xr:uid="{00000000-0005-0000-0000-00004C1E0000}"/>
    <cellStyle name="Обычный 4 2 2 148 6" xfId="32079" xr:uid="{00000000-0005-0000-0000-00004D1E0000}"/>
    <cellStyle name="Обычный 4 2 2 148 7" xfId="37419" xr:uid="{00000000-0005-0000-0000-00004E1E0000}"/>
    <cellStyle name="Обычный 4 2 2 148 8" xfId="42759" xr:uid="{00000000-0005-0000-0000-00004F1E0000}"/>
    <cellStyle name="Обычный 4 2 2 148 9" xfId="48099" xr:uid="{00000000-0005-0000-0000-0000501E0000}"/>
    <cellStyle name="Обычный 4 2 2 149" xfId="5441" xr:uid="{00000000-0005-0000-0000-0000511E0000}"/>
    <cellStyle name="Обычный 4 2 2 149 2" xfId="53503" xr:uid="{00000000-0005-0000-0000-0000521E0000}"/>
    <cellStyle name="Обычный 4 2 2 15" xfId="1310" xr:uid="{00000000-0005-0000-0000-0000531E0000}"/>
    <cellStyle name="Обычный 4 2 2 15 10" xfId="49373" xr:uid="{00000000-0005-0000-0000-0000541E0000}"/>
    <cellStyle name="Обычный 4 2 2 15 2" xfId="6652" xr:uid="{00000000-0005-0000-0000-0000551E0000}"/>
    <cellStyle name="Обычный 4 2 2 15 2 2" xfId="54714" xr:uid="{00000000-0005-0000-0000-0000561E0000}"/>
    <cellStyle name="Обычный 4 2 2 15 3" xfId="11993" xr:uid="{00000000-0005-0000-0000-0000571E0000}"/>
    <cellStyle name="Обычный 4 2 2 15 4" xfId="17333" xr:uid="{00000000-0005-0000-0000-0000581E0000}"/>
    <cellStyle name="Обычный 4 2 2 15 5" xfId="22673" xr:uid="{00000000-0005-0000-0000-0000591E0000}"/>
    <cellStyle name="Обычный 4 2 2 15 6" xfId="28013" xr:uid="{00000000-0005-0000-0000-00005A1E0000}"/>
    <cellStyle name="Обычный 4 2 2 15 7" xfId="33353" xr:uid="{00000000-0005-0000-0000-00005B1E0000}"/>
    <cellStyle name="Обычный 4 2 2 15 8" xfId="38693" xr:uid="{00000000-0005-0000-0000-00005C1E0000}"/>
    <cellStyle name="Обычный 4 2 2 15 9" xfId="44033" xr:uid="{00000000-0005-0000-0000-00005D1E0000}"/>
    <cellStyle name="Обычный 4 2 2 150" xfId="10782" xr:uid="{00000000-0005-0000-0000-00005E1E0000}"/>
    <cellStyle name="Обычный 4 2 2 151" xfId="16122" xr:uid="{00000000-0005-0000-0000-00005F1E0000}"/>
    <cellStyle name="Обычный 4 2 2 152" xfId="21462" xr:uid="{00000000-0005-0000-0000-0000601E0000}"/>
    <cellStyle name="Обычный 4 2 2 153" xfId="26802" xr:uid="{00000000-0005-0000-0000-0000611E0000}"/>
    <cellStyle name="Обычный 4 2 2 154" xfId="32142" xr:uid="{00000000-0005-0000-0000-0000621E0000}"/>
    <cellStyle name="Обычный 4 2 2 155" xfId="37482" xr:uid="{00000000-0005-0000-0000-0000631E0000}"/>
    <cellStyle name="Обычный 4 2 2 156" xfId="42822" xr:uid="{00000000-0005-0000-0000-0000641E0000}"/>
    <cellStyle name="Обычный 4 2 2 157" xfId="48162" xr:uid="{00000000-0005-0000-0000-0000651E0000}"/>
    <cellStyle name="Обычный 4 2 2 16" xfId="1336" xr:uid="{00000000-0005-0000-0000-0000661E0000}"/>
    <cellStyle name="Обычный 4 2 2 16 10" xfId="49399" xr:uid="{00000000-0005-0000-0000-0000671E0000}"/>
    <cellStyle name="Обычный 4 2 2 16 2" xfId="6678" xr:uid="{00000000-0005-0000-0000-0000681E0000}"/>
    <cellStyle name="Обычный 4 2 2 16 2 2" xfId="54740" xr:uid="{00000000-0005-0000-0000-0000691E0000}"/>
    <cellStyle name="Обычный 4 2 2 16 3" xfId="12019" xr:uid="{00000000-0005-0000-0000-00006A1E0000}"/>
    <cellStyle name="Обычный 4 2 2 16 4" xfId="17359" xr:uid="{00000000-0005-0000-0000-00006B1E0000}"/>
    <cellStyle name="Обычный 4 2 2 16 5" xfId="22699" xr:uid="{00000000-0005-0000-0000-00006C1E0000}"/>
    <cellStyle name="Обычный 4 2 2 16 6" xfId="28039" xr:uid="{00000000-0005-0000-0000-00006D1E0000}"/>
    <cellStyle name="Обычный 4 2 2 16 7" xfId="33379" xr:uid="{00000000-0005-0000-0000-00006E1E0000}"/>
    <cellStyle name="Обычный 4 2 2 16 8" xfId="38719" xr:uid="{00000000-0005-0000-0000-00006F1E0000}"/>
    <cellStyle name="Обычный 4 2 2 16 9" xfId="44059" xr:uid="{00000000-0005-0000-0000-0000701E0000}"/>
    <cellStyle name="Обычный 4 2 2 17" xfId="1362" xr:uid="{00000000-0005-0000-0000-0000711E0000}"/>
    <cellStyle name="Обычный 4 2 2 17 10" xfId="49425" xr:uid="{00000000-0005-0000-0000-0000721E0000}"/>
    <cellStyle name="Обычный 4 2 2 17 2" xfId="6704" xr:uid="{00000000-0005-0000-0000-0000731E0000}"/>
    <cellStyle name="Обычный 4 2 2 17 2 2" xfId="54766" xr:uid="{00000000-0005-0000-0000-0000741E0000}"/>
    <cellStyle name="Обычный 4 2 2 17 3" xfId="12045" xr:uid="{00000000-0005-0000-0000-0000751E0000}"/>
    <cellStyle name="Обычный 4 2 2 17 4" xfId="17385" xr:uid="{00000000-0005-0000-0000-0000761E0000}"/>
    <cellStyle name="Обычный 4 2 2 17 5" xfId="22725" xr:uid="{00000000-0005-0000-0000-0000771E0000}"/>
    <cellStyle name="Обычный 4 2 2 17 6" xfId="28065" xr:uid="{00000000-0005-0000-0000-0000781E0000}"/>
    <cellStyle name="Обычный 4 2 2 17 7" xfId="33405" xr:uid="{00000000-0005-0000-0000-0000791E0000}"/>
    <cellStyle name="Обычный 4 2 2 17 8" xfId="38745" xr:uid="{00000000-0005-0000-0000-00007A1E0000}"/>
    <cellStyle name="Обычный 4 2 2 17 9" xfId="44085" xr:uid="{00000000-0005-0000-0000-00007B1E0000}"/>
    <cellStyle name="Обычный 4 2 2 18" xfId="1388" xr:uid="{00000000-0005-0000-0000-00007C1E0000}"/>
    <cellStyle name="Обычный 4 2 2 18 10" xfId="49451" xr:uid="{00000000-0005-0000-0000-00007D1E0000}"/>
    <cellStyle name="Обычный 4 2 2 18 2" xfId="6730" xr:uid="{00000000-0005-0000-0000-00007E1E0000}"/>
    <cellStyle name="Обычный 4 2 2 18 2 2" xfId="54792" xr:uid="{00000000-0005-0000-0000-00007F1E0000}"/>
    <cellStyle name="Обычный 4 2 2 18 3" xfId="12071" xr:uid="{00000000-0005-0000-0000-0000801E0000}"/>
    <cellStyle name="Обычный 4 2 2 18 4" xfId="17411" xr:uid="{00000000-0005-0000-0000-0000811E0000}"/>
    <cellStyle name="Обычный 4 2 2 18 5" xfId="22751" xr:uid="{00000000-0005-0000-0000-0000821E0000}"/>
    <cellStyle name="Обычный 4 2 2 18 6" xfId="28091" xr:uid="{00000000-0005-0000-0000-0000831E0000}"/>
    <cellStyle name="Обычный 4 2 2 18 7" xfId="33431" xr:uid="{00000000-0005-0000-0000-0000841E0000}"/>
    <cellStyle name="Обычный 4 2 2 18 8" xfId="38771" xr:uid="{00000000-0005-0000-0000-0000851E0000}"/>
    <cellStyle name="Обычный 4 2 2 18 9" xfId="44111" xr:uid="{00000000-0005-0000-0000-0000861E0000}"/>
    <cellStyle name="Обычный 4 2 2 19" xfId="1414" xr:uid="{00000000-0005-0000-0000-0000871E0000}"/>
    <cellStyle name="Обычный 4 2 2 19 10" xfId="49477" xr:uid="{00000000-0005-0000-0000-0000881E0000}"/>
    <cellStyle name="Обычный 4 2 2 19 2" xfId="6756" xr:uid="{00000000-0005-0000-0000-0000891E0000}"/>
    <cellStyle name="Обычный 4 2 2 19 2 2" xfId="54818" xr:uid="{00000000-0005-0000-0000-00008A1E0000}"/>
    <cellStyle name="Обычный 4 2 2 19 3" xfId="12097" xr:uid="{00000000-0005-0000-0000-00008B1E0000}"/>
    <cellStyle name="Обычный 4 2 2 19 4" xfId="17437" xr:uid="{00000000-0005-0000-0000-00008C1E0000}"/>
    <cellStyle name="Обычный 4 2 2 19 5" xfId="22777" xr:uid="{00000000-0005-0000-0000-00008D1E0000}"/>
    <cellStyle name="Обычный 4 2 2 19 6" xfId="28117" xr:uid="{00000000-0005-0000-0000-00008E1E0000}"/>
    <cellStyle name="Обычный 4 2 2 19 7" xfId="33457" xr:uid="{00000000-0005-0000-0000-00008F1E0000}"/>
    <cellStyle name="Обычный 4 2 2 19 8" xfId="38797" xr:uid="{00000000-0005-0000-0000-0000901E0000}"/>
    <cellStyle name="Обычный 4 2 2 19 9" xfId="44137" xr:uid="{00000000-0005-0000-0000-0000911E0000}"/>
    <cellStyle name="Обычный 4 2 2 2" xfId="567" xr:uid="{00000000-0005-0000-0000-0000921E0000}"/>
    <cellStyle name="Обычный 4 2 2 2 10" xfId="48629" xr:uid="{00000000-0005-0000-0000-0000931E0000}"/>
    <cellStyle name="Обычный 4 2 2 2 2" xfId="5908" xr:uid="{00000000-0005-0000-0000-0000941E0000}"/>
    <cellStyle name="Обычный 4 2 2 2 2 2" xfId="53970" xr:uid="{00000000-0005-0000-0000-0000951E0000}"/>
    <cellStyle name="Обычный 4 2 2 2 3" xfId="11249" xr:uid="{00000000-0005-0000-0000-0000961E0000}"/>
    <cellStyle name="Обычный 4 2 2 2 4" xfId="16589" xr:uid="{00000000-0005-0000-0000-0000971E0000}"/>
    <cellStyle name="Обычный 4 2 2 2 5" xfId="21929" xr:uid="{00000000-0005-0000-0000-0000981E0000}"/>
    <cellStyle name="Обычный 4 2 2 2 6" xfId="27269" xr:uid="{00000000-0005-0000-0000-0000991E0000}"/>
    <cellStyle name="Обычный 4 2 2 2 7" xfId="32609" xr:uid="{00000000-0005-0000-0000-00009A1E0000}"/>
    <cellStyle name="Обычный 4 2 2 2 8" xfId="37949" xr:uid="{00000000-0005-0000-0000-00009B1E0000}"/>
    <cellStyle name="Обычный 4 2 2 2 9" xfId="43289" xr:uid="{00000000-0005-0000-0000-00009C1E0000}"/>
    <cellStyle name="Обычный 4 2 2 20" xfId="1440" xr:uid="{00000000-0005-0000-0000-00009D1E0000}"/>
    <cellStyle name="Обычный 4 2 2 20 10" xfId="49503" xr:uid="{00000000-0005-0000-0000-00009E1E0000}"/>
    <cellStyle name="Обычный 4 2 2 20 2" xfId="6782" xr:uid="{00000000-0005-0000-0000-00009F1E0000}"/>
    <cellStyle name="Обычный 4 2 2 20 2 2" xfId="54844" xr:uid="{00000000-0005-0000-0000-0000A01E0000}"/>
    <cellStyle name="Обычный 4 2 2 20 3" xfId="12123" xr:uid="{00000000-0005-0000-0000-0000A11E0000}"/>
    <cellStyle name="Обычный 4 2 2 20 4" xfId="17463" xr:uid="{00000000-0005-0000-0000-0000A21E0000}"/>
    <cellStyle name="Обычный 4 2 2 20 5" xfId="22803" xr:uid="{00000000-0005-0000-0000-0000A31E0000}"/>
    <cellStyle name="Обычный 4 2 2 20 6" xfId="28143" xr:uid="{00000000-0005-0000-0000-0000A41E0000}"/>
    <cellStyle name="Обычный 4 2 2 20 7" xfId="33483" xr:uid="{00000000-0005-0000-0000-0000A51E0000}"/>
    <cellStyle name="Обычный 4 2 2 20 8" xfId="38823" xr:uid="{00000000-0005-0000-0000-0000A61E0000}"/>
    <cellStyle name="Обычный 4 2 2 20 9" xfId="44163" xr:uid="{00000000-0005-0000-0000-0000A71E0000}"/>
    <cellStyle name="Обычный 4 2 2 21" xfId="1466" xr:uid="{00000000-0005-0000-0000-0000A81E0000}"/>
    <cellStyle name="Обычный 4 2 2 21 10" xfId="49529" xr:uid="{00000000-0005-0000-0000-0000A91E0000}"/>
    <cellStyle name="Обычный 4 2 2 21 2" xfId="6808" xr:uid="{00000000-0005-0000-0000-0000AA1E0000}"/>
    <cellStyle name="Обычный 4 2 2 21 2 2" xfId="54870" xr:uid="{00000000-0005-0000-0000-0000AB1E0000}"/>
    <cellStyle name="Обычный 4 2 2 21 3" xfId="12149" xr:uid="{00000000-0005-0000-0000-0000AC1E0000}"/>
    <cellStyle name="Обычный 4 2 2 21 4" xfId="17489" xr:uid="{00000000-0005-0000-0000-0000AD1E0000}"/>
    <cellStyle name="Обычный 4 2 2 21 5" xfId="22829" xr:uid="{00000000-0005-0000-0000-0000AE1E0000}"/>
    <cellStyle name="Обычный 4 2 2 21 6" xfId="28169" xr:uid="{00000000-0005-0000-0000-0000AF1E0000}"/>
    <cellStyle name="Обычный 4 2 2 21 7" xfId="33509" xr:uid="{00000000-0005-0000-0000-0000B01E0000}"/>
    <cellStyle name="Обычный 4 2 2 21 8" xfId="38849" xr:uid="{00000000-0005-0000-0000-0000B11E0000}"/>
    <cellStyle name="Обычный 4 2 2 21 9" xfId="44189" xr:uid="{00000000-0005-0000-0000-0000B21E0000}"/>
    <cellStyle name="Обычный 4 2 2 22" xfId="1492" xr:uid="{00000000-0005-0000-0000-0000B31E0000}"/>
    <cellStyle name="Обычный 4 2 2 22 10" xfId="49555" xr:uid="{00000000-0005-0000-0000-0000B41E0000}"/>
    <cellStyle name="Обычный 4 2 2 22 2" xfId="6834" xr:uid="{00000000-0005-0000-0000-0000B51E0000}"/>
    <cellStyle name="Обычный 4 2 2 22 2 2" xfId="54896" xr:uid="{00000000-0005-0000-0000-0000B61E0000}"/>
    <cellStyle name="Обычный 4 2 2 22 3" xfId="12175" xr:uid="{00000000-0005-0000-0000-0000B71E0000}"/>
    <cellStyle name="Обычный 4 2 2 22 4" xfId="17515" xr:uid="{00000000-0005-0000-0000-0000B81E0000}"/>
    <cellStyle name="Обычный 4 2 2 22 5" xfId="22855" xr:uid="{00000000-0005-0000-0000-0000B91E0000}"/>
    <cellStyle name="Обычный 4 2 2 22 6" xfId="28195" xr:uid="{00000000-0005-0000-0000-0000BA1E0000}"/>
    <cellStyle name="Обычный 4 2 2 22 7" xfId="33535" xr:uid="{00000000-0005-0000-0000-0000BB1E0000}"/>
    <cellStyle name="Обычный 4 2 2 22 8" xfId="38875" xr:uid="{00000000-0005-0000-0000-0000BC1E0000}"/>
    <cellStyle name="Обычный 4 2 2 22 9" xfId="44215" xr:uid="{00000000-0005-0000-0000-0000BD1E0000}"/>
    <cellStyle name="Обычный 4 2 2 23" xfId="1518" xr:uid="{00000000-0005-0000-0000-0000BE1E0000}"/>
    <cellStyle name="Обычный 4 2 2 23 10" xfId="49581" xr:uid="{00000000-0005-0000-0000-0000BF1E0000}"/>
    <cellStyle name="Обычный 4 2 2 23 2" xfId="6860" xr:uid="{00000000-0005-0000-0000-0000C01E0000}"/>
    <cellStyle name="Обычный 4 2 2 23 2 2" xfId="54922" xr:uid="{00000000-0005-0000-0000-0000C11E0000}"/>
    <cellStyle name="Обычный 4 2 2 23 3" xfId="12201" xr:uid="{00000000-0005-0000-0000-0000C21E0000}"/>
    <cellStyle name="Обычный 4 2 2 23 4" xfId="17541" xr:uid="{00000000-0005-0000-0000-0000C31E0000}"/>
    <cellStyle name="Обычный 4 2 2 23 5" xfId="22881" xr:uid="{00000000-0005-0000-0000-0000C41E0000}"/>
    <cellStyle name="Обычный 4 2 2 23 6" xfId="28221" xr:uid="{00000000-0005-0000-0000-0000C51E0000}"/>
    <cellStyle name="Обычный 4 2 2 23 7" xfId="33561" xr:uid="{00000000-0005-0000-0000-0000C61E0000}"/>
    <cellStyle name="Обычный 4 2 2 23 8" xfId="38901" xr:uid="{00000000-0005-0000-0000-0000C71E0000}"/>
    <cellStyle name="Обычный 4 2 2 23 9" xfId="44241" xr:uid="{00000000-0005-0000-0000-0000C81E0000}"/>
    <cellStyle name="Обычный 4 2 2 24" xfId="1544" xr:uid="{00000000-0005-0000-0000-0000C91E0000}"/>
    <cellStyle name="Обычный 4 2 2 24 10" xfId="49607" xr:uid="{00000000-0005-0000-0000-0000CA1E0000}"/>
    <cellStyle name="Обычный 4 2 2 24 2" xfId="6886" xr:uid="{00000000-0005-0000-0000-0000CB1E0000}"/>
    <cellStyle name="Обычный 4 2 2 24 2 2" xfId="54948" xr:uid="{00000000-0005-0000-0000-0000CC1E0000}"/>
    <cellStyle name="Обычный 4 2 2 24 3" xfId="12227" xr:uid="{00000000-0005-0000-0000-0000CD1E0000}"/>
    <cellStyle name="Обычный 4 2 2 24 4" xfId="17567" xr:uid="{00000000-0005-0000-0000-0000CE1E0000}"/>
    <cellStyle name="Обычный 4 2 2 24 5" xfId="22907" xr:uid="{00000000-0005-0000-0000-0000CF1E0000}"/>
    <cellStyle name="Обычный 4 2 2 24 6" xfId="28247" xr:uid="{00000000-0005-0000-0000-0000D01E0000}"/>
    <cellStyle name="Обычный 4 2 2 24 7" xfId="33587" xr:uid="{00000000-0005-0000-0000-0000D11E0000}"/>
    <cellStyle name="Обычный 4 2 2 24 8" xfId="38927" xr:uid="{00000000-0005-0000-0000-0000D21E0000}"/>
    <cellStyle name="Обычный 4 2 2 24 9" xfId="44267" xr:uid="{00000000-0005-0000-0000-0000D31E0000}"/>
    <cellStyle name="Обычный 4 2 2 25" xfId="1570" xr:uid="{00000000-0005-0000-0000-0000D41E0000}"/>
    <cellStyle name="Обычный 4 2 2 25 10" xfId="49633" xr:uid="{00000000-0005-0000-0000-0000D51E0000}"/>
    <cellStyle name="Обычный 4 2 2 25 2" xfId="6912" xr:uid="{00000000-0005-0000-0000-0000D61E0000}"/>
    <cellStyle name="Обычный 4 2 2 25 2 2" xfId="54974" xr:uid="{00000000-0005-0000-0000-0000D71E0000}"/>
    <cellStyle name="Обычный 4 2 2 25 3" xfId="12253" xr:uid="{00000000-0005-0000-0000-0000D81E0000}"/>
    <cellStyle name="Обычный 4 2 2 25 4" xfId="17593" xr:uid="{00000000-0005-0000-0000-0000D91E0000}"/>
    <cellStyle name="Обычный 4 2 2 25 5" xfId="22933" xr:uid="{00000000-0005-0000-0000-0000DA1E0000}"/>
    <cellStyle name="Обычный 4 2 2 25 6" xfId="28273" xr:uid="{00000000-0005-0000-0000-0000DB1E0000}"/>
    <cellStyle name="Обычный 4 2 2 25 7" xfId="33613" xr:uid="{00000000-0005-0000-0000-0000DC1E0000}"/>
    <cellStyle name="Обычный 4 2 2 25 8" xfId="38953" xr:uid="{00000000-0005-0000-0000-0000DD1E0000}"/>
    <cellStyle name="Обычный 4 2 2 25 9" xfId="44293" xr:uid="{00000000-0005-0000-0000-0000DE1E0000}"/>
    <cellStyle name="Обычный 4 2 2 26" xfId="1596" xr:uid="{00000000-0005-0000-0000-0000DF1E0000}"/>
    <cellStyle name="Обычный 4 2 2 26 10" xfId="49659" xr:uid="{00000000-0005-0000-0000-0000E01E0000}"/>
    <cellStyle name="Обычный 4 2 2 26 2" xfId="6938" xr:uid="{00000000-0005-0000-0000-0000E11E0000}"/>
    <cellStyle name="Обычный 4 2 2 26 2 2" xfId="55000" xr:uid="{00000000-0005-0000-0000-0000E21E0000}"/>
    <cellStyle name="Обычный 4 2 2 26 3" xfId="12279" xr:uid="{00000000-0005-0000-0000-0000E31E0000}"/>
    <cellStyle name="Обычный 4 2 2 26 4" xfId="17619" xr:uid="{00000000-0005-0000-0000-0000E41E0000}"/>
    <cellStyle name="Обычный 4 2 2 26 5" xfId="22959" xr:uid="{00000000-0005-0000-0000-0000E51E0000}"/>
    <cellStyle name="Обычный 4 2 2 26 6" xfId="28299" xr:uid="{00000000-0005-0000-0000-0000E61E0000}"/>
    <cellStyle name="Обычный 4 2 2 26 7" xfId="33639" xr:uid="{00000000-0005-0000-0000-0000E71E0000}"/>
    <cellStyle name="Обычный 4 2 2 26 8" xfId="38979" xr:uid="{00000000-0005-0000-0000-0000E81E0000}"/>
    <cellStyle name="Обычный 4 2 2 26 9" xfId="44319" xr:uid="{00000000-0005-0000-0000-0000E91E0000}"/>
    <cellStyle name="Обычный 4 2 2 27" xfId="1622" xr:uid="{00000000-0005-0000-0000-0000EA1E0000}"/>
    <cellStyle name="Обычный 4 2 2 27 10" xfId="49685" xr:uid="{00000000-0005-0000-0000-0000EB1E0000}"/>
    <cellStyle name="Обычный 4 2 2 27 2" xfId="6964" xr:uid="{00000000-0005-0000-0000-0000EC1E0000}"/>
    <cellStyle name="Обычный 4 2 2 27 2 2" xfId="55026" xr:uid="{00000000-0005-0000-0000-0000ED1E0000}"/>
    <cellStyle name="Обычный 4 2 2 27 3" xfId="12305" xr:uid="{00000000-0005-0000-0000-0000EE1E0000}"/>
    <cellStyle name="Обычный 4 2 2 27 4" xfId="17645" xr:uid="{00000000-0005-0000-0000-0000EF1E0000}"/>
    <cellStyle name="Обычный 4 2 2 27 5" xfId="22985" xr:uid="{00000000-0005-0000-0000-0000F01E0000}"/>
    <cellStyle name="Обычный 4 2 2 27 6" xfId="28325" xr:uid="{00000000-0005-0000-0000-0000F11E0000}"/>
    <cellStyle name="Обычный 4 2 2 27 7" xfId="33665" xr:uid="{00000000-0005-0000-0000-0000F21E0000}"/>
    <cellStyle name="Обычный 4 2 2 27 8" xfId="39005" xr:uid="{00000000-0005-0000-0000-0000F31E0000}"/>
    <cellStyle name="Обычный 4 2 2 27 9" xfId="44345" xr:uid="{00000000-0005-0000-0000-0000F41E0000}"/>
    <cellStyle name="Обычный 4 2 2 28" xfId="1648" xr:uid="{00000000-0005-0000-0000-0000F51E0000}"/>
    <cellStyle name="Обычный 4 2 2 28 10" xfId="49711" xr:uid="{00000000-0005-0000-0000-0000F61E0000}"/>
    <cellStyle name="Обычный 4 2 2 28 2" xfId="6990" xr:uid="{00000000-0005-0000-0000-0000F71E0000}"/>
    <cellStyle name="Обычный 4 2 2 28 2 2" xfId="55052" xr:uid="{00000000-0005-0000-0000-0000F81E0000}"/>
    <cellStyle name="Обычный 4 2 2 28 3" xfId="12331" xr:uid="{00000000-0005-0000-0000-0000F91E0000}"/>
    <cellStyle name="Обычный 4 2 2 28 4" xfId="17671" xr:uid="{00000000-0005-0000-0000-0000FA1E0000}"/>
    <cellStyle name="Обычный 4 2 2 28 5" xfId="23011" xr:uid="{00000000-0005-0000-0000-0000FB1E0000}"/>
    <cellStyle name="Обычный 4 2 2 28 6" xfId="28351" xr:uid="{00000000-0005-0000-0000-0000FC1E0000}"/>
    <cellStyle name="Обычный 4 2 2 28 7" xfId="33691" xr:uid="{00000000-0005-0000-0000-0000FD1E0000}"/>
    <cellStyle name="Обычный 4 2 2 28 8" xfId="39031" xr:uid="{00000000-0005-0000-0000-0000FE1E0000}"/>
    <cellStyle name="Обычный 4 2 2 28 9" xfId="44371" xr:uid="{00000000-0005-0000-0000-0000FF1E0000}"/>
    <cellStyle name="Обычный 4 2 2 29" xfId="1674" xr:uid="{00000000-0005-0000-0000-0000001F0000}"/>
    <cellStyle name="Обычный 4 2 2 29 10" xfId="49737" xr:uid="{00000000-0005-0000-0000-0000011F0000}"/>
    <cellStyle name="Обычный 4 2 2 29 2" xfId="7016" xr:uid="{00000000-0005-0000-0000-0000021F0000}"/>
    <cellStyle name="Обычный 4 2 2 29 2 2" xfId="55078" xr:uid="{00000000-0005-0000-0000-0000031F0000}"/>
    <cellStyle name="Обычный 4 2 2 29 3" xfId="12357" xr:uid="{00000000-0005-0000-0000-0000041F0000}"/>
    <cellStyle name="Обычный 4 2 2 29 4" xfId="17697" xr:uid="{00000000-0005-0000-0000-0000051F0000}"/>
    <cellStyle name="Обычный 4 2 2 29 5" xfId="23037" xr:uid="{00000000-0005-0000-0000-0000061F0000}"/>
    <cellStyle name="Обычный 4 2 2 29 6" xfId="28377" xr:uid="{00000000-0005-0000-0000-0000071F0000}"/>
    <cellStyle name="Обычный 4 2 2 29 7" xfId="33717" xr:uid="{00000000-0005-0000-0000-0000081F0000}"/>
    <cellStyle name="Обычный 4 2 2 29 8" xfId="39057" xr:uid="{00000000-0005-0000-0000-0000091F0000}"/>
    <cellStyle name="Обычный 4 2 2 29 9" xfId="44397" xr:uid="{00000000-0005-0000-0000-00000A1F0000}"/>
    <cellStyle name="Обычный 4 2 2 3" xfId="1003" xr:uid="{00000000-0005-0000-0000-00000B1F0000}"/>
    <cellStyle name="Обычный 4 2 2 3 10" xfId="49065" xr:uid="{00000000-0005-0000-0000-00000C1F0000}"/>
    <cellStyle name="Обычный 4 2 2 3 2" xfId="6344" xr:uid="{00000000-0005-0000-0000-00000D1F0000}"/>
    <cellStyle name="Обычный 4 2 2 3 2 2" xfId="54406" xr:uid="{00000000-0005-0000-0000-00000E1F0000}"/>
    <cellStyle name="Обычный 4 2 2 3 3" xfId="11685" xr:uid="{00000000-0005-0000-0000-00000F1F0000}"/>
    <cellStyle name="Обычный 4 2 2 3 4" xfId="17025" xr:uid="{00000000-0005-0000-0000-0000101F0000}"/>
    <cellStyle name="Обычный 4 2 2 3 5" xfId="22365" xr:uid="{00000000-0005-0000-0000-0000111F0000}"/>
    <cellStyle name="Обычный 4 2 2 3 6" xfId="27705" xr:uid="{00000000-0005-0000-0000-0000121F0000}"/>
    <cellStyle name="Обычный 4 2 2 3 7" xfId="33045" xr:uid="{00000000-0005-0000-0000-0000131F0000}"/>
    <cellStyle name="Обычный 4 2 2 3 8" xfId="38385" xr:uid="{00000000-0005-0000-0000-0000141F0000}"/>
    <cellStyle name="Обычный 4 2 2 3 9" xfId="43725" xr:uid="{00000000-0005-0000-0000-0000151F0000}"/>
    <cellStyle name="Обычный 4 2 2 30" xfId="1700" xr:uid="{00000000-0005-0000-0000-0000161F0000}"/>
    <cellStyle name="Обычный 4 2 2 30 10" xfId="49763" xr:uid="{00000000-0005-0000-0000-0000171F0000}"/>
    <cellStyle name="Обычный 4 2 2 30 2" xfId="7042" xr:uid="{00000000-0005-0000-0000-0000181F0000}"/>
    <cellStyle name="Обычный 4 2 2 30 2 2" xfId="55104" xr:uid="{00000000-0005-0000-0000-0000191F0000}"/>
    <cellStyle name="Обычный 4 2 2 30 3" xfId="12383" xr:uid="{00000000-0005-0000-0000-00001A1F0000}"/>
    <cellStyle name="Обычный 4 2 2 30 4" xfId="17723" xr:uid="{00000000-0005-0000-0000-00001B1F0000}"/>
    <cellStyle name="Обычный 4 2 2 30 5" xfId="23063" xr:uid="{00000000-0005-0000-0000-00001C1F0000}"/>
    <cellStyle name="Обычный 4 2 2 30 6" xfId="28403" xr:uid="{00000000-0005-0000-0000-00001D1F0000}"/>
    <cellStyle name="Обычный 4 2 2 30 7" xfId="33743" xr:uid="{00000000-0005-0000-0000-00001E1F0000}"/>
    <cellStyle name="Обычный 4 2 2 30 8" xfId="39083" xr:uid="{00000000-0005-0000-0000-00001F1F0000}"/>
    <cellStyle name="Обычный 4 2 2 30 9" xfId="44423" xr:uid="{00000000-0005-0000-0000-0000201F0000}"/>
    <cellStyle name="Обычный 4 2 2 31" xfId="1726" xr:uid="{00000000-0005-0000-0000-0000211F0000}"/>
    <cellStyle name="Обычный 4 2 2 31 10" xfId="49789" xr:uid="{00000000-0005-0000-0000-0000221F0000}"/>
    <cellStyle name="Обычный 4 2 2 31 2" xfId="7068" xr:uid="{00000000-0005-0000-0000-0000231F0000}"/>
    <cellStyle name="Обычный 4 2 2 31 2 2" xfId="55130" xr:uid="{00000000-0005-0000-0000-0000241F0000}"/>
    <cellStyle name="Обычный 4 2 2 31 3" xfId="12409" xr:uid="{00000000-0005-0000-0000-0000251F0000}"/>
    <cellStyle name="Обычный 4 2 2 31 4" xfId="17749" xr:uid="{00000000-0005-0000-0000-0000261F0000}"/>
    <cellStyle name="Обычный 4 2 2 31 5" xfId="23089" xr:uid="{00000000-0005-0000-0000-0000271F0000}"/>
    <cellStyle name="Обычный 4 2 2 31 6" xfId="28429" xr:uid="{00000000-0005-0000-0000-0000281F0000}"/>
    <cellStyle name="Обычный 4 2 2 31 7" xfId="33769" xr:uid="{00000000-0005-0000-0000-0000291F0000}"/>
    <cellStyle name="Обычный 4 2 2 31 8" xfId="39109" xr:uid="{00000000-0005-0000-0000-00002A1F0000}"/>
    <cellStyle name="Обычный 4 2 2 31 9" xfId="44449" xr:uid="{00000000-0005-0000-0000-00002B1F0000}"/>
    <cellStyle name="Обычный 4 2 2 32" xfId="1752" xr:uid="{00000000-0005-0000-0000-00002C1F0000}"/>
    <cellStyle name="Обычный 4 2 2 32 10" xfId="49815" xr:uid="{00000000-0005-0000-0000-00002D1F0000}"/>
    <cellStyle name="Обычный 4 2 2 32 2" xfId="7094" xr:uid="{00000000-0005-0000-0000-00002E1F0000}"/>
    <cellStyle name="Обычный 4 2 2 32 2 2" xfId="55156" xr:uid="{00000000-0005-0000-0000-00002F1F0000}"/>
    <cellStyle name="Обычный 4 2 2 32 3" xfId="12435" xr:uid="{00000000-0005-0000-0000-0000301F0000}"/>
    <cellStyle name="Обычный 4 2 2 32 4" xfId="17775" xr:uid="{00000000-0005-0000-0000-0000311F0000}"/>
    <cellStyle name="Обычный 4 2 2 32 5" xfId="23115" xr:uid="{00000000-0005-0000-0000-0000321F0000}"/>
    <cellStyle name="Обычный 4 2 2 32 6" xfId="28455" xr:uid="{00000000-0005-0000-0000-0000331F0000}"/>
    <cellStyle name="Обычный 4 2 2 32 7" xfId="33795" xr:uid="{00000000-0005-0000-0000-0000341F0000}"/>
    <cellStyle name="Обычный 4 2 2 32 8" xfId="39135" xr:uid="{00000000-0005-0000-0000-0000351F0000}"/>
    <cellStyle name="Обычный 4 2 2 32 9" xfId="44475" xr:uid="{00000000-0005-0000-0000-0000361F0000}"/>
    <cellStyle name="Обычный 4 2 2 33" xfId="1778" xr:uid="{00000000-0005-0000-0000-0000371F0000}"/>
    <cellStyle name="Обычный 4 2 2 33 10" xfId="49841" xr:uid="{00000000-0005-0000-0000-0000381F0000}"/>
    <cellStyle name="Обычный 4 2 2 33 2" xfId="7120" xr:uid="{00000000-0005-0000-0000-0000391F0000}"/>
    <cellStyle name="Обычный 4 2 2 33 2 2" xfId="55182" xr:uid="{00000000-0005-0000-0000-00003A1F0000}"/>
    <cellStyle name="Обычный 4 2 2 33 3" xfId="12461" xr:uid="{00000000-0005-0000-0000-00003B1F0000}"/>
    <cellStyle name="Обычный 4 2 2 33 4" xfId="17801" xr:uid="{00000000-0005-0000-0000-00003C1F0000}"/>
    <cellStyle name="Обычный 4 2 2 33 5" xfId="23141" xr:uid="{00000000-0005-0000-0000-00003D1F0000}"/>
    <cellStyle name="Обычный 4 2 2 33 6" xfId="28481" xr:uid="{00000000-0005-0000-0000-00003E1F0000}"/>
    <cellStyle name="Обычный 4 2 2 33 7" xfId="33821" xr:uid="{00000000-0005-0000-0000-00003F1F0000}"/>
    <cellStyle name="Обычный 4 2 2 33 8" xfId="39161" xr:uid="{00000000-0005-0000-0000-0000401F0000}"/>
    <cellStyle name="Обычный 4 2 2 33 9" xfId="44501" xr:uid="{00000000-0005-0000-0000-0000411F0000}"/>
    <cellStyle name="Обычный 4 2 2 34" xfId="1804" xr:uid="{00000000-0005-0000-0000-0000421F0000}"/>
    <cellStyle name="Обычный 4 2 2 34 10" xfId="49867" xr:uid="{00000000-0005-0000-0000-0000431F0000}"/>
    <cellStyle name="Обычный 4 2 2 34 2" xfId="7146" xr:uid="{00000000-0005-0000-0000-0000441F0000}"/>
    <cellStyle name="Обычный 4 2 2 34 2 2" xfId="55208" xr:uid="{00000000-0005-0000-0000-0000451F0000}"/>
    <cellStyle name="Обычный 4 2 2 34 3" xfId="12487" xr:uid="{00000000-0005-0000-0000-0000461F0000}"/>
    <cellStyle name="Обычный 4 2 2 34 4" xfId="17827" xr:uid="{00000000-0005-0000-0000-0000471F0000}"/>
    <cellStyle name="Обычный 4 2 2 34 5" xfId="23167" xr:uid="{00000000-0005-0000-0000-0000481F0000}"/>
    <cellStyle name="Обычный 4 2 2 34 6" xfId="28507" xr:uid="{00000000-0005-0000-0000-0000491F0000}"/>
    <cellStyle name="Обычный 4 2 2 34 7" xfId="33847" xr:uid="{00000000-0005-0000-0000-00004A1F0000}"/>
    <cellStyle name="Обычный 4 2 2 34 8" xfId="39187" xr:uid="{00000000-0005-0000-0000-00004B1F0000}"/>
    <cellStyle name="Обычный 4 2 2 34 9" xfId="44527" xr:uid="{00000000-0005-0000-0000-00004C1F0000}"/>
    <cellStyle name="Обычный 4 2 2 35" xfId="1830" xr:uid="{00000000-0005-0000-0000-00004D1F0000}"/>
    <cellStyle name="Обычный 4 2 2 35 10" xfId="49893" xr:uid="{00000000-0005-0000-0000-00004E1F0000}"/>
    <cellStyle name="Обычный 4 2 2 35 2" xfId="7172" xr:uid="{00000000-0005-0000-0000-00004F1F0000}"/>
    <cellStyle name="Обычный 4 2 2 35 2 2" xfId="55234" xr:uid="{00000000-0005-0000-0000-0000501F0000}"/>
    <cellStyle name="Обычный 4 2 2 35 3" xfId="12513" xr:uid="{00000000-0005-0000-0000-0000511F0000}"/>
    <cellStyle name="Обычный 4 2 2 35 4" xfId="17853" xr:uid="{00000000-0005-0000-0000-0000521F0000}"/>
    <cellStyle name="Обычный 4 2 2 35 5" xfId="23193" xr:uid="{00000000-0005-0000-0000-0000531F0000}"/>
    <cellStyle name="Обычный 4 2 2 35 6" xfId="28533" xr:uid="{00000000-0005-0000-0000-0000541F0000}"/>
    <cellStyle name="Обычный 4 2 2 35 7" xfId="33873" xr:uid="{00000000-0005-0000-0000-0000551F0000}"/>
    <cellStyle name="Обычный 4 2 2 35 8" xfId="39213" xr:uid="{00000000-0005-0000-0000-0000561F0000}"/>
    <cellStyle name="Обычный 4 2 2 35 9" xfId="44553" xr:uid="{00000000-0005-0000-0000-0000571F0000}"/>
    <cellStyle name="Обычный 4 2 2 36" xfId="1856" xr:uid="{00000000-0005-0000-0000-0000581F0000}"/>
    <cellStyle name="Обычный 4 2 2 36 10" xfId="49919" xr:uid="{00000000-0005-0000-0000-0000591F0000}"/>
    <cellStyle name="Обычный 4 2 2 36 2" xfId="7198" xr:uid="{00000000-0005-0000-0000-00005A1F0000}"/>
    <cellStyle name="Обычный 4 2 2 36 2 2" xfId="55260" xr:uid="{00000000-0005-0000-0000-00005B1F0000}"/>
    <cellStyle name="Обычный 4 2 2 36 3" xfId="12539" xr:uid="{00000000-0005-0000-0000-00005C1F0000}"/>
    <cellStyle name="Обычный 4 2 2 36 4" xfId="17879" xr:uid="{00000000-0005-0000-0000-00005D1F0000}"/>
    <cellStyle name="Обычный 4 2 2 36 5" xfId="23219" xr:uid="{00000000-0005-0000-0000-00005E1F0000}"/>
    <cellStyle name="Обычный 4 2 2 36 6" xfId="28559" xr:uid="{00000000-0005-0000-0000-00005F1F0000}"/>
    <cellStyle name="Обычный 4 2 2 36 7" xfId="33899" xr:uid="{00000000-0005-0000-0000-0000601F0000}"/>
    <cellStyle name="Обычный 4 2 2 36 8" xfId="39239" xr:uid="{00000000-0005-0000-0000-0000611F0000}"/>
    <cellStyle name="Обычный 4 2 2 36 9" xfId="44579" xr:uid="{00000000-0005-0000-0000-0000621F0000}"/>
    <cellStyle name="Обычный 4 2 2 37" xfId="1882" xr:uid="{00000000-0005-0000-0000-0000631F0000}"/>
    <cellStyle name="Обычный 4 2 2 37 10" xfId="49945" xr:uid="{00000000-0005-0000-0000-0000641F0000}"/>
    <cellStyle name="Обычный 4 2 2 37 2" xfId="7224" xr:uid="{00000000-0005-0000-0000-0000651F0000}"/>
    <cellStyle name="Обычный 4 2 2 37 2 2" xfId="55286" xr:uid="{00000000-0005-0000-0000-0000661F0000}"/>
    <cellStyle name="Обычный 4 2 2 37 3" xfId="12565" xr:uid="{00000000-0005-0000-0000-0000671F0000}"/>
    <cellStyle name="Обычный 4 2 2 37 4" xfId="17905" xr:uid="{00000000-0005-0000-0000-0000681F0000}"/>
    <cellStyle name="Обычный 4 2 2 37 5" xfId="23245" xr:uid="{00000000-0005-0000-0000-0000691F0000}"/>
    <cellStyle name="Обычный 4 2 2 37 6" xfId="28585" xr:uid="{00000000-0005-0000-0000-00006A1F0000}"/>
    <cellStyle name="Обычный 4 2 2 37 7" xfId="33925" xr:uid="{00000000-0005-0000-0000-00006B1F0000}"/>
    <cellStyle name="Обычный 4 2 2 37 8" xfId="39265" xr:uid="{00000000-0005-0000-0000-00006C1F0000}"/>
    <cellStyle name="Обычный 4 2 2 37 9" xfId="44605" xr:uid="{00000000-0005-0000-0000-00006D1F0000}"/>
    <cellStyle name="Обычный 4 2 2 38" xfId="1908" xr:uid="{00000000-0005-0000-0000-00006E1F0000}"/>
    <cellStyle name="Обычный 4 2 2 38 10" xfId="49971" xr:uid="{00000000-0005-0000-0000-00006F1F0000}"/>
    <cellStyle name="Обычный 4 2 2 38 2" xfId="7250" xr:uid="{00000000-0005-0000-0000-0000701F0000}"/>
    <cellStyle name="Обычный 4 2 2 38 2 2" xfId="55312" xr:uid="{00000000-0005-0000-0000-0000711F0000}"/>
    <cellStyle name="Обычный 4 2 2 38 3" xfId="12591" xr:uid="{00000000-0005-0000-0000-0000721F0000}"/>
    <cellStyle name="Обычный 4 2 2 38 4" xfId="17931" xr:uid="{00000000-0005-0000-0000-0000731F0000}"/>
    <cellStyle name="Обычный 4 2 2 38 5" xfId="23271" xr:uid="{00000000-0005-0000-0000-0000741F0000}"/>
    <cellStyle name="Обычный 4 2 2 38 6" xfId="28611" xr:uid="{00000000-0005-0000-0000-0000751F0000}"/>
    <cellStyle name="Обычный 4 2 2 38 7" xfId="33951" xr:uid="{00000000-0005-0000-0000-0000761F0000}"/>
    <cellStyle name="Обычный 4 2 2 38 8" xfId="39291" xr:uid="{00000000-0005-0000-0000-0000771F0000}"/>
    <cellStyle name="Обычный 4 2 2 38 9" xfId="44631" xr:uid="{00000000-0005-0000-0000-0000781F0000}"/>
    <cellStyle name="Обычный 4 2 2 39" xfId="1934" xr:uid="{00000000-0005-0000-0000-0000791F0000}"/>
    <cellStyle name="Обычный 4 2 2 39 10" xfId="49997" xr:uid="{00000000-0005-0000-0000-00007A1F0000}"/>
    <cellStyle name="Обычный 4 2 2 39 2" xfId="7276" xr:uid="{00000000-0005-0000-0000-00007B1F0000}"/>
    <cellStyle name="Обычный 4 2 2 39 2 2" xfId="55338" xr:uid="{00000000-0005-0000-0000-00007C1F0000}"/>
    <cellStyle name="Обычный 4 2 2 39 3" xfId="12617" xr:uid="{00000000-0005-0000-0000-00007D1F0000}"/>
    <cellStyle name="Обычный 4 2 2 39 4" xfId="17957" xr:uid="{00000000-0005-0000-0000-00007E1F0000}"/>
    <cellStyle name="Обычный 4 2 2 39 5" xfId="23297" xr:uid="{00000000-0005-0000-0000-00007F1F0000}"/>
    <cellStyle name="Обычный 4 2 2 39 6" xfId="28637" xr:uid="{00000000-0005-0000-0000-0000801F0000}"/>
    <cellStyle name="Обычный 4 2 2 39 7" xfId="33977" xr:uid="{00000000-0005-0000-0000-0000811F0000}"/>
    <cellStyle name="Обычный 4 2 2 39 8" xfId="39317" xr:uid="{00000000-0005-0000-0000-0000821F0000}"/>
    <cellStyle name="Обычный 4 2 2 39 9" xfId="44657" xr:uid="{00000000-0005-0000-0000-0000831F0000}"/>
    <cellStyle name="Обычный 4 2 2 4" xfId="1027" xr:uid="{00000000-0005-0000-0000-0000841F0000}"/>
    <cellStyle name="Обычный 4 2 2 4 10" xfId="49089" xr:uid="{00000000-0005-0000-0000-0000851F0000}"/>
    <cellStyle name="Обычный 4 2 2 4 2" xfId="6368" xr:uid="{00000000-0005-0000-0000-0000861F0000}"/>
    <cellStyle name="Обычный 4 2 2 4 2 2" xfId="54430" xr:uid="{00000000-0005-0000-0000-0000871F0000}"/>
    <cellStyle name="Обычный 4 2 2 4 3" xfId="11709" xr:uid="{00000000-0005-0000-0000-0000881F0000}"/>
    <cellStyle name="Обычный 4 2 2 4 4" xfId="17049" xr:uid="{00000000-0005-0000-0000-0000891F0000}"/>
    <cellStyle name="Обычный 4 2 2 4 5" xfId="22389" xr:uid="{00000000-0005-0000-0000-00008A1F0000}"/>
    <cellStyle name="Обычный 4 2 2 4 6" xfId="27729" xr:uid="{00000000-0005-0000-0000-00008B1F0000}"/>
    <cellStyle name="Обычный 4 2 2 4 7" xfId="33069" xr:uid="{00000000-0005-0000-0000-00008C1F0000}"/>
    <cellStyle name="Обычный 4 2 2 4 8" xfId="38409" xr:uid="{00000000-0005-0000-0000-00008D1F0000}"/>
    <cellStyle name="Обычный 4 2 2 4 9" xfId="43749" xr:uid="{00000000-0005-0000-0000-00008E1F0000}"/>
    <cellStyle name="Обычный 4 2 2 40" xfId="1962" xr:uid="{00000000-0005-0000-0000-00008F1F0000}"/>
    <cellStyle name="Обычный 4 2 2 40 10" xfId="50025" xr:uid="{00000000-0005-0000-0000-0000901F0000}"/>
    <cellStyle name="Обычный 4 2 2 40 2" xfId="7304" xr:uid="{00000000-0005-0000-0000-0000911F0000}"/>
    <cellStyle name="Обычный 4 2 2 40 2 2" xfId="55366" xr:uid="{00000000-0005-0000-0000-0000921F0000}"/>
    <cellStyle name="Обычный 4 2 2 40 3" xfId="12645" xr:uid="{00000000-0005-0000-0000-0000931F0000}"/>
    <cellStyle name="Обычный 4 2 2 40 4" xfId="17985" xr:uid="{00000000-0005-0000-0000-0000941F0000}"/>
    <cellStyle name="Обычный 4 2 2 40 5" xfId="23325" xr:uid="{00000000-0005-0000-0000-0000951F0000}"/>
    <cellStyle name="Обычный 4 2 2 40 6" xfId="28665" xr:uid="{00000000-0005-0000-0000-0000961F0000}"/>
    <cellStyle name="Обычный 4 2 2 40 7" xfId="34005" xr:uid="{00000000-0005-0000-0000-0000971F0000}"/>
    <cellStyle name="Обычный 4 2 2 40 8" xfId="39345" xr:uid="{00000000-0005-0000-0000-0000981F0000}"/>
    <cellStyle name="Обычный 4 2 2 40 9" xfId="44685" xr:uid="{00000000-0005-0000-0000-0000991F0000}"/>
    <cellStyle name="Обычный 4 2 2 41" xfId="1989" xr:uid="{00000000-0005-0000-0000-00009A1F0000}"/>
    <cellStyle name="Обычный 4 2 2 41 10" xfId="50053" xr:uid="{00000000-0005-0000-0000-00009B1F0000}"/>
    <cellStyle name="Обычный 4 2 2 41 2" xfId="7332" xr:uid="{00000000-0005-0000-0000-00009C1F0000}"/>
    <cellStyle name="Обычный 4 2 2 41 2 2" xfId="55394" xr:uid="{00000000-0005-0000-0000-00009D1F0000}"/>
    <cellStyle name="Обычный 4 2 2 41 3" xfId="12673" xr:uid="{00000000-0005-0000-0000-00009E1F0000}"/>
    <cellStyle name="Обычный 4 2 2 41 4" xfId="18013" xr:uid="{00000000-0005-0000-0000-00009F1F0000}"/>
    <cellStyle name="Обычный 4 2 2 41 5" xfId="23353" xr:uid="{00000000-0005-0000-0000-0000A01F0000}"/>
    <cellStyle name="Обычный 4 2 2 41 6" xfId="28693" xr:uid="{00000000-0005-0000-0000-0000A11F0000}"/>
    <cellStyle name="Обычный 4 2 2 41 7" xfId="34033" xr:uid="{00000000-0005-0000-0000-0000A21F0000}"/>
    <cellStyle name="Обычный 4 2 2 41 8" xfId="39373" xr:uid="{00000000-0005-0000-0000-0000A31F0000}"/>
    <cellStyle name="Обычный 4 2 2 41 9" xfId="44713" xr:uid="{00000000-0005-0000-0000-0000A41F0000}"/>
    <cellStyle name="Обычный 4 2 2 42" xfId="2017" xr:uid="{00000000-0005-0000-0000-0000A51F0000}"/>
    <cellStyle name="Обычный 4 2 2 42 10" xfId="50081" xr:uid="{00000000-0005-0000-0000-0000A61F0000}"/>
    <cellStyle name="Обычный 4 2 2 42 2" xfId="7360" xr:uid="{00000000-0005-0000-0000-0000A71F0000}"/>
    <cellStyle name="Обычный 4 2 2 42 2 2" xfId="55422" xr:uid="{00000000-0005-0000-0000-0000A81F0000}"/>
    <cellStyle name="Обычный 4 2 2 42 3" xfId="12701" xr:uid="{00000000-0005-0000-0000-0000A91F0000}"/>
    <cellStyle name="Обычный 4 2 2 42 4" xfId="18041" xr:uid="{00000000-0005-0000-0000-0000AA1F0000}"/>
    <cellStyle name="Обычный 4 2 2 42 5" xfId="23381" xr:uid="{00000000-0005-0000-0000-0000AB1F0000}"/>
    <cellStyle name="Обычный 4 2 2 42 6" xfId="28721" xr:uid="{00000000-0005-0000-0000-0000AC1F0000}"/>
    <cellStyle name="Обычный 4 2 2 42 7" xfId="34061" xr:uid="{00000000-0005-0000-0000-0000AD1F0000}"/>
    <cellStyle name="Обычный 4 2 2 42 8" xfId="39401" xr:uid="{00000000-0005-0000-0000-0000AE1F0000}"/>
    <cellStyle name="Обычный 4 2 2 42 9" xfId="44741" xr:uid="{00000000-0005-0000-0000-0000AF1F0000}"/>
    <cellStyle name="Обычный 4 2 2 43" xfId="2045" xr:uid="{00000000-0005-0000-0000-0000B01F0000}"/>
    <cellStyle name="Обычный 4 2 2 43 10" xfId="50109" xr:uid="{00000000-0005-0000-0000-0000B11F0000}"/>
    <cellStyle name="Обычный 4 2 2 43 2" xfId="7388" xr:uid="{00000000-0005-0000-0000-0000B21F0000}"/>
    <cellStyle name="Обычный 4 2 2 43 2 2" xfId="55450" xr:uid="{00000000-0005-0000-0000-0000B31F0000}"/>
    <cellStyle name="Обычный 4 2 2 43 3" xfId="12729" xr:uid="{00000000-0005-0000-0000-0000B41F0000}"/>
    <cellStyle name="Обычный 4 2 2 43 4" xfId="18069" xr:uid="{00000000-0005-0000-0000-0000B51F0000}"/>
    <cellStyle name="Обычный 4 2 2 43 5" xfId="23409" xr:uid="{00000000-0005-0000-0000-0000B61F0000}"/>
    <cellStyle name="Обычный 4 2 2 43 6" xfId="28749" xr:uid="{00000000-0005-0000-0000-0000B71F0000}"/>
    <cellStyle name="Обычный 4 2 2 43 7" xfId="34089" xr:uid="{00000000-0005-0000-0000-0000B81F0000}"/>
    <cellStyle name="Обычный 4 2 2 43 8" xfId="39429" xr:uid="{00000000-0005-0000-0000-0000B91F0000}"/>
    <cellStyle name="Обычный 4 2 2 43 9" xfId="44769" xr:uid="{00000000-0005-0000-0000-0000BA1F0000}"/>
    <cellStyle name="Обычный 4 2 2 44" xfId="2073" xr:uid="{00000000-0005-0000-0000-0000BB1F0000}"/>
    <cellStyle name="Обычный 4 2 2 44 10" xfId="50137" xr:uid="{00000000-0005-0000-0000-0000BC1F0000}"/>
    <cellStyle name="Обычный 4 2 2 44 2" xfId="7416" xr:uid="{00000000-0005-0000-0000-0000BD1F0000}"/>
    <cellStyle name="Обычный 4 2 2 44 2 2" xfId="55478" xr:uid="{00000000-0005-0000-0000-0000BE1F0000}"/>
    <cellStyle name="Обычный 4 2 2 44 3" xfId="12757" xr:uid="{00000000-0005-0000-0000-0000BF1F0000}"/>
    <cellStyle name="Обычный 4 2 2 44 4" xfId="18097" xr:uid="{00000000-0005-0000-0000-0000C01F0000}"/>
    <cellStyle name="Обычный 4 2 2 44 5" xfId="23437" xr:uid="{00000000-0005-0000-0000-0000C11F0000}"/>
    <cellStyle name="Обычный 4 2 2 44 6" xfId="28777" xr:uid="{00000000-0005-0000-0000-0000C21F0000}"/>
    <cellStyle name="Обычный 4 2 2 44 7" xfId="34117" xr:uid="{00000000-0005-0000-0000-0000C31F0000}"/>
    <cellStyle name="Обычный 4 2 2 44 8" xfId="39457" xr:uid="{00000000-0005-0000-0000-0000C41F0000}"/>
    <cellStyle name="Обычный 4 2 2 44 9" xfId="44797" xr:uid="{00000000-0005-0000-0000-0000C51F0000}"/>
    <cellStyle name="Обычный 4 2 2 45" xfId="2101" xr:uid="{00000000-0005-0000-0000-0000C61F0000}"/>
    <cellStyle name="Обычный 4 2 2 45 10" xfId="50165" xr:uid="{00000000-0005-0000-0000-0000C71F0000}"/>
    <cellStyle name="Обычный 4 2 2 45 2" xfId="7444" xr:uid="{00000000-0005-0000-0000-0000C81F0000}"/>
    <cellStyle name="Обычный 4 2 2 45 2 2" xfId="55506" xr:uid="{00000000-0005-0000-0000-0000C91F0000}"/>
    <cellStyle name="Обычный 4 2 2 45 3" xfId="12785" xr:uid="{00000000-0005-0000-0000-0000CA1F0000}"/>
    <cellStyle name="Обычный 4 2 2 45 4" xfId="18125" xr:uid="{00000000-0005-0000-0000-0000CB1F0000}"/>
    <cellStyle name="Обычный 4 2 2 45 5" xfId="23465" xr:uid="{00000000-0005-0000-0000-0000CC1F0000}"/>
    <cellStyle name="Обычный 4 2 2 45 6" xfId="28805" xr:uid="{00000000-0005-0000-0000-0000CD1F0000}"/>
    <cellStyle name="Обычный 4 2 2 45 7" xfId="34145" xr:uid="{00000000-0005-0000-0000-0000CE1F0000}"/>
    <cellStyle name="Обычный 4 2 2 45 8" xfId="39485" xr:uid="{00000000-0005-0000-0000-0000CF1F0000}"/>
    <cellStyle name="Обычный 4 2 2 45 9" xfId="44825" xr:uid="{00000000-0005-0000-0000-0000D01F0000}"/>
    <cellStyle name="Обычный 4 2 2 46" xfId="2129" xr:uid="{00000000-0005-0000-0000-0000D11F0000}"/>
    <cellStyle name="Обычный 4 2 2 46 10" xfId="50193" xr:uid="{00000000-0005-0000-0000-0000D21F0000}"/>
    <cellStyle name="Обычный 4 2 2 46 2" xfId="7472" xr:uid="{00000000-0005-0000-0000-0000D31F0000}"/>
    <cellStyle name="Обычный 4 2 2 46 2 2" xfId="55534" xr:uid="{00000000-0005-0000-0000-0000D41F0000}"/>
    <cellStyle name="Обычный 4 2 2 46 3" xfId="12813" xr:uid="{00000000-0005-0000-0000-0000D51F0000}"/>
    <cellStyle name="Обычный 4 2 2 46 4" xfId="18153" xr:uid="{00000000-0005-0000-0000-0000D61F0000}"/>
    <cellStyle name="Обычный 4 2 2 46 5" xfId="23493" xr:uid="{00000000-0005-0000-0000-0000D71F0000}"/>
    <cellStyle name="Обычный 4 2 2 46 6" xfId="28833" xr:uid="{00000000-0005-0000-0000-0000D81F0000}"/>
    <cellStyle name="Обычный 4 2 2 46 7" xfId="34173" xr:uid="{00000000-0005-0000-0000-0000D91F0000}"/>
    <cellStyle name="Обычный 4 2 2 46 8" xfId="39513" xr:uid="{00000000-0005-0000-0000-0000DA1F0000}"/>
    <cellStyle name="Обычный 4 2 2 46 9" xfId="44853" xr:uid="{00000000-0005-0000-0000-0000DB1F0000}"/>
    <cellStyle name="Обычный 4 2 2 47" xfId="2159" xr:uid="{00000000-0005-0000-0000-0000DC1F0000}"/>
    <cellStyle name="Обычный 4 2 2 47 10" xfId="50223" xr:uid="{00000000-0005-0000-0000-0000DD1F0000}"/>
    <cellStyle name="Обычный 4 2 2 47 2" xfId="7502" xr:uid="{00000000-0005-0000-0000-0000DE1F0000}"/>
    <cellStyle name="Обычный 4 2 2 47 2 2" xfId="55564" xr:uid="{00000000-0005-0000-0000-0000DF1F0000}"/>
    <cellStyle name="Обычный 4 2 2 47 3" xfId="12843" xr:uid="{00000000-0005-0000-0000-0000E01F0000}"/>
    <cellStyle name="Обычный 4 2 2 47 4" xfId="18183" xr:uid="{00000000-0005-0000-0000-0000E11F0000}"/>
    <cellStyle name="Обычный 4 2 2 47 5" xfId="23523" xr:uid="{00000000-0005-0000-0000-0000E21F0000}"/>
    <cellStyle name="Обычный 4 2 2 47 6" xfId="28863" xr:uid="{00000000-0005-0000-0000-0000E31F0000}"/>
    <cellStyle name="Обычный 4 2 2 47 7" xfId="34203" xr:uid="{00000000-0005-0000-0000-0000E41F0000}"/>
    <cellStyle name="Обычный 4 2 2 47 8" xfId="39543" xr:uid="{00000000-0005-0000-0000-0000E51F0000}"/>
    <cellStyle name="Обычный 4 2 2 47 9" xfId="44883" xr:uid="{00000000-0005-0000-0000-0000E61F0000}"/>
    <cellStyle name="Обычный 4 2 2 48" xfId="2189" xr:uid="{00000000-0005-0000-0000-0000E71F0000}"/>
    <cellStyle name="Обычный 4 2 2 48 10" xfId="50253" xr:uid="{00000000-0005-0000-0000-0000E81F0000}"/>
    <cellStyle name="Обычный 4 2 2 48 2" xfId="7532" xr:uid="{00000000-0005-0000-0000-0000E91F0000}"/>
    <cellStyle name="Обычный 4 2 2 48 2 2" xfId="55594" xr:uid="{00000000-0005-0000-0000-0000EA1F0000}"/>
    <cellStyle name="Обычный 4 2 2 48 3" xfId="12873" xr:uid="{00000000-0005-0000-0000-0000EB1F0000}"/>
    <cellStyle name="Обычный 4 2 2 48 4" xfId="18213" xr:uid="{00000000-0005-0000-0000-0000EC1F0000}"/>
    <cellStyle name="Обычный 4 2 2 48 5" xfId="23553" xr:uid="{00000000-0005-0000-0000-0000ED1F0000}"/>
    <cellStyle name="Обычный 4 2 2 48 6" xfId="28893" xr:uid="{00000000-0005-0000-0000-0000EE1F0000}"/>
    <cellStyle name="Обычный 4 2 2 48 7" xfId="34233" xr:uid="{00000000-0005-0000-0000-0000EF1F0000}"/>
    <cellStyle name="Обычный 4 2 2 48 8" xfId="39573" xr:uid="{00000000-0005-0000-0000-0000F01F0000}"/>
    <cellStyle name="Обычный 4 2 2 48 9" xfId="44913" xr:uid="{00000000-0005-0000-0000-0000F11F0000}"/>
    <cellStyle name="Обычный 4 2 2 49" xfId="2219" xr:uid="{00000000-0005-0000-0000-0000F21F0000}"/>
    <cellStyle name="Обычный 4 2 2 49 10" xfId="50283" xr:uid="{00000000-0005-0000-0000-0000F31F0000}"/>
    <cellStyle name="Обычный 4 2 2 49 2" xfId="7562" xr:uid="{00000000-0005-0000-0000-0000F41F0000}"/>
    <cellStyle name="Обычный 4 2 2 49 2 2" xfId="55624" xr:uid="{00000000-0005-0000-0000-0000F51F0000}"/>
    <cellStyle name="Обычный 4 2 2 49 3" xfId="12903" xr:uid="{00000000-0005-0000-0000-0000F61F0000}"/>
    <cellStyle name="Обычный 4 2 2 49 4" xfId="18243" xr:uid="{00000000-0005-0000-0000-0000F71F0000}"/>
    <cellStyle name="Обычный 4 2 2 49 5" xfId="23583" xr:uid="{00000000-0005-0000-0000-0000F81F0000}"/>
    <cellStyle name="Обычный 4 2 2 49 6" xfId="28923" xr:uid="{00000000-0005-0000-0000-0000F91F0000}"/>
    <cellStyle name="Обычный 4 2 2 49 7" xfId="34263" xr:uid="{00000000-0005-0000-0000-0000FA1F0000}"/>
    <cellStyle name="Обычный 4 2 2 49 8" xfId="39603" xr:uid="{00000000-0005-0000-0000-0000FB1F0000}"/>
    <cellStyle name="Обычный 4 2 2 49 9" xfId="44943" xr:uid="{00000000-0005-0000-0000-0000FC1F0000}"/>
    <cellStyle name="Обычный 4 2 2 5" xfId="1051" xr:uid="{00000000-0005-0000-0000-0000FD1F0000}"/>
    <cellStyle name="Обычный 4 2 2 5 10" xfId="49113" xr:uid="{00000000-0005-0000-0000-0000FE1F0000}"/>
    <cellStyle name="Обычный 4 2 2 5 2" xfId="6392" xr:uid="{00000000-0005-0000-0000-0000FF1F0000}"/>
    <cellStyle name="Обычный 4 2 2 5 2 2" xfId="54454" xr:uid="{00000000-0005-0000-0000-000000200000}"/>
    <cellStyle name="Обычный 4 2 2 5 3" xfId="11733" xr:uid="{00000000-0005-0000-0000-000001200000}"/>
    <cellStyle name="Обычный 4 2 2 5 4" xfId="17073" xr:uid="{00000000-0005-0000-0000-000002200000}"/>
    <cellStyle name="Обычный 4 2 2 5 5" xfId="22413" xr:uid="{00000000-0005-0000-0000-000003200000}"/>
    <cellStyle name="Обычный 4 2 2 5 6" xfId="27753" xr:uid="{00000000-0005-0000-0000-000004200000}"/>
    <cellStyle name="Обычный 4 2 2 5 7" xfId="33093" xr:uid="{00000000-0005-0000-0000-000005200000}"/>
    <cellStyle name="Обычный 4 2 2 5 8" xfId="38433" xr:uid="{00000000-0005-0000-0000-000006200000}"/>
    <cellStyle name="Обычный 4 2 2 5 9" xfId="43773" xr:uid="{00000000-0005-0000-0000-000007200000}"/>
    <cellStyle name="Обычный 4 2 2 50" xfId="2249" xr:uid="{00000000-0005-0000-0000-000008200000}"/>
    <cellStyle name="Обычный 4 2 2 50 10" xfId="50313" xr:uid="{00000000-0005-0000-0000-000009200000}"/>
    <cellStyle name="Обычный 4 2 2 50 2" xfId="7592" xr:uid="{00000000-0005-0000-0000-00000A200000}"/>
    <cellStyle name="Обычный 4 2 2 50 2 2" xfId="55654" xr:uid="{00000000-0005-0000-0000-00000B200000}"/>
    <cellStyle name="Обычный 4 2 2 50 3" xfId="12933" xr:uid="{00000000-0005-0000-0000-00000C200000}"/>
    <cellStyle name="Обычный 4 2 2 50 4" xfId="18273" xr:uid="{00000000-0005-0000-0000-00000D200000}"/>
    <cellStyle name="Обычный 4 2 2 50 5" xfId="23613" xr:uid="{00000000-0005-0000-0000-00000E200000}"/>
    <cellStyle name="Обычный 4 2 2 50 6" xfId="28953" xr:uid="{00000000-0005-0000-0000-00000F200000}"/>
    <cellStyle name="Обычный 4 2 2 50 7" xfId="34293" xr:uid="{00000000-0005-0000-0000-000010200000}"/>
    <cellStyle name="Обычный 4 2 2 50 8" xfId="39633" xr:uid="{00000000-0005-0000-0000-000011200000}"/>
    <cellStyle name="Обычный 4 2 2 50 9" xfId="44973" xr:uid="{00000000-0005-0000-0000-000012200000}"/>
    <cellStyle name="Обычный 4 2 2 51" xfId="2279" xr:uid="{00000000-0005-0000-0000-000013200000}"/>
    <cellStyle name="Обычный 4 2 2 51 10" xfId="50343" xr:uid="{00000000-0005-0000-0000-000014200000}"/>
    <cellStyle name="Обычный 4 2 2 51 2" xfId="7622" xr:uid="{00000000-0005-0000-0000-000015200000}"/>
    <cellStyle name="Обычный 4 2 2 51 2 2" xfId="55684" xr:uid="{00000000-0005-0000-0000-000016200000}"/>
    <cellStyle name="Обычный 4 2 2 51 3" xfId="12963" xr:uid="{00000000-0005-0000-0000-000017200000}"/>
    <cellStyle name="Обычный 4 2 2 51 4" xfId="18303" xr:uid="{00000000-0005-0000-0000-000018200000}"/>
    <cellStyle name="Обычный 4 2 2 51 5" xfId="23643" xr:uid="{00000000-0005-0000-0000-000019200000}"/>
    <cellStyle name="Обычный 4 2 2 51 6" xfId="28983" xr:uid="{00000000-0005-0000-0000-00001A200000}"/>
    <cellStyle name="Обычный 4 2 2 51 7" xfId="34323" xr:uid="{00000000-0005-0000-0000-00001B200000}"/>
    <cellStyle name="Обычный 4 2 2 51 8" xfId="39663" xr:uid="{00000000-0005-0000-0000-00001C200000}"/>
    <cellStyle name="Обычный 4 2 2 51 9" xfId="45003" xr:uid="{00000000-0005-0000-0000-00001D200000}"/>
    <cellStyle name="Обычный 4 2 2 52" xfId="2309" xr:uid="{00000000-0005-0000-0000-00001E200000}"/>
    <cellStyle name="Обычный 4 2 2 52 10" xfId="50373" xr:uid="{00000000-0005-0000-0000-00001F200000}"/>
    <cellStyle name="Обычный 4 2 2 52 2" xfId="7652" xr:uid="{00000000-0005-0000-0000-000020200000}"/>
    <cellStyle name="Обычный 4 2 2 52 2 2" xfId="55714" xr:uid="{00000000-0005-0000-0000-000021200000}"/>
    <cellStyle name="Обычный 4 2 2 52 3" xfId="12993" xr:uid="{00000000-0005-0000-0000-000022200000}"/>
    <cellStyle name="Обычный 4 2 2 52 4" xfId="18333" xr:uid="{00000000-0005-0000-0000-000023200000}"/>
    <cellStyle name="Обычный 4 2 2 52 5" xfId="23673" xr:uid="{00000000-0005-0000-0000-000024200000}"/>
    <cellStyle name="Обычный 4 2 2 52 6" xfId="29013" xr:uid="{00000000-0005-0000-0000-000025200000}"/>
    <cellStyle name="Обычный 4 2 2 52 7" xfId="34353" xr:uid="{00000000-0005-0000-0000-000026200000}"/>
    <cellStyle name="Обычный 4 2 2 52 8" xfId="39693" xr:uid="{00000000-0005-0000-0000-000027200000}"/>
    <cellStyle name="Обычный 4 2 2 52 9" xfId="45033" xr:uid="{00000000-0005-0000-0000-000028200000}"/>
    <cellStyle name="Обычный 4 2 2 53" xfId="2339" xr:uid="{00000000-0005-0000-0000-000029200000}"/>
    <cellStyle name="Обычный 4 2 2 53 10" xfId="50403" xr:uid="{00000000-0005-0000-0000-00002A200000}"/>
    <cellStyle name="Обычный 4 2 2 53 2" xfId="7682" xr:uid="{00000000-0005-0000-0000-00002B200000}"/>
    <cellStyle name="Обычный 4 2 2 53 2 2" xfId="55744" xr:uid="{00000000-0005-0000-0000-00002C200000}"/>
    <cellStyle name="Обычный 4 2 2 53 3" xfId="13023" xr:uid="{00000000-0005-0000-0000-00002D200000}"/>
    <cellStyle name="Обычный 4 2 2 53 4" xfId="18363" xr:uid="{00000000-0005-0000-0000-00002E200000}"/>
    <cellStyle name="Обычный 4 2 2 53 5" xfId="23703" xr:uid="{00000000-0005-0000-0000-00002F200000}"/>
    <cellStyle name="Обычный 4 2 2 53 6" xfId="29043" xr:uid="{00000000-0005-0000-0000-000030200000}"/>
    <cellStyle name="Обычный 4 2 2 53 7" xfId="34383" xr:uid="{00000000-0005-0000-0000-000031200000}"/>
    <cellStyle name="Обычный 4 2 2 53 8" xfId="39723" xr:uid="{00000000-0005-0000-0000-000032200000}"/>
    <cellStyle name="Обычный 4 2 2 53 9" xfId="45063" xr:uid="{00000000-0005-0000-0000-000033200000}"/>
    <cellStyle name="Обычный 4 2 2 54" xfId="2369" xr:uid="{00000000-0005-0000-0000-000034200000}"/>
    <cellStyle name="Обычный 4 2 2 54 10" xfId="50433" xr:uid="{00000000-0005-0000-0000-000035200000}"/>
    <cellStyle name="Обычный 4 2 2 54 2" xfId="7712" xr:uid="{00000000-0005-0000-0000-000036200000}"/>
    <cellStyle name="Обычный 4 2 2 54 2 2" xfId="55774" xr:uid="{00000000-0005-0000-0000-000037200000}"/>
    <cellStyle name="Обычный 4 2 2 54 3" xfId="13053" xr:uid="{00000000-0005-0000-0000-000038200000}"/>
    <cellStyle name="Обычный 4 2 2 54 4" xfId="18393" xr:uid="{00000000-0005-0000-0000-000039200000}"/>
    <cellStyle name="Обычный 4 2 2 54 5" xfId="23733" xr:uid="{00000000-0005-0000-0000-00003A200000}"/>
    <cellStyle name="Обычный 4 2 2 54 6" xfId="29073" xr:uid="{00000000-0005-0000-0000-00003B200000}"/>
    <cellStyle name="Обычный 4 2 2 54 7" xfId="34413" xr:uid="{00000000-0005-0000-0000-00003C200000}"/>
    <cellStyle name="Обычный 4 2 2 54 8" xfId="39753" xr:uid="{00000000-0005-0000-0000-00003D200000}"/>
    <cellStyle name="Обычный 4 2 2 54 9" xfId="45093" xr:uid="{00000000-0005-0000-0000-00003E200000}"/>
    <cellStyle name="Обычный 4 2 2 55" xfId="2399" xr:uid="{00000000-0005-0000-0000-00003F200000}"/>
    <cellStyle name="Обычный 4 2 2 55 10" xfId="50463" xr:uid="{00000000-0005-0000-0000-000040200000}"/>
    <cellStyle name="Обычный 4 2 2 55 2" xfId="7742" xr:uid="{00000000-0005-0000-0000-000041200000}"/>
    <cellStyle name="Обычный 4 2 2 55 2 2" xfId="55804" xr:uid="{00000000-0005-0000-0000-000042200000}"/>
    <cellStyle name="Обычный 4 2 2 55 3" xfId="13083" xr:uid="{00000000-0005-0000-0000-000043200000}"/>
    <cellStyle name="Обычный 4 2 2 55 4" xfId="18423" xr:uid="{00000000-0005-0000-0000-000044200000}"/>
    <cellStyle name="Обычный 4 2 2 55 5" xfId="23763" xr:uid="{00000000-0005-0000-0000-000045200000}"/>
    <cellStyle name="Обычный 4 2 2 55 6" xfId="29103" xr:uid="{00000000-0005-0000-0000-000046200000}"/>
    <cellStyle name="Обычный 4 2 2 55 7" xfId="34443" xr:uid="{00000000-0005-0000-0000-000047200000}"/>
    <cellStyle name="Обычный 4 2 2 55 8" xfId="39783" xr:uid="{00000000-0005-0000-0000-000048200000}"/>
    <cellStyle name="Обычный 4 2 2 55 9" xfId="45123" xr:uid="{00000000-0005-0000-0000-000049200000}"/>
    <cellStyle name="Обычный 4 2 2 56" xfId="2429" xr:uid="{00000000-0005-0000-0000-00004A200000}"/>
    <cellStyle name="Обычный 4 2 2 56 10" xfId="50493" xr:uid="{00000000-0005-0000-0000-00004B200000}"/>
    <cellStyle name="Обычный 4 2 2 56 2" xfId="7772" xr:uid="{00000000-0005-0000-0000-00004C200000}"/>
    <cellStyle name="Обычный 4 2 2 56 2 2" xfId="55834" xr:uid="{00000000-0005-0000-0000-00004D200000}"/>
    <cellStyle name="Обычный 4 2 2 56 3" xfId="13113" xr:uid="{00000000-0005-0000-0000-00004E200000}"/>
    <cellStyle name="Обычный 4 2 2 56 4" xfId="18453" xr:uid="{00000000-0005-0000-0000-00004F200000}"/>
    <cellStyle name="Обычный 4 2 2 56 5" xfId="23793" xr:uid="{00000000-0005-0000-0000-000050200000}"/>
    <cellStyle name="Обычный 4 2 2 56 6" xfId="29133" xr:uid="{00000000-0005-0000-0000-000051200000}"/>
    <cellStyle name="Обычный 4 2 2 56 7" xfId="34473" xr:uid="{00000000-0005-0000-0000-000052200000}"/>
    <cellStyle name="Обычный 4 2 2 56 8" xfId="39813" xr:uid="{00000000-0005-0000-0000-000053200000}"/>
    <cellStyle name="Обычный 4 2 2 56 9" xfId="45153" xr:uid="{00000000-0005-0000-0000-000054200000}"/>
    <cellStyle name="Обычный 4 2 2 57" xfId="2459" xr:uid="{00000000-0005-0000-0000-000055200000}"/>
    <cellStyle name="Обычный 4 2 2 57 10" xfId="50523" xr:uid="{00000000-0005-0000-0000-000056200000}"/>
    <cellStyle name="Обычный 4 2 2 57 2" xfId="7802" xr:uid="{00000000-0005-0000-0000-000057200000}"/>
    <cellStyle name="Обычный 4 2 2 57 2 2" xfId="55864" xr:uid="{00000000-0005-0000-0000-000058200000}"/>
    <cellStyle name="Обычный 4 2 2 57 3" xfId="13143" xr:uid="{00000000-0005-0000-0000-000059200000}"/>
    <cellStyle name="Обычный 4 2 2 57 4" xfId="18483" xr:uid="{00000000-0005-0000-0000-00005A200000}"/>
    <cellStyle name="Обычный 4 2 2 57 5" xfId="23823" xr:uid="{00000000-0005-0000-0000-00005B200000}"/>
    <cellStyle name="Обычный 4 2 2 57 6" xfId="29163" xr:uid="{00000000-0005-0000-0000-00005C200000}"/>
    <cellStyle name="Обычный 4 2 2 57 7" xfId="34503" xr:uid="{00000000-0005-0000-0000-00005D200000}"/>
    <cellStyle name="Обычный 4 2 2 57 8" xfId="39843" xr:uid="{00000000-0005-0000-0000-00005E200000}"/>
    <cellStyle name="Обычный 4 2 2 57 9" xfId="45183" xr:uid="{00000000-0005-0000-0000-00005F200000}"/>
    <cellStyle name="Обычный 4 2 2 58" xfId="2489" xr:uid="{00000000-0005-0000-0000-000060200000}"/>
    <cellStyle name="Обычный 4 2 2 58 10" xfId="50553" xr:uid="{00000000-0005-0000-0000-000061200000}"/>
    <cellStyle name="Обычный 4 2 2 58 2" xfId="7832" xr:uid="{00000000-0005-0000-0000-000062200000}"/>
    <cellStyle name="Обычный 4 2 2 58 2 2" xfId="55894" xr:uid="{00000000-0005-0000-0000-000063200000}"/>
    <cellStyle name="Обычный 4 2 2 58 3" xfId="13173" xr:uid="{00000000-0005-0000-0000-000064200000}"/>
    <cellStyle name="Обычный 4 2 2 58 4" xfId="18513" xr:uid="{00000000-0005-0000-0000-000065200000}"/>
    <cellStyle name="Обычный 4 2 2 58 5" xfId="23853" xr:uid="{00000000-0005-0000-0000-000066200000}"/>
    <cellStyle name="Обычный 4 2 2 58 6" xfId="29193" xr:uid="{00000000-0005-0000-0000-000067200000}"/>
    <cellStyle name="Обычный 4 2 2 58 7" xfId="34533" xr:uid="{00000000-0005-0000-0000-000068200000}"/>
    <cellStyle name="Обычный 4 2 2 58 8" xfId="39873" xr:uid="{00000000-0005-0000-0000-000069200000}"/>
    <cellStyle name="Обычный 4 2 2 58 9" xfId="45213" xr:uid="{00000000-0005-0000-0000-00006A200000}"/>
    <cellStyle name="Обычный 4 2 2 59" xfId="2521" xr:uid="{00000000-0005-0000-0000-00006B200000}"/>
    <cellStyle name="Обычный 4 2 2 59 10" xfId="50585" xr:uid="{00000000-0005-0000-0000-00006C200000}"/>
    <cellStyle name="Обычный 4 2 2 59 2" xfId="7864" xr:uid="{00000000-0005-0000-0000-00006D200000}"/>
    <cellStyle name="Обычный 4 2 2 59 2 2" xfId="55926" xr:uid="{00000000-0005-0000-0000-00006E200000}"/>
    <cellStyle name="Обычный 4 2 2 59 3" xfId="13205" xr:uid="{00000000-0005-0000-0000-00006F200000}"/>
    <cellStyle name="Обычный 4 2 2 59 4" xfId="18545" xr:uid="{00000000-0005-0000-0000-000070200000}"/>
    <cellStyle name="Обычный 4 2 2 59 5" xfId="23885" xr:uid="{00000000-0005-0000-0000-000071200000}"/>
    <cellStyle name="Обычный 4 2 2 59 6" xfId="29225" xr:uid="{00000000-0005-0000-0000-000072200000}"/>
    <cellStyle name="Обычный 4 2 2 59 7" xfId="34565" xr:uid="{00000000-0005-0000-0000-000073200000}"/>
    <cellStyle name="Обычный 4 2 2 59 8" xfId="39905" xr:uid="{00000000-0005-0000-0000-000074200000}"/>
    <cellStyle name="Обычный 4 2 2 59 9" xfId="45245" xr:uid="{00000000-0005-0000-0000-000075200000}"/>
    <cellStyle name="Обычный 4 2 2 6" xfId="1076" xr:uid="{00000000-0005-0000-0000-000076200000}"/>
    <cellStyle name="Обычный 4 2 2 6 10" xfId="49139" xr:uid="{00000000-0005-0000-0000-000077200000}"/>
    <cellStyle name="Обычный 4 2 2 6 2" xfId="6418" xr:uid="{00000000-0005-0000-0000-000078200000}"/>
    <cellStyle name="Обычный 4 2 2 6 2 2" xfId="54480" xr:uid="{00000000-0005-0000-0000-000079200000}"/>
    <cellStyle name="Обычный 4 2 2 6 3" xfId="11759" xr:uid="{00000000-0005-0000-0000-00007A200000}"/>
    <cellStyle name="Обычный 4 2 2 6 4" xfId="17099" xr:uid="{00000000-0005-0000-0000-00007B200000}"/>
    <cellStyle name="Обычный 4 2 2 6 5" xfId="22439" xr:uid="{00000000-0005-0000-0000-00007C200000}"/>
    <cellStyle name="Обычный 4 2 2 6 6" xfId="27779" xr:uid="{00000000-0005-0000-0000-00007D200000}"/>
    <cellStyle name="Обычный 4 2 2 6 7" xfId="33119" xr:uid="{00000000-0005-0000-0000-00007E200000}"/>
    <cellStyle name="Обычный 4 2 2 6 8" xfId="38459" xr:uid="{00000000-0005-0000-0000-00007F200000}"/>
    <cellStyle name="Обычный 4 2 2 6 9" xfId="43799" xr:uid="{00000000-0005-0000-0000-000080200000}"/>
    <cellStyle name="Обычный 4 2 2 60" xfId="2555" xr:uid="{00000000-0005-0000-0000-000081200000}"/>
    <cellStyle name="Обычный 4 2 2 60 10" xfId="50619" xr:uid="{00000000-0005-0000-0000-000082200000}"/>
    <cellStyle name="Обычный 4 2 2 60 2" xfId="7898" xr:uid="{00000000-0005-0000-0000-000083200000}"/>
    <cellStyle name="Обычный 4 2 2 60 2 2" xfId="55960" xr:uid="{00000000-0005-0000-0000-000084200000}"/>
    <cellStyle name="Обычный 4 2 2 60 3" xfId="13239" xr:uid="{00000000-0005-0000-0000-000085200000}"/>
    <cellStyle name="Обычный 4 2 2 60 4" xfId="18579" xr:uid="{00000000-0005-0000-0000-000086200000}"/>
    <cellStyle name="Обычный 4 2 2 60 5" xfId="23919" xr:uid="{00000000-0005-0000-0000-000087200000}"/>
    <cellStyle name="Обычный 4 2 2 60 6" xfId="29259" xr:uid="{00000000-0005-0000-0000-000088200000}"/>
    <cellStyle name="Обычный 4 2 2 60 7" xfId="34599" xr:uid="{00000000-0005-0000-0000-000089200000}"/>
    <cellStyle name="Обычный 4 2 2 60 8" xfId="39939" xr:uid="{00000000-0005-0000-0000-00008A200000}"/>
    <cellStyle name="Обычный 4 2 2 60 9" xfId="45279" xr:uid="{00000000-0005-0000-0000-00008B200000}"/>
    <cellStyle name="Обычный 4 2 2 61" xfId="2587" xr:uid="{00000000-0005-0000-0000-00008C200000}"/>
    <cellStyle name="Обычный 4 2 2 61 10" xfId="50651" xr:uid="{00000000-0005-0000-0000-00008D200000}"/>
    <cellStyle name="Обычный 4 2 2 61 2" xfId="7930" xr:uid="{00000000-0005-0000-0000-00008E200000}"/>
    <cellStyle name="Обычный 4 2 2 61 2 2" xfId="55992" xr:uid="{00000000-0005-0000-0000-00008F200000}"/>
    <cellStyle name="Обычный 4 2 2 61 3" xfId="13271" xr:uid="{00000000-0005-0000-0000-000090200000}"/>
    <cellStyle name="Обычный 4 2 2 61 4" xfId="18611" xr:uid="{00000000-0005-0000-0000-000091200000}"/>
    <cellStyle name="Обычный 4 2 2 61 5" xfId="23951" xr:uid="{00000000-0005-0000-0000-000092200000}"/>
    <cellStyle name="Обычный 4 2 2 61 6" xfId="29291" xr:uid="{00000000-0005-0000-0000-000093200000}"/>
    <cellStyle name="Обычный 4 2 2 61 7" xfId="34631" xr:uid="{00000000-0005-0000-0000-000094200000}"/>
    <cellStyle name="Обычный 4 2 2 61 8" xfId="39971" xr:uid="{00000000-0005-0000-0000-000095200000}"/>
    <cellStyle name="Обычный 4 2 2 61 9" xfId="45311" xr:uid="{00000000-0005-0000-0000-000096200000}"/>
    <cellStyle name="Обычный 4 2 2 62" xfId="2619" xr:uid="{00000000-0005-0000-0000-000097200000}"/>
    <cellStyle name="Обычный 4 2 2 62 10" xfId="50683" xr:uid="{00000000-0005-0000-0000-000098200000}"/>
    <cellStyle name="Обычный 4 2 2 62 2" xfId="7962" xr:uid="{00000000-0005-0000-0000-000099200000}"/>
    <cellStyle name="Обычный 4 2 2 62 2 2" xfId="56024" xr:uid="{00000000-0005-0000-0000-00009A200000}"/>
    <cellStyle name="Обычный 4 2 2 62 3" xfId="13303" xr:uid="{00000000-0005-0000-0000-00009B200000}"/>
    <cellStyle name="Обычный 4 2 2 62 4" xfId="18643" xr:uid="{00000000-0005-0000-0000-00009C200000}"/>
    <cellStyle name="Обычный 4 2 2 62 5" xfId="23983" xr:uid="{00000000-0005-0000-0000-00009D200000}"/>
    <cellStyle name="Обычный 4 2 2 62 6" xfId="29323" xr:uid="{00000000-0005-0000-0000-00009E200000}"/>
    <cellStyle name="Обычный 4 2 2 62 7" xfId="34663" xr:uid="{00000000-0005-0000-0000-00009F200000}"/>
    <cellStyle name="Обычный 4 2 2 62 8" xfId="40003" xr:uid="{00000000-0005-0000-0000-0000A0200000}"/>
    <cellStyle name="Обычный 4 2 2 62 9" xfId="45343" xr:uid="{00000000-0005-0000-0000-0000A1200000}"/>
    <cellStyle name="Обычный 4 2 2 63" xfId="2651" xr:uid="{00000000-0005-0000-0000-0000A2200000}"/>
    <cellStyle name="Обычный 4 2 2 63 10" xfId="50715" xr:uid="{00000000-0005-0000-0000-0000A3200000}"/>
    <cellStyle name="Обычный 4 2 2 63 2" xfId="7994" xr:uid="{00000000-0005-0000-0000-0000A4200000}"/>
    <cellStyle name="Обычный 4 2 2 63 2 2" xfId="56056" xr:uid="{00000000-0005-0000-0000-0000A5200000}"/>
    <cellStyle name="Обычный 4 2 2 63 3" xfId="13335" xr:uid="{00000000-0005-0000-0000-0000A6200000}"/>
    <cellStyle name="Обычный 4 2 2 63 4" xfId="18675" xr:uid="{00000000-0005-0000-0000-0000A7200000}"/>
    <cellStyle name="Обычный 4 2 2 63 5" xfId="24015" xr:uid="{00000000-0005-0000-0000-0000A8200000}"/>
    <cellStyle name="Обычный 4 2 2 63 6" xfId="29355" xr:uid="{00000000-0005-0000-0000-0000A9200000}"/>
    <cellStyle name="Обычный 4 2 2 63 7" xfId="34695" xr:uid="{00000000-0005-0000-0000-0000AA200000}"/>
    <cellStyle name="Обычный 4 2 2 63 8" xfId="40035" xr:uid="{00000000-0005-0000-0000-0000AB200000}"/>
    <cellStyle name="Обычный 4 2 2 63 9" xfId="45375" xr:uid="{00000000-0005-0000-0000-0000AC200000}"/>
    <cellStyle name="Обычный 4 2 2 64" xfId="2683" xr:uid="{00000000-0005-0000-0000-0000AD200000}"/>
    <cellStyle name="Обычный 4 2 2 64 10" xfId="50747" xr:uid="{00000000-0005-0000-0000-0000AE200000}"/>
    <cellStyle name="Обычный 4 2 2 64 2" xfId="8026" xr:uid="{00000000-0005-0000-0000-0000AF200000}"/>
    <cellStyle name="Обычный 4 2 2 64 2 2" xfId="56088" xr:uid="{00000000-0005-0000-0000-0000B0200000}"/>
    <cellStyle name="Обычный 4 2 2 64 3" xfId="13367" xr:uid="{00000000-0005-0000-0000-0000B1200000}"/>
    <cellStyle name="Обычный 4 2 2 64 4" xfId="18707" xr:uid="{00000000-0005-0000-0000-0000B2200000}"/>
    <cellStyle name="Обычный 4 2 2 64 5" xfId="24047" xr:uid="{00000000-0005-0000-0000-0000B3200000}"/>
    <cellStyle name="Обычный 4 2 2 64 6" xfId="29387" xr:uid="{00000000-0005-0000-0000-0000B4200000}"/>
    <cellStyle name="Обычный 4 2 2 64 7" xfId="34727" xr:uid="{00000000-0005-0000-0000-0000B5200000}"/>
    <cellStyle name="Обычный 4 2 2 64 8" xfId="40067" xr:uid="{00000000-0005-0000-0000-0000B6200000}"/>
    <cellStyle name="Обычный 4 2 2 64 9" xfId="45407" xr:uid="{00000000-0005-0000-0000-0000B7200000}"/>
    <cellStyle name="Обычный 4 2 2 65" xfId="2715" xr:uid="{00000000-0005-0000-0000-0000B8200000}"/>
    <cellStyle name="Обычный 4 2 2 65 10" xfId="50779" xr:uid="{00000000-0005-0000-0000-0000B9200000}"/>
    <cellStyle name="Обычный 4 2 2 65 2" xfId="8058" xr:uid="{00000000-0005-0000-0000-0000BA200000}"/>
    <cellStyle name="Обычный 4 2 2 65 2 2" xfId="56120" xr:uid="{00000000-0005-0000-0000-0000BB200000}"/>
    <cellStyle name="Обычный 4 2 2 65 3" xfId="13399" xr:uid="{00000000-0005-0000-0000-0000BC200000}"/>
    <cellStyle name="Обычный 4 2 2 65 4" xfId="18739" xr:uid="{00000000-0005-0000-0000-0000BD200000}"/>
    <cellStyle name="Обычный 4 2 2 65 5" xfId="24079" xr:uid="{00000000-0005-0000-0000-0000BE200000}"/>
    <cellStyle name="Обычный 4 2 2 65 6" xfId="29419" xr:uid="{00000000-0005-0000-0000-0000BF200000}"/>
    <cellStyle name="Обычный 4 2 2 65 7" xfId="34759" xr:uid="{00000000-0005-0000-0000-0000C0200000}"/>
    <cellStyle name="Обычный 4 2 2 65 8" xfId="40099" xr:uid="{00000000-0005-0000-0000-0000C1200000}"/>
    <cellStyle name="Обычный 4 2 2 65 9" xfId="45439" xr:uid="{00000000-0005-0000-0000-0000C2200000}"/>
    <cellStyle name="Обычный 4 2 2 66" xfId="2747" xr:uid="{00000000-0005-0000-0000-0000C3200000}"/>
    <cellStyle name="Обычный 4 2 2 66 10" xfId="50811" xr:uid="{00000000-0005-0000-0000-0000C4200000}"/>
    <cellStyle name="Обычный 4 2 2 66 2" xfId="8090" xr:uid="{00000000-0005-0000-0000-0000C5200000}"/>
    <cellStyle name="Обычный 4 2 2 66 2 2" xfId="56152" xr:uid="{00000000-0005-0000-0000-0000C6200000}"/>
    <cellStyle name="Обычный 4 2 2 66 3" xfId="13431" xr:uid="{00000000-0005-0000-0000-0000C7200000}"/>
    <cellStyle name="Обычный 4 2 2 66 4" xfId="18771" xr:uid="{00000000-0005-0000-0000-0000C8200000}"/>
    <cellStyle name="Обычный 4 2 2 66 5" xfId="24111" xr:uid="{00000000-0005-0000-0000-0000C9200000}"/>
    <cellStyle name="Обычный 4 2 2 66 6" xfId="29451" xr:uid="{00000000-0005-0000-0000-0000CA200000}"/>
    <cellStyle name="Обычный 4 2 2 66 7" xfId="34791" xr:uid="{00000000-0005-0000-0000-0000CB200000}"/>
    <cellStyle name="Обычный 4 2 2 66 8" xfId="40131" xr:uid="{00000000-0005-0000-0000-0000CC200000}"/>
    <cellStyle name="Обычный 4 2 2 66 9" xfId="45471" xr:uid="{00000000-0005-0000-0000-0000CD200000}"/>
    <cellStyle name="Обычный 4 2 2 67" xfId="2781" xr:uid="{00000000-0005-0000-0000-0000CE200000}"/>
    <cellStyle name="Обычный 4 2 2 67 10" xfId="50845" xr:uid="{00000000-0005-0000-0000-0000CF200000}"/>
    <cellStyle name="Обычный 4 2 2 67 2" xfId="8124" xr:uid="{00000000-0005-0000-0000-0000D0200000}"/>
    <cellStyle name="Обычный 4 2 2 67 2 2" xfId="56186" xr:uid="{00000000-0005-0000-0000-0000D1200000}"/>
    <cellStyle name="Обычный 4 2 2 67 3" xfId="13465" xr:uid="{00000000-0005-0000-0000-0000D2200000}"/>
    <cellStyle name="Обычный 4 2 2 67 4" xfId="18805" xr:uid="{00000000-0005-0000-0000-0000D3200000}"/>
    <cellStyle name="Обычный 4 2 2 67 5" xfId="24145" xr:uid="{00000000-0005-0000-0000-0000D4200000}"/>
    <cellStyle name="Обычный 4 2 2 67 6" xfId="29485" xr:uid="{00000000-0005-0000-0000-0000D5200000}"/>
    <cellStyle name="Обычный 4 2 2 67 7" xfId="34825" xr:uid="{00000000-0005-0000-0000-0000D6200000}"/>
    <cellStyle name="Обычный 4 2 2 67 8" xfId="40165" xr:uid="{00000000-0005-0000-0000-0000D7200000}"/>
    <cellStyle name="Обычный 4 2 2 67 9" xfId="45505" xr:uid="{00000000-0005-0000-0000-0000D8200000}"/>
    <cellStyle name="Обычный 4 2 2 68" xfId="2813" xr:uid="{00000000-0005-0000-0000-0000D9200000}"/>
    <cellStyle name="Обычный 4 2 2 68 10" xfId="50877" xr:uid="{00000000-0005-0000-0000-0000DA200000}"/>
    <cellStyle name="Обычный 4 2 2 68 2" xfId="8156" xr:uid="{00000000-0005-0000-0000-0000DB200000}"/>
    <cellStyle name="Обычный 4 2 2 68 2 2" xfId="56218" xr:uid="{00000000-0005-0000-0000-0000DC200000}"/>
    <cellStyle name="Обычный 4 2 2 68 3" xfId="13497" xr:uid="{00000000-0005-0000-0000-0000DD200000}"/>
    <cellStyle name="Обычный 4 2 2 68 4" xfId="18837" xr:uid="{00000000-0005-0000-0000-0000DE200000}"/>
    <cellStyle name="Обычный 4 2 2 68 5" xfId="24177" xr:uid="{00000000-0005-0000-0000-0000DF200000}"/>
    <cellStyle name="Обычный 4 2 2 68 6" xfId="29517" xr:uid="{00000000-0005-0000-0000-0000E0200000}"/>
    <cellStyle name="Обычный 4 2 2 68 7" xfId="34857" xr:uid="{00000000-0005-0000-0000-0000E1200000}"/>
    <cellStyle name="Обычный 4 2 2 68 8" xfId="40197" xr:uid="{00000000-0005-0000-0000-0000E2200000}"/>
    <cellStyle name="Обычный 4 2 2 68 9" xfId="45537" xr:uid="{00000000-0005-0000-0000-0000E3200000}"/>
    <cellStyle name="Обычный 4 2 2 69" xfId="2845" xr:uid="{00000000-0005-0000-0000-0000E4200000}"/>
    <cellStyle name="Обычный 4 2 2 69 10" xfId="50909" xr:uid="{00000000-0005-0000-0000-0000E5200000}"/>
    <cellStyle name="Обычный 4 2 2 69 2" xfId="8188" xr:uid="{00000000-0005-0000-0000-0000E6200000}"/>
    <cellStyle name="Обычный 4 2 2 69 2 2" xfId="56250" xr:uid="{00000000-0005-0000-0000-0000E7200000}"/>
    <cellStyle name="Обычный 4 2 2 69 3" xfId="13529" xr:uid="{00000000-0005-0000-0000-0000E8200000}"/>
    <cellStyle name="Обычный 4 2 2 69 4" xfId="18869" xr:uid="{00000000-0005-0000-0000-0000E9200000}"/>
    <cellStyle name="Обычный 4 2 2 69 5" xfId="24209" xr:uid="{00000000-0005-0000-0000-0000EA200000}"/>
    <cellStyle name="Обычный 4 2 2 69 6" xfId="29549" xr:uid="{00000000-0005-0000-0000-0000EB200000}"/>
    <cellStyle name="Обычный 4 2 2 69 7" xfId="34889" xr:uid="{00000000-0005-0000-0000-0000EC200000}"/>
    <cellStyle name="Обычный 4 2 2 69 8" xfId="40229" xr:uid="{00000000-0005-0000-0000-0000ED200000}"/>
    <cellStyle name="Обычный 4 2 2 69 9" xfId="45569" xr:uid="{00000000-0005-0000-0000-0000EE200000}"/>
    <cellStyle name="Обычный 4 2 2 7" xfId="1102" xr:uid="{00000000-0005-0000-0000-0000EF200000}"/>
    <cellStyle name="Обычный 4 2 2 7 10" xfId="49165" xr:uid="{00000000-0005-0000-0000-0000F0200000}"/>
    <cellStyle name="Обычный 4 2 2 7 2" xfId="6444" xr:uid="{00000000-0005-0000-0000-0000F1200000}"/>
    <cellStyle name="Обычный 4 2 2 7 2 2" xfId="54506" xr:uid="{00000000-0005-0000-0000-0000F2200000}"/>
    <cellStyle name="Обычный 4 2 2 7 3" xfId="11785" xr:uid="{00000000-0005-0000-0000-0000F3200000}"/>
    <cellStyle name="Обычный 4 2 2 7 4" xfId="17125" xr:uid="{00000000-0005-0000-0000-0000F4200000}"/>
    <cellStyle name="Обычный 4 2 2 7 5" xfId="22465" xr:uid="{00000000-0005-0000-0000-0000F5200000}"/>
    <cellStyle name="Обычный 4 2 2 7 6" xfId="27805" xr:uid="{00000000-0005-0000-0000-0000F6200000}"/>
    <cellStyle name="Обычный 4 2 2 7 7" xfId="33145" xr:uid="{00000000-0005-0000-0000-0000F7200000}"/>
    <cellStyle name="Обычный 4 2 2 7 8" xfId="38485" xr:uid="{00000000-0005-0000-0000-0000F8200000}"/>
    <cellStyle name="Обычный 4 2 2 7 9" xfId="43825" xr:uid="{00000000-0005-0000-0000-0000F9200000}"/>
    <cellStyle name="Обычный 4 2 2 70" xfId="2877" xr:uid="{00000000-0005-0000-0000-0000FA200000}"/>
    <cellStyle name="Обычный 4 2 2 70 10" xfId="50941" xr:uid="{00000000-0005-0000-0000-0000FB200000}"/>
    <cellStyle name="Обычный 4 2 2 70 2" xfId="8220" xr:uid="{00000000-0005-0000-0000-0000FC200000}"/>
    <cellStyle name="Обычный 4 2 2 70 2 2" xfId="56282" xr:uid="{00000000-0005-0000-0000-0000FD200000}"/>
    <cellStyle name="Обычный 4 2 2 70 3" xfId="13561" xr:uid="{00000000-0005-0000-0000-0000FE200000}"/>
    <cellStyle name="Обычный 4 2 2 70 4" xfId="18901" xr:uid="{00000000-0005-0000-0000-0000FF200000}"/>
    <cellStyle name="Обычный 4 2 2 70 5" xfId="24241" xr:uid="{00000000-0005-0000-0000-000000210000}"/>
    <cellStyle name="Обычный 4 2 2 70 6" xfId="29581" xr:uid="{00000000-0005-0000-0000-000001210000}"/>
    <cellStyle name="Обычный 4 2 2 70 7" xfId="34921" xr:uid="{00000000-0005-0000-0000-000002210000}"/>
    <cellStyle name="Обычный 4 2 2 70 8" xfId="40261" xr:uid="{00000000-0005-0000-0000-000003210000}"/>
    <cellStyle name="Обычный 4 2 2 70 9" xfId="45601" xr:uid="{00000000-0005-0000-0000-000004210000}"/>
    <cellStyle name="Обычный 4 2 2 71" xfId="2909" xr:uid="{00000000-0005-0000-0000-000005210000}"/>
    <cellStyle name="Обычный 4 2 2 71 10" xfId="50973" xr:uid="{00000000-0005-0000-0000-000006210000}"/>
    <cellStyle name="Обычный 4 2 2 71 2" xfId="8252" xr:uid="{00000000-0005-0000-0000-000007210000}"/>
    <cellStyle name="Обычный 4 2 2 71 2 2" xfId="56314" xr:uid="{00000000-0005-0000-0000-000008210000}"/>
    <cellStyle name="Обычный 4 2 2 71 3" xfId="13593" xr:uid="{00000000-0005-0000-0000-000009210000}"/>
    <cellStyle name="Обычный 4 2 2 71 4" xfId="18933" xr:uid="{00000000-0005-0000-0000-00000A210000}"/>
    <cellStyle name="Обычный 4 2 2 71 5" xfId="24273" xr:uid="{00000000-0005-0000-0000-00000B210000}"/>
    <cellStyle name="Обычный 4 2 2 71 6" xfId="29613" xr:uid="{00000000-0005-0000-0000-00000C210000}"/>
    <cellStyle name="Обычный 4 2 2 71 7" xfId="34953" xr:uid="{00000000-0005-0000-0000-00000D210000}"/>
    <cellStyle name="Обычный 4 2 2 71 8" xfId="40293" xr:uid="{00000000-0005-0000-0000-00000E210000}"/>
    <cellStyle name="Обычный 4 2 2 71 9" xfId="45633" xr:uid="{00000000-0005-0000-0000-00000F210000}"/>
    <cellStyle name="Обычный 4 2 2 72" xfId="2941" xr:uid="{00000000-0005-0000-0000-000010210000}"/>
    <cellStyle name="Обычный 4 2 2 72 10" xfId="51005" xr:uid="{00000000-0005-0000-0000-000011210000}"/>
    <cellStyle name="Обычный 4 2 2 72 2" xfId="8284" xr:uid="{00000000-0005-0000-0000-000012210000}"/>
    <cellStyle name="Обычный 4 2 2 72 2 2" xfId="56346" xr:uid="{00000000-0005-0000-0000-000013210000}"/>
    <cellStyle name="Обычный 4 2 2 72 3" xfId="13625" xr:uid="{00000000-0005-0000-0000-000014210000}"/>
    <cellStyle name="Обычный 4 2 2 72 4" xfId="18965" xr:uid="{00000000-0005-0000-0000-000015210000}"/>
    <cellStyle name="Обычный 4 2 2 72 5" xfId="24305" xr:uid="{00000000-0005-0000-0000-000016210000}"/>
    <cellStyle name="Обычный 4 2 2 72 6" xfId="29645" xr:uid="{00000000-0005-0000-0000-000017210000}"/>
    <cellStyle name="Обычный 4 2 2 72 7" xfId="34985" xr:uid="{00000000-0005-0000-0000-000018210000}"/>
    <cellStyle name="Обычный 4 2 2 72 8" xfId="40325" xr:uid="{00000000-0005-0000-0000-000019210000}"/>
    <cellStyle name="Обычный 4 2 2 72 9" xfId="45665" xr:uid="{00000000-0005-0000-0000-00001A210000}"/>
    <cellStyle name="Обычный 4 2 2 73" xfId="2973" xr:uid="{00000000-0005-0000-0000-00001B210000}"/>
    <cellStyle name="Обычный 4 2 2 73 10" xfId="51037" xr:uid="{00000000-0005-0000-0000-00001C210000}"/>
    <cellStyle name="Обычный 4 2 2 73 2" xfId="8316" xr:uid="{00000000-0005-0000-0000-00001D210000}"/>
    <cellStyle name="Обычный 4 2 2 73 2 2" xfId="56378" xr:uid="{00000000-0005-0000-0000-00001E210000}"/>
    <cellStyle name="Обычный 4 2 2 73 3" xfId="13657" xr:uid="{00000000-0005-0000-0000-00001F210000}"/>
    <cellStyle name="Обычный 4 2 2 73 4" xfId="18997" xr:uid="{00000000-0005-0000-0000-000020210000}"/>
    <cellStyle name="Обычный 4 2 2 73 5" xfId="24337" xr:uid="{00000000-0005-0000-0000-000021210000}"/>
    <cellStyle name="Обычный 4 2 2 73 6" xfId="29677" xr:uid="{00000000-0005-0000-0000-000022210000}"/>
    <cellStyle name="Обычный 4 2 2 73 7" xfId="35017" xr:uid="{00000000-0005-0000-0000-000023210000}"/>
    <cellStyle name="Обычный 4 2 2 73 8" xfId="40357" xr:uid="{00000000-0005-0000-0000-000024210000}"/>
    <cellStyle name="Обычный 4 2 2 73 9" xfId="45697" xr:uid="{00000000-0005-0000-0000-000025210000}"/>
    <cellStyle name="Обычный 4 2 2 74" xfId="3005" xr:uid="{00000000-0005-0000-0000-000026210000}"/>
    <cellStyle name="Обычный 4 2 2 74 10" xfId="51069" xr:uid="{00000000-0005-0000-0000-000027210000}"/>
    <cellStyle name="Обычный 4 2 2 74 2" xfId="8348" xr:uid="{00000000-0005-0000-0000-000028210000}"/>
    <cellStyle name="Обычный 4 2 2 74 2 2" xfId="56410" xr:uid="{00000000-0005-0000-0000-000029210000}"/>
    <cellStyle name="Обычный 4 2 2 74 3" xfId="13689" xr:uid="{00000000-0005-0000-0000-00002A210000}"/>
    <cellStyle name="Обычный 4 2 2 74 4" xfId="19029" xr:uid="{00000000-0005-0000-0000-00002B210000}"/>
    <cellStyle name="Обычный 4 2 2 74 5" xfId="24369" xr:uid="{00000000-0005-0000-0000-00002C210000}"/>
    <cellStyle name="Обычный 4 2 2 74 6" xfId="29709" xr:uid="{00000000-0005-0000-0000-00002D210000}"/>
    <cellStyle name="Обычный 4 2 2 74 7" xfId="35049" xr:uid="{00000000-0005-0000-0000-00002E210000}"/>
    <cellStyle name="Обычный 4 2 2 74 8" xfId="40389" xr:uid="{00000000-0005-0000-0000-00002F210000}"/>
    <cellStyle name="Обычный 4 2 2 74 9" xfId="45729" xr:uid="{00000000-0005-0000-0000-000030210000}"/>
    <cellStyle name="Обычный 4 2 2 75" xfId="3037" xr:uid="{00000000-0005-0000-0000-000031210000}"/>
    <cellStyle name="Обычный 4 2 2 75 10" xfId="51101" xr:uid="{00000000-0005-0000-0000-000032210000}"/>
    <cellStyle name="Обычный 4 2 2 75 2" xfId="8380" xr:uid="{00000000-0005-0000-0000-000033210000}"/>
    <cellStyle name="Обычный 4 2 2 75 2 2" xfId="56442" xr:uid="{00000000-0005-0000-0000-000034210000}"/>
    <cellStyle name="Обычный 4 2 2 75 3" xfId="13721" xr:uid="{00000000-0005-0000-0000-000035210000}"/>
    <cellStyle name="Обычный 4 2 2 75 4" xfId="19061" xr:uid="{00000000-0005-0000-0000-000036210000}"/>
    <cellStyle name="Обычный 4 2 2 75 5" xfId="24401" xr:uid="{00000000-0005-0000-0000-000037210000}"/>
    <cellStyle name="Обычный 4 2 2 75 6" xfId="29741" xr:uid="{00000000-0005-0000-0000-000038210000}"/>
    <cellStyle name="Обычный 4 2 2 75 7" xfId="35081" xr:uid="{00000000-0005-0000-0000-000039210000}"/>
    <cellStyle name="Обычный 4 2 2 75 8" xfId="40421" xr:uid="{00000000-0005-0000-0000-00003A210000}"/>
    <cellStyle name="Обычный 4 2 2 75 9" xfId="45761" xr:uid="{00000000-0005-0000-0000-00003B210000}"/>
    <cellStyle name="Обычный 4 2 2 76" xfId="3069" xr:uid="{00000000-0005-0000-0000-00003C210000}"/>
    <cellStyle name="Обычный 4 2 2 76 10" xfId="51133" xr:uid="{00000000-0005-0000-0000-00003D210000}"/>
    <cellStyle name="Обычный 4 2 2 76 2" xfId="8412" xr:uid="{00000000-0005-0000-0000-00003E210000}"/>
    <cellStyle name="Обычный 4 2 2 76 2 2" xfId="56474" xr:uid="{00000000-0005-0000-0000-00003F210000}"/>
    <cellStyle name="Обычный 4 2 2 76 3" xfId="13753" xr:uid="{00000000-0005-0000-0000-000040210000}"/>
    <cellStyle name="Обычный 4 2 2 76 4" xfId="19093" xr:uid="{00000000-0005-0000-0000-000041210000}"/>
    <cellStyle name="Обычный 4 2 2 76 5" xfId="24433" xr:uid="{00000000-0005-0000-0000-000042210000}"/>
    <cellStyle name="Обычный 4 2 2 76 6" xfId="29773" xr:uid="{00000000-0005-0000-0000-000043210000}"/>
    <cellStyle name="Обычный 4 2 2 76 7" xfId="35113" xr:uid="{00000000-0005-0000-0000-000044210000}"/>
    <cellStyle name="Обычный 4 2 2 76 8" xfId="40453" xr:uid="{00000000-0005-0000-0000-000045210000}"/>
    <cellStyle name="Обычный 4 2 2 76 9" xfId="45793" xr:uid="{00000000-0005-0000-0000-000046210000}"/>
    <cellStyle name="Обычный 4 2 2 77" xfId="3101" xr:uid="{00000000-0005-0000-0000-000047210000}"/>
    <cellStyle name="Обычный 4 2 2 77 10" xfId="51165" xr:uid="{00000000-0005-0000-0000-000048210000}"/>
    <cellStyle name="Обычный 4 2 2 77 2" xfId="8444" xr:uid="{00000000-0005-0000-0000-000049210000}"/>
    <cellStyle name="Обычный 4 2 2 77 2 2" xfId="56506" xr:uid="{00000000-0005-0000-0000-00004A210000}"/>
    <cellStyle name="Обычный 4 2 2 77 3" xfId="13785" xr:uid="{00000000-0005-0000-0000-00004B210000}"/>
    <cellStyle name="Обычный 4 2 2 77 4" xfId="19125" xr:uid="{00000000-0005-0000-0000-00004C210000}"/>
    <cellStyle name="Обычный 4 2 2 77 5" xfId="24465" xr:uid="{00000000-0005-0000-0000-00004D210000}"/>
    <cellStyle name="Обычный 4 2 2 77 6" xfId="29805" xr:uid="{00000000-0005-0000-0000-00004E210000}"/>
    <cellStyle name="Обычный 4 2 2 77 7" xfId="35145" xr:uid="{00000000-0005-0000-0000-00004F210000}"/>
    <cellStyle name="Обычный 4 2 2 77 8" xfId="40485" xr:uid="{00000000-0005-0000-0000-000050210000}"/>
    <cellStyle name="Обычный 4 2 2 77 9" xfId="45825" xr:uid="{00000000-0005-0000-0000-000051210000}"/>
    <cellStyle name="Обычный 4 2 2 78" xfId="3134" xr:uid="{00000000-0005-0000-0000-000052210000}"/>
    <cellStyle name="Обычный 4 2 2 78 10" xfId="51197" xr:uid="{00000000-0005-0000-0000-000053210000}"/>
    <cellStyle name="Обычный 4 2 2 78 2" xfId="8477" xr:uid="{00000000-0005-0000-0000-000054210000}"/>
    <cellStyle name="Обычный 4 2 2 78 2 2" xfId="56538" xr:uid="{00000000-0005-0000-0000-000055210000}"/>
    <cellStyle name="Обычный 4 2 2 78 3" xfId="13817" xr:uid="{00000000-0005-0000-0000-000056210000}"/>
    <cellStyle name="Обычный 4 2 2 78 4" xfId="19157" xr:uid="{00000000-0005-0000-0000-000057210000}"/>
    <cellStyle name="Обычный 4 2 2 78 5" xfId="24497" xr:uid="{00000000-0005-0000-0000-000058210000}"/>
    <cellStyle name="Обычный 4 2 2 78 6" xfId="29837" xr:uid="{00000000-0005-0000-0000-000059210000}"/>
    <cellStyle name="Обычный 4 2 2 78 7" xfId="35177" xr:uid="{00000000-0005-0000-0000-00005A210000}"/>
    <cellStyle name="Обычный 4 2 2 78 8" xfId="40517" xr:uid="{00000000-0005-0000-0000-00005B210000}"/>
    <cellStyle name="Обычный 4 2 2 78 9" xfId="45857" xr:uid="{00000000-0005-0000-0000-00005C210000}"/>
    <cellStyle name="Обычный 4 2 2 79" xfId="3166" xr:uid="{00000000-0005-0000-0000-00005D210000}"/>
    <cellStyle name="Обычный 4 2 2 79 10" xfId="51229" xr:uid="{00000000-0005-0000-0000-00005E210000}"/>
    <cellStyle name="Обычный 4 2 2 79 2" xfId="8509" xr:uid="{00000000-0005-0000-0000-00005F210000}"/>
    <cellStyle name="Обычный 4 2 2 79 2 2" xfId="56570" xr:uid="{00000000-0005-0000-0000-000060210000}"/>
    <cellStyle name="Обычный 4 2 2 79 3" xfId="13849" xr:uid="{00000000-0005-0000-0000-000061210000}"/>
    <cellStyle name="Обычный 4 2 2 79 4" xfId="19189" xr:uid="{00000000-0005-0000-0000-000062210000}"/>
    <cellStyle name="Обычный 4 2 2 79 5" xfId="24529" xr:uid="{00000000-0005-0000-0000-000063210000}"/>
    <cellStyle name="Обычный 4 2 2 79 6" xfId="29869" xr:uid="{00000000-0005-0000-0000-000064210000}"/>
    <cellStyle name="Обычный 4 2 2 79 7" xfId="35209" xr:uid="{00000000-0005-0000-0000-000065210000}"/>
    <cellStyle name="Обычный 4 2 2 79 8" xfId="40549" xr:uid="{00000000-0005-0000-0000-000066210000}"/>
    <cellStyle name="Обычный 4 2 2 79 9" xfId="45889" xr:uid="{00000000-0005-0000-0000-000067210000}"/>
    <cellStyle name="Обычный 4 2 2 8" xfId="1128" xr:uid="{00000000-0005-0000-0000-000068210000}"/>
    <cellStyle name="Обычный 4 2 2 8 10" xfId="49191" xr:uid="{00000000-0005-0000-0000-000069210000}"/>
    <cellStyle name="Обычный 4 2 2 8 2" xfId="6470" xr:uid="{00000000-0005-0000-0000-00006A210000}"/>
    <cellStyle name="Обычный 4 2 2 8 2 2" xfId="54532" xr:uid="{00000000-0005-0000-0000-00006B210000}"/>
    <cellStyle name="Обычный 4 2 2 8 3" xfId="11811" xr:uid="{00000000-0005-0000-0000-00006C210000}"/>
    <cellStyle name="Обычный 4 2 2 8 4" xfId="17151" xr:uid="{00000000-0005-0000-0000-00006D210000}"/>
    <cellStyle name="Обычный 4 2 2 8 5" xfId="22491" xr:uid="{00000000-0005-0000-0000-00006E210000}"/>
    <cellStyle name="Обычный 4 2 2 8 6" xfId="27831" xr:uid="{00000000-0005-0000-0000-00006F210000}"/>
    <cellStyle name="Обычный 4 2 2 8 7" xfId="33171" xr:uid="{00000000-0005-0000-0000-000070210000}"/>
    <cellStyle name="Обычный 4 2 2 8 8" xfId="38511" xr:uid="{00000000-0005-0000-0000-000071210000}"/>
    <cellStyle name="Обычный 4 2 2 8 9" xfId="43851" xr:uid="{00000000-0005-0000-0000-000072210000}"/>
    <cellStyle name="Обычный 4 2 2 80" xfId="3198" xr:uid="{00000000-0005-0000-0000-000073210000}"/>
    <cellStyle name="Обычный 4 2 2 80 10" xfId="51261" xr:uid="{00000000-0005-0000-0000-000074210000}"/>
    <cellStyle name="Обычный 4 2 2 80 2" xfId="8541" xr:uid="{00000000-0005-0000-0000-000075210000}"/>
    <cellStyle name="Обычный 4 2 2 80 2 2" xfId="56602" xr:uid="{00000000-0005-0000-0000-000076210000}"/>
    <cellStyle name="Обычный 4 2 2 80 3" xfId="13881" xr:uid="{00000000-0005-0000-0000-000077210000}"/>
    <cellStyle name="Обычный 4 2 2 80 4" xfId="19221" xr:uid="{00000000-0005-0000-0000-000078210000}"/>
    <cellStyle name="Обычный 4 2 2 80 5" xfId="24561" xr:uid="{00000000-0005-0000-0000-000079210000}"/>
    <cellStyle name="Обычный 4 2 2 80 6" xfId="29901" xr:uid="{00000000-0005-0000-0000-00007A210000}"/>
    <cellStyle name="Обычный 4 2 2 80 7" xfId="35241" xr:uid="{00000000-0005-0000-0000-00007B210000}"/>
    <cellStyle name="Обычный 4 2 2 80 8" xfId="40581" xr:uid="{00000000-0005-0000-0000-00007C210000}"/>
    <cellStyle name="Обычный 4 2 2 80 9" xfId="45921" xr:uid="{00000000-0005-0000-0000-00007D210000}"/>
    <cellStyle name="Обычный 4 2 2 81" xfId="3230" xr:uid="{00000000-0005-0000-0000-00007E210000}"/>
    <cellStyle name="Обычный 4 2 2 81 10" xfId="51293" xr:uid="{00000000-0005-0000-0000-00007F210000}"/>
    <cellStyle name="Обычный 4 2 2 81 2" xfId="8573" xr:uid="{00000000-0005-0000-0000-000080210000}"/>
    <cellStyle name="Обычный 4 2 2 81 2 2" xfId="56634" xr:uid="{00000000-0005-0000-0000-000081210000}"/>
    <cellStyle name="Обычный 4 2 2 81 3" xfId="13913" xr:uid="{00000000-0005-0000-0000-000082210000}"/>
    <cellStyle name="Обычный 4 2 2 81 4" xfId="19253" xr:uid="{00000000-0005-0000-0000-000083210000}"/>
    <cellStyle name="Обычный 4 2 2 81 5" xfId="24593" xr:uid="{00000000-0005-0000-0000-000084210000}"/>
    <cellStyle name="Обычный 4 2 2 81 6" xfId="29933" xr:uid="{00000000-0005-0000-0000-000085210000}"/>
    <cellStyle name="Обычный 4 2 2 81 7" xfId="35273" xr:uid="{00000000-0005-0000-0000-000086210000}"/>
    <cellStyle name="Обычный 4 2 2 81 8" xfId="40613" xr:uid="{00000000-0005-0000-0000-000087210000}"/>
    <cellStyle name="Обычный 4 2 2 81 9" xfId="45953" xr:uid="{00000000-0005-0000-0000-000088210000}"/>
    <cellStyle name="Обычный 4 2 2 82" xfId="3262" xr:uid="{00000000-0005-0000-0000-000089210000}"/>
    <cellStyle name="Обычный 4 2 2 82 10" xfId="51325" xr:uid="{00000000-0005-0000-0000-00008A210000}"/>
    <cellStyle name="Обычный 4 2 2 82 2" xfId="8605" xr:uid="{00000000-0005-0000-0000-00008B210000}"/>
    <cellStyle name="Обычный 4 2 2 82 2 2" xfId="56666" xr:uid="{00000000-0005-0000-0000-00008C210000}"/>
    <cellStyle name="Обычный 4 2 2 82 3" xfId="13945" xr:uid="{00000000-0005-0000-0000-00008D210000}"/>
    <cellStyle name="Обычный 4 2 2 82 4" xfId="19285" xr:uid="{00000000-0005-0000-0000-00008E210000}"/>
    <cellStyle name="Обычный 4 2 2 82 5" xfId="24625" xr:uid="{00000000-0005-0000-0000-00008F210000}"/>
    <cellStyle name="Обычный 4 2 2 82 6" xfId="29965" xr:uid="{00000000-0005-0000-0000-000090210000}"/>
    <cellStyle name="Обычный 4 2 2 82 7" xfId="35305" xr:uid="{00000000-0005-0000-0000-000091210000}"/>
    <cellStyle name="Обычный 4 2 2 82 8" xfId="40645" xr:uid="{00000000-0005-0000-0000-000092210000}"/>
    <cellStyle name="Обычный 4 2 2 82 9" xfId="45985" xr:uid="{00000000-0005-0000-0000-000093210000}"/>
    <cellStyle name="Обычный 4 2 2 83" xfId="3294" xr:uid="{00000000-0005-0000-0000-000094210000}"/>
    <cellStyle name="Обычный 4 2 2 83 10" xfId="51357" xr:uid="{00000000-0005-0000-0000-000095210000}"/>
    <cellStyle name="Обычный 4 2 2 83 2" xfId="8637" xr:uid="{00000000-0005-0000-0000-000096210000}"/>
    <cellStyle name="Обычный 4 2 2 83 2 2" xfId="56698" xr:uid="{00000000-0005-0000-0000-000097210000}"/>
    <cellStyle name="Обычный 4 2 2 83 3" xfId="13977" xr:uid="{00000000-0005-0000-0000-000098210000}"/>
    <cellStyle name="Обычный 4 2 2 83 4" xfId="19317" xr:uid="{00000000-0005-0000-0000-000099210000}"/>
    <cellStyle name="Обычный 4 2 2 83 5" xfId="24657" xr:uid="{00000000-0005-0000-0000-00009A210000}"/>
    <cellStyle name="Обычный 4 2 2 83 6" xfId="29997" xr:uid="{00000000-0005-0000-0000-00009B210000}"/>
    <cellStyle name="Обычный 4 2 2 83 7" xfId="35337" xr:uid="{00000000-0005-0000-0000-00009C210000}"/>
    <cellStyle name="Обычный 4 2 2 83 8" xfId="40677" xr:uid="{00000000-0005-0000-0000-00009D210000}"/>
    <cellStyle name="Обычный 4 2 2 83 9" xfId="46017" xr:uid="{00000000-0005-0000-0000-00009E210000}"/>
    <cellStyle name="Обычный 4 2 2 84" xfId="3326" xr:uid="{00000000-0005-0000-0000-00009F210000}"/>
    <cellStyle name="Обычный 4 2 2 84 10" xfId="51389" xr:uid="{00000000-0005-0000-0000-0000A0210000}"/>
    <cellStyle name="Обычный 4 2 2 84 2" xfId="8669" xr:uid="{00000000-0005-0000-0000-0000A1210000}"/>
    <cellStyle name="Обычный 4 2 2 84 2 2" xfId="56730" xr:uid="{00000000-0005-0000-0000-0000A2210000}"/>
    <cellStyle name="Обычный 4 2 2 84 3" xfId="14009" xr:uid="{00000000-0005-0000-0000-0000A3210000}"/>
    <cellStyle name="Обычный 4 2 2 84 4" xfId="19349" xr:uid="{00000000-0005-0000-0000-0000A4210000}"/>
    <cellStyle name="Обычный 4 2 2 84 5" xfId="24689" xr:uid="{00000000-0005-0000-0000-0000A5210000}"/>
    <cellStyle name="Обычный 4 2 2 84 6" xfId="30029" xr:uid="{00000000-0005-0000-0000-0000A6210000}"/>
    <cellStyle name="Обычный 4 2 2 84 7" xfId="35369" xr:uid="{00000000-0005-0000-0000-0000A7210000}"/>
    <cellStyle name="Обычный 4 2 2 84 8" xfId="40709" xr:uid="{00000000-0005-0000-0000-0000A8210000}"/>
    <cellStyle name="Обычный 4 2 2 84 9" xfId="46049" xr:uid="{00000000-0005-0000-0000-0000A9210000}"/>
    <cellStyle name="Обычный 4 2 2 85" xfId="3358" xr:uid="{00000000-0005-0000-0000-0000AA210000}"/>
    <cellStyle name="Обычный 4 2 2 85 10" xfId="51421" xr:uid="{00000000-0005-0000-0000-0000AB210000}"/>
    <cellStyle name="Обычный 4 2 2 85 2" xfId="8701" xr:uid="{00000000-0005-0000-0000-0000AC210000}"/>
    <cellStyle name="Обычный 4 2 2 85 2 2" xfId="56762" xr:uid="{00000000-0005-0000-0000-0000AD210000}"/>
    <cellStyle name="Обычный 4 2 2 85 3" xfId="14041" xr:uid="{00000000-0005-0000-0000-0000AE210000}"/>
    <cellStyle name="Обычный 4 2 2 85 4" xfId="19381" xr:uid="{00000000-0005-0000-0000-0000AF210000}"/>
    <cellStyle name="Обычный 4 2 2 85 5" xfId="24721" xr:uid="{00000000-0005-0000-0000-0000B0210000}"/>
    <cellStyle name="Обычный 4 2 2 85 6" xfId="30061" xr:uid="{00000000-0005-0000-0000-0000B1210000}"/>
    <cellStyle name="Обычный 4 2 2 85 7" xfId="35401" xr:uid="{00000000-0005-0000-0000-0000B2210000}"/>
    <cellStyle name="Обычный 4 2 2 85 8" xfId="40741" xr:uid="{00000000-0005-0000-0000-0000B3210000}"/>
    <cellStyle name="Обычный 4 2 2 85 9" xfId="46081" xr:uid="{00000000-0005-0000-0000-0000B4210000}"/>
    <cellStyle name="Обычный 4 2 2 86" xfId="3390" xr:uid="{00000000-0005-0000-0000-0000B5210000}"/>
    <cellStyle name="Обычный 4 2 2 86 10" xfId="51453" xr:uid="{00000000-0005-0000-0000-0000B6210000}"/>
    <cellStyle name="Обычный 4 2 2 86 2" xfId="8733" xr:uid="{00000000-0005-0000-0000-0000B7210000}"/>
    <cellStyle name="Обычный 4 2 2 86 2 2" xfId="56794" xr:uid="{00000000-0005-0000-0000-0000B8210000}"/>
    <cellStyle name="Обычный 4 2 2 86 3" xfId="14073" xr:uid="{00000000-0005-0000-0000-0000B9210000}"/>
    <cellStyle name="Обычный 4 2 2 86 4" xfId="19413" xr:uid="{00000000-0005-0000-0000-0000BA210000}"/>
    <cellStyle name="Обычный 4 2 2 86 5" xfId="24753" xr:uid="{00000000-0005-0000-0000-0000BB210000}"/>
    <cellStyle name="Обычный 4 2 2 86 6" xfId="30093" xr:uid="{00000000-0005-0000-0000-0000BC210000}"/>
    <cellStyle name="Обычный 4 2 2 86 7" xfId="35433" xr:uid="{00000000-0005-0000-0000-0000BD210000}"/>
    <cellStyle name="Обычный 4 2 2 86 8" xfId="40773" xr:uid="{00000000-0005-0000-0000-0000BE210000}"/>
    <cellStyle name="Обычный 4 2 2 86 9" xfId="46113" xr:uid="{00000000-0005-0000-0000-0000BF210000}"/>
    <cellStyle name="Обычный 4 2 2 87" xfId="3422" xr:uid="{00000000-0005-0000-0000-0000C0210000}"/>
    <cellStyle name="Обычный 4 2 2 87 10" xfId="51485" xr:uid="{00000000-0005-0000-0000-0000C1210000}"/>
    <cellStyle name="Обычный 4 2 2 87 2" xfId="8765" xr:uid="{00000000-0005-0000-0000-0000C2210000}"/>
    <cellStyle name="Обычный 4 2 2 87 2 2" xfId="56826" xr:uid="{00000000-0005-0000-0000-0000C3210000}"/>
    <cellStyle name="Обычный 4 2 2 87 3" xfId="14105" xr:uid="{00000000-0005-0000-0000-0000C4210000}"/>
    <cellStyle name="Обычный 4 2 2 87 4" xfId="19445" xr:uid="{00000000-0005-0000-0000-0000C5210000}"/>
    <cellStyle name="Обычный 4 2 2 87 5" xfId="24785" xr:uid="{00000000-0005-0000-0000-0000C6210000}"/>
    <cellStyle name="Обычный 4 2 2 87 6" xfId="30125" xr:uid="{00000000-0005-0000-0000-0000C7210000}"/>
    <cellStyle name="Обычный 4 2 2 87 7" xfId="35465" xr:uid="{00000000-0005-0000-0000-0000C8210000}"/>
    <cellStyle name="Обычный 4 2 2 87 8" xfId="40805" xr:uid="{00000000-0005-0000-0000-0000C9210000}"/>
    <cellStyle name="Обычный 4 2 2 87 9" xfId="46145" xr:uid="{00000000-0005-0000-0000-0000CA210000}"/>
    <cellStyle name="Обычный 4 2 2 88" xfId="3454" xr:uid="{00000000-0005-0000-0000-0000CB210000}"/>
    <cellStyle name="Обычный 4 2 2 88 10" xfId="51517" xr:uid="{00000000-0005-0000-0000-0000CC210000}"/>
    <cellStyle name="Обычный 4 2 2 88 2" xfId="8797" xr:uid="{00000000-0005-0000-0000-0000CD210000}"/>
    <cellStyle name="Обычный 4 2 2 88 2 2" xfId="56858" xr:uid="{00000000-0005-0000-0000-0000CE210000}"/>
    <cellStyle name="Обычный 4 2 2 88 3" xfId="14137" xr:uid="{00000000-0005-0000-0000-0000CF210000}"/>
    <cellStyle name="Обычный 4 2 2 88 4" xfId="19477" xr:uid="{00000000-0005-0000-0000-0000D0210000}"/>
    <cellStyle name="Обычный 4 2 2 88 5" xfId="24817" xr:uid="{00000000-0005-0000-0000-0000D1210000}"/>
    <cellStyle name="Обычный 4 2 2 88 6" xfId="30157" xr:uid="{00000000-0005-0000-0000-0000D2210000}"/>
    <cellStyle name="Обычный 4 2 2 88 7" xfId="35497" xr:uid="{00000000-0005-0000-0000-0000D3210000}"/>
    <cellStyle name="Обычный 4 2 2 88 8" xfId="40837" xr:uid="{00000000-0005-0000-0000-0000D4210000}"/>
    <cellStyle name="Обычный 4 2 2 88 9" xfId="46177" xr:uid="{00000000-0005-0000-0000-0000D5210000}"/>
    <cellStyle name="Обычный 4 2 2 89" xfId="3486" xr:uid="{00000000-0005-0000-0000-0000D6210000}"/>
    <cellStyle name="Обычный 4 2 2 89 10" xfId="51549" xr:uid="{00000000-0005-0000-0000-0000D7210000}"/>
    <cellStyle name="Обычный 4 2 2 89 2" xfId="8829" xr:uid="{00000000-0005-0000-0000-0000D8210000}"/>
    <cellStyle name="Обычный 4 2 2 89 2 2" xfId="56890" xr:uid="{00000000-0005-0000-0000-0000D9210000}"/>
    <cellStyle name="Обычный 4 2 2 89 3" xfId="14169" xr:uid="{00000000-0005-0000-0000-0000DA210000}"/>
    <cellStyle name="Обычный 4 2 2 89 4" xfId="19509" xr:uid="{00000000-0005-0000-0000-0000DB210000}"/>
    <cellStyle name="Обычный 4 2 2 89 5" xfId="24849" xr:uid="{00000000-0005-0000-0000-0000DC210000}"/>
    <cellStyle name="Обычный 4 2 2 89 6" xfId="30189" xr:uid="{00000000-0005-0000-0000-0000DD210000}"/>
    <cellStyle name="Обычный 4 2 2 89 7" xfId="35529" xr:uid="{00000000-0005-0000-0000-0000DE210000}"/>
    <cellStyle name="Обычный 4 2 2 89 8" xfId="40869" xr:uid="{00000000-0005-0000-0000-0000DF210000}"/>
    <cellStyle name="Обычный 4 2 2 89 9" xfId="46209" xr:uid="{00000000-0005-0000-0000-0000E0210000}"/>
    <cellStyle name="Обычный 4 2 2 9" xfId="1154" xr:uid="{00000000-0005-0000-0000-0000E1210000}"/>
    <cellStyle name="Обычный 4 2 2 9 10" xfId="49217" xr:uid="{00000000-0005-0000-0000-0000E2210000}"/>
    <cellStyle name="Обычный 4 2 2 9 2" xfId="6496" xr:uid="{00000000-0005-0000-0000-0000E3210000}"/>
    <cellStyle name="Обычный 4 2 2 9 2 2" xfId="54558" xr:uid="{00000000-0005-0000-0000-0000E4210000}"/>
    <cellStyle name="Обычный 4 2 2 9 3" xfId="11837" xr:uid="{00000000-0005-0000-0000-0000E5210000}"/>
    <cellStyle name="Обычный 4 2 2 9 4" xfId="17177" xr:uid="{00000000-0005-0000-0000-0000E6210000}"/>
    <cellStyle name="Обычный 4 2 2 9 5" xfId="22517" xr:uid="{00000000-0005-0000-0000-0000E7210000}"/>
    <cellStyle name="Обычный 4 2 2 9 6" xfId="27857" xr:uid="{00000000-0005-0000-0000-0000E8210000}"/>
    <cellStyle name="Обычный 4 2 2 9 7" xfId="33197" xr:uid="{00000000-0005-0000-0000-0000E9210000}"/>
    <cellStyle name="Обычный 4 2 2 9 8" xfId="38537" xr:uid="{00000000-0005-0000-0000-0000EA210000}"/>
    <cellStyle name="Обычный 4 2 2 9 9" xfId="43877" xr:uid="{00000000-0005-0000-0000-0000EB210000}"/>
    <cellStyle name="Обычный 4 2 2 90" xfId="3518" xr:uid="{00000000-0005-0000-0000-0000EC210000}"/>
    <cellStyle name="Обычный 4 2 2 90 10" xfId="51581" xr:uid="{00000000-0005-0000-0000-0000ED210000}"/>
    <cellStyle name="Обычный 4 2 2 90 2" xfId="8861" xr:uid="{00000000-0005-0000-0000-0000EE210000}"/>
    <cellStyle name="Обычный 4 2 2 90 2 2" xfId="56922" xr:uid="{00000000-0005-0000-0000-0000EF210000}"/>
    <cellStyle name="Обычный 4 2 2 90 3" xfId="14201" xr:uid="{00000000-0005-0000-0000-0000F0210000}"/>
    <cellStyle name="Обычный 4 2 2 90 4" xfId="19541" xr:uid="{00000000-0005-0000-0000-0000F1210000}"/>
    <cellStyle name="Обычный 4 2 2 90 5" xfId="24881" xr:uid="{00000000-0005-0000-0000-0000F2210000}"/>
    <cellStyle name="Обычный 4 2 2 90 6" xfId="30221" xr:uid="{00000000-0005-0000-0000-0000F3210000}"/>
    <cellStyle name="Обычный 4 2 2 90 7" xfId="35561" xr:uid="{00000000-0005-0000-0000-0000F4210000}"/>
    <cellStyle name="Обычный 4 2 2 90 8" xfId="40901" xr:uid="{00000000-0005-0000-0000-0000F5210000}"/>
    <cellStyle name="Обычный 4 2 2 90 9" xfId="46241" xr:uid="{00000000-0005-0000-0000-0000F6210000}"/>
    <cellStyle name="Обычный 4 2 2 91" xfId="3550" xr:uid="{00000000-0005-0000-0000-0000F7210000}"/>
    <cellStyle name="Обычный 4 2 2 91 10" xfId="51613" xr:uid="{00000000-0005-0000-0000-0000F8210000}"/>
    <cellStyle name="Обычный 4 2 2 91 2" xfId="8893" xr:uid="{00000000-0005-0000-0000-0000F9210000}"/>
    <cellStyle name="Обычный 4 2 2 91 2 2" xfId="56954" xr:uid="{00000000-0005-0000-0000-0000FA210000}"/>
    <cellStyle name="Обычный 4 2 2 91 3" xfId="14233" xr:uid="{00000000-0005-0000-0000-0000FB210000}"/>
    <cellStyle name="Обычный 4 2 2 91 4" xfId="19573" xr:uid="{00000000-0005-0000-0000-0000FC210000}"/>
    <cellStyle name="Обычный 4 2 2 91 5" xfId="24913" xr:uid="{00000000-0005-0000-0000-0000FD210000}"/>
    <cellStyle name="Обычный 4 2 2 91 6" xfId="30253" xr:uid="{00000000-0005-0000-0000-0000FE210000}"/>
    <cellStyle name="Обычный 4 2 2 91 7" xfId="35593" xr:uid="{00000000-0005-0000-0000-0000FF210000}"/>
    <cellStyle name="Обычный 4 2 2 91 8" xfId="40933" xr:uid="{00000000-0005-0000-0000-000000220000}"/>
    <cellStyle name="Обычный 4 2 2 91 9" xfId="46273" xr:uid="{00000000-0005-0000-0000-000001220000}"/>
    <cellStyle name="Обычный 4 2 2 92" xfId="3582" xr:uid="{00000000-0005-0000-0000-000002220000}"/>
    <cellStyle name="Обычный 4 2 2 92 10" xfId="51645" xr:uid="{00000000-0005-0000-0000-000003220000}"/>
    <cellStyle name="Обычный 4 2 2 92 2" xfId="8925" xr:uid="{00000000-0005-0000-0000-000004220000}"/>
    <cellStyle name="Обычный 4 2 2 92 2 2" xfId="56986" xr:uid="{00000000-0005-0000-0000-000005220000}"/>
    <cellStyle name="Обычный 4 2 2 92 3" xfId="14265" xr:uid="{00000000-0005-0000-0000-000006220000}"/>
    <cellStyle name="Обычный 4 2 2 92 4" xfId="19605" xr:uid="{00000000-0005-0000-0000-000007220000}"/>
    <cellStyle name="Обычный 4 2 2 92 5" xfId="24945" xr:uid="{00000000-0005-0000-0000-000008220000}"/>
    <cellStyle name="Обычный 4 2 2 92 6" xfId="30285" xr:uid="{00000000-0005-0000-0000-000009220000}"/>
    <cellStyle name="Обычный 4 2 2 92 7" xfId="35625" xr:uid="{00000000-0005-0000-0000-00000A220000}"/>
    <cellStyle name="Обычный 4 2 2 92 8" xfId="40965" xr:uid="{00000000-0005-0000-0000-00000B220000}"/>
    <cellStyle name="Обычный 4 2 2 92 9" xfId="46305" xr:uid="{00000000-0005-0000-0000-00000C220000}"/>
    <cellStyle name="Обычный 4 2 2 93" xfId="3614" xr:uid="{00000000-0005-0000-0000-00000D220000}"/>
    <cellStyle name="Обычный 4 2 2 93 10" xfId="51677" xr:uid="{00000000-0005-0000-0000-00000E220000}"/>
    <cellStyle name="Обычный 4 2 2 93 2" xfId="8957" xr:uid="{00000000-0005-0000-0000-00000F220000}"/>
    <cellStyle name="Обычный 4 2 2 93 2 2" xfId="57018" xr:uid="{00000000-0005-0000-0000-000010220000}"/>
    <cellStyle name="Обычный 4 2 2 93 3" xfId="14297" xr:uid="{00000000-0005-0000-0000-000011220000}"/>
    <cellStyle name="Обычный 4 2 2 93 4" xfId="19637" xr:uid="{00000000-0005-0000-0000-000012220000}"/>
    <cellStyle name="Обычный 4 2 2 93 5" xfId="24977" xr:uid="{00000000-0005-0000-0000-000013220000}"/>
    <cellStyle name="Обычный 4 2 2 93 6" xfId="30317" xr:uid="{00000000-0005-0000-0000-000014220000}"/>
    <cellStyle name="Обычный 4 2 2 93 7" xfId="35657" xr:uid="{00000000-0005-0000-0000-000015220000}"/>
    <cellStyle name="Обычный 4 2 2 93 8" xfId="40997" xr:uid="{00000000-0005-0000-0000-000016220000}"/>
    <cellStyle name="Обычный 4 2 2 93 9" xfId="46337" xr:uid="{00000000-0005-0000-0000-000017220000}"/>
    <cellStyle name="Обычный 4 2 2 94" xfId="3646" xr:uid="{00000000-0005-0000-0000-000018220000}"/>
    <cellStyle name="Обычный 4 2 2 94 10" xfId="51709" xr:uid="{00000000-0005-0000-0000-000019220000}"/>
    <cellStyle name="Обычный 4 2 2 94 2" xfId="8989" xr:uid="{00000000-0005-0000-0000-00001A220000}"/>
    <cellStyle name="Обычный 4 2 2 94 2 2" xfId="57050" xr:uid="{00000000-0005-0000-0000-00001B220000}"/>
    <cellStyle name="Обычный 4 2 2 94 3" xfId="14329" xr:uid="{00000000-0005-0000-0000-00001C220000}"/>
    <cellStyle name="Обычный 4 2 2 94 4" xfId="19669" xr:uid="{00000000-0005-0000-0000-00001D220000}"/>
    <cellStyle name="Обычный 4 2 2 94 5" xfId="25009" xr:uid="{00000000-0005-0000-0000-00001E220000}"/>
    <cellStyle name="Обычный 4 2 2 94 6" xfId="30349" xr:uid="{00000000-0005-0000-0000-00001F220000}"/>
    <cellStyle name="Обычный 4 2 2 94 7" xfId="35689" xr:uid="{00000000-0005-0000-0000-000020220000}"/>
    <cellStyle name="Обычный 4 2 2 94 8" xfId="41029" xr:uid="{00000000-0005-0000-0000-000021220000}"/>
    <cellStyle name="Обычный 4 2 2 94 9" xfId="46369" xr:uid="{00000000-0005-0000-0000-000022220000}"/>
    <cellStyle name="Обычный 4 2 2 95" xfId="3678" xr:uid="{00000000-0005-0000-0000-000023220000}"/>
    <cellStyle name="Обычный 4 2 2 95 10" xfId="51741" xr:uid="{00000000-0005-0000-0000-000024220000}"/>
    <cellStyle name="Обычный 4 2 2 95 2" xfId="9021" xr:uid="{00000000-0005-0000-0000-000025220000}"/>
    <cellStyle name="Обычный 4 2 2 95 2 2" xfId="57082" xr:uid="{00000000-0005-0000-0000-000026220000}"/>
    <cellStyle name="Обычный 4 2 2 95 3" xfId="14361" xr:uid="{00000000-0005-0000-0000-000027220000}"/>
    <cellStyle name="Обычный 4 2 2 95 4" xfId="19701" xr:uid="{00000000-0005-0000-0000-000028220000}"/>
    <cellStyle name="Обычный 4 2 2 95 5" xfId="25041" xr:uid="{00000000-0005-0000-0000-000029220000}"/>
    <cellStyle name="Обычный 4 2 2 95 6" xfId="30381" xr:uid="{00000000-0005-0000-0000-00002A220000}"/>
    <cellStyle name="Обычный 4 2 2 95 7" xfId="35721" xr:uid="{00000000-0005-0000-0000-00002B220000}"/>
    <cellStyle name="Обычный 4 2 2 95 8" xfId="41061" xr:uid="{00000000-0005-0000-0000-00002C220000}"/>
    <cellStyle name="Обычный 4 2 2 95 9" xfId="46401" xr:uid="{00000000-0005-0000-0000-00002D220000}"/>
    <cellStyle name="Обычный 4 2 2 96" xfId="3710" xr:uid="{00000000-0005-0000-0000-00002E220000}"/>
    <cellStyle name="Обычный 4 2 2 96 10" xfId="51773" xr:uid="{00000000-0005-0000-0000-00002F220000}"/>
    <cellStyle name="Обычный 4 2 2 96 2" xfId="9053" xr:uid="{00000000-0005-0000-0000-000030220000}"/>
    <cellStyle name="Обычный 4 2 2 96 2 2" xfId="57114" xr:uid="{00000000-0005-0000-0000-000031220000}"/>
    <cellStyle name="Обычный 4 2 2 96 3" xfId="14393" xr:uid="{00000000-0005-0000-0000-000032220000}"/>
    <cellStyle name="Обычный 4 2 2 96 4" xfId="19733" xr:uid="{00000000-0005-0000-0000-000033220000}"/>
    <cellStyle name="Обычный 4 2 2 96 5" xfId="25073" xr:uid="{00000000-0005-0000-0000-000034220000}"/>
    <cellStyle name="Обычный 4 2 2 96 6" xfId="30413" xr:uid="{00000000-0005-0000-0000-000035220000}"/>
    <cellStyle name="Обычный 4 2 2 96 7" xfId="35753" xr:uid="{00000000-0005-0000-0000-000036220000}"/>
    <cellStyle name="Обычный 4 2 2 96 8" xfId="41093" xr:uid="{00000000-0005-0000-0000-000037220000}"/>
    <cellStyle name="Обычный 4 2 2 96 9" xfId="46433" xr:uid="{00000000-0005-0000-0000-000038220000}"/>
    <cellStyle name="Обычный 4 2 2 97" xfId="3742" xr:uid="{00000000-0005-0000-0000-000039220000}"/>
    <cellStyle name="Обычный 4 2 2 97 10" xfId="51805" xr:uid="{00000000-0005-0000-0000-00003A220000}"/>
    <cellStyle name="Обычный 4 2 2 97 2" xfId="9085" xr:uid="{00000000-0005-0000-0000-00003B220000}"/>
    <cellStyle name="Обычный 4 2 2 97 2 2" xfId="57146" xr:uid="{00000000-0005-0000-0000-00003C220000}"/>
    <cellStyle name="Обычный 4 2 2 97 3" xfId="14425" xr:uid="{00000000-0005-0000-0000-00003D220000}"/>
    <cellStyle name="Обычный 4 2 2 97 4" xfId="19765" xr:uid="{00000000-0005-0000-0000-00003E220000}"/>
    <cellStyle name="Обычный 4 2 2 97 5" xfId="25105" xr:uid="{00000000-0005-0000-0000-00003F220000}"/>
    <cellStyle name="Обычный 4 2 2 97 6" xfId="30445" xr:uid="{00000000-0005-0000-0000-000040220000}"/>
    <cellStyle name="Обычный 4 2 2 97 7" xfId="35785" xr:uid="{00000000-0005-0000-0000-000041220000}"/>
    <cellStyle name="Обычный 4 2 2 97 8" xfId="41125" xr:uid="{00000000-0005-0000-0000-000042220000}"/>
    <cellStyle name="Обычный 4 2 2 97 9" xfId="46465" xr:uid="{00000000-0005-0000-0000-000043220000}"/>
    <cellStyle name="Обычный 4 2 2 98" xfId="3774" xr:uid="{00000000-0005-0000-0000-000044220000}"/>
    <cellStyle name="Обычный 4 2 2 98 10" xfId="51837" xr:uid="{00000000-0005-0000-0000-000045220000}"/>
    <cellStyle name="Обычный 4 2 2 98 2" xfId="9117" xr:uid="{00000000-0005-0000-0000-000046220000}"/>
    <cellStyle name="Обычный 4 2 2 98 2 2" xfId="57178" xr:uid="{00000000-0005-0000-0000-000047220000}"/>
    <cellStyle name="Обычный 4 2 2 98 3" xfId="14457" xr:uid="{00000000-0005-0000-0000-000048220000}"/>
    <cellStyle name="Обычный 4 2 2 98 4" xfId="19797" xr:uid="{00000000-0005-0000-0000-000049220000}"/>
    <cellStyle name="Обычный 4 2 2 98 5" xfId="25137" xr:uid="{00000000-0005-0000-0000-00004A220000}"/>
    <cellStyle name="Обычный 4 2 2 98 6" xfId="30477" xr:uid="{00000000-0005-0000-0000-00004B220000}"/>
    <cellStyle name="Обычный 4 2 2 98 7" xfId="35817" xr:uid="{00000000-0005-0000-0000-00004C220000}"/>
    <cellStyle name="Обычный 4 2 2 98 8" xfId="41157" xr:uid="{00000000-0005-0000-0000-00004D220000}"/>
    <cellStyle name="Обычный 4 2 2 98 9" xfId="46497" xr:uid="{00000000-0005-0000-0000-00004E220000}"/>
    <cellStyle name="Обычный 4 2 2 99" xfId="3806" xr:uid="{00000000-0005-0000-0000-00004F220000}"/>
    <cellStyle name="Обычный 4 2 2 99 10" xfId="51869" xr:uid="{00000000-0005-0000-0000-000050220000}"/>
    <cellStyle name="Обычный 4 2 2 99 2" xfId="9149" xr:uid="{00000000-0005-0000-0000-000051220000}"/>
    <cellStyle name="Обычный 4 2 2 99 2 2" xfId="57210" xr:uid="{00000000-0005-0000-0000-000052220000}"/>
    <cellStyle name="Обычный 4 2 2 99 3" xfId="14489" xr:uid="{00000000-0005-0000-0000-000053220000}"/>
    <cellStyle name="Обычный 4 2 2 99 4" xfId="19829" xr:uid="{00000000-0005-0000-0000-000054220000}"/>
    <cellStyle name="Обычный 4 2 2 99 5" xfId="25169" xr:uid="{00000000-0005-0000-0000-000055220000}"/>
    <cellStyle name="Обычный 4 2 2 99 6" xfId="30509" xr:uid="{00000000-0005-0000-0000-000056220000}"/>
    <cellStyle name="Обычный 4 2 2 99 7" xfId="35849" xr:uid="{00000000-0005-0000-0000-000057220000}"/>
    <cellStyle name="Обычный 4 2 2 99 8" xfId="41189" xr:uid="{00000000-0005-0000-0000-000058220000}"/>
    <cellStyle name="Обычный 4 2 2 99 9" xfId="46529" xr:uid="{00000000-0005-0000-0000-000059220000}"/>
    <cellStyle name="Обычный 4 2 20" xfId="276" xr:uid="{00000000-0005-0000-0000-00005A220000}"/>
    <cellStyle name="Обычный 4 2 20 10" xfId="42998" xr:uid="{00000000-0005-0000-0000-00005B220000}"/>
    <cellStyle name="Обычный 4 2 20 11" xfId="48338" xr:uid="{00000000-0005-0000-0000-00005C220000}"/>
    <cellStyle name="Обычный 4 2 20 2" xfId="743" xr:uid="{00000000-0005-0000-0000-00005D220000}"/>
    <cellStyle name="Обычный 4 2 20 2 10" xfId="48805" xr:uid="{00000000-0005-0000-0000-00005E220000}"/>
    <cellStyle name="Обычный 4 2 20 2 2" xfId="6084" xr:uid="{00000000-0005-0000-0000-00005F220000}"/>
    <cellStyle name="Обычный 4 2 20 2 2 2" xfId="54146" xr:uid="{00000000-0005-0000-0000-000060220000}"/>
    <cellStyle name="Обычный 4 2 20 2 3" xfId="11425" xr:uid="{00000000-0005-0000-0000-000061220000}"/>
    <cellStyle name="Обычный 4 2 20 2 4" xfId="16765" xr:uid="{00000000-0005-0000-0000-000062220000}"/>
    <cellStyle name="Обычный 4 2 20 2 5" xfId="22105" xr:uid="{00000000-0005-0000-0000-000063220000}"/>
    <cellStyle name="Обычный 4 2 20 2 6" xfId="27445" xr:uid="{00000000-0005-0000-0000-000064220000}"/>
    <cellStyle name="Обычный 4 2 20 2 7" xfId="32785" xr:uid="{00000000-0005-0000-0000-000065220000}"/>
    <cellStyle name="Обычный 4 2 20 2 8" xfId="38125" xr:uid="{00000000-0005-0000-0000-000066220000}"/>
    <cellStyle name="Обычный 4 2 20 2 9" xfId="43465" xr:uid="{00000000-0005-0000-0000-000067220000}"/>
    <cellStyle name="Обычный 4 2 20 3" xfId="5617" xr:uid="{00000000-0005-0000-0000-000068220000}"/>
    <cellStyle name="Обычный 4 2 20 3 2" xfId="53679" xr:uid="{00000000-0005-0000-0000-000069220000}"/>
    <cellStyle name="Обычный 4 2 20 4" xfId="10958" xr:uid="{00000000-0005-0000-0000-00006A220000}"/>
    <cellStyle name="Обычный 4 2 20 5" xfId="16298" xr:uid="{00000000-0005-0000-0000-00006B220000}"/>
    <cellStyle name="Обычный 4 2 20 6" xfId="21638" xr:uid="{00000000-0005-0000-0000-00006C220000}"/>
    <cellStyle name="Обычный 4 2 20 7" xfId="26978" xr:uid="{00000000-0005-0000-0000-00006D220000}"/>
    <cellStyle name="Обычный 4 2 20 8" xfId="32318" xr:uid="{00000000-0005-0000-0000-00006E220000}"/>
    <cellStyle name="Обычный 4 2 20 9" xfId="37658" xr:uid="{00000000-0005-0000-0000-00006F220000}"/>
    <cellStyle name="Обычный 4 2 21" xfId="286" xr:uid="{00000000-0005-0000-0000-000070220000}"/>
    <cellStyle name="Обычный 4 2 21 10" xfId="43008" xr:uid="{00000000-0005-0000-0000-000071220000}"/>
    <cellStyle name="Обычный 4 2 21 11" xfId="48348" xr:uid="{00000000-0005-0000-0000-000072220000}"/>
    <cellStyle name="Обычный 4 2 21 2" xfId="753" xr:uid="{00000000-0005-0000-0000-000073220000}"/>
    <cellStyle name="Обычный 4 2 21 2 10" xfId="48815" xr:uid="{00000000-0005-0000-0000-000074220000}"/>
    <cellStyle name="Обычный 4 2 21 2 2" xfId="6094" xr:uid="{00000000-0005-0000-0000-000075220000}"/>
    <cellStyle name="Обычный 4 2 21 2 2 2" xfId="54156" xr:uid="{00000000-0005-0000-0000-000076220000}"/>
    <cellStyle name="Обычный 4 2 21 2 3" xfId="11435" xr:uid="{00000000-0005-0000-0000-000077220000}"/>
    <cellStyle name="Обычный 4 2 21 2 4" xfId="16775" xr:uid="{00000000-0005-0000-0000-000078220000}"/>
    <cellStyle name="Обычный 4 2 21 2 5" xfId="22115" xr:uid="{00000000-0005-0000-0000-000079220000}"/>
    <cellStyle name="Обычный 4 2 21 2 6" xfId="27455" xr:uid="{00000000-0005-0000-0000-00007A220000}"/>
    <cellStyle name="Обычный 4 2 21 2 7" xfId="32795" xr:uid="{00000000-0005-0000-0000-00007B220000}"/>
    <cellStyle name="Обычный 4 2 21 2 8" xfId="38135" xr:uid="{00000000-0005-0000-0000-00007C220000}"/>
    <cellStyle name="Обычный 4 2 21 2 9" xfId="43475" xr:uid="{00000000-0005-0000-0000-00007D220000}"/>
    <cellStyle name="Обычный 4 2 21 3" xfId="5627" xr:uid="{00000000-0005-0000-0000-00007E220000}"/>
    <cellStyle name="Обычный 4 2 21 3 2" xfId="53689" xr:uid="{00000000-0005-0000-0000-00007F220000}"/>
    <cellStyle name="Обычный 4 2 21 4" xfId="10968" xr:uid="{00000000-0005-0000-0000-000080220000}"/>
    <cellStyle name="Обычный 4 2 21 5" xfId="16308" xr:uid="{00000000-0005-0000-0000-000081220000}"/>
    <cellStyle name="Обычный 4 2 21 6" xfId="21648" xr:uid="{00000000-0005-0000-0000-000082220000}"/>
    <cellStyle name="Обычный 4 2 21 7" xfId="26988" xr:uid="{00000000-0005-0000-0000-000083220000}"/>
    <cellStyle name="Обычный 4 2 21 8" xfId="32328" xr:uid="{00000000-0005-0000-0000-000084220000}"/>
    <cellStyle name="Обычный 4 2 21 9" xfId="37668" xr:uid="{00000000-0005-0000-0000-000085220000}"/>
    <cellStyle name="Обычный 4 2 22" xfId="296" xr:uid="{00000000-0005-0000-0000-000086220000}"/>
    <cellStyle name="Обычный 4 2 22 10" xfId="43018" xr:uid="{00000000-0005-0000-0000-000087220000}"/>
    <cellStyle name="Обычный 4 2 22 11" xfId="48358" xr:uid="{00000000-0005-0000-0000-000088220000}"/>
    <cellStyle name="Обычный 4 2 22 2" xfId="763" xr:uid="{00000000-0005-0000-0000-000089220000}"/>
    <cellStyle name="Обычный 4 2 22 2 10" xfId="48825" xr:uid="{00000000-0005-0000-0000-00008A220000}"/>
    <cellStyle name="Обычный 4 2 22 2 2" xfId="6104" xr:uid="{00000000-0005-0000-0000-00008B220000}"/>
    <cellStyle name="Обычный 4 2 22 2 2 2" xfId="54166" xr:uid="{00000000-0005-0000-0000-00008C220000}"/>
    <cellStyle name="Обычный 4 2 22 2 3" xfId="11445" xr:uid="{00000000-0005-0000-0000-00008D220000}"/>
    <cellStyle name="Обычный 4 2 22 2 4" xfId="16785" xr:uid="{00000000-0005-0000-0000-00008E220000}"/>
    <cellStyle name="Обычный 4 2 22 2 5" xfId="22125" xr:uid="{00000000-0005-0000-0000-00008F220000}"/>
    <cellStyle name="Обычный 4 2 22 2 6" xfId="27465" xr:uid="{00000000-0005-0000-0000-000090220000}"/>
    <cellStyle name="Обычный 4 2 22 2 7" xfId="32805" xr:uid="{00000000-0005-0000-0000-000091220000}"/>
    <cellStyle name="Обычный 4 2 22 2 8" xfId="38145" xr:uid="{00000000-0005-0000-0000-000092220000}"/>
    <cellStyle name="Обычный 4 2 22 2 9" xfId="43485" xr:uid="{00000000-0005-0000-0000-000093220000}"/>
    <cellStyle name="Обычный 4 2 22 3" xfId="5637" xr:uid="{00000000-0005-0000-0000-000094220000}"/>
    <cellStyle name="Обычный 4 2 22 3 2" xfId="53699" xr:uid="{00000000-0005-0000-0000-000095220000}"/>
    <cellStyle name="Обычный 4 2 22 4" xfId="10978" xr:uid="{00000000-0005-0000-0000-000096220000}"/>
    <cellStyle name="Обычный 4 2 22 5" xfId="16318" xr:uid="{00000000-0005-0000-0000-000097220000}"/>
    <cellStyle name="Обычный 4 2 22 6" xfId="21658" xr:uid="{00000000-0005-0000-0000-000098220000}"/>
    <cellStyle name="Обычный 4 2 22 7" xfId="26998" xr:uid="{00000000-0005-0000-0000-000099220000}"/>
    <cellStyle name="Обычный 4 2 22 8" xfId="32338" xr:uid="{00000000-0005-0000-0000-00009A220000}"/>
    <cellStyle name="Обычный 4 2 22 9" xfId="37678" xr:uid="{00000000-0005-0000-0000-00009B220000}"/>
    <cellStyle name="Обычный 4 2 23" xfId="306" xr:uid="{00000000-0005-0000-0000-00009C220000}"/>
    <cellStyle name="Обычный 4 2 23 10" xfId="43028" xr:uid="{00000000-0005-0000-0000-00009D220000}"/>
    <cellStyle name="Обычный 4 2 23 11" xfId="48368" xr:uid="{00000000-0005-0000-0000-00009E220000}"/>
    <cellStyle name="Обычный 4 2 23 2" xfId="773" xr:uid="{00000000-0005-0000-0000-00009F220000}"/>
    <cellStyle name="Обычный 4 2 23 2 10" xfId="48835" xr:uid="{00000000-0005-0000-0000-0000A0220000}"/>
    <cellStyle name="Обычный 4 2 23 2 2" xfId="6114" xr:uid="{00000000-0005-0000-0000-0000A1220000}"/>
    <cellStyle name="Обычный 4 2 23 2 2 2" xfId="54176" xr:uid="{00000000-0005-0000-0000-0000A2220000}"/>
    <cellStyle name="Обычный 4 2 23 2 3" xfId="11455" xr:uid="{00000000-0005-0000-0000-0000A3220000}"/>
    <cellStyle name="Обычный 4 2 23 2 4" xfId="16795" xr:uid="{00000000-0005-0000-0000-0000A4220000}"/>
    <cellStyle name="Обычный 4 2 23 2 5" xfId="22135" xr:uid="{00000000-0005-0000-0000-0000A5220000}"/>
    <cellStyle name="Обычный 4 2 23 2 6" xfId="27475" xr:uid="{00000000-0005-0000-0000-0000A6220000}"/>
    <cellStyle name="Обычный 4 2 23 2 7" xfId="32815" xr:uid="{00000000-0005-0000-0000-0000A7220000}"/>
    <cellStyle name="Обычный 4 2 23 2 8" xfId="38155" xr:uid="{00000000-0005-0000-0000-0000A8220000}"/>
    <cellStyle name="Обычный 4 2 23 2 9" xfId="43495" xr:uid="{00000000-0005-0000-0000-0000A9220000}"/>
    <cellStyle name="Обычный 4 2 23 3" xfId="5647" xr:uid="{00000000-0005-0000-0000-0000AA220000}"/>
    <cellStyle name="Обычный 4 2 23 3 2" xfId="53709" xr:uid="{00000000-0005-0000-0000-0000AB220000}"/>
    <cellStyle name="Обычный 4 2 23 4" xfId="10988" xr:uid="{00000000-0005-0000-0000-0000AC220000}"/>
    <cellStyle name="Обычный 4 2 23 5" xfId="16328" xr:uid="{00000000-0005-0000-0000-0000AD220000}"/>
    <cellStyle name="Обычный 4 2 23 6" xfId="21668" xr:uid="{00000000-0005-0000-0000-0000AE220000}"/>
    <cellStyle name="Обычный 4 2 23 7" xfId="27008" xr:uid="{00000000-0005-0000-0000-0000AF220000}"/>
    <cellStyle name="Обычный 4 2 23 8" xfId="32348" xr:uid="{00000000-0005-0000-0000-0000B0220000}"/>
    <cellStyle name="Обычный 4 2 23 9" xfId="37688" xr:uid="{00000000-0005-0000-0000-0000B1220000}"/>
    <cellStyle name="Обычный 4 2 24" xfId="316" xr:uid="{00000000-0005-0000-0000-0000B2220000}"/>
    <cellStyle name="Обычный 4 2 24 10" xfId="43038" xr:uid="{00000000-0005-0000-0000-0000B3220000}"/>
    <cellStyle name="Обычный 4 2 24 11" xfId="48378" xr:uid="{00000000-0005-0000-0000-0000B4220000}"/>
    <cellStyle name="Обычный 4 2 24 2" xfId="783" xr:uid="{00000000-0005-0000-0000-0000B5220000}"/>
    <cellStyle name="Обычный 4 2 24 2 10" xfId="48845" xr:uid="{00000000-0005-0000-0000-0000B6220000}"/>
    <cellStyle name="Обычный 4 2 24 2 2" xfId="6124" xr:uid="{00000000-0005-0000-0000-0000B7220000}"/>
    <cellStyle name="Обычный 4 2 24 2 2 2" xfId="54186" xr:uid="{00000000-0005-0000-0000-0000B8220000}"/>
    <cellStyle name="Обычный 4 2 24 2 3" xfId="11465" xr:uid="{00000000-0005-0000-0000-0000B9220000}"/>
    <cellStyle name="Обычный 4 2 24 2 4" xfId="16805" xr:uid="{00000000-0005-0000-0000-0000BA220000}"/>
    <cellStyle name="Обычный 4 2 24 2 5" xfId="22145" xr:uid="{00000000-0005-0000-0000-0000BB220000}"/>
    <cellStyle name="Обычный 4 2 24 2 6" xfId="27485" xr:uid="{00000000-0005-0000-0000-0000BC220000}"/>
    <cellStyle name="Обычный 4 2 24 2 7" xfId="32825" xr:uid="{00000000-0005-0000-0000-0000BD220000}"/>
    <cellStyle name="Обычный 4 2 24 2 8" xfId="38165" xr:uid="{00000000-0005-0000-0000-0000BE220000}"/>
    <cellStyle name="Обычный 4 2 24 2 9" xfId="43505" xr:uid="{00000000-0005-0000-0000-0000BF220000}"/>
    <cellStyle name="Обычный 4 2 24 3" xfId="5657" xr:uid="{00000000-0005-0000-0000-0000C0220000}"/>
    <cellStyle name="Обычный 4 2 24 3 2" xfId="53719" xr:uid="{00000000-0005-0000-0000-0000C1220000}"/>
    <cellStyle name="Обычный 4 2 24 4" xfId="10998" xr:uid="{00000000-0005-0000-0000-0000C2220000}"/>
    <cellStyle name="Обычный 4 2 24 5" xfId="16338" xr:uid="{00000000-0005-0000-0000-0000C3220000}"/>
    <cellStyle name="Обычный 4 2 24 6" xfId="21678" xr:uid="{00000000-0005-0000-0000-0000C4220000}"/>
    <cellStyle name="Обычный 4 2 24 7" xfId="27018" xr:uid="{00000000-0005-0000-0000-0000C5220000}"/>
    <cellStyle name="Обычный 4 2 24 8" xfId="32358" xr:uid="{00000000-0005-0000-0000-0000C6220000}"/>
    <cellStyle name="Обычный 4 2 24 9" xfId="37698" xr:uid="{00000000-0005-0000-0000-0000C7220000}"/>
    <cellStyle name="Обычный 4 2 25" xfId="326" xr:uid="{00000000-0005-0000-0000-0000C8220000}"/>
    <cellStyle name="Обычный 4 2 25 10" xfId="43048" xr:uid="{00000000-0005-0000-0000-0000C9220000}"/>
    <cellStyle name="Обычный 4 2 25 11" xfId="48388" xr:uid="{00000000-0005-0000-0000-0000CA220000}"/>
    <cellStyle name="Обычный 4 2 25 2" xfId="793" xr:uid="{00000000-0005-0000-0000-0000CB220000}"/>
    <cellStyle name="Обычный 4 2 25 2 10" xfId="48855" xr:uid="{00000000-0005-0000-0000-0000CC220000}"/>
    <cellStyle name="Обычный 4 2 25 2 2" xfId="6134" xr:uid="{00000000-0005-0000-0000-0000CD220000}"/>
    <cellStyle name="Обычный 4 2 25 2 2 2" xfId="54196" xr:uid="{00000000-0005-0000-0000-0000CE220000}"/>
    <cellStyle name="Обычный 4 2 25 2 3" xfId="11475" xr:uid="{00000000-0005-0000-0000-0000CF220000}"/>
    <cellStyle name="Обычный 4 2 25 2 4" xfId="16815" xr:uid="{00000000-0005-0000-0000-0000D0220000}"/>
    <cellStyle name="Обычный 4 2 25 2 5" xfId="22155" xr:uid="{00000000-0005-0000-0000-0000D1220000}"/>
    <cellStyle name="Обычный 4 2 25 2 6" xfId="27495" xr:uid="{00000000-0005-0000-0000-0000D2220000}"/>
    <cellStyle name="Обычный 4 2 25 2 7" xfId="32835" xr:uid="{00000000-0005-0000-0000-0000D3220000}"/>
    <cellStyle name="Обычный 4 2 25 2 8" xfId="38175" xr:uid="{00000000-0005-0000-0000-0000D4220000}"/>
    <cellStyle name="Обычный 4 2 25 2 9" xfId="43515" xr:uid="{00000000-0005-0000-0000-0000D5220000}"/>
    <cellStyle name="Обычный 4 2 25 3" xfId="5667" xr:uid="{00000000-0005-0000-0000-0000D6220000}"/>
    <cellStyle name="Обычный 4 2 25 3 2" xfId="53729" xr:uid="{00000000-0005-0000-0000-0000D7220000}"/>
    <cellStyle name="Обычный 4 2 25 4" xfId="11008" xr:uid="{00000000-0005-0000-0000-0000D8220000}"/>
    <cellStyle name="Обычный 4 2 25 5" xfId="16348" xr:uid="{00000000-0005-0000-0000-0000D9220000}"/>
    <cellStyle name="Обычный 4 2 25 6" xfId="21688" xr:uid="{00000000-0005-0000-0000-0000DA220000}"/>
    <cellStyle name="Обычный 4 2 25 7" xfId="27028" xr:uid="{00000000-0005-0000-0000-0000DB220000}"/>
    <cellStyle name="Обычный 4 2 25 8" xfId="32368" xr:uid="{00000000-0005-0000-0000-0000DC220000}"/>
    <cellStyle name="Обычный 4 2 25 9" xfId="37708" xr:uid="{00000000-0005-0000-0000-0000DD220000}"/>
    <cellStyle name="Обычный 4 2 26" xfId="336" xr:uid="{00000000-0005-0000-0000-0000DE220000}"/>
    <cellStyle name="Обычный 4 2 26 10" xfId="43058" xr:uid="{00000000-0005-0000-0000-0000DF220000}"/>
    <cellStyle name="Обычный 4 2 26 11" xfId="48398" xr:uid="{00000000-0005-0000-0000-0000E0220000}"/>
    <cellStyle name="Обычный 4 2 26 2" xfId="803" xr:uid="{00000000-0005-0000-0000-0000E1220000}"/>
    <cellStyle name="Обычный 4 2 26 2 10" xfId="48865" xr:uid="{00000000-0005-0000-0000-0000E2220000}"/>
    <cellStyle name="Обычный 4 2 26 2 2" xfId="6144" xr:uid="{00000000-0005-0000-0000-0000E3220000}"/>
    <cellStyle name="Обычный 4 2 26 2 2 2" xfId="54206" xr:uid="{00000000-0005-0000-0000-0000E4220000}"/>
    <cellStyle name="Обычный 4 2 26 2 3" xfId="11485" xr:uid="{00000000-0005-0000-0000-0000E5220000}"/>
    <cellStyle name="Обычный 4 2 26 2 4" xfId="16825" xr:uid="{00000000-0005-0000-0000-0000E6220000}"/>
    <cellStyle name="Обычный 4 2 26 2 5" xfId="22165" xr:uid="{00000000-0005-0000-0000-0000E7220000}"/>
    <cellStyle name="Обычный 4 2 26 2 6" xfId="27505" xr:uid="{00000000-0005-0000-0000-0000E8220000}"/>
    <cellStyle name="Обычный 4 2 26 2 7" xfId="32845" xr:uid="{00000000-0005-0000-0000-0000E9220000}"/>
    <cellStyle name="Обычный 4 2 26 2 8" xfId="38185" xr:uid="{00000000-0005-0000-0000-0000EA220000}"/>
    <cellStyle name="Обычный 4 2 26 2 9" xfId="43525" xr:uid="{00000000-0005-0000-0000-0000EB220000}"/>
    <cellStyle name="Обычный 4 2 26 3" xfId="5677" xr:uid="{00000000-0005-0000-0000-0000EC220000}"/>
    <cellStyle name="Обычный 4 2 26 3 2" xfId="53739" xr:uid="{00000000-0005-0000-0000-0000ED220000}"/>
    <cellStyle name="Обычный 4 2 26 4" xfId="11018" xr:uid="{00000000-0005-0000-0000-0000EE220000}"/>
    <cellStyle name="Обычный 4 2 26 5" xfId="16358" xr:uid="{00000000-0005-0000-0000-0000EF220000}"/>
    <cellStyle name="Обычный 4 2 26 6" xfId="21698" xr:uid="{00000000-0005-0000-0000-0000F0220000}"/>
    <cellStyle name="Обычный 4 2 26 7" xfId="27038" xr:uid="{00000000-0005-0000-0000-0000F1220000}"/>
    <cellStyle name="Обычный 4 2 26 8" xfId="32378" xr:uid="{00000000-0005-0000-0000-0000F2220000}"/>
    <cellStyle name="Обычный 4 2 26 9" xfId="37718" xr:uid="{00000000-0005-0000-0000-0000F3220000}"/>
    <cellStyle name="Обычный 4 2 27" xfId="346" xr:uid="{00000000-0005-0000-0000-0000F4220000}"/>
    <cellStyle name="Обычный 4 2 27 10" xfId="43068" xr:uid="{00000000-0005-0000-0000-0000F5220000}"/>
    <cellStyle name="Обычный 4 2 27 11" xfId="48408" xr:uid="{00000000-0005-0000-0000-0000F6220000}"/>
    <cellStyle name="Обычный 4 2 27 2" xfId="813" xr:uid="{00000000-0005-0000-0000-0000F7220000}"/>
    <cellStyle name="Обычный 4 2 27 2 10" xfId="48875" xr:uid="{00000000-0005-0000-0000-0000F8220000}"/>
    <cellStyle name="Обычный 4 2 27 2 2" xfId="6154" xr:uid="{00000000-0005-0000-0000-0000F9220000}"/>
    <cellStyle name="Обычный 4 2 27 2 2 2" xfId="54216" xr:uid="{00000000-0005-0000-0000-0000FA220000}"/>
    <cellStyle name="Обычный 4 2 27 2 3" xfId="11495" xr:uid="{00000000-0005-0000-0000-0000FB220000}"/>
    <cellStyle name="Обычный 4 2 27 2 4" xfId="16835" xr:uid="{00000000-0005-0000-0000-0000FC220000}"/>
    <cellStyle name="Обычный 4 2 27 2 5" xfId="22175" xr:uid="{00000000-0005-0000-0000-0000FD220000}"/>
    <cellStyle name="Обычный 4 2 27 2 6" xfId="27515" xr:uid="{00000000-0005-0000-0000-0000FE220000}"/>
    <cellStyle name="Обычный 4 2 27 2 7" xfId="32855" xr:uid="{00000000-0005-0000-0000-0000FF220000}"/>
    <cellStyle name="Обычный 4 2 27 2 8" xfId="38195" xr:uid="{00000000-0005-0000-0000-000000230000}"/>
    <cellStyle name="Обычный 4 2 27 2 9" xfId="43535" xr:uid="{00000000-0005-0000-0000-000001230000}"/>
    <cellStyle name="Обычный 4 2 27 3" xfId="5687" xr:uid="{00000000-0005-0000-0000-000002230000}"/>
    <cellStyle name="Обычный 4 2 27 3 2" xfId="53749" xr:uid="{00000000-0005-0000-0000-000003230000}"/>
    <cellStyle name="Обычный 4 2 27 4" xfId="11028" xr:uid="{00000000-0005-0000-0000-000004230000}"/>
    <cellStyle name="Обычный 4 2 27 5" xfId="16368" xr:uid="{00000000-0005-0000-0000-000005230000}"/>
    <cellStyle name="Обычный 4 2 27 6" xfId="21708" xr:uid="{00000000-0005-0000-0000-000006230000}"/>
    <cellStyle name="Обычный 4 2 27 7" xfId="27048" xr:uid="{00000000-0005-0000-0000-000007230000}"/>
    <cellStyle name="Обычный 4 2 27 8" xfId="32388" xr:uid="{00000000-0005-0000-0000-000008230000}"/>
    <cellStyle name="Обычный 4 2 27 9" xfId="37728" xr:uid="{00000000-0005-0000-0000-000009230000}"/>
    <cellStyle name="Обычный 4 2 28" xfId="356" xr:uid="{00000000-0005-0000-0000-00000A230000}"/>
    <cellStyle name="Обычный 4 2 28 10" xfId="43078" xr:uid="{00000000-0005-0000-0000-00000B230000}"/>
    <cellStyle name="Обычный 4 2 28 11" xfId="48418" xr:uid="{00000000-0005-0000-0000-00000C230000}"/>
    <cellStyle name="Обычный 4 2 28 2" xfId="823" xr:uid="{00000000-0005-0000-0000-00000D230000}"/>
    <cellStyle name="Обычный 4 2 28 2 10" xfId="48885" xr:uid="{00000000-0005-0000-0000-00000E230000}"/>
    <cellStyle name="Обычный 4 2 28 2 2" xfId="6164" xr:uid="{00000000-0005-0000-0000-00000F230000}"/>
    <cellStyle name="Обычный 4 2 28 2 2 2" xfId="54226" xr:uid="{00000000-0005-0000-0000-000010230000}"/>
    <cellStyle name="Обычный 4 2 28 2 3" xfId="11505" xr:uid="{00000000-0005-0000-0000-000011230000}"/>
    <cellStyle name="Обычный 4 2 28 2 4" xfId="16845" xr:uid="{00000000-0005-0000-0000-000012230000}"/>
    <cellStyle name="Обычный 4 2 28 2 5" xfId="22185" xr:uid="{00000000-0005-0000-0000-000013230000}"/>
    <cellStyle name="Обычный 4 2 28 2 6" xfId="27525" xr:uid="{00000000-0005-0000-0000-000014230000}"/>
    <cellStyle name="Обычный 4 2 28 2 7" xfId="32865" xr:uid="{00000000-0005-0000-0000-000015230000}"/>
    <cellStyle name="Обычный 4 2 28 2 8" xfId="38205" xr:uid="{00000000-0005-0000-0000-000016230000}"/>
    <cellStyle name="Обычный 4 2 28 2 9" xfId="43545" xr:uid="{00000000-0005-0000-0000-000017230000}"/>
    <cellStyle name="Обычный 4 2 28 3" xfId="5697" xr:uid="{00000000-0005-0000-0000-000018230000}"/>
    <cellStyle name="Обычный 4 2 28 3 2" xfId="53759" xr:uid="{00000000-0005-0000-0000-000019230000}"/>
    <cellStyle name="Обычный 4 2 28 4" xfId="11038" xr:uid="{00000000-0005-0000-0000-00001A230000}"/>
    <cellStyle name="Обычный 4 2 28 5" xfId="16378" xr:uid="{00000000-0005-0000-0000-00001B230000}"/>
    <cellStyle name="Обычный 4 2 28 6" xfId="21718" xr:uid="{00000000-0005-0000-0000-00001C230000}"/>
    <cellStyle name="Обычный 4 2 28 7" xfId="27058" xr:uid="{00000000-0005-0000-0000-00001D230000}"/>
    <cellStyle name="Обычный 4 2 28 8" xfId="32398" xr:uid="{00000000-0005-0000-0000-00001E230000}"/>
    <cellStyle name="Обычный 4 2 28 9" xfId="37738" xr:uid="{00000000-0005-0000-0000-00001F230000}"/>
    <cellStyle name="Обычный 4 2 29" xfId="366" xr:uid="{00000000-0005-0000-0000-000020230000}"/>
    <cellStyle name="Обычный 4 2 29 10" xfId="43088" xr:uid="{00000000-0005-0000-0000-000021230000}"/>
    <cellStyle name="Обычный 4 2 29 11" xfId="48428" xr:uid="{00000000-0005-0000-0000-000022230000}"/>
    <cellStyle name="Обычный 4 2 29 2" xfId="833" xr:uid="{00000000-0005-0000-0000-000023230000}"/>
    <cellStyle name="Обычный 4 2 29 2 10" xfId="48895" xr:uid="{00000000-0005-0000-0000-000024230000}"/>
    <cellStyle name="Обычный 4 2 29 2 2" xfId="6174" xr:uid="{00000000-0005-0000-0000-000025230000}"/>
    <cellStyle name="Обычный 4 2 29 2 2 2" xfId="54236" xr:uid="{00000000-0005-0000-0000-000026230000}"/>
    <cellStyle name="Обычный 4 2 29 2 3" xfId="11515" xr:uid="{00000000-0005-0000-0000-000027230000}"/>
    <cellStyle name="Обычный 4 2 29 2 4" xfId="16855" xr:uid="{00000000-0005-0000-0000-000028230000}"/>
    <cellStyle name="Обычный 4 2 29 2 5" xfId="22195" xr:uid="{00000000-0005-0000-0000-000029230000}"/>
    <cellStyle name="Обычный 4 2 29 2 6" xfId="27535" xr:uid="{00000000-0005-0000-0000-00002A230000}"/>
    <cellStyle name="Обычный 4 2 29 2 7" xfId="32875" xr:uid="{00000000-0005-0000-0000-00002B230000}"/>
    <cellStyle name="Обычный 4 2 29 2 8" xfId="38215" xr:uid="{00000000-0005-0000-0000-00002C230000}"/>
    <cellStyle name="Обычный 4 2 29 2 9" xfId="43555" xr:uid="{00000000-0005-0000-0000-00002D230000}"/>
    <cellStyle name="Обычный 4 2 29 3" xfId="5707" xr:uid="{00000000-0005-0000-0000-00002E230000}"/>
    <cellStyle name="Обычный 4 2 29 3 2" xfId="53769" xr:uid="{00000000-0005-0000-0000-00002F230000}"/>
    <cellStyle name="Обычный 4 2 29 4" xfId="11048" xr:uid="{00000000-0005-0000-0000-000030230000}"/>
    <cellStyle name="Обычный 4 2 29 5" xfId="16388" xr:uid="{00000000-0005-0000-0000-000031230000}"/>
    <cellStyle name="Обычный 4 2 29 6" xfId="21728" xr:uid="{00000000-0005-0000-0000-000032230000}"/>
    <cellStyle name="Обычный 4 2 29 7" xfId="27068" xr:uid="{00000000-0005-0000-0000-000033230000}"/>
    <cellStyle name="Обычный 4 2 29 8" xfId="32408" xr:uid="{00000000-0005-0000-0000-000034230000}"/>
    <cellStyle name="Обычный 4 2 29 9" xfId="37748" xr:uid="{00000000-0005-0000-0000-000035230000}"/>
    <cellStyle name="Обычный 4 2 3" xfId="108" xr:uid="{00000000-0005-0000-0000-000036230000}"/>
    <cellStyle name="Обычный 4 2 3 10" xfId="42830" xr:uid="{00000000-0005-0000-0000-000037230000}"/>
    <cellStyle name="Обычный 4 2 3 11" xfId="48170" xr:uid="{00000000-0005-0000-0000-000038230000}"/>
    <cellStyle name="Обычный 4 2 3 2" xfId="575" xr:uid="{00000000-0005-0000-0000-000039230000}"/>
    <cellStyle name="Обычный 4 2 3 2 10" xfId="48637" xr:uid="{00000000-0005-0000-0000-00003A230000}"/>
    <cellStyle name="Обычный 4 2 3 2 2" xfId="5916" xr:uid="{00000000-0005-0000-0000-00003B230000}"/>
    <cellStyle name="Обычный 4 2 3 2 2 2" xfId="53978" xr:uid="{00000000-0005-0000-0000-00003C230000}"/>
    <cellStyle name="Обычный 4 2 3 2 3" xfId="11257" xr:uid="{00000000-0005-0000-0000-00003D230000}"/>
    <cellStyle name="Обычный 4 2 3 2 4" xfId="16597" xr:uid="{00000000-0005-0000-0000-00003E230000}"/>
    <cellStyle name="Обычный 4 2 3 2 5" xfId="21937" xr:uid="{00000000-0005-0000-0000-00003F230000}"/>
    <cellStyle name="Обычный 4 2 3 2 6" xfId="27277" xr:uid="{00000000-0005-0000-0000-000040230000}"/>
    <cellStyle name="Обычный 4 2 3 2 7" xfId="32617" xr:uid="{00000000-0005-0000-0000-000041230000}"/>
    <cellStyle name="Обычный 4 2 3 2 8" xfId="37957" xr:uid="{00000000-0005-0000-0000-000042230000}"/>
    <cellStyle name="Обычный 4 2 3 2 9" xfId="43297" xr:uid="{00000000-0005-0000-0000-000043230000}"/>
    <cellStyle name="Обычный 4 2 3 3" xfId="5449" xr:uid="{00000000-0005-0000-0000-000044230000}"/>
    <cellStyle name="Обычный 4 2 3 3 2" xfId="53511" xr:uid="{00000000-0005-0000-0000-000045230000}"/>
    <cellStyle name="Обычный 4 2 3 4" xfId="10790" xr:uid="{00000000-0005-0000-0000-000046230000}"/>
    <cellStyle name="Обычный 4 2 3 5" xfId="16130" xr:uid="{00000000-0005-0000-0000-000047230000}"/>
    <cellStyle name="Обычный 4 2 3 6" xfId="21470" xr:uid="{00000000-0005-0000-0000-000048230000}"/>
    <cellStyle name="Обычный 4 2 3 7" xfId="26810" xr:uid="{00000000-0005-0000-0000-000049230000}"/>
    <cellStyle name="Обычный 4 2 3 8" xfId="32150" xr:uid="{00000000-0005-0000-0000-00004A230000}"/>
    <cellStyle name="Обычный 4 2 3 9" xfId="37490" xr:uid="{00000000-0005-0000-0000-00004B230000}"/>
    <cellStyle name="Обычный 4 2 30" xfId="376" xr:uid="{00000000-0005-0000-0000-00004C230000}"/>
    <cellStyle name="Обычный 4 2 30 10" xfId="43098" xr:uid="{00000000-0005-0000-0000-00004D230000}"/>
    <cellStyle name="Обычный 4 2 30 11" xfId="48438" xr:uid="{00000000-0005-0000-0000-00004E230000}"/>
    <cellStyle name="Обычный 4 2 30 2" xfId="843" xr:uid="{00000000-0005-0000-0000-00004F230000}"/>
    <cellStyle name="Обычный 4 2 30 2 10" xfId="48905" xr:uid="{00000000-0005-0000-0000-000050230000}"/>
    <cellStyle name="Обычный 4 2 30 2 2" xfId="6184" xr:uid="{00000000-0005-0000-0000-000051230000}"/>
    <cellStyle name="Обычный 4 2 30 2 2 2" xfId="54246" xr:uid="{00000000-0005-0000-0000-000052230000}"/>
    <cellStyle name="Обычный 4 2 30 2 3" xfId="11525" xr:uid="{00000000-0005-0000-0000-000053230000}"/>
    <cellStyle name="Обычный 4 2 30 2 4" xfId="16865" xr:uid="{00000000-0005-0000-0000-000054230000}"/>
    <cellStyle name="Обычный 4 2 30 2 5" xfId="22205" xr:uid="{00000000-0005-0000-0000-000055230000}"/>
    <cellStyle name="Обычный 4 2 30 2 6" xfId="27545" xr:uid="{00000000-0005-0000-0000-000056230000}"/>
    <cellStyle name="Обычный 4 2 30 2 7" xfId="32885" xr:uid="{00000000-0005-0000-0000-000057230000}"/>
    <cellStyle name="Обычный 4 2 30 2 8" xfId="38225" xr:uid="{00000000-0005-0000-0000-000058230000}"/>
    <cellStyle name="Обычный 4 2 30 2 9" xfId="43565" xr:uid="{00000000-0005-0000-0000-000059230000}"/>
    <cellStyle name="Обычный 4 2 30 3" xfId="5717" xr:uid="{00000000-0005-0000-0000-00005A230000}"/>
    <cellStyle name="Обычный 4 2 30 3 2" xfId="53779" xr:uid="{00000000-0005-0000-0000-00005B230000}"/>
    <cellStyle name="Обычный 4 2 30 4" xfId="11058" xr:uid="{00000000-0005-0000-0000-00005C230000}"/>
    <cellStyle name="Обычный 4 2 30 5" xfId="16398" xr:uid="{00000000-0005-0000-0000-00005D230000}"/>
    <cellStyle name="Обычный 4 2 30 6" xfId="21738" xr:uid="{00000000-0005-0000-0000-00005E230000}"/>
    <cellStyle name="Обычный 4 2 30 7" xfId="27078" xr:uid="{00000000-0005-0000-0000-00005F230000}"/>
    <cellStyle name="Обычный 4 2 30 8" xfId="32418" xr:uid="{00000000-0005-0000-0000-000060230000}"/>
    <cellStyle name="Обычный 4 2 30 9" xfId="37758" xr:uid="{00000000-0005-0000-0000-000061230000}"/>
    <cellStyle name="Обычный 4 2 31" xfId="386" xr:uid="{00000000-0005-0000-0000-000062230000}"/>
    <cellStyle name="Обычный 4 2 31 10" xfId="43108" xr:uid="{00000000-0005-0000-0000-000063230000}"/>
    <cellStyle name="Обычный 4 2 31 11" xfId="48448" xr:uid="{00000000-0005-0000-0000-000064230000}"/>
    <cellStyle name="Обычный 4 2 31 2" xfId="853" xr:uid="{00000000-0005-0000-0000-000065230000}"/>
    <cellStyle name="Обычный 4 2 31 2 10" xfId="48915" xr:uid="{00000000-0005-0000-0000-000066230000}"/>
    <cellStyle name="Обычный 4 2 31 2 2" xfId="6194" xr:uid="{00000000-0005-0000-0000-000067230000}"/>
    <cellStyle name="Обычный 4 2 31 2 2 2" xfId="54256" xr:uid="{00000000-0005-0000-0000-000068230000}"/>
    <cellStyle name="Обычный 4 2 31 2 3" xfId="11535" xr:uid="{00000000-0005-0000-0000-000069230000}"/>
    <cellStyle name="Обычный 4 2 31 2 4" xfId="16875" xr:uid="{00000000-0005-0000-0000-00006A230000}"/>
    <cellStyle name="Обычный 4 2 31 2 5" xfId="22215" xr:uid="{00000000-0005-0000-0000-00006B230000}"/>
    <cellStyle name="Обычный 4 2 31 2 6" xfId="27555" xr:uid="{00000000-0005-0000-0000-00006C230000}"/>
    <cellStyle name="Обычный 4 2 31 2 7" xfId="32895" xr:uid="{00000000-0005-0000-0000-00006D230000}"/>
    <cellStyle name="Обычный 4 2 31 2 8" xfId="38235" xr:uid="{00000000-0005-0000-0000-00006E230000}"/>
    <cellStyle name="Обычный 4 2 31 2 9" xfId="43575" xr:uid="{00000000-0005-0000-0000-00006F230000}"/>
    <cellStyle name="Обычный 4 2 31 3" xfId="5727" xr:uid="{00000000-0005-0000-0000-000070230000}"/>
    <cellStyle name="Обычный 4 2 31 3 2" xfId="53789" xr:uid="{00000000-0005-0000-0000-000071230000}"/>
    <cellStyle name="Обычный 4 2 31 4" xfId="11068" xr:uid="{00000000-0005-0000-0000-000072230000}"/>
    <cellStyle name="Обычный 4 2 31 5" xfId="16408" xr:uid="{00000000-0005-0000-0000-000073230000}"/>
    <cellStyle name="Обычный 4 2 31 6" xfId="21748" xr:uid="{00000000-0005-0000-0000-000074230000}"/>
    <cellStyle name="Обычный 4 2 31 7" xfId="27088" xr:uid="{00000000-0005-0000-0000-000075230000}"/>
    <cellStyle name="Обычный 4 2 31 8" xfId="32428" xr:uid="{00000000-0005-0000-0000-000076230000}"/>
    <cellStyle name="Обычный 4 2 31 9" xfId="37768" xr:uid="{00000000-0005-0000-0000-000077230000}"/>
    <cellStyle name="Обычный 4 2 32" xfId="396" xr:uid="{00000000-0005-0000-0000-000078230000}"/>
    <cellStyle name="Обычный 4 2 32 10" xfId="43118" xr:uid="{00000000-0005-0000-0000-000079230000}"/>
    <cellStyle name="Обычный 4 2 32 11" xfId="48458" xr:uid="{00000000-0005-0000-0000-00007A230000}"/>
    <cellStyle name="Обычный 4 2 32 2" xfId="863" xr:uid="{00000000-0005-0000-0000-00007B230000}"/>
    <cellStyle name="Обычный 4 2 32 2 10" xfId="48925" xr:uid="{00000000-0005-0000-0000-00007C230000}"/>
    <cellStyle name="Обычный 4 2 32 2 2" xfId="6204" xr:uid="{00000000-0005-0000-0000-00007D230000}"/>
    <cellStyle name="Обычный 4 2 32 2 2 2" xfId="54266" xr:uid="{00000000-0005-0000-0000-00007E230000}"/>
    <cellStyle name="Обычный 4 2 32 2 3" xfId="11545" xr:uid="{00000000-0005-0000-0000-00007F230000}"/>
    <cellStyle name="Обычный 4 2 32 2 4" xfId="16885" xr:uid="{00000000-0005-0000-0000-000080230000}"/>
    <cellStyle name="Обычный 4 2 32 2 5" xfId="22225" xr:uid="{00000000-0005-0000-0000-000081230000}"/>
    <cellStyle name="Обычный 4 2 32 2 6" xfId="27565" xr:uid="{00000000-0005-0000-0000-000082230000}"/>
    <cellStyle name="Обычный 4 2 32 2 7" xfId="32905" xr:uid="{00000000-0005-0000-0000-000083230000}"/>
    <cellStyle name="Обычный 4 2 32 2 8" xfId="38245" xr:uid="{00000000-0005-0000-0000-000084230000}"/>
    <cellStyle name="Обычный 4 2 32 2 9" xfId="43585" xr:uid="{00000000-0005-0000-0000-000085230000}"/>
    <cellStyle name="Обычный 4 2 32 3" xfId="5737" xr:uid="{00000000-0005-0000-0000-000086230000}"/>
    <cellStyle name="Обычный 4 2 32 3 2" xfId="53799" xr:uid="{00000000-0005-0000-0000-000087230000}"/>
    <cellStyle name="Обычный 4 2 32 4" xfId="11078" xr:uid="{00000000-0005-0000-0000-000088230000}"/>
    <cellStyle name="Обычный 4 2 32 5" xfId="16418" xr:uid="{00000000-0005-0000-0000-000089230000}"/>
    <cellStyle name="Обычный 4 2 32 6" xfId="21758" xr:uid="{00000000-0005-0000-0000-00008A230000}"/>
    <cellStyle name="Обычный 4 2 32 7" xfId="27098" xr:uid="{00000000-0005-0000-0000-00008B230000}"/>
    <cellStyle name="Обычный 4 2 32 8" xfId="32438" xr:uid="{00000000-0005-0000-0000-00008C230000}"/>
    <cellStyle name="Обычный 4 2 32 9" xfId="37778" xr:uid="{00000000-0005-0000-0000-00008D230000}"/>
    <cellStyle name="Обычный 4 2 33" xfId="406" xr:uid="{00000000-0005-0000-0000-00008E230000}"/>
    <cellStyle name="Обычный 4 2 33 10" xfId="43128" xr:uid="{00000000-0005-0000-0000-00008F230000}"/>
    <cellStyle name="Обычный 4 2 33 11" xfId="48468" xr:uid="{00000000-0005-0000-0000-000090230000}"/>
    <cellStyle name="Обычный 4 2 33 2" xfId="873" xr:uid="{00000000-0005-0000-0000-000091230000}"/>
    <cellStyle name="Обычный 4 2 33 2 10" xfId="48935" xr:uid="{00000000-0005-0000-0000-000092230000}"/>
    <cellStyle name="Обычный 4 2 33 2 2" xfId="6214" xr:uid="{00000000-0005-0000-0000-000093230000}"/>
    <cellStyle name="Обычный 4 2 33 2 2 2" xfId="54276" xr:uid="{00000000-0005-0000-0000-000094230000}"/>
    <cellStyle name="Обычный 4 2 33 2 3" xfId="11555" xr:uid="{00000000-0005-0000-0000-000095230000}"/>
    <cellStyle name="Обычный 4 2 33 2 4" xfId="16895" xr:uid="{00000000-0005-0000-0000-000096230000}"/>
    <cellStyle name="Обычный 4 2 33 2 5" xfId="22235" xr:uid="{00000000-0005-0000-0000-000097230000}"/>
    <cellStyle name="Обычный 4 2 33 2 6" xfId="27575" xr:uid="{00000000-0005-0000-0000-000098230000}"/>
    <cellStyle name="Обычный 4 2 33 2 7" xfId="32915" xr:uid="{00000000-0005-0000-0000-000099230000}"/>
    <cellStyle name="Обычный 4 2 33 2 8" xfId="38255" xr:uid="{00000000-0005-0000-0000-00009A230000}"/>
    <cellStyle name="Обычный 4 2 33 2 9" xfId="43595" xr:uid="{00000000-0005-0000-0000-00009B230000}"/>
    <cellStyle name="Обычный 4 2 33 3" xfId="5747" xr:uid="{00000000-0005-0000-0000-00009C230000}"/>
    <cellStyle name="Обычный 4 2 33 3 2" xfId="53809" xr:uid="{00000000-0005-0000-0000-00009D230000}"/>
    <cellStyle name="Обычный 4 2 33 4" xfId="11088" xr:uid="{00000000-0005-0000-0000-00009E230000}"/>
    <cellStyle name="Обычный 4 2 33 5" xfId="16428" xr:uid="{00000000-0005-0000-0000-00009F230000}"/>
    <cellStyle name="Обычный 4 2 33 6" xfId="21768" xr:uid="{00000000-0005-0000-0000-0000A0230000}"/>
    <cellStyle name="Обычный 4 2 33 7" xfId="27108" xr:uid="{00000000-0005-0000-0000-0000A1230000}"/>
    <cellStyle name="Обычный 4 2 33 8" xfId="32448" xr:uid="{00000000-0005-0000-0000-0000A2230000}"/>
    <cellStyle name="Обычный 4 2 33 9" xfId="37788" xr:uid="{00000000-0005-0000-0000-0000A3230000}"/>
    <cellStyle name="Обычный 4 2 34" xfId="416" xr:uid="{00000000-0005-0000-0000-0000A4230000}"/>
    <cellStyle name="Обычный 4 2 34 10" xfId="43138" xr:uid="{00000000-0005-0000-0000-0000A5230000}"/>
    <cellStyle name="Обычный 4 2 34 11" xfId="48478" xr:uid="{00000000-0005-0000-0000-0000A6230000}"/>
    <cellStyle name="Обычный 4 2 34 2" xfId="883" xr:uid="{00000000-0005-0000-0000-0000A7230000}"/>
    <cellStyle name="Обычный 4 2 34 2 10" xfId="48945" xr:uid="{00000000-0005-0000-0000-0000A8230000}"/>
    <cellStyle name="Обычный 4 2 34 2 2" xfId="6224" xr:uid="{00000000-0005-0000-0000-0000A9230000}"/>
    <cellStyle name="Обычный 4 2 34 2 2 2" xfId="54286" xr:uid="{00000000-0005-0000-0000-0000AA230000}"/>
    <cellStyle name="Обычный 4 2 34 2 3" xfId="11565" xr:uid="{00000000-0005-0000-0000-0000AB230000}"/>
    <cellStyle name="Обычный 4 2 34 2 4" xfId="16905" xr:uid="{00000000-0005-0000-0000-0000AC230000}"/>
    <cellStyle name="Обычный 4 2 34 2 5" xfId="22245" xr:uid="{00000000-0005-0000-0000-0000AD230000}"/>
    <cellStyle name="Обычный 4 2 34 2 6" xfId="27585" xr:uid="{00000000-0005-0000-0000-0000AE230000}"/>
    <cellStyle name="Обычный 4 2 34 2 7" xfId="32925" xr:uid="{00000000-0005-0000-0000-0000AF230000}"/>
    <cellStyle name="Обычный 4 2 34 2 8" xfId="38265" xr:uid="{00000000-0005-0000-0000-0000B0230000}"/>
    <cellStyle name="Обычный 4 2 34 2 9" xfId="43605" xr:uid="{00000000-0005-0000-0000-0000B1230000}"/>
    <cellStyle name="Обычный 4 2 34 3" xfId="5757" xr:uid="{00000000-0005-0000-0000-0000B2230000}"/>
    <cellStyle name="Обычный 4 2 34 3 2" xfId="53819" xr:uid="{00000000-0005-0000-0000-0000B3230000}"/>
    <cellStyle name="Обычный 4 2 34 4" xfId="11098" xr:uid="{00000000-0005-0000-0000-0000B4230000}"/>
    <cellStyle name="Обычный 4 2 34 5" xfId="16438" xr:uid="{00000000-0005-0000-0000-0000B5230000}"/>
    <cellStyle name="Обычный 4 2 34 6" xfId="21778" xr:uid="{00000000-0005-0000-0000-0000B6230000}"/>
    <cellStyle name="Обычный 4 2 34 7" xfId="27118" xr:uid="{00000000-0005-0000-0000-0000B7230000}"/>
    <cellStyle name="Обычный 4 2 34 8" xfId="32458" xr:uid="{00000000-0005-0000-0000-0000B8230000}"/>
    <cellStyle name="Обычный 4 2 34 9" xfId="37798" xr:uid="{00000000-0005-0000-0000-0000B9230000}"/>
    <cellStyle name="Обычный 4 2 35" xfId="428" xr:uid="{00000000-0005-0000-0000-0000BA230000}"/>
    <cellStyle name="Обычный 4 2 35 10" xfId="43150" xr:uid="{00000000-0005-0000-0000-0000BB230000}"/>
    <cellStyle name="Обычный 4 2 35 11" xfId="48490" xr:uid="{00000000-0005-0000-0000-0000BC230000}"/>
    <cellStyle name="Обычный 4 2 35 2" xfId="895" xr:uid="{00000000-0005-0000-0000-0000BD230000}"/>
    <cellStyle name="Обычный 4 2 35 2 10" xfId="48957" xr:uid="{00000000-0005-0000-0000-0000BE230000}"/>
    <cellStyle name="Обычный 4 2 35 2 2" xfId="6236" xr:uid="{00000000-0005-0000-0000-0000BF230000}"/>
    <cellStyle name="Обычный 4 2 35 2 2 2" xfId="54298" xr:uid="{00000000-0005-0000-0000-0000C0230000}"/>
    <cellStyle name="Обычный 4 2 35 2 3" xfId="11577" xr:uid="{00000000-0005-0000-0000-0000C1230000}"/>
    <cellStyle name="Обычный 4 2 35 2 4" xfId="16917" xr:uid="{00000000-0005-0000-0000-0000C2230000}"/>
    <cellStyle name="Обычный 4 2 35 2 5" xfId="22257" xr:uid="{00000000-0005-0000-0000-0000C3230000}"/>
    <cellStyle name="Обычный 4 2 35 2 6" xfId="27597" xr:uid="{00000000-0005-0000-0000-0000C4230000}"/>
    <cellStyle name="Обычный 4 2 35 2 7" xfId="32937" xr:uid="{00000000-0005-0000-0000-0000C5230000}"/>
    <cellStyle name="Обычный 4 2 35 2 8" xfId="38277" xr:uid="{00000000-0005-0000-0000-0000C6230000}"/>
    <cellStyle name="Обычный 4 2 35 2 9" xfId="43617" xr:uid="{00000000-0005-0000-0000-0000C7230000}"/>
    <cellStyle name="Обычный 4 2 35 3" xfId="5769" xr:uid="{00000000-0005-0000-0000-0000C8230000}"/>
    <cellStyle name="Обычный 4 2 35 3 2" xfId="53831" xr:uid="{00000000-0005-0000-0000-0000C9230000}"/>
    <cellStyle name="Обычный 4 2 35 4" xfId="11110" xr:uid="{00000000-0005-0000-0000-0000CA230000}"/>
    <cellStyle name="Обычный 4 2 35 5" xfId="16450" xr:uid="{00000000-0005-0000-0000-0000CB230000}"/>
    <cellStyle name="Обычный 4 2 35 6" xfId="21790" xr:uid="{00000000-0005-0000-0000-0000CC230000}"/>
    <cellStyle name="Обычный 4 2 35 7" xfId="27130" xr:uid="{00000000-0005-0000-0000-0000CD230000}"/>
    <cellStyle name="Обычный 4 2 35 8" xfId="32470" xr:uid="{00000000-0005-0000-0000-0000CE230000}"/>
    <cellStyle name="Обычный 4 2 35 9" xfId="37810" xr:uid="{00000000-0005-0000-0000-0000CF230000}"/>
    <cellStyle name="Обычный 4 2 36" xfId="440" xr:uid="{00000000-0005-0000-0000-0000D0230000}"/>
    <cellStyle name="Обычный 4 2 36 10" xfId="43162" xr:uid="{00000000-0005-0000-0000-0000D1230000}"/>
    <cellStyle name="Обычный 4 2 36 11" xfId="48502" xr:uid="{00000000-0005-0000-0000-0000D2230000}"/>
    <cellStyle name="Обычный 4 2 36 2" xfId="907" xr:uid="{00000000-0005-0000-0000-0000D3230000}"/>
    <cellStyle name="Обычный 4 2 36 2 10" xfId="48969" xr:uid="{00000000-0005-0000-0000-0000D4230000}"/>
    <cellStyle name="Обычный 4 2 36 2 2" xfId="6248" xr:uid="{00000000-0005-0000-0000-0000D5230000}"/>
    <cellStyle name="Обычный 4 2 36 2 2 2" xfId="54310" xr:uid="{00000000-0005-0000-0000-0000D6230000}"/>
    <cellStyle name="Обычный 4 2 36 2 3" xfId="11589" xr:uid="{00000000-0005-0000-0000-0000D7230000}"/>
    <cellStyle name="Обычный 4 2 36 2 4" xfId="16929" xr:uid="{00000000-0005-0000-0000-0000D8230000}"/>
    <cellStyle name="Обычный 4 2 36 2 5" xfId="22269" xr:uid="{00000000-0005-0000-0000-0000D9230000}"/>
    <cellStyle name="Обычный 4 2 36 2 6" xfId="27609" xr:uid="{00000000-0005-0000-0000-0000DA230000}"/>
    <cellStyle name="Обычный 4 2 36 2 7" xfId="32949" xr:uid="{00000000-0005-0000-0000-0000DB230000}"/>
    <cellStyle name="Обычный 4 2 36 2 8" xfId="38289" xr:uid="{00000000-0005-0000-0000-0000DC230000}"/>
    <cellStyle name="Обычный 4 2 36 2 9" xfId="43629" xr:uid="{00000000-0005-0000-0000-0000DD230000}"/>
    <cellStyle name="Обычный 4 2 36 3" xfId="5781" xr:uid="{00000000-0005-0000-0000-0000DE230000}"/>
    <cellStyle name="Обычный 4 2 36 3 2" xfId="53843" xr:uid="{00000000-0005-0000-0000-0000DF230000}"/>
    <cellStyle name="Обычный 4 2 36 4" xfId="11122" xr:uid="{00000000-0005-0000-0000-0000E0230000}"/>
    <cellStyle name="Обычный 4 2 36 5" xfId="16462" xr:uid="{00000000-0005-0000-0000-0000E1230000}"/>
    <cellStyle name="Обычный 4 2 36 6" xfId="21802" xr:uid="{00000000-0005-0000-0000-0000E2230000}"/>
    <cellStyle name="Обычный 4 2 36 7" xfId="27142" xr:uid="{00000000-0005-0000-0000-0000E3230000}"/>
    <cellStyle name="Обычный 4 2 36 8" xfId="32482" xr:uid="{00000000-0005-0000-0000-0000E4230000}"/>
    <cellStyle name="Обычный 4 2 36 9" xfId="37822" xr:uid="{00000000-0005-0000-0000-0000E5230000}"/>
    <cellStyle name="Обычный 4 2 37" xfId="452" xr:uid="{00000000-0005-0000-0000-0000E6230000}"/>
    <cellStyle name="Обычный 4 2 37 10" xfId="43174" xr:uid="{00000000-0005-0000-0000-0000E7230000}"/>
    <cellStyle name="Обычный 4 2 37 11" xfId="48514" xr:uid="{00000000-0005-0000-0000-0000E8230000}"/>
    <cellStyle name="Обычный 4 2 37 2" xfId="919" xr:uid="{00000000-0005-0000-0000-0000E9230000}"/>
    <cellStyle name="Обычный 4 2 37 2 10" xfId="48981" xr:uid="{00000000-0005-0000-0000-0000EA230000}"/>
    <cellStyle name="Обычный 4 2 37 2 2" xfId="6260" xr:uid="{00000000-0005-0000-0000-0000EB230000}"/>
    <cellStyle name="Обычный 4 2 37 2 2 2" xfId="54322" xr:uid="{00000000-0005-0000-0000-0000EC230000}"/>
    <cellStyle name="Обычный 4 2 37 2 3" xfId="11601" xr:uid="{00000000-0005-0000-0000-0000ED230000}"/>
    <cellStyle name="Обычный 4 2 37 2 4" xfId="16941" xr:uid="{00000000-0005-0000-0000-0000EE230000}"/>
    <cellStyle name="Обычный 4 2 37 2 5" xfId="22281" xr:uid="{00000000-0005-0000-0000-0000EF230000}"/>
    <cellStyle name="Обычный 4 2 37 2 6" xfId="27621" xr:uid="{00000000-0005-0000-0000-0000F0230000}"/>
    <cellStyle name="Обычный 4 2 37 2 7" xfId="32961" xr:uid="{00000000-0005-0000-0000-0000F1230000}"/>
    <cellStyle name="Обычный 4 2 37 2 8" xfId="38301" xr:uid="{00000000-0005-0000-0000-0000F2230000}"/>
    <cellStyle name="Обычный 4 2 37 2 9" xfId="43641" xr:uid="{00000000-0005-0000-0000-0000F3230000}"/>
    <cellStyle name="Обычный 4 2 37 3" xfId="5793" xr:uid="{00000000-0005-0000-0000-0000F4230000}"/>
    <cellStyle name="Обычный 4 2 37 3 2" xfId="53855" xr:uid="{00000000-0005-0000-0000-0000F5230000}"/>
    <cellStyle name="Обычный 4 2 37 4" xfId="11134" xr:uid="{00000000-0005-0000-0000-0000F6230000}"/>
    <cellStyle name="Обычный 4 2 37 5" xfId="16474" xr:uid="{00000000-0005-0000-0000-0000F7230000}"/>
    <cellStyle name="Обычный 4 2 37 6" xfId="21814" xr:uid="{00000000-0005-0000-0000-0000F8230000}"/>
    <cellStyle name="Обычный 4 2 37 7" xfId="27154" xr:uid="{00000000-0005-0000-0000-0000F9230000}"/>
    <cellStyle name="Обычный 4 2 37 8" xfId="32494" xr:uid="{00000000-0005-0000-0000-0000FA230000}"/>
    <cellStyle name="Обычный 4 2 37 9" xfId="37834" xr:uid="{00000000-0005-0000-0000-0000FB230000}"/>
    <cellStyle name="Обычный 4 2 38" xfId="464" xr:uid="{00000000-0005-0000-0000-0000FC230000}"/>
    <cellStyle name="Обычный 4 2 38 10" xfId="43186" xr:uid="{00000000-0005-0000-0000-0000FD230000}"/>
    <cellStyle name="Обычный 4 2 38 11" xfId="48526" xr:uid="{00000000-0005-0000-0000-0000FE230000}"/>
    <cellStyle name="Обычный 4 2 38 2" xfId="931" xr:uid="{00000000-0005-0000-0000-0000FF230000}"/>
    <cellStyle name="Обычный 4 2 38 2 10" xfId="48993" xr:uid="{00000000-0005-0000-0000-000000240000}"/>
    <cellStyle name="Обычный 4 2 38 2 2" xfId="6272" xr:uid="{00000000-0005-0000-0000-000001240000}"/>
    <cellStyle name="Обычный 4 2 38 2 2 2" xfId="54334" xr:uid="{00000000-0005-0000-0000-000002240000}"/>
    <cellStyle name="Обычный 4 2 38 2 3" xfId="11613" xr:uid="{00000000-0005-0000-0000-000003240000}"/>
    <cellStyle name="Обычный 4 2 38 2 4" xfId="16953" xr:uid="{00000000-0005-0000-0000-000004240000}"/>
    <cellStyle name="Обычный 4 2 38 2 5" xfId="22293" xr:uid="{00000000-0005-0000-0000-000005240000}"/>
    <cellStyle name="Обычный 4 2 38 2 6" xfId="27633" xr:uid="{00000000-0005-0000-0000-000006240000}"/>
    <cellStyle name="Обычный 4 2 38 2 7" xfId="32973" xr:uid="{00000000-0005-0000-0000-000007240000}"/>
    <cellStyle name="Обычный 4 2 38 2 8" xfId="38313" xr:uid="{00000000-0005-0000-0000-000008240000}"/>
    <cellStyle name="Обычный 4 2 38 2 9" xfId="43653" xr:uid="{00000000-0005-0000-0000-000009240000}"/>
    <cellStyle name="Обычный 4 2 38 3" xfId="5805" xr:uid="{00000000-0005-0000-0000-00000A240000}"/>
    <cellStyle name="Обычный 4 2 38 3 2" xfId="53867" xr:uid="{00000000-0005-0000-0000-00000B240000}"/>
    <cellStyle name="Обычный 4 2 38 4" xfId="11146" xr:uid="{00000000-0005-0000-0000-00000C240000}"/>
    <cellStyle name="Обычный 4 2 38 5" xfId="16486" xr:uid="{00000000-0005-0000-0000-00000D240000}"/>
    <cellStyle name="Обычный 4 2 38 6" xfId="21826" xr:uid="{00000000-0005-0000-0000-00000E240000}"/>
    <cellStyle name="Обычный 4 2 38 7" xfId="27166" xr:uid="{00000000-0005-0000-0000-00000F240000}"/>
    <cellStyle name="Обычный 4 2 38 8" xfId="32506" xr:uid="{00000000-0005-0000-0000-000010240000}"/>
    <cellStyle name="Обычный 4 2 38 9" xfId="37846" xr:uid="{00000000-0005-0000-0000-000011240000}"/>
    <cellStyle name="Обычный 4 2 39" xfId="476" xr:uid="{00000000-0005-0000-0000-000012240000}"/>
    <cellStyle name="Обычный 4 2 39 10" xfId="43198" xr:uid="{00000000-0005-0000-0000-000013240000}"/>
    <cellStyle name="Обычный 4 2 39 11" xfId="48538" xr:uid="{00000000-0005-0000-0000-000014240000}"/>
    <cellStyle name="Обычный 4 2 39 2" xfId="943" xr:uid="{00000000-0005-0000-0000-000015240000}"/>
    <cellStyle name="Обычный 4 2 39 2 10" xfId="49005" xr:uid="{00000000-0005-0000-0000-000016240000}"/>
    <cellStyle name="Обычный 4 2 39 2 2" xfId="6284" xr:uid="{00000000-0005-0000-0000-000017240000}"/>
    <cellStyle name="Обычный 4 2 39 2 2 2" xfId="54346" xr:uid="{00000000-0005-0000-0000-000018240000}"/>
    <cellStyle name="Обычный 4 2 39 2 3" xfId="11625" xr:uid="{00000000-0005-0000-0000-000019240000}"/>
    <cellStyle name="Обычный 4 2 39 2 4" xfId="16965" xr:uid="{00000000-0005-0000-0000-00001A240000}"/>
    <cellStyle name="Обычный 4 2 39 2 5" xfId="22305" xr:uid="{00000000-0005-0000-0000-00001B240000}"/>
    <cellStyle name="Обычный 4 2 39 2 6" xfId="27645" xr:uid="{00000000-0005-0000-0000-00001C240000}"/>
    <cellStyle name="Обычный 4 2 39 2 7" xfId="32985" xr:uid="{00000000-0005-0000-0000-00001D240000}"/>
    <cellStyle name="Обычный 4 2 39 2 8" xfId="38325" xr:uid="{00000000-0005-0000-0000-00001E240000}"/>
    <cellStyle name="Обычный 4 2 39 2 9" xfId="43665" xr:uid="{00000000-0005-0000-0000-00001F240000}"/>
    <cellStyle name="Обычный 4 2 39 3" xfId="5817" xr:uid="{00000000-0005-0000-0000-000020240000}"/>
    <cellStyle name="Обычный 4 2 39 3 2" xfId="53879" xr:uid="{00000000-0005-0000-0000-000021240000}"/>
    <cellStyle name="Обычный 4 2 39 4" xfId="11158" xr:uid="{00000000-0005-0000-0000-000022240000}"/>
    <cellStyle name="Обычный 4 2 39 5" xfId="16498" xr:uid="{00000000-0005-0000-0000-000023240000}"/>
    <cellStyle name="Обычный 4 2 39 6" xfId="21838" xr:uid="{00000000-0005-0000-0000-000024240000}"/>
    <cellStyle name="Обычный 4 2 39 7" xfId="27178" xr:uid="{00000000-0005-0000-0000-000025240000}"/>
    <cellStyle name="Обычный 4 2 39 8" xfId="32518" xr:uid="{00000000-0005-0000-0000-000026240000}"/>
    <cellStyle name="Обычный 4 2 39 9" xfId="37858" xr:uid="{00000000-0005-0000-0000-000027240000}"/>
    <cellStyle name="Обычный 4 2 4" xfId="116" xr:uid="{00000000-0005-0000-0000-000028240000}"/>
    <cellStyle name="Обычный 4 2 4 10" xfId="42838" xr:uid="{00000000-0005-0000-0000-000029240000}"/>
    <cellStyle name="Обычный 4 2 4 11" xfId="48178" xr:uid="{00000000-0005-0000-0000-00002A240000}"/>
    <cellStyle name="Обычный 4 2 4 2" xfId="583" xr:uid="{00000000-0005-0000-0000-00002B240000}"/>
    <cellStyle name="Обычный 4 2 4 2 10" xfId="48645" xr:uid="{00000000-0005-0000-0000-00002C240000}"/>
    <cellStyle name="Обычный 4 2 4 2 2" xfId="5924" xr:uid="{00000000-0005-0000-0000-00002D240000}"/>
    <cellStyle name="Обычный 4 2 4 2 2 2" xfId="53986" xr:uid="{00000000-0005-0000-0000-00002E240000}"/>
    <cellStyle name="Обычный 4 2 4 2 3" xfId="11265" xr:uid="{00000000-0005-0000-0000-00002F240000}"/>
    <cellStyle name="Обычный 4 2 4 2 4" xfId="16605" xr:uid="{00000000-0005-0000-0000-000030240000}"/>
    <cellStyle name="Обычный 4 2 4 2 5" xfId="21945" xr:uid="{00000000-0005-0000-0000-000031240000}"/>
    <cellStyle name="Обычный 4 2 4 2 6" xfId="27285" xr:uid="{00000000-0005-0000-0000-000032240000}"/>
    <cellStyle name="Обычный 4 2 4 2 7" xfId="32625" xr:uid="{00000000-0005-0000-0000-000033240000}"/>
    <cellStyle name="Обычный 4 2 4 2 8" xfId="37965" xr:uid="{00000000-0005-0000-0000-000034240000}"/>
    <cellStyle name="Обычный 4 2 4 2 9" xfId="43305" xr:uid="{00000000-0005-0000-0000-000035240000}"/>
    <cellStyle name="Обычный 4 2 4 3" xfId="5457" xr:uid="{00000000-0005-0000-0000-000036240000}"/>
    <cellStyle name="Обычный 4 2 4 3 2" xfId="53519" xr:uid="{00000000-0005-0000-0000-000037240000}"/>
    <cellStyle name="Обычный 4 2 4 4" xfId="10798" xr:uid="{00000000-0005-0000-0000-000038240000}"/>
    <cellStyle name="Обычный 4 2 4 5" xfId="16138" xr:uid="{00000000-0005-0000-0000-000039240000}"/>
    <cellStyle name="Обычный 4 2 4 6" xfId="21478" xr:uid="{00000000-0005-0000-0000-00003A240000}"/>
    <cellStyle name="Обычный 4 2 4 7" xfId="26818" xr:uid="{00000000-0005-0000-0000-00003B240000}"/>
    <cellStyle name="Обычный 4 2 4 8" xfId="32158" xr:uid="{00000000-0005-0000-0000-00003C240000}"/>
    <cellStyle name="Обычный 4 2 4 9" xfId="37498" xr:uid="{00000000-0005-0000-0000-00003D240000}"/>
    <cellStyle name="Обычный 4 2 40" xfId="488" xr:uid="{00000000-0005-0000-0000-00003E240000}"/>
    <cellStyle name="Обычный 4 2 40 10" xfId="43210" xr:uid="{00000000-0005-0000-0000-00003F240000}"/>
    <cellStyle name="Обычный 4 2 40 11" xfId="48550" xr:uid="{00000000-0005-0000-0000-000040240000}"/>
    <cellStyle name="Обычный 4 2 40 2" xfId="955" xr:uid="{00000000-0005-0000-0000-000041240000}"/>
    <cellStyle name="Обычный 4 2 40 2 10" xfId="49017" xr:uid="{00000000-0005-0000-0000-000042240000}"/>
    <cellStyle name="Обычный 4 2 40 2 2" xfId="6296" xr:uid="{00000000-0005-0000-0000-000043240000}"/>
    <cellStyle name="Обычный 4 2 40 2 2 2" xfId="54358" xr:uid="{00000000-0005-0000-0000-000044240000}"/>
    <cellStyle name="Обычный 4 2 40 2 3" xfId="11637" xr:uid="{00000000-0005-0000-0000-000045240000}"/>
    <cellStyle name="Обычный 4 2 40 2 4" xfId="16977" xr:uid="{00000000-0005-0000-0000-000046240000}"/>
    <cellStyle name="Обычный 4 2 40 2 5" xfId="22317" xr:uid="{00000000-0005-0000-0000-000047240000}"/>
    <cellStyle name="Обычный 4 2 40 2 6" xfId="27657" xr:uid="{00000000-0005-0000-0000-000048240000}"/>
    <cellStyle name="Обычный 4 2 40 2 7" xfId="32997" xr:uid="{00000000-0005-0000-0000-000049240000}"/>
    <cellStyle name="Обычный 4 2 40 2 8" xfId="38337" xr:uid="{00000000-0005-0000-0000-00004A240000}"/>
    <cellStyle name="Обычный 4 2 40 2 9" xfId="43677" xr:uid="{00000000-0005-0000-0000-00004B240000}"/>
    <cellStyle name="Обычный 4 2 40 3" xfId="5829" xr:uid="{00000000-0005-0000-0000-00004C240000}"/>
    <cellStyle name="Обычный 4 2 40 3 2" xfId="53891" xr:uid="{00000000-0005-0000-0000-00004D240000}"/>
    <cellStyle name="Обычный 4 2 40 4" xfId="11170" xr:uid="{00000000-0005-0000-0000-00004E240000}"/>
    <cellStyle name="Обычный 4 2 40 5" xfId="16510" xr:uid="{00000000-0005-0000-0000-00004F240000}"/>
    <cellStyle name="Обычный 4 2 40 6" xfId="21850" xr:uid="{00000000-0005-0000-0000-000050240000}"/>
    <cellStyle name="Обычный 4 2 40 7" xfId="27190" xr:uid="{00000000-0005-0000-0000-000051240000}"/>
    <cellStyle name="Обычный 4 2 40 8" xfId="32530" xr:uid="{00000000-0005-0000-0000-000052240000}"/>
    <cellStyle name="Обычный 4 2 40 9" xfId="37870" xr:uid="{00000000-0005-0000-0000-000053240000}"/>
    <cellStyle name="Обычный 4 2 41" xfId="500" xr:uid="{00000000-0005-0000-0000-000054240000}"/>
    <cellStyle name="Обычный 4 2 41 10" xfId="43222" xr:uid="{00000000-0005-0000-0000-000055240000}"/>
    <cellStyle name="Обычный 4 2 41 11" xfId="48562" xr:uid="{00000000-0005-0000-0000-000056240000}"/>
    <cellStyle name="Обычный 4 2 41 2" xfId="967" xr:uid="{00000000-0005-0000-0000-000057240000}"/>
    <cellStyle name="Обычный 4 2 41 2 10" xfId="49029" xr:uid="{00000000-0005-0000-0000-000058240000}"/>
    <cellStyle name="Обычный 4 2 41 2 2" xfId="6308" xr:uid="{00000000-0005-0000-0000-000059240000}"/>
    <cellStyle name="Обычный 4 2 41 2 2 2" xfId="54370" xr:uid="{00000000-0005-0000-0000-00005A240000}"/>
    <cellStyle name="Обычный 4 2 41 2 3" xfId="11649" xr:uid="{00000000-0005-0000-0000-00005B240000}"/>
    <cellStyle name="Обычный 4 2 41 2 4" xfId="16989" xr:uid="{00000000-0005-0000-0000-00005C240000}"/>
    <cellStyle name="Обычный 4 2 41 2 5" xfId="22329" xr:uid="{00000000-0005-0000-0000-00005D240000}"/>
    <cellStyle name="Обычный 4 2 41 2 6" xfId="27669" xr:uid="{00000000-0005-0000-0000-00005E240000}"/>
    <cellStyle name="Обычный 4 2 41 2 7" xfId="33009" xr:uid="{00000000-0005-0000-0000-00005F240000}"/>
    <cellStyle name="Обычный 4 2 41 2 8" xfId="38349" xr:uid="{00000000-0005-0000-0000-000060240000}"/>
    <cellStyle name="Обычный 4 2 41 2 9" xfId="43689" xr:uid="{00000000-0005-0000-0000-000061240000}"/>
    <cellStyle name="Обычный 4 2 41 3" xfId="5841" xr:uid="{00000000-0005-0000-0000-000062240000}"/>
    <cellStyle name="Обычный 4 2 41 3 2" xfId="53903" xr:uid="{00000000-0005-0000-0000-000063240000}"/>
    <cellStyle name="Обычный 4 2 41 4" xfId="11182" xr:uid="{00000000-0005-0000-0000-000064240000}"/>
    <cellStyle name="Обычный 4 2 41 5" xfId="16522" xr:uid="{00000000-0005-0000-0000-000065240000}"/>
    <cellStyle name="Обычный 4 2 41 6" xfId="21862" xr:uid="{00000000-0005-0000-0000-000066240000}"/>
    <cellStyle name="Обычный 4 2 41 7" xfId="27202" xr:uid="{00000000-0005-0000-0000-000067240000}"/>
    <cellStyle name="Обычный 4 2 41 8" xfId="32542" xr:uid="{00000000-0005-0000-0000-000068240000}"/>
    <cellStyle name="Обычный 4 2 41 9" xfId="37882" xr:uid="{00000000-0005-0000-0000-000069240000}"/>
    <cellStyle name="Обычный 4 2 42" xfId="512" xr:uid="{00000000-0005-0000-0000-00006A240000}"/>
    <cellStyle name="Обычный 4 2 42 10" xfId="43234" xr:uid="{00000000-0005-0000-0000-00006B240000}"/>
    <cellStyle name="Обычный 4 2 42 11" xfId="48574" xr:uid="{00000000-0005-0000-0000-00006C240000}"/>
    <cellStyle name="Обычный 4 2 42 2" xfId="979" xr:uid="{00000000-0005-0000-0000-00006D240000}"/>
    <cellStyle name="Обычный 4 2 42 2 10" xfId="49041" xr:uid="{00000000-0005-0000-0000-00006E240000}"/>
    <cellStyle name="Обычный 4 2 42 2 2" xfId="6320" xr:uid="{00000000-0005-0000-0000-00006F240000}"/>
    <cellStyle name="Обычный 4 2 42 2 2 2" xfId="54382" xr:uid="{00000000-0005-0000-0000-000070240000}"/>
    <cellStyle name="Обычный 4 2 42 2 3" xfId="11661" xr:uid="{00000000-0005-0000-0000-000071240000}"/>
    <cellStyle name="Обычный 4 2 42 2 4" xfId="17001" xr:uid="{00000000-0005-0000-0000-000072240000}"/>
    <cellStyle name="Обычный 4 2 42 2 5" xfId="22341" xr:uid="{00000000-0005-0000-0000-000073240000}"/>
    <cellStyle name="Обычный 4 2 42 2 6" xfId="27681" xr:uid="{00000000-0005-0000-0000-000074240000}"/>
    <cellStyle name="Обычный 4 2 42 2 7" xfId="33021" xr:uid="{00000000-0005-0000-0000-000075240000}"/>
    <cellStyle name="Обычный 4 2 42 2 8" xfId="38361" xr:uid="{00000000-0005-0000-0000-000076240000}"/>
    <cellStyle name="Обычный 4 2 42 2 9" xfId="43701" xr:uid="{00000000-0005-0000-0000-000077240000}"/>
    <cellStyle name="Обычный 4 2 42 3" xfId="5853" xr:uid="{00000000-0005-0000-0000-000078240000}"/>
    <cellStyle name="Обычный 4 2 42 3 2" xfId="53915" xr:uid="{00000000-0005-0000-0000-000079240000}"/>
    <cellStyle name="Обычный 4 2 42 4" xfId="11194" xr:uid="{00000000-0005-0000-0000-00007A240000}"/>
    <cellStyle name="Обычный 4 2 42 5" xfId="16534" xr:uid="{00000000-0005-0000-0000-00007B240000}"/>
    <cellStyle name="Обычный 4 2 42 6" xfId="21874" xr:uid="{00000000-0005-0000-0000-00007C240000}"/>
    <cellStyle name="Обычный 4 2 42 7" xfId="27214" xr:uid="{00000000-0005-0000-0000-00007D240000}"/>
    <cellStyle name="Обычный 4 2 42 8" xfId="32554" xr:uid="{00000000-0005-0000-0000-00007E240000}"/>
    <cellStyle name="Обычный 4 2 42 9" xfId="37894" xr:uid="{00000000-0005-0000-0000-00007F240000}"/>
    <cellStyle name="Обычный 4 2 43" xfId="523" xr:uid="{00000000-0005-0000-0000-000080240000}"/>
    <cellStyle name="Обычный 4 2 43 10" xfId="48585" xr:uid="{00000000-0005-0000-0000-000081240000}"/>
    <cellStyle name="Обычный 4 2 43 2" xfId="5864" xr:uid="{00000000-0005-0000-0000-000082240000}"/>
    <cellStyle name="Обычный 4 2 43 2 2" xfId="53926" xr:uid="{00000000-0005-0000-0000-000083240000}"/>
    <cellStyle name="Обычный 4 2 43 3" xfId="11205" xr:uid="{00000000-0005-0000-0000-000084240000}"/>
    <cellStyle name="Обычный 4 2 43 4" xfId="16545" xr:uid="{00000000-0005-0000-0000-000085240000}"/>
    <cellStyle name="Обычный 4 2 43 5" xfId="21885" xr:uid="{00000000-0005-0000-0000-000086240000}"/>
    <cellStyle name="Обычный 4 2 43 6" xfId="27225" xr:uid="{00000000-0005-0000-0000-000087240000}"/>
    <cellStyle name="Обычный 4 2 43 7" xfId="32565" xr:uid="{00000000-0005-0000-0000-000088240000}"/>
    <cellStyle name="Обычный 4 2 43 8" xfId="37905" xr:uid="{00000000-0005-0000-0000-000089240000}"/>
    <cellStyle name="Обычный 4 2 43 9" xfId="43245" xr:uid="{00000000-0005-0000-0000-00008A240000}"/>
    <cellStyle name="Обычный 4 2 44" xfId="991" xr:uid="{00000000-0005-0000-0000-00008B240000}"/>
    <cellStyle name="Обычный 4 2 44 10" xfId="49053" xr:uid="{00000000-0005-0000-0000-00008C240000}"/>
    <cellStyle name="Обычный 4 2 44 2" xfId="6332" xr:uid="{00000000-0005-0000-0000-00008D240000}"/>
    <cellStyle name="Обычный 4 2 44 2 2" xfId="54394" xr:uid="{00000000-0005-0000-0000-00008E240000}"/>
    <cellStyle name="Обычный 4 2 44 3" xfId="11673" xr:uid="{00000000-0005-0000-0000-00008F240000}"/>
    <cellStyle name="Обычный 4 2 44 4" xfId="17013" xr:uid="{00000000-0005-0000-0000-000090240000}"/>
    <cellStyle name="Обычный 4 2 44 5" xfId="22353" xr:uid="{00000000-0005-0000-0000-000091240000}"/>
    <cellStyle name="Обычный 4 2 44 6" xfId="27693" xr:uid="{00000000-0005-0000-0000-000092240000}"/>
    <cellStyle name="Обычный 4 2 44 7" xfId="33033" xr:uid="{00000000-0005-0000-0000-000093240000}"/>
    <cellStyle name="Обычный 4 2 44 8" xfId="38373" xr:uid="{00000000-0005-0000-0000-000094240000}"/>
    <cellStyle name="Обычный 4 2 44 9" xfId="43713" xr:uid="{00000000-0005-0000-0000-000095240000}"/>
    <cellStyle name="Обычный 4 2 45" xfId="1015" xr:uid="{00000000-0005-0000-0000-000096240000}"/>
    <cellStyle name="Обычный 4 2 45 10" xfId="49077" xr:uid="{00000000-0005-0000-0000-000097240000}"/>
    <cellStyle name="Обычный 4 2 45 2" xfId="6356" xr:uid="{00000000-0005-0000-0000-000098240000}"/>
    <cellStyle name="Обычный 4 2 45 2 2" xfId="54418" xr:uid="{00000000-0005-0000-0000-000099240000}"/>
    <cellStyle name="Обычный 4 2 45 3" xfId="11697" xr:uid="{00000000-0005-0000-0000-00009A240000}"/>
    <cellStyle name="Обычный 4 2 45 4" xfId="17037" xr:uid="{00000000-0005-0000-0000-00009B240000}"/>
    <cellStyle name="Обычный 4 2 45 5" xfId="22377" xr:uid="{00000000-0005-0000-0000-00009C240000}"/>
    <cellStyle name="Обычный 4 2 45 6" xfId="27717" xr:uid="{00000000-0005-0000-0000-00009D240000}"/>
    <cellStyle name="Обычный 4 2 45 7" xfId="33057" xr:uid="{00000000-0005-0000-0000-00009E240000}"/>
    <cellStyle name="Обычный 4 2 45 8" xfId="38397" xr:uid="{00000000-0005-0000-0000-00009F240000}"/>
    <cellStyle name="Обычный 4 2 45 9" xfId="43737" xr:uid="{00000000-0005-0000-0000-0000A0240000}"/>
    <cellStyle name="Обычный 4 2 46" xfId="1039" xr:uid="{00000000-0005-0000-0000-0000A1240000}"/>
    <cellStyle name="Обычный 4 2 46 10" xfId="49101" xr:uid="{00000000-0005-0000-0000-0000A2240000}"/>
    <cellStyle name="Обычный 4 2 46 2" xfId="6380" xr:uid="{00000000-0005-0000-0000-0000A3240000}"/>
    <cellStyle name="Обычный 4 2 46 2 2" xfId="54442" xr:uid="{00000000-0005-0000-0000-0000A4240000}"/>
    <cellStyle name="Обычный 4 2 46 3" xfId="11721" xr:uid="{00000000-0005-0000-0000-0000A5240000}"/>
    <cellStyle name="Обычный 4 2 46 4" xfId="17061" xr:uid="{00000000-0005-0000-0000-0000A6240000}"/>
    <cellStyle name="Обычный 4 2 46 5" xfId="22401" xr:uid="{00000000-0005-0000-0000-0000A7240000}"/>
    <cellStyle name="Обычный 4 2 46 6" xfId="27741" xr:uid="{00000000-0005-0000-0000-0000A8240000}"/>
    <cellStyle name="Обычный 4 2 46 7" xfId="33081" xr:uid="{00000000-0005-0000-0000-0000A9240000}"/>
    <cellStyle name="Обычный 4 2 46 8" xfId="38421" xr:uid="{00000000-0005-0000-0000-0000AA240000}"/>
    <cellStyle name="Обычный 4 2 46 9" xfId="43761" xr:uid="{00000000-0005-0000-0000-0000AB240000}"/>
    <cellStyle name="Обычный 4 2 47" xfId="1064" xr:uid="{00000000-0005-0000-0000-0000AC240000}"/>
    <cellStyle name="Обычный 4 2 47 10" xfId="49127" xr:uid="{00000000-0005-0000-0000-0000AD240000}"/>
    <cellStyle name="Обычный 4 2 47 2" xfId="6406" xr:uid="{00000000-0005-0000-0000-0000AE240000}"/>
    <cellStyle name="Обычный 4 2 47 2 2" xfId="54468" xr:uid="{00000000-0005-0000-0000-0000AF240000}"/>
    <cellStyle name="Обычный 4 2 47 3" xfId="11747" xr:uid="{00000000-0005-0000-0000-0000B0240000}"/>
    <cellStyle name="Обычный 4 2 47 4" xfId="17087" xr:uid="{00000000-0005-0000-0000-0000B1240000}"/>
    <cellStyle name="Обычный 4 2 47 5" xfId="22427" xr:uid="{00000000-0005-0000-0000-0000B2240000}"/>
    <cellStyle name="Обычный 4 2 47 6" xfId="27767" xr:uid="{00000000-0005-0000-0000-0000B3240000}"/>
    <cellStyle name="Обычный 4 2 47 7" xfId="33107" xr:uid="{00000000-0005-0000-0000-0000B4240000}"/>
    <cellStyle name="Обычный 4 2 47 8" xfId="38447" xr:uid="{00000000-0005-0000-0000-0000B5240000}"/>
    <cellStyle name="Обычный 4 2 47 9" xfId="43787" xr:uid="{00000000-0005-0000-0000-0000B6240000}"/>
    <cellStyle name="Обычный 4 2 48" xfId="1090" xr:uid="{00000000-0005-0000-0000-0000B7240000}"/>
    <cellStyle name="Обычный 4 2 48 10" xfId="49153" xr:uid="{00000000-0005-0000-0000-0000B8240000}"/>
    <cellStyle name="Обычный 4 2 48 2" xfId="6432" xr:uid="{00000000-0005-0000-0000-0000B9240000}"/>
    <cellStyle name="Обычный 4 2 48 2 2" xfId="54494" xr:uid="{00000000-0005-0000-0000-0000BA240000}"/>
    <cellStyle name="Обычный 4 2 48 3" xfId="11773" xr:uid="{00000000-0005-0000-0000-0000BB240000}"/>
    <cellStyle name="Обычный 4 2 48 4" xfId="17113" xr:uid="{00000000-0005-0000-0000-0000BC240000}"/>
    <cellStyle name="Обычный 4 2 48 5" xfId="22453" xr:uid="{00000000-0005-0000-0000-0000BD240000}"/>
    <cellStyle name="Обычный 4 2 48 6" xfId="27793" xr:uid="{00000000-0005-0000-0000-0000BE240000}"/>
    <cellStyle name="Обычный 4 2 48 7" xfId="33133" xr:uid="{00000000-0005-0000-0000-0000BF240000}"/>
    <cellStyle name="Обычный 4 2 48 8" xfId="38473" xr:uid="{00000000-0005-0000-0000-0000C0240000}"/>
    <cellStyle name="Обычный 4 2 48 9" xfId="43813" xr:uid="{00000000-0005-0000-0000-0000C1240000}"/>
    <cellStyle name="Обычный 4 2 49" xfId="1116" xr:uid="{00000000-0005-0000-0000-0000C2240000}"/>
    <cellStyle name="Обычный 4 2 49 10" xfId="49179" xr:uid="{00000000-0005-0000-0000-0000C3240000}"/>
    <cellStyle name="Обычный 4 2 49 2" xfId="6458" xr:uid="{00000000-0005-0000-0000-0000C4240000}"/>
    <cellStyle name="Обычный 4 2 49 2 2" xfId="54520" xr:uid="{00000000-0005-0000-0000-0000C5240000}"/>
    <cellStyle name="Обычный 4 2 49 3" xfId="11799" xr:uid="{00000000-0005-0000-0000-0000C6240000}"/>
    <cellStyle name="Обычный 4 2 49 4" xfId="17139" xr:uid="{00000000-0005-0000-0000-0000C7240000}"/>
    <cellStyle name="Обычный 4 2 49 5" xfId="22479" xr:uid="{00000000-0005-0000-0000-0000C8240000}"/>
    <cellStyle name="Обычный 4 2 49 6" xfId="27819" xr:uid="{00000000-0005-0000-0000-0000C9240000}"/>
    <cellStyle name="Обычный 4 2 49 7" xfId="33159" xr:uid="{00000000-0005-0000-0000-0000CA240000}"/>
    <cellStyle name="Обычный 4 2 49 8" xfId="38499" xr:uid="{00000000-0005-0000-0000-0000CB240000}"/>
    <cellStyle name="Обычный 4 2 49 9" xfId="43839" xr:uid="{00000000-0005-0000-0000-0000CC240000}"/>
    <cellStyle name="Обычный 4 2 5" xfId="126" xr:uid="{00000000-0005-0000-0000-0000CD240000}"/>
    <cellStyle name="Обычный 4 2 5 10" xfId="42848" xr:uid="{00000000-0005-0000-0000-0000CE240000}"/>
    <cellStyle name="Обычный 4 2 5 11" xfId="48188" xr:uid="{00000000-0005-0000-0000-0000CF240000}"/>
    <cellStyle name="Обычный 4 2 5 2" xfId="593" xr:uid="{00000000-0005-0000-0000-0000D0240000}"/>
    <cellStyle name="Обычный 4 2 5 2 10" xfId="48655" xr:uid="{00000000-0005-0000-0000-0000D1240000}"/>
    <cellStyle name="Обычный 4 2 5 2 2" xfId="5934" xr:uid="{00000000-0005-0000-0000-0000D2240000}"/>
    <cellStyle name="Обычный 4 2 5 2 2 2" xfId="53996" xr:uid="{00000000-0005-0000-0000-0000D3240000}"/>
    <cellStyle name="Обычный 4 2 5 2 3" xfId="11275" xr:uid="{00000000-0005-0000-0000-0000D4240000}"/>
    <cellStyle name="Обычный 4 2 5 2 4" xfId="16615" xr:uid="{00000000-0005-0000-0000-0000D5240000}"/>
    <cellStyle name="Обычный 4 2 5 2 5" xfId="21955" xr:uid="{00000000-0005-0000-0000-0000D6240000}"/>
    <cellStyle name="Обычный 4 2 5 2 6" xfId="27295" xr:uid="{00000000-0005-0000-0000-0000D7240000}"/>
    <cellStyle name="Обычный 4 2 5 2 7" xfId="32635" xr:uid="{00000000-0005-0000-0000-0000D8240000}"/>
    <cellStyle name="Обычный 4 2 5 2 8" xfId="37975" xr:uid="{00000000-0005-0000-0000-0000D9240000}"/>
    <cellStyle name="Обычный 4 2 5 2 9" xfId="43315" xr:uid="{00000000-0005-0000-0000-0000DA240000}"/>
    <cellStyle name="Обычный 4 2 5 3" xfId="5467" xr:uid="{00000000-0005-0000-0000-0000DB240000}"/>
    <cellStyle name="Обычный 4 2 5 3 2" xfId="53529" xr:uid="{00000000-0005-0000-0000-0000DC240000}"/>
    <cellStyle name="Обычный 4 2 5 4" xfId="10808" xr:uid="{00000000-0005-0000-0000-0000DD240000}"/>
    <cellStyle name="Обычный 4 2 5 5" xfId="16148" xr:uid="{00000000-0005-0000-0000-0000DE240000}"/>
    <cellStyle name="Обычный 4 2 5 6" xfId="21488" xr:uid="{00000000-0005-0000-0000-0000DF240000}"/>
    <cellStyle name="Обычный 4 2 5 7" xfId="26828" xr:uid="{00000000-0005-0000-0000-0000E0240000}"/>
    <cellStyle name="Обычный 4 2 5 8" xfId="32168" xr:uid="{00000000-0005-0000-0000-0000E1240000}"/>
    <cellStyle name="Обычный 4 2 5 9" xfId="37508" xr:uid="{00000000-0005-0000-0000-0000E2240000}"/>
    <cellStyle name="Обычный 4 2 50" xfId="1142" xr:uid="{00000000-0005-0000-0000-0000E3240000}"/>
    <cellStyle name="Обычный 4 2 50 10" xfId="49205" xr:uid="{00000000-0005-0000-0000-0000E4240000}"/>
    <cellStyle name="Обычный 4 2 50 2" xfId="6484" xr:uid="{00000000-0005-0000-0000-0000E5240000}"/>
    <cellStyle name="Обычный 4 2 50 2 2" xfId="54546" xr:uid="{00000000-0005-0000-0000-0000E6240000}"/>
    <cellStyle name="Обычный 4 2 50 3" xfId="11825" xr:uid="{00000000-0005-0000-0000-0000E7240000}"/>
    <cellStyle name="Обычный 4 2 50 4" xfId="17165" xr:uid="{00000000-0005-0000-0000-0000E8240000}"/>
    <cellStyle name="Обычный 4 2 50 5" xfId="22505" xr:uid="{00000000-0005-0000-0000-0000E9240000}"/>
    <cellStyle name="Обычный 4 2 50 6" xfId="27845" xr:uid="{00000000-0005-0000-0000-0000EA240000}"/>
    <cellStyle name="Обычный 4 2 50 7" xfId="33185" xr:uid="{00000000-0005-0000-0000-0000EB240000}"/>
    <cellStyle name="Обычный 4 2 50 8" xfId="38525" xr:uid="{00000000-0005-0000-0000-0000EC240000}"/>
    <cellStyle name="Обычный 4 2 50 9" xfId="43865" xr:uid="{00000000-0005-0000-0000-0000ED240000}"/>
    <cellStyle name="Обычный 4 2 51" xfId="1168" xr:uid="{00000000-0005-0000-0000-0000EE240000}"/>
    <cellStyle name="Обычный 4 2 51 10" xfId="49231" xr:uid="{00000000-0005-0000-0000-0000EF240000}"/>
    <cellStyle name="Обычный 4 2 51 2" xfId="6510" xr:uid="{00000000-0005-0000-0000-0000F0240000}"/>
    <cellStyle name="Обычный 4 2 51 2 2" xfId="54572" xr:uid="{00000000-0005-0000-0000-0000F1240000}"/>
    <cellStyle name="Обычный 4 2 51 3" xfId="11851" xr:uid="{00000000-0005-0000-0000-0000F2240000}"/>
    <cellStyle name="Обычный 4 2 51 4" xfId="17191" xr:uid="{00000000-0005-0000-0000-0000F3240000}"/>
    <cellStyle name="Обычный 4 2 51 5" xfId="22531" xr:uid="{00000000-0005-0000-0000-0000F4240000}"/>
    <cellStyle name="Обычный 4 2 51 6" xfId="27871" xr:uid="{00000000-0005-0000-0000-0000F5240000}"/>
    <cellStyle name="Обычный 4 2 51 7" xfId="33211" xr:uid="{00000000-0005-0000-0000-0000F6240000}"/>
    <cellStyle name="Обычный 4 2 51 8" xfId="38551" xr:uid="{00000000-0005-0000-0000-0000F7240000}"/>
    <cellStyle name="Обычный 4 2 51 9" xfId="43891" xr:uid="{00000000-0005-0000-0000-0000F8240000}"/>
    <cellStyle name="Обычный 4 2 52" xfId="1194" xr:uid="{00000000-0005-0000-0000-0000F9240000}"/>
    <cellStyle name="Обычный 4 2 52 10" xfId="49257" xr:uid="{00000000-0005-0000-0000-0000FA240000}"/>
    <cellStyle name="Обычный 4 2 52 2" xfId="6536" xr:uid="{00000000-0005-0000-0000-0000FB240000}"/>
    <cellStyle name="Обычный 4 2 52 2 2" xfId="54598" xr:uid="{00000000-0005-0000-0000-0000FC240000}"/>
    <cellStyle name="Обычный 4 2 52 3" xfId="11877" xr:uid="{00000000-0005-0000-0000-0000FD240000}"/>
    <cellStyle name="Обычный 4 2 52 4" xfId="17217" xr:uid="{00000000-0005-0000-0000-0000FE240000}"/>
    <cellStyle name="Обычный 4 2 52 5" xfId="22557" xr:uid="{00000000-0005-0000-0000-0000FF240000}"/>
    <cellStyle name="Обычный 4 2 52 6" xfId="27897" xr:uid="{00000000-0005-0000-0000-000000250000}"/>
    <cellStyle name="Обычный 4 2 52 7" xfId="33237" xr:uid="{00000000-0005-0000-0000-000001250000}"/>
    <cellStyle name="Обычный 4 2 52 8" xfId="38577" xr:uid="{00000000-0005-0000-0000-000002250000}"/>
    <cellStyle name="Обычный 4 2 52 9" xfId="43917" xr:uid="{00000000-0005-0000-0000-000003250000}"/>
    <cellStyle name="Обычный 4 2 53" xfId="1220" xr:uid="{00000000-0005-0000-0000-000004250000}"/>
    <cellStyle name="Обычный 4 2 53 10" xfId="49283" xr:uid="{00000000-0005-0000-0000-000005250000}"/>
    <cellStyle name="Обычный 4 2 53 2" xfId="6562" xr:uid="{00000000-0005-0000-0000-000006250000}"/>
    <cellStyle name="Обычный 4 2 53 2 2" xfId="54624" xr:uid="{00000000-0005-0000-0000-000007250000}"/>
    <cellStyle name="Обычный 4 2 53 3" xfId="11903" xr:uid="{00000000-0005-0000-0000-000008250000}"/>
    <cellStyle name="Обычный 4 2 53 4" xfId="17243" xr:uid="{00000000-0005-0000-0000-000009250000}"/>
    <cellStyle name="Обычный 4 2 53 5" xfId="22583" xr:uid="{00000000-0005-0000-0000-00000A250000}"/>
    <cellStyle name="Обычный 4 2 53 6" xfId="27923" xr:uid="{00000000-0005-0000-0000-00000B250000}"/>
    <cellStyle name="Обычный 4 2 53 7" xfId="33263" xr:uid="{00000000-0005-0000-0000-00000C250000}"/>
    <cellStyle name="Обычный 4 2 53 8" xfId="38603" xr:uid="{00000000-0005-0000-0000-00000D250000}"/>
    <cellStyle name="Обычный 4 2 53 9" xfId="43943" xr:uid="{00000000-0005-0000-0000-00000E250000}"/>
    <cellStyle name="Обычный 4 2 54" xfId="1246" xr:uid="{00000000-0005-0000-0000-00000F250000}"/>
    <cellStyle name="Обычный 4 2 54 10" xfId="49309" xr:uid="{00000000-0005-0000-0000-000010250000}"/>
    <cellStyle name="Обычный 4 2 54 2" xfId="6588" xr:uid="{00000000-0005-0000-0000-000011250000}"/>
    <cellStyle name="Обычный 4 2 54 2 2" xfId="54650" xr:uid="{00000000-0005-0000-0000-000012250000}"/>
    <cellStyle name="Обычный 4 2 54 3" xfId="11929" xr:uid="{00000000-0005-0000-0000-000013250000}"/>
    <cellStyle name="Обычный 4 2 54 4" xfId="17269" xr:uid="{00000000-0005-0000-0000-000014250000}"/>
    <cellStyle name="Обычный 4 2 54 5" xfId="22609" xr:uid="{00000000-0005-0000-0000-000015250000}"/>
    <cellStyle name="Обычный 4 2 54 6" xfId="27949" xr:uid="{00000000-0005-0000-0000-000016250000}"/>
    <cellStyle name="Обычный 4 2 54 7" xfId="33289" xr:uid="{00000000-0005-0000-0000-000017250000}"/>
    <cellStyle name="Обычный 4 2 54 8" xfId="38629" xr:uid="{00000000-0005-0000-0000-000018250000}"/>
    <cellStyle name="Обычный 4 2 54 9" xfId="43969" xr:uid="{00000000-0005-0000-0000-000019250000}"/>
    <cellStyle name="Обычный 4 2 55" xfId="1272" xr:uid="{00000000-0005-0000-0000-00001A250000}"/>
    <cellStyle name="Обычный 4 2 55 10" xfId="49335" xr:uid="{00000000-0005-0000-0000-00001B250000}"/>
    <cellStyle name="Обычный 4 2 55 2" xfId="6614" xr:uid="{00000000-0005-0000-0000-00001C250000}"/>
    <cellStyle name="Обычный 4 2 55 2 2" xfId="54676" xr:uid="{00000000-0005-0000-0000-00001D250000}"/>
    <cellStyle name="Обычный 4 2 55 3" xfId="11955" xr:uid="{00000000-0005-0000-0000-00001E250000}"/>
    <cellStyle name="Обычный 4 2 55 4" xfId="17295" xr:uid="{00000000-0005-0000-0000-00001F250000}"/>
    <cellStyle name="Обычный 4 2 55 5" xfId="22635" xr:uid="{00000000-0005-0000-0000-000020250000}"/>
    <cellStyle name="Обычный 4 2 55 6" xfId="27975" xr:uid="{00000000-0005-0000-0000-000021250000}"/>
    <cellStyle name="Обычный 4 2 55 7" xfId="33315" xr:uid="{00000000-0005-0000-0000-000022250000}"/>
    <cellStyle name="Обычный 4 2 55 8" xfId="38655" xr:uid="{00000000-0005-0000-0000-000023250000}"/>
    <cellStyle name="Обычный 4 2 55 9" xfId="43995" xr:uid="{00000000-0005-0000-0000-000024250000}"/>
    <cellStyle name="Обычный 4 2 56" xfId="1298" xr:uid="{00000000-0005-0000-0000-000025250000}"/>
    <cellStyle name="Обычный 4 2 56 10" xfId="49361" xr:uid="{00000000-0005-0000-0000-000026250000}"/>
    <cellStyle name="Обычный 4 2 56 2" xfId="6640" xr:uid="{00000000-0005-0000-0000-000027250000}"/>
    <cellStyle name="Обычный 4 2 56 2 2" xfId="54702" xr:uid="{00000000-0005-0000-0000-000028250000}"/>
    <cellStyle name="Обычный 4 2 56 3" xfId="11981" xr:uid="{00000000-0005-0000-0000-000029250000}"/>
    <cellStyle name="Обычный 4 2 56 4" xfId="17321" xr:uid="{00000000-0005-0000-0000-00002A250000}"/>
    <cellStyle name="Обычный 4 2 56 5" xfId="22661" xr:uid="{00000000-0005-0000-0000-00002B250000}"/>
    <cellStyle name="Обычный 4 2 56 6" xfId="28001" xr:uid="{00000000-0005-0000-0000-00002C250000}"/>
    <cellStyle name="Обычный 4 2 56 7" xfId="33341" xr:uid="{00000000-0005-0000-0000-00002D250000}"/>
    <cellStyle name="Обычный 4 2 56 8" xfId="38681" xr:uid="{00000000-0005-0000-0000-00002E250000}"/>
    <cellStyle name="Обычный 4 2 56 9" xfId="44021" xr:uid="{00000000-0005-0000-0000-00002F250000}"/>
    <cellStyle name="Обычный 4 2 57" xfId="1324" xr:uid="{00000000-0005-0000-0000-000030250000}"/>
    <cellStyle name="Обычный 4 2 57 10" xfId="49387" xr:uid="{00000000-0005-0000-0000-000031250000}"/>
    <cellStyle name="Обычный 4 2 57 2" xfId="6666" xr:uid="{00000000-0005-0000-0000-000032250000}"/>
    <cellStyle name="Обычный 4 2 57 2 2" xfId="54728" xr:uid="{00000000-0005-0000-0000-000033250000}"/>
    <cellStyle name="Обычный 4 2 57 3" xfId="12007" xr:uid="{00000000-0005-0000-0000-000034250000}"/>
    <cellStyle name="Обычный 4 2 57 4" xfId="17347" xr:uid="{00000000-0005-0000-0000-000035250000}"/>
    <cellStyle name="Обычный 4 2 57 5" xfId="22687" xr:uid="{00000000-0005-0000-0000-000036250000}"/>
    <cellStyle name="Обычный 4 2 57 6" xfId="28027" xr:uid="{00000000-0005-0000-0000-000037250000}"/>
    <cellStyle name="Обычный 4 2 57 7" xfId="33367" xr:uid="{00000000-0005-0000-0000-000038250000}"/>
    <cellStyle name="Обычный 4 2 57 8" xfId="38707" xr:uid="{00000000-0005-0000-0000-000039250000}"/>
    <cellStyle name="Обычный 4 2 57 9" xfId="44047" xr:uid="{00000000-0005-0000-0000-00003A250000}"/>
    <cellStyle name="Обычный 4 2 58" xfId="1350" xr:uid="{00000000-0005-0000-0000-00003B250000}"/>
    <cellStyle name="Обычный 4 2 58 10" xfId="49413" xr:uid="{00000000-0005-0000-0000-00003C250000}"/>
    <cellStyle name="Обычный 4 2 58 2" xfId="6692" xr:uid="{00000000-0005-0000-0000-00003D250000}"/>
    <cellStyle name="Обычный 4 2 58 2 2" xfId="54754" xr:uid="{00000000-0005-0000-0000-00003E250000}"/>
    <cellStyle name="Обычный 4 2 58 3" xfId="12033" xr:uid="{00000000-0005-0000-0000-00003F250000}"/>
    <cellStyle name="Обычный 4 2 58 4" xfId="17373" xr:uid="{00000000-0005-0000-0000-000040250000}"/>
    <cellStyle name="Обычный 4 2 58 5" xfId="22713" xr:uid="{00000000-0005-0000-0000-000041250000}"/>
    <cellStyle name="Обычный 4 2 58 6" xfId="28053" xr:uid="{00000000-0005-0000-0000-000042250000}"/>
    <cellStyle name="Обычный 4 2 58 7" xfId="33393" xr:uid="{00000000-0005-0000-0000-000043250000}"/>
    <cellStyle name="Обычный 4 2 58 8" xfId="38733" xr:uid="{00000000-0005-0000-0000-000044250000}"/>
    <cellStyle name="Обычный 4 2 58 9" xfId="44073" xr:uid="{00000000-0005-0000-0000-000045250000}"/>
    <cellStyle name="Обычный 4 2 59" xfId="1376" xr:uid="{00000000-0005-0000-0000-000046250000}"/>
    <cellStyle name="Обычный 4 2 59 10" xfId="49439" xr:uid="{00000000-0005-0000-0000-000047250000}"/>
    <cellStyle name="Обычный 4 2 59 2" xfId="6718" xr:uid="{00000000-0005-0000-0000-000048250000}"/>
    <cellStyle name="Обычный 4 2 59 2 2" xfId="54780" xr:uid="{00000000-0005-0000-0000-000049250000}"/>
    <cellStyle name="Обычный 4 2 59 3" xfId="12059" xr:uid="{00000000-0005-0000-0000-00004A250000}"/>
    <cellStyle name="Обычный 4 2 59 4" xfId="17399" xr:uid="{00000000-0005-0000-0000-00004B250000}"/>
    <cellStyle name="Обычный 4 2 59 5" xfId="22739" xr:uid="{00000000-0005-0000-0000-00004C250000}"/>
    <cellStyle name="Обычный 4 2 59 6" xfId="28079" xr:uid="{00000000-0005-0000-0000-00004D250000}"/>
    <cellStyle name="Обычный 4 2 59 7" xfId="33419" xr:uid="{00000000-0005-0000-0000-00004E250000}"/>
    <cellStyle name="Обычный 4 2 59 8" xfId="38759" xr:uid="{00000000-0005-0000-0000-00004F250000}"/>
    <cellStyle name="Обычный 4 2 59 9" xfId="44099" xr:uid="{00000000-0005-0000-0000-000050250000}"/>
    <cellStyle name="Обычный 4 2 6" xfId="136" xr:uid="{00000000-0005-0000-0000-000051250000}"/>
    <cellStyle name="Обычный 4 2 6 10" xfId="42858" xr:uid="{00000000-0005-0000-0000-000052250000}"/>
    <cellStyle name="Обычный 4 2 6 11" xfId="48198" xr:uid="{00000000-0005-0000-0000-000053250000}"/>
    <cellStyle name="Обычный 4 2 6 2" xfId="603" xr:uid="{00000000-0005-0000-0000-000054250000}"/>
    <cellStyle name="Обычный 4 2 6 2 10" xfId="48665" xr:uid="{00000000-0005-0000-0000-000055250000}"/>
    <cellStyle name="Обычный 4 2 6 2 2" xfId="5944" xr:uid="{00000000-0005-0000-0000-000056250000}"/>
    <cellStyle name="Обычный 4 2 6 2 2 2" xfId="54006" xr:uid="{00000000-0005-0000-0000-000057250000}"/>
    <cellStyle name="Обычный 4 2 6 2 3" xfId="11285" xr:uid="{00000000-0005-0000-0000-000058250000}"/>
    <cellStyle name="Обычный 4 2 6 2 4" xfId="16625" xr:uid="{00000000-0005-0000-0000-000059250000}"/>
    <cellStyle name="Обычный 4 2 6 2 5" xfId="21965" xr:uid="{00000000-0005-0000-0000-00005A250000}"/>
    <cellStyle name="Обычный 4 2 6 2 6" xfId="27305" xr:uid="{00000000-0005-0000-0000-00005B250000}"/>
    <cellStyle name="Обычный 4 2 6 2 7" xfId="32645" xr:uid="{00000000-0005-0000-0000-00005C250000}"/>
    <cellStyle name="Обычный 4 2 6 2 8" xfId="37985" xr:uid="{00000000-0005-0000-0000-00005D250000}"/>
    <cellStyle name="Обычный 4 2 6 2 9" xfId="43325" xr:uid="{00000000-0005-0000-0000-00005E250000}"/>
    <cellStyle name="Обычный 4 2 6 3" xfId="5477" xr:uid="{00000000-0005-0000-0000-00005F250000}"/>
    <cellStyle name="Обычный 4 2 6 3 2" xfId="53539" xr:uid="{00000000-0005-0000-0000-000060250000}"/>
    <cellStyle name="Обычный 4 2 6 4" xfId="10818" xr:uid="{00000000-0005-0000-0000-000061250000}"/>
    <cellStyle name="Обычный 4 2 6 5" xfId="16158" xr:uid="{00000000-0005-0000-0000-000062250000}"/>
    <cellStyle name="Обычный 4 2 6 6" xfId="21498" xr:uid="{00000000-0005-0000-0000-000063250000}"/>
    <cellStyle name="Обычный 4 2 6 7" xfId="26838" xr:uid="{00000000-0005-0000-0000-000064250000}"/>
    <cellStyle name="Обычный 4 2 6 8" xfId="32178" xr:uid="{00000000-0005-0000-0000-000065250000}"/>
    <cellStyle name="Обычный 4 2 6 9" xfId="37518" xr:uid="{00000000-0005-0000-0000-000066250000}"/>
    <cellStyle name="Обычный 4 2 60" xfId="1402" xr:uid="{00000000-0005-0000-0000-000067250000}"/>
    <cellStyle name="Обычный 4 2 60 10" xfId="49465" xr:uid="{00000000-0005-0000-0000-000068250000}"/>
    <cellStyle name="Обычный 4 2 60 2" xfId="6744" xr:uid="{00000000-0005-0000-0000-000069250000}"/>
    <cellStyle name="Обычный 4 2 60 2 2" xfId="54806" xr:uid="{00000000-0005-0000-0000-00006A250000}"/>
    <cellStyle name="Обычный 4 2 60 3" xfId="12085" xr:uid="{00000000-0005-0000-0000-00006B250000}"/>
    <cellStyle name="Обычный 4 2 60 4" xfId="17425" xr:uid="{00000000-0005-0000-0000-00006C250000}"/>
    <cellStyle name="Обычный 4 2 60 5" xfId="22765" xr:uid="{00000000-0005-0000-0000-00006D250000}"/>
    <cellStyle name="Обычный 4 2 60 6" xfId="28105" xr:uid="{00000000-0005-0000-0000-00006E250000}"/>
    <cellStyle name="Обычный 4 2 60 7" xfId="33445" xr:uid="{00000000-0005-0000-0000-00006F250000}"/>
    <cellStyle name="Обычный 4 2 60 8" xfId="38785" xr:uid="{00000000-0005-0000-0000-000070250000}"/>
    <cellStyle name="Обычный 4 2 60 9" xfId="44125" xr:uid="{00000000-0005-0000-0000-000071250000}"/>
    <cellStyle name="Обычный 4 2 61" xfId="1428" xr:uid="{00000000-0005-0000-0000-000072250000}"/>
    <cellStyle name="Обычный 4 2 61 10" xfId="49491" xr:uid="{00000000-0005-0000-0000-000073250000}"/>
    <cellStyle name="Обычный 4 2 61 2" xfId="6770" xr:uid="{00000000-0005-0000-0000-000074250000}"/>
    <cellStyle name="Обычный 4 2 61 2 2" xfId="54832" xr:uid="{00000000-0005-0000-0000-000075250000}"/>
    <cellStyle name="Обычный 4 2 61 3" xfId="12111" xr:uid="{00000000-0005-0000-0000-000076250000}"/>
    <cellStyle name="Обычный 4 2 61 4" xfId="17451" xr:uid="{00000000-0005-0000-0000-000077250000}"/>
    <cellStyle name="Обычный 4 2 61 5" xfId="22791" xr:uid="{00000000-0005-0000-0000-000078250000}"/>
    <cellStyle name="Обычный 4 2 61 6" xfId="28131" xr:uid="{00000000-0005-0000-0000-000079250000}"/>
    <cellStyle name="Обычный 4 2 61 7" xfId="33471" xr:uid="{00000000-0005-0000-0000-00007A250000}"/>
    <cellStyle name="Обычный 4 2 61 8" xfId="38811" xr:uid="{00000000-0005-0000-0000-00007B250000}"/>
    <cellStyle name="Обычный 4 2 61 9" xfId="44151" xr:uid="{00000000-0005-0000-0000-00007C250000}"/>
    <cellStyle name="Обычный 4 2 62" xfId="1454" xr:uid="{00000000-0005-0000-0000-00007D250000}"/>
    <cellStyle name="Обычный 4 2 62 10" xfId="49517" xr:uid="{00000000-0005-0000-0000-00007E250000}"/>
    <cellStyle name="Обычный 4 2 62 2" xfId="6796" xr:uid="{00000000-0005-0000-0000-00007F250000}"/>
    <cellStyle name="Обычный 4 2 62 2 2" xfId="54858" xr:uid="{00000000-0005-0000-0000-000080250000}"/>
    <cellStyle name="Обычный 4 2 62 3" xfId="12137" xr:uid="{00000000-0005-0000-0000-000081250000}"/>
    <cellStyle name="Обычный 4 2 62 4" xfId="17477" xr:uid="{00000000-0005-0000-0000-000082250000}"/>
    <cellStyle name="Обычный 4 2 62 5" xfId="22817" xr:uid="{00000000-0005-0000-0000-000083250000}"/>
    <cellStyle name="Обычный 4 2 62 6" xfId="28157" xr:uid="{00000000-0005-0000-0000-000084250000}"/>
    <cellStyle name="Обычный 4 2 62 7" xfId="33497" xr:uid="{00000000-0005-0000-0000-000085250000}"/>
    <cellStyle name="Обычный 4 2 62 8" xfId="38837" xr:uid="{00000000-0005-0000-0000-000086250000}"/>
    <cellStyle name="Обычный 4 2 62 9" xfId="44177" xr:uid="{00000000-0005-0000-0000-000087250000}"/>
    <cellStyle name="Обычный 4 2 63" xfId="1480" xr:uid="{00000000-0005-0000-0000-000088250000}"/>
    <cellStyle name="Обычный 4 2 63 10" xfId="49543" xr:uid="{00000000-0005-0000-0000-000089250000}"/>
    <cellStyle name="Обычный 4 2 63 2" xfId="6822" xr:uid="{00000000-0005-0000-0000-00008A250000}"/>
    <cellStyle name="Обычный 4 2 63 2 2" xfId="54884" xr:uid="{00000000-0005-0000-0000-00008B250000}"/>
    <cellStyle name="Обычный 4 2 63 3" xfId="12163" xr:uid="{00000000-0005-0000-0000-00008C250000}"/>
    <cellStyle name="Обычный 4 2 63 4" xfId="17503" xr:uid="{00000000-0005-0000-0000-00008D250000}"/>
    <cellStyle name="Обычный 4 2 63 5" xfId="22843" xr:uid="{00000000-0005-0000-0000-00008E250000}"/>
    <cellStyle name="Обычный 4 2 63 6" xfId="28183" xr:uid="{00000000-0005-0000-0000-00008F250000}"/>
    <cellStyle name="Обычный 4 2 63 7" xfId="33523" xr:uid="{00000000-0005-0000-0000-000090250000}"/>
    <cellStyle name="Обычный 4 2 63 8" xfId="38863" xr:uid="{00000000-0005-0000-0000-000091250000}"/>
    <cellStyle name="Обычный 4 2 63 9" xfId="44203" xr:uid="{00000000-0005-0000-0000-000092250000}"/>
    <cellStyle name="Обычный 4 2 64" xfId="1506" xr:uid="{00000000-0005-0000-0000-000093250000}"/>
    <cellStyle name="Обычный 4 2 64 10" xfId="49569" xr:uid="{00000000-0005-0000-0000-000094250000}"/>
    <cellStyle name="Обычный 4 2 64 2" xfId="6848" xr:uid="{00000000-0005-0000-0000-000095250000}"/>
    <cellStyle name="Обычный 4 2 64 2 2" xfId="54910" xr:uid="{00000000-0005-0000-0000-000096250000}"/>
    <cellStyle name="Обычный 4 2 64 3" xfId="12189" xr:uid="{00000000-0005-0000-0000-000097250000}"/>
    <cellStyle name="Обычный 4 2 64 4" xfId="17529" xr:uid="{00000000-0005-0000-0000-000098250000}"/>
    <cellStyle name="Обычный 4 2 64 5" xfId="22869" xr:uid="{00000000-0005-0000-0000-000099250000}"/>
    <cellStyle name="Обычный 4 2 64 6" xfId="28209" xr:uid="{00000000-0005-0000-0000-00009A250000}"/>
    <cellStyle name="Обычный 4 2 64 7" xfId="33549" xr:uid="{00000000-0005-0000-0000-00009B250000}"/>
    <cellStyle name="Обычный 4 2 64 8" xfId="38889" xr:uid="{00000000-0005-0000-0000-00009C250000}"/>
    <cellStyle name="Обычный 4 2 64 9" xfId="44229" xr:uid="{00000000-0005-0000-0000-00009D250000}"/>
    <cellStyle name="Обычный 4 2 65" xfId="1532" xr:uid="{00000000-0005-0000-0000-00009E250000}"/>
    <cellStyle name="Обычный 4 2 65 10" xfId="49595" xr:uid="{00000000-0005-0000-0000-00009F250000}"/>
    <cellStyle name="Обычный 4 2 65 2" xfId="6874" xr:uid="{00000000-0005-0000-0000-0000A0250000}"/>
    <cellStyle name="Обычный 4 2 65 2 2" xfId="54936" xr:uid="{00000000-0005-0000-0000-0000A1250000}"/>
    <cellStyle name="Обычный 4 2 65 3" xfId="12215" xr:uid="{00000000-0005-0000-0000-0000A2250000}"/>
    <cellStyle name="Обычный 4 2 65 4" xfId="17555" xr:uid="{00000000-0005-0000-0000-0000A3250000}"/>
    <cellStyle name="Обычный 4 2 65 5" xfId="22895" xr:uid="{00000000-0005-0000-0000-0000A4250000}"/>
    <cellStyle name="Обычный 4 2 65 6" xfId="28235" xr:uid="{00000000-0005-0000-0000-0000A5250000}"/>
    <cellStyle name="Обычный 4 2 65 7" xfId="33575" xr:uid="{00000000-0005-0000-0000-0000A6250000}"/>
    <cellStyle name="Обычный 4 2 65 8" xfId="38915" xr:uid="{00000000-0005-0000-0000-0000A7250000}"/>
    <cellStyle name="Обычный 4 2 65 9" xfId="44255" xr:uid="{00000000-0005-0000-0000-0000A8250000}"/>
    <cellStyle name="Обычный 4 2 66" xfId="1558" xr:uid="{00000000-0005-0000-0000-0000A9250000}"/>
    <cellStyle name="Обычный 4 2 66 10" xfId="49621" xr:uid="{00000000-0005-0000-0000-0000AA250000}"/>
    <cellStyle name="Обычный 4 2 66 2" xfId="6900" xr:uid="{00000000-0005-0000-0000-0000AB250000}"/>
    <cellStyle name="Обычный 4 2 66 2 2" xfId="54962" xr:uid="{00000000-0005-0000-0000-0000AC250000}"/>
    <cellStyle name="Обычный 4 2 66 3" xfId="12241" xr:uid="{00000000-0005-0000-0000-0000AD250000}"/>
    <cellStyle name="Обычный 4 2 66 4" xfId="17581" xr:uid="{00000000-0005-0000-0000-0000AE250000}"/>
    <cellStyle name="Обычный 4 2 66 5" xfId="22921" xr:uid="{00000000-0005-0000-0000-0000AF250000}"/>
    <cellStyle name="Обычный 4 2 66 6" xfId="28261" xr:uid="{00000000-0005-0000-0000-0000B0250000}"/>
    <cellStyle name="Обычный 4 2 66 7" xfId="33601" xr:uid="{00000000-0005-0000-0000-0000B1250000}"/>
    <cellStyle name="Обычный 4 2 66 8" xfId="38941" xr:uid="{00000000-0005-0000-0000-0000B2250000}"/>
    <cellStyle name="Обычный 4 2 66 9" xfId="44281" xr:uid="{00000000-0005-0000-0000-0000B3250000}"/>
    <cellStyle name="Обычный 4 2 67" xfId="1584" xr:uid="{00000000-0005-0000-0000-0000B4250000}"/>
    <cellStyle name="Обычный 4 2 67 10" xfId="49647" xr:uid="{00000000-0005-0000-0000-0000B5250000}"/>
    <cellStyle name="Обычный 4 2 67 2" xfId="6926" xr:uid="{00000000-0005-0000-0000-0000B6250000}"/>
    <cellStyle name="Обычный 4 2 67 2 2" xfId="54988" xr:uid="{00000000-0005-0000-0000-0000B7250000}"/>
    <cellStyle name="Обычный 4 2 67 3" xfId="12267" xr:uid="{00000000-0005-0000-0000-0000B8250000}"/>
    <cellStyle name="Обычный 4 2 67 4" xfId="17607" xr:uid="{00000000-0005-0000-0000-0000B9250000}"/>
    <cellStyle name="Обычный 4 2 67 5" xfId="22947" xr:uid="{00000000-0005-0000-0000-0000BA250000}"/>
    <cellStyle name="Обычный 4 2 67 6" xfId="28287" xr:uid="{00000000-0005-0000-0000-0000BB250000}"/>
    <cellStyle name="Обычный 4 2 67 7" xfId="33627" xr:uid="{00000000-0005-0000-0000-0000BC250000}"/>
    <cellStyle name="Обычный 4 2 67 8" xfId="38967" xr:uid="{00000000-0005-0000-0000-0000BD250000}"/>
    <cellStyle name="Обычный 4 2 67 9" xfId="44307" xr:uid="{00000000-0005-0000-0000-0000BE250000}"/>
    <cellStyle name="Обычный 4 2 68" xfId="1610" xr:uid="{00000000-0005-0000-0000-0000BF250000}"/>
    <cellStyle name="Обычный 4 2 68 10" xfId="49673" xr:uid="{00000000-0005-0000-0000-0000C0250000}"/>
    <cellStyle name="Обычный 4 2 68 2" xfId="6952" xr:uid="{00000000-0005-0000-0000-0000C1250000}"/>
    <cellStyle name="Обычный 4 2 68 2 2" xfId="55014" xr:uid="{00000000-0005-0000-0000-0000C2250000}"/>
    <cellStyle name="Обычный 4 2 68 3" xfId="12293" xr:uid="{00000000-0005-0000-0000-0000C3250000}"/>
    <cellStyle name="Обычный 4 2 68 4" xfId="17633" xr:uid="{00000000-0005-0000-0000-0000C4250000}"/>
    <cellStyle name="Обычный 4 2 68 5" xfId="22973" xr:uid="{00000000-0005-0000-0000-0000C5250000}"/>
    <cellStyle name="Обычный 4 2 68 6" xfId="28313" xr:uid="{00000000-0005-0000-0000-0000C6250000}"/>
    <cellStyle name="Обычный 4 2 68 7" xfId="33653" xr:uid="{00000000-0005-0000-0000-0000C7250000}"/>
    <cellStyle name="Обычный 4 2 68 8" xfId="38993" xr:uid="{00000000-0005-0000-0000-0000C8250000}"/>
    <cellStyle name="Обычный 4 2 68 9" xfId="44333" xr:uid="{00000000-0005-0000-0000-0000C9250000}"/>
    <cellStyle name="Обычный 4 2 69" xfId="1636" xr:uid="{00000000-0005-0000-0000-0000CA250000}"/>
    <cellStyle name="Обычный 4 2 69 10" xfId="49699" xr:uid="{00000000-0005-0000-0000-0000CB250000}"/>
    <cellStyle name="Обычный 4 2 69 2" xfId="6978" xr:uid="{00000000-0005-0000-0000-0000CC250000}"/>
    <cellStyle name="Обычный 4 2 69 2 2" xfId="55040" xr:uid="{00000000-0005-0000-0000-0000CD250000}"/>
    <cellStyle name="Обычный 4 2 69 3" xfId="12319" xr:uid="{00000000-0005-0000-0000-0000CE250000}"/>
    <cellStyle name="Обычный 4 2 69 4" xfId="17659" xr:uid="{00000000-0005-0000-0000-0000CF250000}"/>
    <cellStyle name="Обычный 4 2 69 5" xfId="22999" xr:uid="{00000000-0005-0000-0000-0000D0250000}"/>
    <cellStyle name="Обычный 4 2 69 6" xfId="28339" xr:uid="{00000000-0005-0000-0000-0000D1250000}"/>
    <cellStyle name="Обычный 4 2 69 7" xfId="33679" xr:uid="{00000000-0005-0000-0000-0000D2250000}"/>
    <cellStyle name="Обычный 4 2 69 8" xfId="39019" xr:uid="{00000000-0005-0000-0000-0000D3250000}"/>
    <cellStyle name="Обычный 4 2 69 9" xfId="44359" xr:uid="{00000000-0005-0000-0000-0000D4250000}"/>
    <cellStyle name="Обычный 4 2 7" xfId="146" xr:uid="{00000000-0005-0000-0000-0000D5250000}"/>
    <cellStyle name="Обычный 4 2 7 10" xfId="42868" xr:uid="{00000000-0005-0000-0000-0000D6250000}"/>
    <cellStyle name="Обычный 4 2 7 11" xfId="48208" xr:uid="{00000000-0005-0000-0000-0000D7250000}"/>
    <cellStyle name="Обычный 4 2 7 2" xfId="613" xr:uid="{00000000-0005-0000-0000-0000D8250000}"/>
    <cellStyle name="Обычный 4 2 7 2 10" xfId="48675" xr:uid="{00000000-0005-0000-0000-0000D9250000}"/>
    <cellStyle name="Обычный 4 2 7 2 2" xfId="5954" xr:uid="{00000000-0005-0000-0000-0000DA250000}"/>
    <cellStyle name="Обычный 4 2 7 2 2 2" xfId="54016" xr:uid="{00000000-0005-0000-0000-0000DB250000}"/>
    <cellStyle name="Обычный 4 2 7 2 3" xfId="11295" xr:uid="{00000000-0005-0000-0000-0000DC250000}"/>
    <cellStyle name="Обычный 4 2 7 2 4" xfId="16635" xr:uid="{00000000-0005-0000-0000-0000DD250000}"/>
    <cellStyle name="Обычный 4 2 7 2 5" xfId="21975" xr:uid="{00000000-0005-0000-0000-0000DE250000}"/>
    <cellStyle name="Обычный 4 2 7 2 6" xfId="27315" xr:uid="{00000000-0005-0000-0000-0000DF250000}"/>
    <cellStyle name="Обычный 4 2 7 2 7" xfId="32655" xr:uid="{00000000-0005-0000-0000-0000E0250000}"/>
    <cellStyle name="Обычный 4 2 7 2 8" xfId="37995" xr:uid="{00000000-0005-0000-0000-0000E1250000}"/>
    <cellStyle name="Обычный 4 2 7 2 9" xfId="43335" xr:uid="{00000000-0005-0000-0000-0000E2250000}"/>
    <cellStyle name="Обычный 4 2 7 3" xfId="5487" xr:uid="{00000000-0005-0000-0000-0000E3250000}"/>
    <cellStyle name="Обычный 4 2 7 3 2" xfId="53549" xr:uid="{00000000-0005-0000-0000-0000E4250000}"/>
    <cellStyle name="Обычный 4 2 7 4" xfId="10828" xr:uid="{00000000-0005-0000-0000-0000E5250000}"/>
    <cellStyle name="Обычный 4 2 7 5" xfId="16168" xr:uid="{00000000-0005-0000-0000-0000E6250000}"/>
    <cellStyle name="Обычный 4 2 7 6" xfId="21508" xr:uid="{00000000-0005-0000-0000-0000E7250000}"/>
    <cellStyle name="Обычный 4 2 7 7" xfId="26848" xr:uid="{00000000-0005-0000-0000-0000E8250000}"/>
    <cellStyle name="Обычный 4 2 7 8" xfId="32188" xr:uid="{00000000-0005-0000-0000-0000E9250000}"/>
    <cellStyle name="Обычный 4 2 7 9" xfId="37528" xr:uid="{00000000-0005-0000-0000-0000EA250000}"/>
    <cellStyle name="Обычный 4 2 70" xfId="1662" xr:uid="{00000000-0005-0000-0000-0000EB250000}"/>
    <cellStyle name="Обычный 4 2 70 10" xfId="49725" xr:uid="{00000000-0005-0000-0000-0000EC250000}"/>
    <cellStyle name="Обычный 4 2 70 2" xfId="7004" xr:uid="{00000000-0005-0000-0000-0000ED250000}"/>
    <cellStyle name="Обычный 4 2 70 2 2" xfId="55066" xr:uid="{00000000-0005-0000-0000-0000EE250000}"/>
    <cellStyle name="Обычный 4 2 70 3" xfId="12345" xr:uid="{00000000-0005-0000-0000-0000EF250000}"/>
    <cellStyle name="Обычный 4 2 70 4" xfId="17685" xr:uid="{00000000-0005-0000-0000-0000F0250000}"/>
    <cellStyle name="Обычный 4 2 70 5" xfId="23025" xr:uid="{00000000-0005-0000-0000-0000F1250000}"/>
    <cellStyle name="Обычный 4 2 70 6" xfId="28365" xr:uid="{00000000-0005-0000-0000-0000F2250000}"/>
    <cellStyle name="Обычный 4 2 70 7" xfId="33705" xr:uid="{00000000-0005-0000-0000-0000F3250000}"/>
    <cellStyle name="Обычный 4 2 70 8" xfId="39045" xr:uid="{00000000-0005-0000-0000-0000F4250000}"/>
    <cellStyle name="Обычный 4 2 70 9" xfId="44385" xr:uid="{00000000-0005-0000-0000-0000F5250000}"/>
    <cellStyle name="Обычный 4 2 71" xfId="1688" xr:uid="{00000000-0005-0000-0000-0000F6250000}"/>
    <cellStyle name="Обычный 4 2 71 10" xfId="49751" xr:uid="{00000000-0005-0000-0000-0000F7250000}"/>
    <cellStyle name="Обычный 4 2 71 2" xfId="7030" xr:uid="{00000000-0005-0000-0000-0000F8250000}"/>
    <cellStyle name="Обычный 4 2 71 2 2" xfId="55092" xr:uid="{00000000-0005-0000-0000-0000F9250000}"/>
    <cellStyle name="Обычный 4 2 71 3" xfId="12371" xr:uid="{00000000-0005-0000-0000-0000FA250000}"/>
    <cellStyle name="Обычный 4 2 71 4" xfId="17711" xr:uid="{00000000-0005-0000-0000-0000FB250000}"/>
    <cellStyle name="Обычный 4 2 71 5" xfId="23051" xr:uid="{00000000-0005-0000-0000-0000FC250000}"/>
    <cellStyle name="Обычный 4 2 71 6" xfId="28391" xr:uid="{00000000-0005-0000-0000-0000FD250000}"/>
    <cellStyle name="Обычный 4 2 71 7" xfId="33731" xr:uid="{00000000-0005-0000-0000-0000FE250000}"/>
    <cellStyle name="Обычный 4 2 71 8" xfId="39071" xr:uid="{00000000-0005-0000-0000-0000FF250000}"/>
    <cellStyle name="Обычный 4 2 71 9" xfId="44411" xr:uid="{00000000-0005-0000-0000-000000260000}"/>
    <cellStyle name="Обычный 4 2 72" xfId="1714" xr:uid="{00000000-0005-0000-0000-000001260000}"/>
    <cellStyle name="Обычный 4 2 72 10" xfId="49777" xr:uid="{00000000-0005-0000-0000-000002260000}"/>
    <cellStyle name="Обычный 4 2 72 2" xfId="7056" xr:uid="{00000000-0005-0000-0000-000003260000}"/>
    <cellStyle name="Обычный 4 2 72 2 2" xfId="55118" xr:uid="{00000000-0005-0000-0000-000004260000}"/>
    <cellStyle name="Обычный 4 2 72 3" xfId="12397" xr:uid="{00000000-0005-0000-0000-000005260000}"/>
    <cellStyle name="Обычный 4 2 72 4" xfId="17737" xr:uid="{00000000-0005-0000-0000-000006260000}"/>
    <cellStyle name="Обычный 4 2 72 5" xfId="23077" xr:uid="{00000000-0005-0000-0000-000007260000}"/>
    <cellStyle name="Обычный 4 2 72 6" xfId="28417" xr:uid="{00000000-0005-0000-0000-000008260000}"/>
    <cellStyle name="Обычный 4 2 72 7" xfId="33757" xr:uid="{00000000-0005-0000-0000-000009260000}"/>
    <cellStyle name="Обычный 4 2 72 8" xfId="39097" xr:uid="{00000000-0005-0000-0000-00000A260000}"/>
    <cellStyle name="Обычный 4 2 72 9" xfId="44437" xr:uid="{00000000-0005-0000-0000-00000B260000}"/>
    <cellStyle name="Обычный 4 2 73" xfId="1740" xr:uid="{00000000-0005-0000-0000-00000C260000}"/>
    <cellStyle name="Обычный 4 2 73 10" xfId="49803" xr:uid="{00000000-0005-0000-0000-00000D260000}"/>
    <cellStyle name="Обычный 4 2 73 2" xfId="7082" xr:uid="{00000000-0005-0000-0000-00000E260000}"/>
    <cellStyle name="Обычный 4 2 73 2 2" xfId="55144" xr:uid="{00000000-0005-0000-0000-00000F260000}"/>
    <cellStyle name="Обычный 4 2 73 3" xfId="12423" xr:uid="{00000000-0005-0000-0000-000010260000}"/>
    <cellStyle name="Обычный 4 2 73 4" xfId="17763" xr:uid="{00000000-0005-0000-0000-000011260000}"/>
    <cellStyle name="Обычный 4 2 73 5" xfId="23103" xr:uid="{00000000-0005-0000-0000-000012260000}"/>
    <cellStyle name="Обычный 4 2 73 6" xfId="28443" xr:uid="{00000000-0005-0000-0000-000013260000}"/>
    <cellStyle name="Обычный 4 2 73 7" xfId="33783" xr:uid="{00000000-0005-0000-0000-000014260000}"/>
    <cellStyle name="Обычный 4 2 73 8" xfId="39123" xr:uid="{00000000-0005-0000-0000-000015260000}"/>
    <cellStyle name="Обычный 4 2 73 9" xfId="44463" xr:uid="{00000000-0005-0000-0000-000016260000}"/>
    <cellStyle name="Обычный 4 2 74" xfId="1766" xr:uid="{00000000-0005-0000-0000-000017260000}"/>
    <cellStyle name="Обычный 4 2 74 10" xfId="49829" xr:uid="{00000000-0005-0000-0000-000018260000}"/>
    <cellStyle name="Обычный 4 2 74 2" xfId="7108" xr:uid="{00000000-0005-0000-0000-000019260000}"/>
    <cellStyle name="Обычный 4 2 74 2 2" xfId="55170" xr:uid="{00000000-0005-0000-0000-00001A260000}"/>
    <cellStyle name="Обычный 4 2 74 3" xfId="12449" xr:uid="{00000000-0005-0000-0000-00001B260000}"/>
    <cellStyle name="Обычный 4 2 74 4" xfId="17789" xr:uid="{00000000-0005-0000-0000-00001C260000}"/>
    <cellStyle name="Обычный 4 2 74 5" xfId="23129" xr:uid="{00000000-0005-0000-0000-00001D260000}"/>
    <cellStyle name="Обычный 4 2 74 6" xfId="28469" xr:uid="{00000000-0005-0000-0000-00001E260000}"/>
    <cellStyle name="Обычный 4 2 74 7" xfId="33809" xr:uid="{00000000-0005-0000-0000-00001F260000}"/>
    <cellStyle name="Обычный 4 2 74 8" xfId="39149" xr:uid="{00000000-0005-0000-0000-000020260000}"/>
    <cellStyle name="Обычный 4 2 74 9" xfId="44489" xr:uid="{00000000-0005-0000-0000-000021260000}"/>
    <cellStyle name="Обычный 4 2 75" xfId="1792" xr:uid="{00000000-0005-0000-0000-000022260000}"/>
    <cellStyle name="Обычный 4 2 75 10" xfId="49855" xr:uid="{00000000-0005-0000-0000-000023260000}"/>
    <cellStyle name="Обычный 4 2 75 2" xfId="7134" xr:uid="{00000000-0005-0000-0000-000024260000}"/>
    <cellStyle name="Обычный 4 2 75 2 2" xfId="55196" xr:uid="{00000000-0005-0000-0000-000025260000}"/>
    <cellStyle name="Обычный 4 2 75 3" xfId="12475" xr:uid="{00000000-0005-0000-0000-000026260000}"/>
    <cellStyle name="Обычный 4 2 75 4" xfId="17815" xr:uid="{00000000-0005-0000-0000-000027260000}"/>
    <cellStyle name="Обычный 4 2 75 5" xfId="23155" xr:uid="{00000000-0005-0000-0000-000028260000}"/>
    <cellStyle name="Обычный 4 2 75 6" xfId="28495" xr:uid="{00000000-0005-0000-0000-000029260000}"/>
    <cellStyle name="Обычный 4 2 75 7" xfId="33835" xr:uid="{00000000-0005-0000-0000-00002A260000}"/>
    <cellStyle name="Обычный 4 2 75 8" xfId="39175" xr:uid="{00000000-0005-0000-0000-00002B260000}"/>
    <cellStyle name="Обычный 4 2 75 9" xfId="44515" xr:uid="{00000000-0005-0000-0000-00002C260000}"/>
    <cellStyle name="Обычный 4 2 76" xfId="1818" xr:uid="{00000000-0005-0000-0000-00002D260000}"/>
    <cellStyle name="Обычный 4 2 76 10" xfId="49881" xr:uid="{00000000-0005-0000-0000-00002E260000}"/>
    <cellStyle name="Обычный 4 2 76 2" xfId="7160" xr:uid="{00000000-0005-0000-0000-00002F260000}"/>
    <cellStyle name="Обычный 4 2 76 2 2" xfId="55222" xr:uid="{00000000-0005-0000-0000-000030260000}"/>
    <cellStyle name="Обычный 4 2 76 3" xfId="12501" xr:uid="{00000000-0005-0000-0000-000031260000}"/>
    <cellStyle name="Обычный 4 2 76 4" xfId="17841" xr:uid="{00000000-0005-0000-0000-000032260000}"/>
    <cellStyle name="Обычный 4 2 76 5" xfId="23181" xr:uid="{00000000-0005-0000-0000-000033260000}"/>
    <cellStyle name="Обычный 4 2 76 6" xfId="28521" xr:uid="{00000000-0005-0000-0000-000034260000}"/>
    <cellStyle name="Обычный 4 2 76 7" xfId="33861" xr:uid="{00000000-0005-0000-0000-000035260000}"/>
    <cellStyle name="Обычный 4 2 76 8" xfId="39201" xr:uid="{00000000-0005-0000-0000-000036260000}"/>
    <cellStyle name="Обычный 4 2 76 9" xfId="44541" xr:uid="{00000000-0005-0000-0000-000037260000}"/>
    <cellStyle name="Обычный 4 2 77" xfId="1844" xr:uid="{00000000-0005-0000-0000-000038260000}"/>
    <cellStyle name="Обычный 4 2 77 10" xfId="49907" xr:uid="{00000000-0005-0000-0000-000039260000}"/>
    <cellStyle name="Обычный 4 2 77 2" xfId="7186" xr:uid="{00000000-0005-0000-0000-00003A260000}"/>
    <cellStyle name="Обычный 4 2 77 2 2" xfId="55248" xr:uid="{00000000-0005-0000-0000-00003B260000}"/>
    <cellStyle name="Обычный 4 2 77 3" xfId="12527" xr:uid="{00000000-0005-0000-0000-00003C260000}"/>
    <cellStyle name="Обычный 4 2 77 4" xfId="17867" xr:uid="{00000000-0005-0000-0000-00003D260000}"/>
    <cellStyle name="Обычный 4 2 77 5" xfId="23207" xr:uid="{00000000-0005-0000-0000-00003E260000}"/>
    <cellStyle name="Обычный 4 2 77 6" xfId="28547" xr:uid="{00000000-0005-0000-0000-00003F260000}"/>
    <cellStyle name="Обычный 4 2 77 7" xfId="33887" xr:uid="{00000000-0005-0000-0000-000040260000}"/>
    <cellStyle name="Обычный 4 2 77 8" xfId="39227" xr:uid="{00000000-0005-0000-0000-000041260000}"/>
    <cellStyle name="Обычный 4 2 77 9" xfId="44567" xr:uid="{00000000-0005-0000-0000-000042260000}"/>
    <cellStyle name="Обычный 4 2 78" xfId="1870" xr:uid="{00000000-0005-0000-0000-000043260000}"/>
    <cellStyle name="Обычный 4 2 78 10" xfId="49933" xr:uid="{00000000-0005-0000-0000-000044260000}"/>
    <cellStyle name="Обычный 4 2 78 2" xfId="7212" xr:uid="{00000000-0005-0000-0000-000045260000}"/>
    <cellStyle name="Обычный 4 2 78 2 2" xfId="55274" xr:uid="{00000000-0005-0000-0000-000046260000}"/>
    <cellStyle name="Обычный 4 2 78 3" xfId="12553" xr:uid="{00000000-0005-0000-0000-000047260000}"/>
    <cellStyle name="Обычный 4 2 78 4" xfId="17893" xr:uid="{00000000-0005-0000-0000-000048260000}"/>
    <cellStyle name="Обычный 4 2 78 5" xfId="23233" xr:uid="{00000000-0005-0000-0000-000049260000}"/>
    <cellStyle name="Обычный 4 2 78 6" xfId="28573" xr:uid="{00000000-0005-0000-0000-00004A260000}"/>
    <cellStyle name="Обычный 4 2 78 7" xfId="33913" xr:uid="{00000000-0005-0000-0000-00004B260000}"/>
    <cellStyle name="Обычный 4 2 78 8" xfId="39253" xr:uid="{00000000-0005-0000-0000-00004C260000}"/>
    <cellStyle name="Обычный 4 2 78 9" xfId="44593" xr:uid="{00000000-0005-0000-0000-00004D260000}"/>
    <cellStyle name="Обычный 4 2 79" xfId="1896" xr:uid="{00000000-0005-0000-0000-00004E260000}"/>
    <cellStyle name="Обычный 4 2 79 10" xfId="49959" xr:uid="{00000000-0005-0000-0000-00004F260000}"/>
    <cellStyle name="Обычный 4 2 79 2" xfId="7238" xr:uid="{00000000-0005-0000-0000-000050260000}"/>
    <cellStyle name="Обычный 4 2 79 2 2" xfId="55300" xr:uid="{00000000-0005-0000-0000-000051260000}"/>
    <cellStyle name="Обычный 4 2 79 3" xfId="12579" xr:uid="{00000000-0005-0000-0000-000052260000}"/>
    <cellStyle name="Обычный 4 2 79 4" xfId="17919" xr:uid="{00000000-0005-0000-0000-000053260000}"/>
    <cellStyle name="Обычный 4 2 79 5" xfId="23259" xr:uid="{00000000-0005-0000-0000-000054260000}"/>
    <cellStyle name="Обычный 4 2 79 6" xfId="28599" xr:uid="{00000000-0005-0000-0000-000055260000}"/>
    <cellStyle name="Обычный 4 2 79 7" xfId="33939" xr:uid="{00000000-0005-0000-0000-000056260000}"/>
    <cellStyle name="Обычный 4 2 79 8" xfId="39279" xr:uid="{00000000-0005-0000-0000-000057260000}"/>
    <cellStyle name="Обычный 4 2 79 9" xfId="44619" xr:uid="{00000000-0005-0000-0000-000058260000}"/>
    <cellStyle name="Обычный 4 2 8" xfId="156" xr:uid="{00000000-0005-0000-0000-000059260000}"/>
    <cellStyle name="Обычный 4 2 8 10" xfId="42878" xr:uid="{00000000-0005-0000-0000-00005A260000}"/>
    <cellStyle name="Обычный 4 2 8 11" xfId="48218" xr:uid="{00000000-0005-0000-0000-00005B260000}"/>
    <cellStyle name="Обычный 4 2 8 2" xfId="623" xr:uid="{00000000-0005-0000-0000-00005C260000}"/>
    <cellStyle name="Обычный 4 2 8 2 10" xfId="48685" xr:uid="{00000000-0005-0000-0000-00005D260000}"/>
    <cellStyle name="Обычный 4 2 8 2 2" xfId="5964" xr:uid="{00000000-0005-0000-0000-00005E260000}"/>
    <cellStyle name="Обычный 4 2 8 2 2 2" xfId="54026" xr:uid="{00000000-0005-0000-0000-00005F260000}"/>
    <cellStyle name="Обычный 4 2 8 2 3" xfId="11305" xr:uid="{00000000-0005-0000-0000-000060260000}"/>
    <cellStyle name="Обычный 4 2 8 2 4" xfId="16645" xr:uid="{00000000-0005-0000-0000-000061260000}"/>
    <cellStyle name="Обычный 4 2 8 2 5" xfId="21985" xr:uid="{00000000-0005-0000-0000-000062260000}"/>
    <cellStyle name="Обычный 4 2 8 2 6" xfId="27325" xr:uid="{00000000-0005-0000-0000-000063260000}"/>
    <cellStyle name="Обычный 4 2 8 2 7" xfId="32665" xr:uid="{00000000-0005-0000-0000-000064260000}"/>
    <cellStyle name="Обычный 4 2 8 2 8" xfId="38005" xr:uid="{00000000-0005-0000-0000-000065260000}"/>
    <cellStyle name="Обычный 4 2 8 2 9" xfId="43345" xr:uid="{00000000-0005-0000-0000-000066260000}"/>
    <cellStyle name="Обычный 4 2 8 3" xfId="5497" xr:uid="{00000000-0005-0000-0000-000067260000}"/>
    <cellStyle name="Обычный 4 2 8 3 2" xfId="53559" xr:uid="{00000000-0005-0000-0000-000068260000}"/>
    <cellStyle name="Обычный 4 2 8 4" xfId="10838" xr:uid="{00000000-0005-0000-0000-000069260000}"/>
    <cellStyle name="Обычный 4 2 8 5" xfId="16178" xr:uid="{00000000-0005-0000-0000-00006A260000}"/>
    <cellStyle name="Обычный 4 2 8 6" xfId="21518" xr:uid="{00000000-0005-0000-0000-00006B260000}"/>
    <cellStyle name="Обычный 4 2 8 7" xfId="26858" xr:uid="{00000000-0005-0000-0000-00006C260000}"/>
    <cellStyle name="Обычный 4 2 8 8" xfId="32198" xr:uid="{00000000-0005-0000-0000-00006D260000}"/>
    <cellStyle name="Обычный 4 2 8 9" xfId="37538" xr:uid="{00000000-0005-0000-0000-00006E260000}"/>
    <cellStyle name="Обычный 4 2 80" xfId="1922" xr:uid="{00000000-0005-0000-0000-00006F260000}"/>
    <cellStyle name="Обычный 4 2 80 10" xfId="49985" xr:uid="{00000000-0005-0000-0000-000070260000}"/>
    <cellStyle name="Обычный 4 2 80 2" xfId="7264" xr:uid="{00000000-0005-0000-0000-000071260000}"/>
    <cellStyle name="Обычный 4 2 80 2 2" xfId="55326" xr:uid="{00000000-0005-0000-0000-000072260000}"/>
    <cellStyle name="Обычный 4 2 80 3" xfId="12605" xr:uid="{00000000-0005-0000-0000-000073260000}"/>
    <cellStyle name="Обычный 4 2 80 4" xfId="17945" xr:uid="{00000000-0005-0000-0000-000074260000}"/>
    <cellStyle name="Обычный 4 2 80 5" xfId="23285" xr:uid="{00000000-0005-0000-0000-000075260000}"/>
    <cellStyle name="Обычный 4 2 80 6" xfId="28625" xr:uid="{00000000-0005-0000-0000-000076260000}"/>
    <cellStyle name="Обычный 4 2 80 7" xfId="33965" xr:uid="{00000000-0005-0000-0000-000077260000}"/>
    <cellStyle name="Обычный 4 2 80 8" xfId="39305" xr:uid="{00000000-0005-0000-0000-000078260000}"/>
    <cellStyle name="Обычный 4 2 80 9" xfId="44645" xr:uid="{00000000-0005-0000-0000-000079260000}"/>
    <cellStyle name="Обычный 4 2 81" xfId="1950" xr:uid="{00000000-0005-0000-0000-00007A260000}"/>
    <cellStyle name="Обычный 4 2 81 10" xfId="50013" xr:uid="{00000000-0005-0000-0000-00007B260000}"/>
    <cellStyle name="Обычный 4 2 81 2" xfId="7292" xr:uid="{00000000-0005-0000-0000-00007C260000}"/>
    <cellStyle name="Обычный 4 2 81 2 2" xfId="55354" xr:uid="{00000000-0005-0000-0000-00007D260000}"/>
    <cellStyle name="Обычный 4 2 81 3" xfId="12633" xr:uid="{00000000-0005-0000-0000-00007E260000}"/>
    <cellStyle name="Обычный 4 2 81 4" xfId="17973" xr:uid="{00000000-0005-0000-0000-00007F260000}"/>
    <cellStyle name="Обычный 4 2 81 5" xfId="23313" xr:uid="{00000000-0005-0000-0000-000080260000}"/>
    <cellStyle name="Обычный 4 2 81 6" xfId="28653" xr:uid="{00000000-0005-0000-0000-000081260000}"/>
    <cellStyle name="Обычный 4 2 81 7" xfId="33993" xr:uid="{00000000-0005-0000-0000-000082260000}"/>
    <cellStyle name="Обычный 4 2 81 8" xfId="39333" xr:uid="{00000000-0005-0000-0000-000083260000}"/>
    <cellStyle name="Обычный 4 2 81 9" xfId="44673" xr:uid="{00000000-0005-0000-0000-000084260000}"/>
    <cellStyle name="Обычный 4 2 82" xfId="1977" xr:uid="{00000000-0005-0000-0000-000085260000}"/>
    <cellStyle name="Обычный 4 2 82 10" xfId="50041" xr:uid="{00000000-0005-0000-0000-000086260000}"/>
    <cellStyle name="Обычный 4 2 82 2" xfId="7320" xr:uid="{00000000-0005-0000-0000-000087260000}"/>
    <cellStyle name="Обычный 4 2 82 2 2" xfId="55382" xr:uid="{00000000-0005-0000-0000-000088260000}"/>
    <cellStyle name="Обычный 4 2 82 3" xfId="12661" xr:uid="{00000000-0005-0000-0000-000089260000}"/>
    <cellStyle name="Обычный 4 2 82 4" xfId="18001" xr:uid="{00000000-0005-0000-0000-00008A260000}"/>
    <cellStyle name="Обычный 4 2 82 5" xfId="23341" xr:uid="{00000000-0005-0000-0000-00008B260000}"/>
    <cellStyle name="Обычный 4 2 82 6" xfId="28681" xr:uid="{00000000-0005-0000-0000-00008C260000}"/>
    <cellStyle name="Обычный 4 2 82 7" xfId="34021" xr:uid="{00000000-0005-0000-0000-00008D260000}"/>
    <cellStyle name="Обычный 4 2 82 8" xfId="39361" xr:uid="{00000000-0005-0000-0000-00008E260000}"/>
    <cellStyle name="Обычный 4 2 82 9" xfId="44701" xr:uid="{00000000-0005-0000-0000-00008F260000}"/>
    <cellStyle name="Обычный 4 2 83" xfId="2005" xr:uid="{00000000-0005-0000-0000-000090260000}"/>
    <cellStyle name="Обычный 4 2 83 10" xfId="50069" xr:uid="{00000000-0005-0000-0000-000091260000}"/>
    <cellStyle name="Обычный 4 2 83 2" xfId="7348" xr:uid="{00000000-0005-0000-0000-000092260000}"/>
    <cellStyle name="Обычный 4 2 83 2 2" xfId="55410" xr:uid="{00000000-0005-0000-0000-000093260000}"/>
    <cellStyle name="Обычный 4 2 83 3" xfId="12689" xr:uid="{00000000-0005-0000-0000-000094260000}"/>
    <cellStyle name="Обычный 4 2 83 4" xfId="18029" xr:uid="{00000000-0005-0000-0000-000095260000}"/>
    <cellStyle name="Обычный 4 2 83 5" xfId="23369" xr:uid="{00000000-0005-0000-0000-000096260000}"/>
    <cellStyle name="Обычный 4 2 83 6" xfId="28709" xr:uid="{00000000-0005-0000-0000-000097260000}"/>
    <cellStyle name="Обычный 4 2 83 7" xfId="34049" xr:uid="{00000000-0005-0000-0000-000098260000}"/>
    <cellStyle name="Обычный 4 2 83 8" xfId="39389" xr:uid="{00000000-0005-0000-0000-000099260000}"/>
    <cellStyle name="Обычный 4 2 83 9" xfId="44729" xr:uid="{00000000-0005-0000-0000-00009A260000}"/>
    <cellStyle name="Обычный 4 2 84" xfId="2033" xr:uid="{00000000-0005-0000-0000-00009B260000}"/>
    <cellStyle name="Обычный 4 2 84 10" xfId="50097" xr:uid="{00000000-0005-0000-0000-00009C260000}"/>
    <cellStyle name="Обычный 4 2 84 2" xfId="7376" xr:uid="{00000000-0005-0000-0000-00009D260000}"/>
    <cellStyle name="Обычный 4 2 84 2 2" xfId="55438" xr:uid="{00000000-0005-0000-0000-00009E260000}"/>
    <cellStyle name="Обычный 4 2 84 3" xfId="12717" xr:uid="{00000000-0005-0000-0000-00009F260000}"/>
    <cellStyle name="Обычный 4 2 84 4" xfId="18057" xr:uid="{00000000-0005-0000-0000-0000A0260000}"/>
    <cellStyle name="Обычный 4 2 84 5" xfId="23397" xr:uid="{00000000-0005-0000-0000-0000A1260000}"/>
    <cellStyle name="Обычный 4 2 84 6" xfId="28737" xr:uid="{00000000-0005-0000-0000-0000A2260000}"/>
    <cellStyle name="Обычный 4 2 84 7" xfId="34077" xr:uid="{00000000-0005-0000-0000-0000A3260000}"/>
    <cellStyle name="Обычный 4 2 84 8" xfId="39417" xr:uid="{00000000-0005-0000-0000-0000A4260000}"/>
    <cellStyle name="Обычный 4 2 84 9" xfId="44757" xr:uid="{00000000-0005-0000-0000-0000A5260000}"/>
    <cellStyle name="Обычный 4 2 85" xfId="2061" xr:uid="{00000000-0005-0000-0000-0000A6260000}"/>
    <cellStyle name="Обычный 4 2 85 10" xfId="50125" xr:uid="{00000000-0005-0000-0000-0000A7260000}"/>
    <cellStyle name="Обычный 4 2 85 2" xfId="7404" xr:uid="{00000000-0005-0000-0000-0000A8260000}"/>
    <cellStyle name="Обычный 4 2 85 2 2" xfId="55466" xr:uid="{00000000-0005-0000-0000-0000A9260000}"/>
    <cellStyle name="Обычный 4 2 85 3" xfId="12745" xr:uid="{00000000-0005-0000-0000-0000AA260000}"/>
    <cellStyle name="Обычный 4 2 85 4" xfId="18085" xr:uid="{00000000-0005-0000-0000-0000AB260000}"/>
    <cellStyle name="Обычный 4 2 85 5" xfId="23425" xr:uid="{00000000-0005-0000-0000-0000AC260000}"/>
    <cellStyle name="Обычный 4 2 85 6" xfId="28765" xr:uid="{00000000-0005-0000-0000-0000AD260000}"/>
    <cellStyle name="Обычный 4 2 85 7" xfId="34105" xr:uid="{00000000-0005-0000-0000-0000AE260000}"/>
    <cellStyle name="Обычный 4 2 85 8" xfId="39445" xr:uid="{00000000-0005-0000-0000-0000AF260000}"/>
    <cellStyle name="Обычный 4 2 85 9" xfId="44785" xr:uid="{00000000-0005-0000-0000-0000B0260000}"/>
    <cellStyle name="Обычный 4 2 86" xfId="2089" xr:uid="{00000000-0005-0000-0000-0000B1260000}"/>
    <cellStyle name="Обычный 4 2 86 10" xfId="50153" xr:uid="{00000000-0005-0000-0000-0000B2260000}"/>
    <cellStyle name="Обычный 4 2 86 2" xfId="7432" xr:uid="{00000000-0005-0000-0000-0000B3260000}"/>
    <cellStyle name="Обычный 4 2 86 2 2" xfId="55494" xr:uid="{00000000-0005-0000-0000-0000B4260000}"/>
    <cellStyle name="Обычный 4 2 86 3" xfId="12773" xr:uid="{00000000-0005-0000-0000-0000B5260000}"/>
    <cellStyle name="Обычный 4 2 86 4" xfId="18113" xr:uid="{00000000-0005-0000-0000-0000B6260000}"/>
    <cellStyle name="Обычный 4 2 86 5" xfId="23453" xr:uid="{00000000-0005-0000-0000-0000B7260000}"/>
    <cellStyle name="Обычный 4 2 86 6" xfId="28793" xr:uid="{00000000-0005-0000-0000-0000B8260000}"/>
    <cellStyle name="Обычный 4 2 86 7" xfId="34133" xr:uid="{00000000-0005-0000-0000-0000B9260000}"/>
    <cellStyle name="Обычный 4 2 86 8" xfId="39473" xr:uid="{00000000-0005-0000-0000-0000BA260000}"/>
    <cellStyle name="Обычный 4 2 86 9" xfId="44813" xr:uid="{00000000-0005-0000-0000-0000BB260000}"/>
    <cellStyle name="Обычный 4 2 87" xfId="2117" xr:uid="{00000000-0005-0000-0000-0000BC260000}"/>
    <cellStyle name="Обычный 4 2 87 10" xfId="50181" xr:uid="{00000000-0005-0000-0000-0000BD260000}"/>
    <cellStyle name="Обычный 4 2 87 2" xfId="7460" xr:uid="{00000000-0005-0000-0000-0000BE260000}"/>
    <cellStyle name="Обычный 4 2 87 2 2" xfId="55522" xr:uid="{00000000-0005-0000-0000-0000BF260000}"/>
    <cellStyle name="Обычный 4 2 87 3" xfId="12801" xr:uid="{00000000-0005-0000-0000-0000C0260000}"/>
    <cellStyle name="Обычный 4 2 87 4" xfId="18141" xr:uid="{00000000-0005-0000-0000-0000C1260000}"/>
    <cellStyle name="Обычный 4 2 87 5" xfId="23481" xr:uid="{00000000-0005-0000-0000-0000C2260000}"/>
    <cellStyle name="Обычный 4 2 87 6" xfId="28821" xr:uid="{00000000-0005-0000-0000-0000C3260000}"/>
    <cellStyle name="Обычный 4 2 87 7" xfId="34161" xr:uid="{00000000-0005-0000-0000-0000C4260000}"/>
    <cellStyle name="Обычный 4 2 87 8" xfId="39501" xr:uid="{00000000-0005-0000-0000-0000C5260000}"/>
    <cellStyle name="Обычный 4 2 87 9" xfId="44841" xr:uid="{00000000-0005-0000-0000-0000C6260000}"/>
    <cellStyle name="Обычный 4 2 88" xfId="2147" xr:uid="{00000000-0005-0000-0000-0000C7260000}"/>
    <cellStyle name="Обычный 4 2 88 10" xfId="50211" xr:uid="{00000000-0005-0000-0000-0000C8260000}"/>
    <cellStyle name="Обычный 4 2 88 2" xfId="7490" xr:uid="{00000000-0005-0000-0000-0000C9260000}"/>
    <cellStyle name="Обычный 4 2 88 2 2" xfId="55552" xr:uid="{00000000-0005-0000-0000-0000CA260000}"/>
    <cellStyle name="Обычный 4 2 88 3" xfId="12831" xr:uid="{00000000-0005-0000-0000-0000CB260000}"/>
    <cellStyle name="Обычный 4 2 88 4" xfId="18171" xr:uid="{00000000-0005-0000-0000-0000CC260000}"/>
    <cellStyle name="Обычный 4 2 88 5" xfId="23511" xr:uid="{00000000-0005-0000-0000-0000CD260000}"/>
    <cellStyle name="Обычный 4 2 88 6" xfId="28851" xr:uid="{00000000-0005-0000-0000-0000CE260000}"/>
    <cellStyle name="Обычный 4 2 88 7" xfId="34191" xr:uid="{00000000-0005-0000-0000-0000CF260000}"/>
    <cellStyle name="Обычный 4 2 88 8" xfId="39531" xr:uid="{00000000-0005-0000-0000-0000D0260000}"/>
    <cellStyle name="Обычный 4 2 88 9" xfId="44871" xr:uid="{00000000-0005-0000-0000-0000D1260000}"/>
    <cellStyle name="Обычный 4 2 89" xfId="2177" xr:uid="{00000000-0005-0000-0000-0000D2260000}"/>
    <cellStyle name="Обычный 4 2 89 10" xfId="50241" xr:uid="{00000000-0005-0000-0000-0000D3260000}"/>
    <cellStyle name="Обычный 4 2 89 2" xfId="7520" xr:uid="{00000000-0005-0000-0000-0000D4260000}"/>
    <cellStyle name="Обычный 4 2 89 2 2" xfId="55582" xr:uid="{00000000-0005-0000-0000-0000D5260000}"/>
    <cellStyle name="Обычный 4 2 89 3" xfId="12861" xr:uid="{00000000-0005-0000-0000-0000D6260000}"/>
    <cellStyle name="Обычный 4 2 89 4" xfId="18201" xr:uid="{00000000-0005-0000-0000-0000D7260000}"/>
    <cellStyle name="Обычный 4 2 89 5" xfId="23541" xr:uid="{00000000-0005-0000-0000-0000D8260000}"/>
    <cellStyle name="Обычный 4 2 89 6" xfId="28881" xr:uid="{00000000-0005-0000-0000-0000D9260000}"/>
    <cellStyle name="Обычный 4 2 89 7" xfId="34221" xr:uid="{00000000-0005-0000-0000-0000DA260000}"/>
    <cellStyle name="Обычный 4 2 89 8" xfId="39561" xr:uid="{00000000-0005-0000-0000-0000DB260000}"/>
    <cellStyle name="Обычный 4 2 89 9" xfId="44901" xr:uid="{00000000-0005-0000-0000-0000DC260000}"/>
    <cellStyle name="Обычный 4 2 9" xfId="166" xr:uid="{00000000-0005-0000-0000-0000DD260000}"/>
    <cellStyle name="Обычный 4 2 9 10" xfId="42888" xr:uid="{00000000-0005-0000-0000-0000DE260000}"/>
    <cellStyle name="Обычный 4 2 9 11" xfId="48228" xr:uid="{00000000-0005-0000-0000-0000DF260000}"/>
    <cellStyle name="Обычный 4 2 9 2" xfId="633" xr:uid="{00000000-0005-0000-0000-0000E0260000}"/>
    <cellStyle name="Обычный 4 2 9 2 10" xfId="48695" xr:uid="{00000000-0005-0000-0000-0000E1260000}"/>
    <cellStyle name="Обычный 4 2 9 2 2" xfId="5974" xr:uid="{00000000-0005-0000-0000-0000E2260000}"/>
    <cellStyle name="Обычный 4 2 9 2 2 2" xfId="54036" xr:uid="{00000000-0005-0000-0000-0000E3260000}"/>
    <cellStyle name="Обычный 4 2 9 2 3" xfId="11315" xr:uid="{00000000-0005-0000-0000-0000E4260000}"/>
    <cellStyle name="Обычный 4 2 9 2 4" xfId="16655" xr:uid="{00000000-0005-0000-0000-0000E5260000}"/>
    <cellStyle name="Обычный 4 2 9 2 5" xfId="21995" xr:uid="{00000000-0005-0000-0000-0000E6260000}"/>
    <cellStyle name="Обычный 4 2 9 2 6" xfId="27335" xr:uid="{00000000-0005-0000-0000-0000E7260000}"/>
    <cellStyle name="Обычный 4 2 9 2 7" xfId="32675" xr:uid="{00000000-0005-0000-0000-0000E8260000}"/>
    <cellStyle name="Обычный 4 2 9 2 8" xfId="38015" xr:uid="{00000000-0005-0000-0000-0000E9260000}"/>
    <cellStyle name="Обычный 4 2 9 2 9" xfId="43355" xr:uid="{00000000-0005-0000-0000-0000EA260000}"/>
    <cellStyle name="Обычный 4 2 9 3" xfId="5507" xr:uid="{00000000-0005-0000-0000-0000EB260000}"/>
    <cellStyle name="Обычный 4 2 9 3 2" xfId="53569" xr:uid="{00000000-0005-0000-0000-0000EC260000}"/>
    <cellStyle name="Обычный 4 2 9 4" xfId="10848" xr:uid="{00000000-0005-0000-0000-0000ED260000}"/>
    <cellStyle name="Обычный 4 2 9 5" xfId="16188" xr:uid="{00000000-0005-0000-0000-0000EE260000}"/>
    <cellStyle name="Обычный 4 2 9 6" xfId="21528" xr:uid="{00000000-0005-0000-0000-0000EF260000}"/>
    <cellStyle name="Обычный 4 2 9 7" xfId="26868" xr:uid="{00000000-0005-0000-0000-0000F0260000}"/>
    <cellStyle name="Обычный 4 2 9 8" xfId="32208" xr:uid="{00000000-0005-0000-0000-0000F1260000}"/>
    <cellStyle name="Обычный 4 2 9 9" xfId="37548" xr:uid="{00000000-0005-0000-0000-0000F2260000}"/>
    <cellStyle name="Обычный 4 2 90" xfId="2207" xr:uid="{00000000-0005-0000-0000-0000F3260000}"/>
    <cellStyle name="Обычный 4 2 90 10" xfId="50271" xr:uid="{00000000-0005-0000-0000-0000F4260000}"/>
    <cellStyle name="Обычный 4 2 90 2" xfId="7550" xr:uid="{00000000-0005-0000-0000-0000F5260000}"/>
    <cellStyle name="Обычный 4 2 90 2 2" xfId="55612" xr:uid="{00000000-0005-0000-0000-0000F6260000}"/>
    <cellStyle name="Обычный 4 2 90 3" xfId="12891" xr:uid="{00000000-0005-0000-0000-0000F7260000}"/>
    <cellStyle name="Обычный 4 2 90 4" xfId="18231" xr:uid="{00000000-0005-0000-0000-0000F8260000}"/>
    <cellStyle name="Обычный 4 2 90 5" xfId="23571" xr:uid="{00000000-0005-0000-0000-0000F9260000}"/>
    <cellStyle name="Обычный 4 2 90 6" xfId="28911" xr:uid="{00000000-0005-0000-0000-0000FA260000}"/>
    <cellStyle name="Обычный 4 2 90 7" xfId="34251" xr:uid="{00000000-0005-0000-0000-0000FB260000}"/>
    <cellStyle name="Обычный 4 2 90 8" xfId="39591" xr:uid="{00000000-0005-0000-0000-0000FC260000}"/>
    <cellStyle name="Обычный 4 2 90 9" xfId="44931" xr:uid="{00000000-0005-0000-0000-0000FD260000}"/>
    <cellStyle name="Обычный 4 2 91" xfId="2237" xr:uid="{00000000-0005-0000-0000-0000FE260000}"/>
    <cellStyle name="Обычный 4 2 91 10" xfId="50301" xr:uid="{00000000-0005-0000-0000-0000FF260000}"/>
    <cellStyle name="Обычный 4 2 91 2" xfId="7580" xr:uid="{00000000-0005-0000-0000-000000270000}"/>
    <cellStyle name="Обычный 4 2 91 2 2" xfId="55642" xr:uid="{00000000-0005-0000-0000-000001270000}"/>
    <cellStyle name="Обычный 4 2 91 3" xfId="12921" xr:uid="{00000000-0005-0000-0000-000002270000}"/>
    <cellStyle name="Обычный 4 2 91 4" xfId="18261" xr:uid="{00000000-0005-0000-0000-000003270000}"/>
    <cellStyle name="Обычный 4 2 91 5" xfId="23601" xr:uid="{00000000-0005-0000-0000-000004270000}"/>
    <cellStyle name="Обычный 4 2 91 6" xfId="28941" xr:uid="{00000000-0005-0000-0000-000005270000}"/>
    <cellStyle name="Обычный 4 2 91 7" xfId="34281" xr:uid="{00000000-0005-0000-0000-000006270000}"/>
    <cellStyle name="Обычный 4 2 91 8" xfId="39621" xr:uid="{00000000-0005-0000-0000-000007270000}"/>
    <cellStyle name="Обычный 4 2 91 9" xfId="44961" xr:uid="{00000000-0005-0000-0000-000008270000}"/>
    <cellStyle name="Обычный 4 2 92" xfId="2267" xr:uid="{00000000-0005-0000-0000-000009270000}"/>
    <cellStyle name="Обычный 4 2 92 10" xfId="50331" xr:uid="{00000000-0005-0000-0000-00000A270000}"/>
    <cellStyle name="Обычный 4 2 92 2" xfId="7610" xr:uid="{00000000-0005-0000-0000-00000B270000}"/>
    <cellStyle name="Обычный 4 2 92 2 2" xfId="55672" xr:uid="{00000000-0005-0000-0000-00000C270000}"/>
    <cellStyle name="Обычный 4 2 92 3" xfId="12951" xr:uid="{00000000-0005-0000-0000-00000D270000}"/>
    <cellStyle name="Обычный 4 2 92 4" xfId="18291" xr:uid="{00000000-0005-0000-0000-00000E270000}"/>
    <cellStyle name="Обычный 4 2 92 5" xfId="23631" xr:uid="{00000000-0005-0000-0000-00000F270000}"/>
    <cellStyle name="Обычный 4 2 92 6" xfId="28971" xr:uid="{00000000-0005-0000-0000-000010270000}"/>
    <cellStyle name="Обычный 4 2 92 7" xfId="34311" xr:uid="{00000000-0005-0000-0000-000011270000}"/>
    <cellStyle name="Обычный 4 2 92 8" xfId="39651" xr:uid="{00000000-0005-0000-0000-000012270000}"/>
    <cellStyle name="Обычный 4 2 92 9" xfId="44991" xr:uid="{00000000-0005-0000-0000-000013270000}"/>
    <cellStyle name="Обычный 4 2 93" xfId="2297" xr:uid="{00000000-0005-0000-0000-000014270000}"/>
    <cellStyle name="Обычный 4 2 93 10" xfId="50361" xr:uid="{00000000-0005-0000-0000-000015270000}"/>
    <cellStyle name="Обычный 4 2 93 2" xfId="7640" xr:uid="{00000000-0005-0000-0000-000016270000}"/>
    <cellStyle name="Обычный 4 2 93 2 2" xfId="55702" xr:uid="{00000000-0005-0000-0000-000017270000}"/>
    <cellStyle name="Обычный 4 2 93 3" xfId="12981" xr:uid="{00000000-0005-0000-0000-000018270000}"/>
    <cellStyle name="Обычный 4 2 93 4" xfId="18321" xr:uid="{00000000-0005-0000-0000-000019270000}"/>
    <cellStyle name="Обычный 4 2 93 5" xfId="23661" xr:uid="{00000000-0005-0000-0000-00001A270000}"/>
    <cellStyle name="Обычный 4 2 93 6" xfId="29001" xr:uid="{00000000-0005-0000-0000-00001B270000}"/>
    <cellStyle name="Обычный 4 2 93 7" xfId="34341" xr:uid="{00000000-0005-0000-0000-00001C270000}"/>
    <cellStyle name="Обычный 4 2 93 8" xfId="39681" xr:uid="{00000000-0005-0000-0000-00001D270000}"/>
    <cellStyle name="Обычный 4 2 93 9" xfId="45021" xr:uid="{00000000-0005-0000-0000-00001E270000}"/>
    <cellStyle name="Обычный 4 2 94" xfId="2327" xr:uid="{00000000-0005-0000-0000-00001F270000}"/>
    <cellStyle name="Обычный 4 2 94 10" xfId="50391" xr:uid="{00000000-0005-0000-0000-000020270000}"/>
    <cellStyle name="Обычный 4 2 94 2" xfId="7670" xr:uid="{00000000-0005-0000-0000-000021270000}"/>
    <cellStyle name="Обычный 4 2 94 2 2" xfId="55732" xr:uid="{00000000-0005-0000-0000-000022270000}"/>
    <cellStyle name="Обычный 4 2 94 3" xfId="13011" xr:uid="{00000000-0005-0000-0000-000023270000}"/>
    <cellStyle name="Обычный 4 2 94 4" xfId="18351" xr:uid="{00000000-0005-0000-0000-000024270000}"/>
    <cellStyle name="Обычный 4 2 94 5" xfId="23691" xr:uid="{00000000-0005-0000-0000-000025270000}"/>
    <cellStyle name="Обычный 4 2 94 6" xfId="29031" xr:uid="{00000000-0005-0000-0000-000026270000}"/>
    <cellStyle name="Обычный 4 2 94 7" xfId="34371" xr:uid="{00000000-0005-0000-0000-000027270000}"/>
    <cellStyle name="Обычный 4 2 94 8" xfId="39711" xr:uid="{00000000-0005-0000-0000-000028270000}"/>
    <cellStyle name="Обычный 4 2 94 9" xfId="45051" xr:uid="{00000000-0005-0000-0000-000029270000}"/>
    <cellStyle name="Обычный 4 2 95" xfId="2357" xr:uid="{00000000-0005-0000-0000-00002A270000}"/>
    <cellStyle name="Обычный 4 2 95 10" xfId="50421" xr:uid="{00000000-0005-0000-0000-00002B270000}"/>
    <cellStyle name="Обычный 4 2 95 2" xfId="7700" xr:uid="{00000000-0005-0000-0000-00002C270000}"/>
    <cellStyle name="Обычный 4 2 95 2 2" xfId="55762" xr:uid="{00000000-0005-0000-0000-00002D270000}"/>
    <cellStyle name="Обычный 4 2 95 3" xfId="13041" xr:uid="{00000000-0005-0000-0000-00002E270000}"/>
    <cellStyle name="Обычный 4 2 95 4" xfId="18381" xr:uid="{00000000-0005-0000-0000-00002F270000}"/>
    <cellStyle name="Обычный 4 2 95 5" xfId="23721" xr:uid="{00000000-0005-0000-0000-000030270000}"/>
    <cellStyle name="Обычный 4 2 95 6" xfId="29061" xr:uid="{00000000-0005-0000-0000-000031270000}"/>
    <cellStyle name="Обычный 4 2 95 7" xfId="34401" xr:uid="{00000000-0005-0000-0000-000032270000}"/>
    <cellStyle name="Обычный 4 2 95 8" xfId="39741" xr:uid="{00000000-0005-0000-0000-000033270000}"/>
    <cellStyle name="Обычный 4 2 95 9" xfId="45081" xr:uid="{00000000-0005-0000-0000-000034270000}"/>
    <cellStyle name="Обычный 4 2 96" xfId="2387" xr:uid="{00000000-0005-0000-0000-000035270000}"/>
    <cellStyle name="Обычный 4 2 96 10" xfId="50451" xr:uid="{00000000-0005-0000-0000-000036270000}"/>
    <cellStyle name="Обычный 4 2 96 2" xfId="7730" xr:uid="{00000000-0005-0000-0000-000037270000}"/>
    <cellStyle name="Обычный 4 2 96 2 2" xfId="55792" xr:uid="{00000000-0005-0000-0000-000038270000}"/>
    <cellStyle name="Обычный 4 2 96 3" xfId="13071" xr:uid="{00000000-0005-0000-0000-000039270000}"/>
    <cellStyle name="Обычный 4 2 96 4" xfId="18411" xr:uid="{00000000-0005-0000-0000-00003A270000}"/>
    <cellStyle name="Обычный 4 2 96 5" xfId="23751" xr:uid="{00000000-0005-0000-0000-00003B270000}"/>
    <cellStyle name="Обычный 4 2 96 6" xfId="29091" xr:uid="{00000000-0005-0000-0000-00003C270000}"/>
    <cellStyle name="Обычный 4 2 96 7" xfId="34431" xr:uid="{00000000-0005-0000-0000-00003D270000}"/>
    <cellStyle name="Обычный 4 2 96 8" xfId="39771" xr:uid="{00000000-0005-0000-0000-00003E270000}"/>
    <cellStyle name="Обычный 4 2 96 9" xfId="45111" xr:uid="{00000000-0005-0000-0000-00003F270000}"/>
    <cellStyle name="Обычный 4 2 97" xfId="2417" xr:uid="{00000000-0005-0000-0000-000040270000}"/>
    <cellStyle name="Обычный 4 2 97 10" xfId="50481" xr:uid="{00000000-0005-0000-0000-000041270000}"/>
    <cellStyle name="Обычный 4 2 97 2" xfId="7760" xr:uid="{00000000-0005-0000-0000-000042270000}"/>
    <cellStyle name="Обычный 4 2 97 2 2" xfId="55822" xr:uid="{00000000-0005-0000-0000-000043270000}"/>
    <cellStyle name="Обычный 4 2 97 3" xfId="13101" xr:uid="{00000000-0005-0000-0000-000044270000}"/>
    <cellStyle name="Обычный 4 2 97 4" xfId="18441" xr:uid="{00000000-0005-0000-0000-000045270000}"/>
    <cellStyle name="Обычный 4 2 97 5" xfId="23781" xr:uid="{00000000-0005-0000-0000-000046270000}"/>
    <cellStyle name="Обычный 4 2 97 6" xfId="29121" xr:uid="{00000000-0005-0000-0000-000047270000}"/>
    <cellStyle name="Обычный 4 2 97 7" xfId="34461" xr:uid="{00000000-0005-0000-0000-000048270000}"/>
    <cellStyle name="Обычный 4 2 97 8" xfId="39801" xr:uid="{00000000-0005-0000-0000-000049270000}"/>
    <cellStyle name="Обычный 4 2 97 9" xfId="45141" xr:uid="{00000000-0005-0000-0000-00004A270000}"/>
    <cellStyle name="Обычный 4 2 98" xfId="2447" xr:uid="{00000000-0005-0000-0000-00004B270000}"/>
    <cellStyle name="Обычный 4 2 98 10" xfId="50511" xr:uid="{00000000-0005-0000-0000-00004C270000}"/>
    <cellStyle name="Обычный 4 2 98 2" xfId="7790" xr:uid="{00000000-0005-0000-0000-00004D270000}"/>
    <cellStyle name="Обычный 4 2 98 2 2" xfId="55852" xr:uid="{00000000-0005-0000-0000-00004E270000}"/>
    <cellStyle name="Обычный 4 2 98 3" xfId="13131" xr:uid="{00000000-0005-0000-0000-00004F270000}"/>
    <cellStyle name="Обычный 4 2 98 4" xfId="18471" xr:uid="{00000000-0005-0000-0000-000050270000}"/>
    <cellStyle name="Обычный 4 2 98 5" xfId="23811" xr:uid="{00000000-0005-0000-0000-000051270000}"/>
    <cellStyle name="Обычный 4 2 98 6" xfId="29151" xr:uid="{00000000-0005-0000-0000-000052270000}"/>
    <cellStyle name="Обычный 4 2 98 7" xfId="34491" xr:uid="{00000000-0005-0000-0000-000053270000}"/>
    <cellStyle name="Обычный 4 2 98 8" xfId="39831" xr:uid="{00000000-0005-0000-0000-000054270000}"/>
    <cellStyle name="Обычный 4 2 98 9" xfId="45171" xr:uid="{00000000-0005-0000-0000-000055270000}"/>
    <cellStyle name="Обычный 4 2 99" xfId="2477" xr:uid="{00000000-0005-0000-0000-000056270000}"/>
    <cellStyle name="Обычный 4 2 99 10" xfId="50541" xr:uid="{00000000-0005-0000-0000-000057270000}"/>
    <cellStyle name="Обычный 4 2 99 2" xfId="7820" xr:uid="{00000000-0005-0000-0000-000058270000}"/>
    <cellStyle name="Обычный 4 2 99 2 2" xfId="55882" xr:uid="{00000000-0005-0000-0000-000059270000}"/>
    <cellStyle name="Обычный 4 2 99 3" xfId="13161" xr:uid="{00000000-0005-0000-0000-00005A270000}"/>
    <cellStyle name="Обычный 4 2 99 4" xfId="18501" xr:uid="{00000000-0005-0000-0000-00005B270000}"/>
    <cellStyle name="Обычный 4 2 99 5" xfId="23841" xr:uid="{00000000-0005-0000-0000-00005C270000}"/>
    <cellStyle name="Обычный 4 2 99 6" xfId="29181" xr:uid="{00000000-0005-0000-0000-00005D270000}"/>
    <cellStyle name="Обычный 4 2 99 7" xfId="34521" xr:uid="{00000000-0005-0000-0000-00005E270000}"/>
    <cellStyle name="Обычный 4 2 99 8" xfId="39861" xr:uid="{00000000-0005-0000-0000-00005F270000}"/>
    <cellStyle name="Обычный 4 2 99 9" xfId="45201" xr:uid="{00000000-0005-0000-0000-000060270000}"/>
    <cellStyle name="Обычный 4 20" xfId="142" xr:uid="{00000000-0005-0000-0000-000061270000}"/>
    <cellStyle name="Обычный 4 20 10" xfId="42864" xr:uid="{00000000-0005-0000-0000-000062270000}"/>
    <cellStyle name="Обычный 4 20 11" xfId="48204" xr:uid="{00000000-0005-0000-0000-000063270000}"/>
    <cellStyle name="Обычный 4 20 2" xfId="609" xr:uid="{00000000-0005-0000-0000-000064270000}"/>
    <cellStyle name="Обычный 4 20 2 10" xfId="48671" xr:uid="{00000000-0005-0000-0000-000065270000}"/>
    <cellStyle name="Обычный 4 20 2 2" xfId="5950" xr:uid="{00000000-0005-0000-0000-000066270000}"/>
    <cellStyle name="Обычный 4 20 2 2 2" xfId="54012" xr:uid="{00000000-0005-0000-0000-000067270000}"/>
    <cellStyle name="Обычный 4 20 2 3" xfId="11291" xr:uid="{00000000-0005-0000-0000-000068270000}"/>
    <cellStyle name="Обычный 4 20 2 4" xfId="16631" xr:uid="{00000000-0005-0000-0000-000069270000}"/>
    <cellStyle name="Обычный 4 20 2 5" xfId="21971" xr:uid="{00000000-0005-0000-0000-00006A270000}"/>
    <cellStyle name="Обычный 4 20 2 6" xfId="27311" xr:uid="{00000000-0005-0000-0000-00006B270000}"/>
    <cellStyle name="Обычный 4 20 2 7" xfId="32651" xr:uid="{00000000-0005-0000-0000-00006C270000}"/>
    <cellStyle name="Обычный 4 20 2 8" xfId="37991" xr:uid="{00000000-0005-0000-0000-00006D270000}"/>
    <cellStyle name="Обычный 4 20 2 9" xfId="43331" xr:uid="{00000000-0005-0000-0000-00006E270000}"/>
    <cellStyle name="Обычный 4 20 3" xfId="5483" xr:uid="{00000000-0005-0000-0000-00006F270000}"/>
    <cellStyle name="Обычный 4 20 3 2" xfId="53545" xr:uid="{00000000-0005-0000-0000-000070270000}"/>
    <cellStyle name="Обычный 4 20 4" xfId="10824" xr:uid="{00000000-0005-0000-0000-000071270000}"/>
    <cellStyle name="Обычный 4 20 5" xfId="16164" xr:uid="{00000000-0005-0000-0000-000072270000}"/>
    <cellStyle name="Обычный 4 20 6" xfId="21504" xr:uid="{00000000-0005-0000-0000-000073270000}"/>
    <cellStyle name="Обычный 4 20 7" xfId="26844" xr:uid="{00000000-0005-0000-0000-000074270000}"/>
    <cellStyle name="Обычный 4 20 8" xfId="32184" xr:uid="{00000000-0005-0000-0000-000075270000}"/>
    <cellStyle name="Обычный 4 20 9" xfId="37524" xr:uid="{00000000-0005-0000-0000-000076270000}"/>
    <cellStyle name="Обычный 4 200" xfId="5296" xr:uid="{00000000-0005-0000-0000-000077270000}"/>
    <cellStyle name="Обычный 4 200 10" xfId="53359" xr:uid="{00000000-0005-0000-0000-000078270000}"/>
    <cellStyle name="Обычный 4 200 2" xfId="10639" xr:uid="{00000000-0005-0000-0000-000079270000}"/>
    <cellStyle name="Обычный 4 200 2 2" xfId="58700" xr:uid="{00000000-0005-0000-0000-00007A270000}"/>
    <cellStyle name="Обычный 4 200 3" xfId="15979" xr:uid="{00000000-0005-0000-0000-00007B270000}"/>
    <cellStyle name="Обычный 4 200 4" xfId="21319" xr:uid="{00000000-0005-0000-0000-00007C270000}"/>
    <cellStyle name="Обычный 4 200 5" xfId="26659" xr:uid="{00000000-0005-0000-0000-00007D270000}"/>
    <cellStyle name="Обычный 4 200 6" xfId="31999" xr:uid="{00000000-0005-0000-0000-00007E270000}"/>
    <cellStyle name="Обычный 4 200 7" xfId="37339" xr:uid="{00000000-0005-0000-0000-00007F270000}"/>
    <cellStyle name="Обычный 4 200 8" xfId="42679" xr:uid="{00000000-0005-0000-0000-000080270000}"/>
    <cellStyle name="Обычный 4 200 9" xfId="48019" xr:uid="{00000000-0005-0000-0000-000081270000}"/>
    <cellStyle name="Обычный 4 201" xfId="5328" xr:uid="{00000000-0005-0000-0000-000082270000}"/>
    <cellStyle name="Обычный 4 201 10" xfId="53391" xr:uid="{00000000-0005-0000-0000-000083270000}"/>
    <cellStyle name="Обычный 4 201 2" xfId="10671" xr:uid="{00000000-0005-0000-0000-000084270000}"/>
    <cellStyle name="Обычный 4 201 2 2" xfId="58732" xr:uid="{00000000-0005-0000-0000-000085270000}"/>
    <cellStyle name="Обычный 4 201 3" xfId="16011" xr:uid="{00000000-0005-0000-0000-000086270000}"/>
    <cellStyle name="Обычный 4 201 4" xfId="21351" xr:uid="{00000000-0005-0000-0000-000087270000}"/>
    <cellStyle name="Обычный 4 201 5" xfId="26691" xr:uid="{00000000-0005-0000-0000-000088270000}"/>
    <cellStyle name="Обычный 4 201 6" xfId="32031" xr:uid="{00000000-0005-0000-0000-000089270000}"/>
    <cellStyle name="Обычный 4 201 7" xfId="37371" xr:uid="{00000000-0005-0000-0000-00008A270000}"/>
    <cellStyle name="Обычный 4 201 8" xfId="42711" xr:uid="{00000000-0005-0000-0000-00008B270000}"/>
    <cellStyle name="Обычный 4 201 9" xfId="48051" xr:uid="{00000000-0005-0000-0000-00008C270000}"/>
    <cellStyle name="Обычный 4 202" xfId="5360" xr:uid="{00000000-0005-0000-0000-00008D270000}"/>
    <cellStyle name="Обычный 4 202 10" xfId="53423" xr:uid="{00000000-0005-0000-0000-00008E270000}"/>
    <cellStyle name="Обычный 4 202 2" xfId="10703" xr:uid="{00000000-0005-0000-0000-00008F270000}"/>
    <cellStyle name="Обычный 4 202 2 2" xfId="58764" xr:uid="{00000000-0005-0000-0000-000090270000}"/>
    <cellStyle name="Обычный 4 202 3" xfId="16043" xr:uid="{00000000-0005-0000-0000-000091270000}"/>
    <cellStyle name="Обычный 4 202 4" xfId="21383" xr:uid="{00000000-0005-0000-0000-000092270000}"/>
    <cellStyle name="Обычный 4 202 5" xfId="26723" xr:uid="{00000000-0005-0000-0000-000093270000}"/>
    <cellStyle name="Обычный 4 202 6" xfId="32063" xr:uid="{00000000-0005-0000-0000-000094270000}"/>
    <cellStyle name="Обычный 4 202 7" xfId="37403" xr:uid="{00000000-0005-0000-0000-000095270000}"/>
    <cellStyle name="Обычный 4 202 8" xfId="42743" xr:uid="{00000000-0005-0000-0000-000096270000}"/>
    <cellStyle name="Обычный 4 202 9" xfId="48083" xr:uid="{00000000-0005-0000-0000-000097270000}"/>
    <cellStyle name="Обычный 4 203" xfId="5394" xr:uid="{00000000-0005-0000-0000-000098270000}"/>
    <cellStyle name="Обычный 4 203 2" xfId="53457" xr:uid="{00000000-0005-0000-0000-000099270000}"/>
    <cellStyle name="Обычный 4 204" xfId="10736" xr:uid="{00000000-0005-0000-0000-00009A270000}"/>
    <cellStyle name="Обычный 4 205" xfId="16076" xr:uid="{00000000-0005-0000-0000-00009B270000}"/>
    <cellStyle name="Обычный 4 206" xfId="21416" xr:uid="{00000000-0005-0000-0000-00009C270000}"/>
    <cellStyle name="Обычный 4 207" xfId="26756" xr:uid="{00000000-0005-0000-0000-00009D270000}"/>
    <cellStyle name="Обычный 4 208" xfId="32096" xr:uid="{00000000-0005-0000-0000-00009E270000}"/>
    <cellStyle name="Обычный 4 209" xfId="37436" xr:uid="{00000000-0005-0000-0000-00009F270000}"/>
    <cellStyle name="Обычный 4 21" xfId="152" xr:uid="{00000000-0005-0000-0000-0000A0270000}"/>
    <cellStyle name="Обычный 4 21 10" xfId="42874" xr:uid="{00000000-0005-0000-0000-0000A1270000}"/>
    <cellStyle name="Обычный 4 21 11" xfId="48214" xr:uid="{00000000-0005-0000-0000-0000A2270000}"/>
    <cellStyle name="Обычный 4 21 2" xfId="619" xr:uid="{00000000-0005-0000-0000-0000A3270000}"/>
    <cellStyle name="Обычный 4 21 2 10" xfId="48681" xr:uid="{00000000-0005-0000-0000-0000A4270000}"/>
    <cellStyle name="Обычный 4 21 2 2" xfId="5960" xr:uid="{00000000-0005-0000-0000-0000A5270000}"/>
    <cellStyle name="Обычный 4 21 2 2 2" xfId="54022" xr:uid="{00000000-0005-0000-0000-0000A6270000}"/>
    <cellStyle name="Обычный 4 21 2 3" xfId="11301" xr:uid="{00000000-0005-0000-0000-0000A7270000}"/>
    <cellStyle name="Обычный 4 21 2 4" xfId="16641" xr:uid="{00000000-0005-0000-0000-0000A8270000}"/>
    <cellStyle name="Обычный 4 21 2 5" xfId="21981" xr:uid="{00000000-0005-0000-0000-0000A9270000}"/>
    <cellStyle name="Обычный 4 21 2 6" xfId="27321" xr:uid="{00000000-0005-0000-0000-0000AA270000}"/>
    <cellStyle name="Обычный 4 21 2 7" xfId="32661" xr:uid="{00000000-0005-0000-0000-0000AB270000}"/>
    <cellStyle name="Обычный 4 21 2 8" xfId="38001" xr:uid="{00000000-0005-0000-0000-0000AC270000}"/>
    <cellStyle name="Обычный 4 21 2 9" xfId="43341" xr:uid="{00000000-0005-0000-0000-0000AD270000}"/>
    <cellStyle name="Обычный 4 21 3" xfId="5493" xr:uid="{00000000-0005-0000-0000-0000AE270000}"/>
    <cellStyle name="Обычный 4 21 3 2" xfId="53555" xr:uid="{00000000-0005-0000-0000-0000AF270000}"/>
    <cellStyle name="Обычный 4 21 4" xfId="10834" xr:uid="{00000000-0005-0000-0000-0000B0270000}"/>
    <cellStyle name="Обычный 4 21 5" xfId="16174" xr:uid="{00000000-0005-0000-0000-0000B1270000}"/>
    <cellStyle name="Обычный 4 21 6" xfId="21514" xr:uid="{00000000-0005-0000-0000-0000B2270000}"/>
    <cellStyle name="Обычный 4 21 7" xfId="26854" xr:uid="{00000000-0005-0000-0000-0000B3270000}"/>
    <cellStyle name="Обычный 4 21 8" xfId="32194" xr:uid="{00000000-0005-0000-0000-0000B4270000}"/>
    <cellStyle name="Обычный 4 21 9" xfId="37534" xr:uid="{00000000-0005-0000-0000-0000B5270000}"/>
    <cellStyle name="Обычный 4 210" xfId="42776" xr:uid="{00000000-0005-0000-0000-0000B6270000}"/>
    <cellStyle name="Обычный 4 211" xfId="48116" xr:uid="{00000000-0005-0000-0000-0000B7270000}"/>
    <cellStyle name="Обычный 4 22" xfId="162" xr:uid="{00000000-0005-0000-0000-0000B8270000}"/>
    <cellStyle name="Обычный 4 22 10" xfId="42884" xr:uid="{00000000-0005-0000-0000-0000B9270000}"/>
    <cellStyle name="Обычный 4 22 11" xfId="48224" xr:uid="{00000000-0005-0000-0000-0000BA270000}"/>
    <cellStyle name="Обычный 4 22 2" xfId="629" xr:uid="{00000000-0005-0000-0000-0000BB270000}"/>
    <cellStyle name="Обычный 4 22 2 10" xfId="48691" xr:uid="{00000000-0005-0000-0000-0000BC270000}"/>
    <cellStyle name="Обычный 4 22 2 2" xfId="5970" xr:uid="{00000000-0005-0000-0000-0000BD270000}"/>
    <cellStyle name="Обычный 4 22 2 2 2" xfId="54032" xr:uid="{00000000-0005-0000-0000-0000BE270000}"/>
    <cellStyle name="Обычный 4 22 2 3" xfId="11311" xr:uid="{00000000-0005-0000-0000-0000BF270000}"/>
    <cellStyle name="Обычный 4 22 2 4" xfId="16651" xr:uid="{00000000-0005-0000-0000-0000C0270000}"/>
    <cellStyle name="Обычный 4 22 2 5" xfId="21991" xr:uid="{00000000-0005-0000-0000-0000C1270000}"/>
    <cellStyle name="Обычный 4 22 2 6" xfId="27331" xr:uid="{00000000-0005-0000-0000-0000C2270000}"/>
    <cellStyle name="Обычный 4 22 2 7" xfId="32671" xr:uid="{00000000-0005-0000-0000-0000C3270000}"/>
    <cellStyle name="Обычный 4 22 2 8" xfId="38011" xr:uid="{00000000-0005-0000-0000-0000C4270000}"/>
    <cellStyle name="Обычный 4 22 2 9" xfId="43351" xr:uid="{00000000-0005-0000-0000-0000C5270000}"/>
    <cellStyle name="Обычный 4 22 3" xfId="5503" xr:uid="{00000000-0005-0000-0000-0000C6270000}"/>
    <cellStyle name="Обычный 4 22 3 2" xfId="53565" xr:uid="{00000000-0005-0000-0000-0000C7270000}"/>
    <cellStyle name="Обычный 4 22 4" xfId="10844" xr:uid="{00000000-0005-0000-0000-0000C8270000}"/>
    <cellStyle name="Обычный 4 22 5" xfId="16184" xr:uid="{00000000-0005-0000-0000-0000C9270000}"/>
    <cellStyle name="Обычный 4 22 6" xfId="21524" xr:uid="{00000000-0005-0000-0000-0000CA270000}"/>
    <cellStyle name="Обычный 4 22 7" xfId="26864" xr:uid="{00000000-0005-0000-0000-0000CB270000}"/>
    <cellStyle name="Обычный 4 22 8" xfId="32204" xr:uid="{00000000-0005-0000-0000-0000CC270000}"/>
    <cellStyle name="Обычный 4 22 9" xfId="37544" xr:uid="{00000000-0005-0000-0000-0000CD270000}"/>
    <cellStyle name="Обычный 4 23" xfId="172" xr:uid="{00000000-0005-0000-0000-0000CE270000}"/>
    <cellStyle name="Обычный 4 23 10" xfId="42894" xr:uid="{00000000-0005-0000-0000-0000CF270000}"/>
    <cellStyle name="Обычный 4 23 11" xfId="48234" xr:uid="{00000000-0005-0000-0000-0000D0270000}"/>
    <cellStyle name="Обычный 4 23 2" xfId="639" xr:uid="{00000000-0005-0000-0000-0000D1270000}"/>
    <cellStyle name="Обычный 4 23 2 10" xfId="48701" xr:uid="{00000000-0005-0000-0000-0000D2270000}"/>
    <cellStyle name="Обычный 4 23 2 2" xfId="5980" xr:uid="{00000000-0005-0000-0000-0000D3270000}"/>
    <cellStyle name="Обычный 4 23 2 2 2" xfId="54042" xr:uid="{00000000-0005-0000-0000-0000D4270000}"/>
    <cellStyle name="Обычный 4 23 2 3" xfId="11321" xr:uid="{00000000-0005-0000-0000-0000D5270000}"/>
    <cellStyle name="Обычный 4 23 2 4" xfId="16661" xr:uid="{00000000-0005-0000-0000-0000D6270000}"/>
    <cellStyle name="Обычный 4 23 2 5" xfId="22001" xr:uid="{00000000-0005-0000-0000-0000D7270000}"/>
    <cellStyle name="Обычный 4 23 2 6" xfId="27341" xr:uid="{00000000-0005-0000-0000-0000D8270000}"/>
    <cellStyle name="Обычный 4 23 2 7" xfId="32681" xr:uid="{00000000-0005-0000-0000-0000D9270000}"/>
    <cellStyle name="Обычный 4 23 2 8" xfId="38021" xr:uid="{00000000-0005-0000-0000-0000DA270000}"/>
    <cellStyle name="Обычный 4 23 2 9" xfId="43361" xr:uid="{00000000-0005-0000-0000-0000DB270000}"/>
    <cellStyle name="Обычный 4 23 3" xfId="5513" xr:uid="{00000000-0005-0000-0000-0000DC270000}"/>
    <cellStyle name="Обычный 4 23 3 2" xfId="53575" xr:uid="{00000000-0005-0000-0000-0000DD270000}"/>
    <cellStyle name="Обычный 4 23 4" xfId="10854" xr:uid="{00000000-0005-0000-0000-0000DE270000}"/>
    <cellStyle name="Обычный 4 23 5" xfId="16194" xr:uid="{00000000-0005-0000-0000-0000DF270000}"/>
    <cellStyle name="Обычный 4 23 6" xfId="21534" xr:uid="{00000000-0005-0000-0000-0000E0270000}"/>
    <cellStyle name="Обычный 4 23 7" xfId="26874" xr:uid="{00000000-0005-0000-0000-0000E1270000}"/>
    <cellStyle name="Обычный 4 23 8" xfId="32214" xr:uid="{00000000-0005-0000-0000-0000E2270000}"/>
    <cellStyle name="Обычный 4 23 9" xfId="37554" xr:uid="{00000000-0005-0000-0000-0000E3270000}"/>
    <cellStyle name="Обычный 4 24" xfId="182" xr:uid="{00000000-0005-0000-0000-0000E4270000}"/>
    <cellStyle name="Обычный 4 24 10" xfId="42904" xr:uid="{00000000-0005-0000-0000-0000E5270000}"/>
    <cellStyle name="Обычный 4 24 11" xfId="48244" xr:uid="{00000000-0005-0000-0000-0000E6270000}"/>
    <cellStyle name="Обычный 4 24 2" xfId="649" xr:uid="{00000000-0005-0000-0000-0000E7270000}"/>
    <cellStyle name="Обычный 4 24 2 10" xfId="48711" xr:uid="{00000000-0005-0000-0000-0000E8270000}"/>
    <cellStyle name="Обычный 4 24 2 2" xfId="5990" xr:uid="{00000000-0005-0000-0000-0000E9270000}"/>
    <cellStyle name="Обычный 4 24 2 2 2" xfId="54052" xr:uid="{00000000-0005-0000-0000-0000EA270000}"/>
    <cellStyle name="Обычный 4 24 2 3" xfId="11331" xr:uid="{00000000-0005-0000-0000-0000EB270000}"/>
    <cellStyle name="Обычный 4 24 2 4" xfId="16671" xr:uid="{00000000-0005-0000-0000-0000EC270000}"/>
    <cellStyle name="Обычный 4 24 2 5" xfId="22011" xr:uid="{00000000-0005-0000-0000-0000ED270000}"/>
    <cellStyle name="Обычный 4 24 2 6" xfId="27351" xr:uid="{00000000-0005-0000-0000-0000EE270000}"/>
    <cellStyle name="Обычный 4 24 2 7" xfId="32691" xr:uid="{00000000-0005-0000-0000-0000EF270000}"/>
    <cellStyle name="Обычный 4 24 2 8" xfId="38031" xr:uid="{00000000-0005-0000-0000-0000F0270000}"/>
    <cellStyle name="Обычный 4 24 2 9" xfId="43371" xr:uid="{00000000-0005-0000-0000-0000F1270000}"/>
    <cellStyle name="Обычный 4 24 3" xfId="5523" xr:uid="{00000000-0005-0000-0000-0000F2270000}"/>
    <cellStyle name="Обычный 4 24 3 2" xfId="53585" xr:uid="{00000000-0005-0000-0000-0000F3270000}"/>
    <cellStyle name="Обычный 4 24 4" xfId="10864" xr:uid="{00000000-0005-0000-0000-0000F4270000}"/>
    <cellStyle name="Обычный 4 24 5" xfId="16204" xr:uid="{00000000-0005-0000-0000-0000F5270000}"/>
    <cellStyle name="Обычный 4 24 6" xfId="21544" xr:uid="{00000000-0005-0000-0000-0000F6270000}"/>
    <cellStyle name="Обычный 4 24 7" xfId="26884" xr:uid="{00000000-0005-0000-0000-0000F7270000}"/>
    <cellStyle name="Обычный 4 24 8" xfId="32224" xr:uid="{00000000-0005-0000-0000-0000F8270000}"/>
    <cellStyle name="Обычный 4 24 9" xfId="37564" xr:uid="{00000000-0005-0000-0000-0000F9270000}"/>
    <cellStyle name="Обычный 4 25" xfId="192" xr:uid="{00000000-0005-0000-0000-0000FA270000}"/>
    <cellStyle name="Обычный 4 25 10" xfId="42914" xr:uid="{00000000-0005-0000-0000-0000FB270000}"/>
    <cellStyle name="Обычный 4 25 11" xfId="48254" xr:uid="{00000000-0005-0000-0000-0000FC270000}"/>
    <cellStyle name="Обычный 4 25 2" xfId="659" xr:uid="{00000000-0005-0000-0000-0000FD270000}"/>
    <cellStyle name="Обычный 4 25 2 10" xfId="48721" xr:uid="{00000000-0005-0000-0000-0000FE270000}"/>
    <cellStyle name="Обычный 4 25 2 2" xfId="6000" xr:uid="{00000000-0005-0000-0000-0000FF270000}"/>
    <cellStyle name="Обычный 4 25 2 2 2" xfId="54062" xr:uid="{00000000-0005-0000-0000-000000280000}"/>
    <cellStyle name="Обычный 4 25 2 3" xfId="11341" xr:uid="{00000000-0005-0000-0000-000001280000}"/>
    <cellStyle name="Обычный 4 25 2 4" xfId="16681" xr:uid="{00000000-0005-0000-0000-000002280000}"/>
    <cellStyle name="Обычный 4 25 2 5" xfId="22021" xr:uid="{00000000-0005-0000-0000-000003280000}"/>
    <cellStyle name="Обычный 4 25 2 6" xfId="27361" xr:uid="{00000000-0005-0000-0000-000004280000}"/>
    <cellStyle name="Обычный 4 25 2 7" xfId="32701" xr:uid="{00000000-0005-0000-0000-000005280000}"/>
    <cellStyle name="Обычный 4 25 2 8" xfId="38041" xr:uid="{00000000-0005-0000-0000-000006280000}"/>
    <cellStyle name="Обычный 4 25 2 9" xfId="43381" xr:uid="{00000000-0005-0000-0000-000007280000}"/>
    <cellStyle name="Обычный 4 25 3" xfId="5533" xr:uid="{00000000-0005-0000-0000-000008280000}"/>
    <cellStyle name="Обычный 4 25 3 2" xfId="53595" xr:uid="{00000000-0005-0000-0000-000009280000}"/>
    <cellStyle name="Обычный 4 25 4" xfId="10874" xr:uid="{00000000-0005-0000-0000-00000A280000}"/>
    <cellStyle name="Обычный 4 25 5" xfId="16214" xr:uid="{00000000-0005-0000-0000-00000B280000}"/>
    <cellStyle name="Обычный 4 25 6" xfId="21554" xr:uid="{00000000-0005-0000-0000-00000C280000}"/>
    <cellStyle name="Обычный 4 25 7" xfId="26894" xr:uid="{00000000-0005-0000-0000-00000D280000}"/>
    <cellStyle name="Обычный 4 25 8" xfId="32234" xr:uid="{00000000-0005-0000-0000-00000E280000}"/>
    <cellStyle name="Обычный 4 25 9" xfId="37574" xr:uid="{00000000-0005-0000-0000-00000F280000}"/>
    <cellStyle name="Обычный 4 26" xfId="202" xr:uid="{00000000-0005-0000-0000-000010280000}"/>
    <cellStyle name="Обычный 4 26 10" xfId="42924" xr:uid="{00000000-0005-0000-0000-000011280000}"/>
    <cellStyle name="Обычный 4 26 11" xfId="48264" xr:uid="{00000000-0005-0000-0000-000012280000}"/>
    <cellStyle name="Обычный 4 26 2" xfId="669" xr:uid="{00000000-0005-0000-0000-000013280000}"/>
    <cellStyle name="Обычный 4 26 2 10" xfId="48731" xr:uid="{00000000-0005-0000-0000-000014280000}"/>
    <cellStyle name="Обычный 4 26 2 2" xfId="6010" xr:uid="{00000000-0005-0000-0000-000015280000}"/>
    <cellStyle name="Обычный 4 26 2 2 2" xfId="54072" xr:uid="{00000000-0005-0000-0000-000016280000}"/>
    <cellStyle name="Обычный 4 26 2 3" xfId="11351" xr:uid="{00000000-0005-0000-0000-000017280000}"/>
    <cellStyle name="Обычный 4 26 2 4" xfId="16691" xr:uid="{00000000-0005-0000-0000-000018280000}"/>
    <cellStyle name="Обычный 4 26 2 5" xfId="22031" xr:uid="{00000000-0005-0000-0000-000019280000}"/>
    <cellStyle name="Обычный 4 26 2 6" xfId="27371" xr:uid="{00000000-0005-0000-0000-00001A280000}"/>
    <cellStyle name="Обычный 4 26 2 7" xfId="32711" xr:uid="{00000000-0005-0000-0000-00001B280000}"/>
    <cellStyle name="Обычный 4 26 2 8" xfId="38051" xr:uid="{00000000-0005-0000-0000-00001C280000}"/>
    <cellStyle name="Обычный 4 26 2 9" xfId="43391" xr:uid="{00000000-0005-0000-0000-00001D280000}"/>
    <cellStyle name="Обычный 4 26 3" xfId="5543" xr:uid="{00000000-0005-0000-0000-00001E280000}"/>
    <cellStyle name="Обычный 4 26 3 2" xfId="53605" xr:uid="{00000000-0005-0000-0000-00001F280000}"/>
    <cellStyle name="Обычный 4 26 4" xfId="10884" xr:uid="{00000000-0005-0000-0000-000020280000}"/>
    <cellStyle name="Обычный 4 26 5" xfId="16224" xr:uid="{00000000-0005-0000-0000-000021280000}"/>
    <cellStyle name="Обычный 4 26 6" xfId="21564" xr:uid="{00000000-0005-0000-0000-000022280000}"/>
    <cellStyle name="Обычный 4 26 7" xfId="26904" xr:uid="{00000000-0005-0000-0000-000023280000}"/>
    <cellStyle name="Обычный 4 26 8" xfId="32244" xr:uid="{00000000-0005-0000-0000-000024280000}"/>
    <cellStyle name="Обычный 4 26 9" xfId="37584" xr:uid="{00000000-0005-0000-0000-000025280000}"/>
    <cellStyle name="Обычный 4 27" xfId="212" xr:uid="{00000000-0005-0000-0000-000026280000}"/>
    <cellStyle name="Обычный 4 27 10" xfId="42934" xr:uid="{00000000-0005-0000-0000-000027280000}"/>
    <cellStyle name="Обычный 4 27 11" xfId="48274" xr:uid="{00000000-0005-0000-0000-000028280000}"/>
    <cellStyle name="Обычный 4 27 2" xfId="679" xr:uid="{00000000-0005-0000-0000-000029280000}"/>
    <cellStyle name="Обычный 4 27 2 10" xfId="48741" xr:uid="{00000000-0005-0000-0000-00002A280000}"/>
    <cellStyle name="Обычный 4 27 2 2" xfId="6020" xr:uid="{00000000-0005-0000-0000-00002B280000}"/>
    <cellStyle name="Обычный 4 27 2 2 2" xfId="54082" xr:uid="{00000000-0005-0000-0000-00002C280000}"/>
    <cellStyle name="Обычный 4 27 2 3" xfId="11361" xr:uid="{00000000-0005-0000-0000-00002D280000}"/>
    <cellStyle name="Обычный 4 27 2 4" xfId="16701" xr:uid="{00000000-0005-0000-0000-00002E280000}"/>
    <cellStyle name="Обычный 4 27 2 5" xfId="22041" xr:uid="{00000000-0005-0000-0000-00002F280000}"/>
    <cellStyle name="Обычный 4 27 2 6" xfId="27381" xr:uid="{00000000-0005-0000-0000-000030280000}"/>
    <cellStyle name="Обычный 4 27 2 7" xfId="32721" xr:uid="{00000000-0005-0000-0000-000031280000}"/>
    <cellStyle name="Обычный 4 27 2 8" xfId="38061" xr:uid="{00000000-0005-0000-0000-000032280000}"/>
    <cellStyle name="Обычный 4 27 2 9" xfId="43401" xr:uid="{00000000-0005-0000-0000-000033280000}"/>
    <cellStyle name="Обычный 4 27 3" xfId="5553" xr:uid="{00000000-0005-0000-0000-000034280000}"/>
    <cellStyle name="Обычный 4 27 3 2" xfId="53615" xr:uid="{00000000-0005-0000-0000-000035280000}"/>
    <cellStyle name="Обычный 4 27 4" xfId="10894" xr:uid="{00000000-0005-0000-0000-000036280000}"/>
    <cellStyle name="Обычный 4 27 5" xfId="16234" xr:uid="{00000000-0005-0000-0000-000037280000}"/>
    <cellStyle name="Обычный 4 27 6" xfId="21574" xr:uid="{00000000-0005-0000-0000-000038280000}"/>
    <cellStyle name="Обычный 4 27 7" xfId="26914" xr:uid="{00000000-0005-0000-0000-000039280000}"/>
    <cellStyle name="Обычный 4 27 8" xfId="32254" xr:uid="{00000000-0005-0000-0000-00003A280000}"/>
    <cellStyle name="Обычный 4 27 9" xfId="37594" xr:uid="{00000000-0005-0000-0000-00003B280000}"/>
    <cellStyle name="Обычный 4 28" xfId="222" xr:uid="{00000000-0005-0000-0000-00003C280000}"/>
    <cellStyle name="Обычный 4 28 10" xfId="42944" xr:uid="{00000000-0005-0000-0000-00003D280000}"/>
    <cellStyle name="Обычный 4 28 11" xfId="48284" xr:uid="{00000000-0005-0000-0000-00003E280000}"/>
    <cellStyle name="Обычный 4 28 2" xfId="689" xr:uid="{00000000-0005-0000-0000-00003F280000}"/>
    <cellStyle name="Обычный 4 28 2 10" xfId="48751" xr:uid="{00000000-0005-0000-0000-000040280000}"/>
    <cellStyle name="Обычный 4 28 2 2" xfId="6030" xr:uid="{00000000-0005-0000-0000-000041280000}"/>
    <cellStyle name="Обычный 4 28 2 2 2" xfId="54092" xr:uid="{00000000-0005-0000-0000-000042280000}"/>
    <cellStyle name="Обычный 4 28 2 3" xfId="11371" xr:uid="{00000000-0005-0000-0000-000043280000}"/>
    <cellStyle name="Обычный 4 28 2 4" xfId="16711" xr:uid="{00000000-0005-0000-0000-000044280000}"/>
    <cellStyle name="Обычный 4 28 2 5" xfId="22051" xr:uid="{00000000-0005-0000-0000-000045280000}"/>
    <cellStyle name="Обычный 4 28 2 6" xfId="27391" xr:uid="{00000000-0005-0000-0000-000046280000}"/>
    <cellStyle name="Обычный 4 28 2 7" xfId="32731" xr:uid="{00000000-0005-0000-0000-000047280000}"/>
    <cellStyle name="Обычный 4 28 2 8" xfId="38071" xr:uid="{00000000-0005-0000-0000-000048280000}"/>
    <cellStyle name="Обычный 4 28 2 9" xfId="43411" xr:uid="{00000000-0005-0000-0000-000049280000}"/>
    <cellStyle name="Обычный 4 28 3" xfId="5563" xr:uid="{00000000-0005-0000-0000-00004A280000}"/>
    <cellStyle name="Обычный 4 28 3 2" xfId="53625" xr:uid="{00000000-0005-0000-0000-00004B280000}"/>
    <cellStyle name="Обычный 4 28 4" xfId="10904" xr:uid="{00000000-0005-0000-0000-00004C280000}"/>
    <cellStyle name="Обычный 4 28 5" xfId="16244" xr:uid="{00000000-0005-0000-0000-00004D280000}"/>
    <cellStyle name="Обычный 4 28 6" xfId="21584" xr:uid="{00000000-0005-0000-0000-00004E280000}"/>
    <cellStyle name="Обычный 4 28 7" xfId="26924" xr:uid="{00000000-0005-0000-0000-00004F280000}"/>
    <cellStyle name="Обычный 4 28 8" xfId="32264" xr:uid="{00000000-0005-0000-0000-000050280000}"/>
    <cellStyle name="Обычный 4 28 9" xfId="37604" xr:uid="{00000000-0005-0000-0000-000051280000}"/>
    <cellStyle name="Обычный 4 29" xfId="232" xr:uid="{00000000-0005-0000-0000-000052280000}"/>
    <cellStyle name="Обычный 4 29 10" xfId="42954" xr:uid="{00000000-0005-0000-0000-000053280000}"/>
    <cellStyle name="Обычный 4 29 11" xfId="48294" xr:uid="{00000000-0005-0000-0000-000054280000}"/>
    <cellStyle name="Обычный 4 29 2" xfId="699" xr:uid="{00000000-0005-0000-0000-000055280000}"/>
    <cellStyle name="Обычный 4 29 2 10" xfId="48761" xr:uid="{00000000-0005-0000-0000-000056280000}"/>
    <cellStyle name="Обычный 4 29 2 2" xfId="6040" xr:uid="{00000000-0005-0000-0000-000057280000}"/>
    <cellStyle name="Обычный 4 29 2 2 2" xfId="54102" xr:uid="{00000000-0005-0000-0000-000058280000}"/>
    <cellStyle name="Обычный 4 29 2 3" xfId="11381" xr:uid="{00000000-0005-0000-0000-000059280000}"/>
    <cellStyle name="Обычный 4 29 2 4" xfId="16721" xr:uid="{00000000-0005-0000-0000-00005A280000}"/>
    <cellStyle name="Обычный 4 29 2 5" xfId="22061" xr:uid="{00000000-0005-0000-0000-00005B280000}"/>
    <cellStyle name="Обычный 4 29 2 6" xfId="27401" xr:uid="{00000000-0005-0000-0000-00005C280000}"/>
    <cellStyle name="Обычный 4 29 2 7" xfId="32741" xr:uid="{00000000-0005-0000-0000-00005D280000}"/>
    <cellStyle name="Обычный 4 29 2 8" xfId="38081" xr:uid="{00000000-0005-0000-0000-00005E280000}"/>
    <cellStyle name="Обычный 4 29 2 9" xfId="43421" xr:uid="{00000000-0005-0000-0000-00005F280000}"/>
    <cellStyle name="Обычный 4 29 3" xfId="5573" xr:uid="{00000000-0005-0000-0000-000060280000}"/>
    <cellStyle name="Обычный 4 29 3 2" xfId="53635" xr:uid="{00000000-0005-0000-0000-000061280000}"/>
    <cellStyle name="Обычный 4 29 4" xfId="10914" xr:uid="{00000000-0005-0000-0000-000062280000}"/>
    <cellStyle name="Обычный 4 29 5" xfId="16254" xr:uid="{00000000-0005-0000-0000-000063280000}"/>
    <cellStyle name="Обычный 4 29 6" xfId="21594" xr:uid="{00000000-0005-0000-0000-000064280000}"/>
    <cellStyle name="Обычный 4 29 7" xfId="26934" xr:uid="{00000000-0005-0000-0000-000065280000}"/>
    <cellStyle name="Обычный 4 29 8" xfId="32274" xr:uid="{00000000-0005-0000-0000-000066280000}"/>
    <cellStyle name="Обычный 4 29 9" xfId="37614" xr:uid="{00000000-0005-0000-0000-000067280000}"/>
    <cellStyle name="Обычный 4 3" xfId="58" xr:uid="{00000000-0005-0000-0000-000068280000}"/>
    <cellStyle name="Обычный 4 3 10" xfId="1176" xr:uid="{00000000-0005-0000-0000-000069280000}"/>
    <cellStyle name="Обычный 4 3 10 10" xfId="49239" xr:uid="{00000000-0005-0000-0000-00006A280000}"/>
    <cellStyle name="Обычный 4 3 10 2" xfId="6518" xr:uid="{00000000-0005-0000-0000-00006B280000}"/>
    <cellStyle name="Обычный 4 3 10 2 2" xfId="54580" xr:uid="{00000000-0005-0000-0000-00006C280000}"/>
    <cellStyle name="Обычный 4 3 10 3" xfId="11859" xr:uid="{00000000-0005-0000-0000-00006D280000}"/>
    <cellStyle name="Обычный 4 3 10 4" xfId="17199" xr:uid="{00000000-0005-0000-0000-00006E280000}"/>
    <cellStyle name="Обычный 4 3 10 5" xfId="22539" xr:uid="{00000000-0005-0000-0000-00006F280000}"/>
    <cellStyle name="Обычный 4 3 10 6" xfId="27879" xr:uid="{00000000-0005-0000-0000-000070280000}"/>
    <cellStyle name="Обычный 4 3 10 7" xfId="33219" xr:uid="{00000000-0005-0000-0000-000071280000}"/>
    <cellStyle name="Обычный 4 3 10 8" xfId="38559" xr:uid="{00000000-0005-0000-0000-000072280000}"/>
    <cellStyle name="Обычный 4 3 10 9" xfId="43899" xr:uid="{00000000-0005-0000-0000-000073280000}"/>
    <cellStyle name="Обычный 4 3 100" xfId="3834" xr:uid="{00000000-0005-0000-0000-000074280000}"/>
    <cellStyle name="Обычный 4 3 100 10" xfId="51897" xr:uid="{00000000-0005-0000-0000-000075280000}"/>
    <cellStyle name="Обычный 4 3 100 2" xfId="9177" xr:uid="{00000000-0005-0000-0000-000076280000}"/>
    <cellStyle name="Обычный 4 3 100 2 2" xfId="57238" xr:uid="{00000000-0005-0000-0000-000077280000}"/>
    <cellStyle name="Обычный 4 3 100 3" xfId="14517" xr:uid="{00000000-0005-0000-0000-000078280000}"/>
    <cellStyle name="Обычный 4 3 100 4" xfId="19857" xr:uid="{00000000-0005-0000-0000-000079280000}"/>
    <cellStyle name="Обычный 4 3 100 5" xfId="25197" xr:uid="{00000000-0005-0000-0000-00007A280000}"/>
    <cellStyle name="Обычный 4 3 100 6" xfId="30537" xr:uid="{00000000-0005-0000-0000-00007B280000}"/>
    <cellStyle name="Обычный 4 3 100 7" xfId="35877" xr:uid="{00000000-0005-0000-0000-00007C280000}"/>
    <cellStyle name="Обычный 4 3 100 8" xfId="41217" xr:uid="{00000000-0005-0000-0000-00007D280000}"/>
    <cellStyle name="Обычный 4 3 100 9" xfId="46557" xr:uid="{00000000-0005-0000-0000-00007E280000}"/>
    <cellStyle name="Обычный 4 3 101" xfId="3866" xr:uid="{00000000-0005-0000-0000-00007F280000}"/>
    <cellStyle name="Обычный 4 3 101 10" xfId="51929" xr:uid="{00000000-0005-0000-0000-000080280000}"/>
    <cellStyle name="Обычный 4 3 101 2" xfId="9209" xr:uid="{00000000-0005-0000-0000-000081280000}"/>
    <cellStyle name="Обычный 4 3 101 2 2" xfId="57270" xr:uid="{00000000-0005-0000-0000-000082280000}"/>
    <cellStyle name="Обычный 4 3 101 3" xfId="14549" xr:uid="{00000000-0005-0000-0000-000083280000}"/>
    <cellStyle name="Обычный 4 3 101 4" xfId="19889" xr:uid="{00000000-0005-0000-0000-000084280000}"/>
    <cellStyle name="Обычный 4 3 101 5" xfId="25229" xr:uid="{00000000-0005-0000-0000-000085280000}"/>
    <cellStyle name="Обычный 4 3 101 6" xfId="30569" xr:uid="{00000000-0005-0000-0000-000086280000}"/>
    <cellStyle name="Обычный 4 3 101 7" xfId="35909" xr:uid="{00000000-0005-0000-0000-000087280000}"/>
    <cellStyle name="Обычный 4 3 101 8" xfId="41249" xr:uid="{00000000-0005-0000-0000-000088280000}"/>
    <cellStyle name="Обычный 4 3 101 9" xfId="46589" xr:uid="{00000000-0005-0000-0000-000089280000}"/>
    <cellStyle name="Обычный 4 3 102" xfId="3898" xr:uid="{00000000-0005-0000-0000-00008A280000}"/>
    <cellStyle name="Обычный 4 3 102 10" xfId="51961" xr:uid="{00000000-0005-0000-0000-00008B280000}"/>
    <cellStyle name="Обычный 4 3 102 2" xfId="9241" xr:uid="{00000000-0005-0000-0000-00008C280000}"/>
    <cellStyle name="Обычный 4 3 102 2 2" xfId="57302" xr:uid="{00000000-0005-0000-0000-00008D280000}"/>
    <cellStyle name="Обычный 4 3 102 3" xfId="14581" xr:uid="{00000000-0005-0000-0000-00008E280000}"/>
    <cellStyle name="Обычный 4 3 102 4" xfId="19921" xr:uid="{00000000-0005-0000-0000-00008F280000}"/>
    <cellStyle name="Обычный 4 3 102 5" xfId="25261" xr:uid="{00000000-0005-0000-0000-000090280000}"/>
    <cellStyle name="Обычный 4 3 102 6" xfId="30601" xr:uid="{00000000-0005-0000-0000-000091280000}"/>
    <cellStyle name="Обычный 4 3 102 7" xfId="35941" xr:uid="{00000000-0005-0000-0000-000092280000}"/>
    <cellStyle name="Обычный 4 3 102 8" xfId="41281" xr:uid="{00000000-0005-0000-0000-000093280000}"/>
    <cellStyle name="Обычный 4 3 102 9" xfId="46621" xr:uid="{00000000-0005-0000-0000-000094280000}"/>
    <cellStyle name="Обычный 4 3 103" xfId="3930" xr:uid="{00000000-0005-0000-0000-000095280000}"/>
    <cellStyle name="Обычный 4 3 103 10" xfId="51993" xr:uid="{00000000-0005-0000-0000-000096280000}"/>
    <cellStyle name="Обычный 4 3 103 2" xfId="9273" xr:uid="{00000000-0005-0000-0000-000097280000}"/>
    <cellStyle name="Обычный 4 3 103 2 2" xfId="57334" xr:uid="{00000000-0005-0000-0000-000098280000}"/>
    <cellStyle name="Обычный 4 3 103 3" xfId="14613" xr:uid="{00000000-0005-0000-0000-000099280000}"/>
    <cellStyle name="Обычный 4 3 103 4" xfId="19953" xr:uid="{00000000-0005-0000-0000-00009A280000}"/>
    <cellStyle name="Обычный 4 3 103 5" xfId="25293" xr:uid="{00000000-0005-0000-0000-00009B280000}"/>
    <cellStyle name="Обычный 4 3 103 6" xfId="30633" xr:uid="{00000000-0005-0000-0000-00009C280000}"/>
    <cellStyle name="Обычный 4 3 103 7" xfId="35973" xr:uid="{00000000-0005-0000-0000-00009D280000}"/>
    <cellStyle name="Обычный 4 3 103 8" xfId="41313" xr:uid="{00000000-0005-0000-0000-00009E280000}"/>
    <cellStyle name="Обычный 4 3 103 9" xfId="46653" xr:uid="{00000000-0005-0000-0000-00009F280000}"/>
    <cellStyle name="Обычный 4 3 104" xfId="3962" xr:uid="{00000000-0005-0000-0000-0000A0280000}"/>
    <cellStyle name="Обычный 4 3 104 10" xfId="52025" xr:uid="{00000000-0005-0000-0000-0000A1280000}"/>
    <cellStyle name="Обычный 4 3 104 2" xfId="9305" xr:uid="{00000000-0005-0000-0000-0000A2280000}"/>
    <cellStyle name="Обычный 4 3 104 2 2" xfId="57366" xr:uid="{00000000-0005-0000-0000-0000A3280000}"/>
    <cellStyle name="Обычный 4 3 104 3" xfId="14645" xr:uid="{00000000-0005-0000-0000-0000A4280000}"/>
    <cellStyle name="Обычный 4 3 104 4" xfId="19985" xr:uid="{00000000-0005-0000-0000-0000A5280000}"/>
    <cellStyle name="Обычный 4 3 104 5" xfId="25325" xr:uid="{00000000-0005-0000-0000-0000A6280000}"/>
    <cellStyle name="Обычный 4 3 104 6" xfId="30665" xr:uid="{00000000-0005-0000-0000-0000A7280000}"/>
    <cellStyle name="Обычный 4 3 104 7" xfId="36005" xr:uid="{00000000-0005-0000-0000-0000A8280000}"/>
    <cellStyle name="Обычный 4 3 104 8" xfId="41345" xr:uid="{00000000-0005-0000-0000-0000A9280000}"/>
    <cellStyle name="Обычный 4 3 104 9" xfId="46685" xr:uid="{00000000-0005-0000-0000-0000AA280000}"/>
    <cellStyle name="Обычный 4 3 105" xfId="3994" xr:uid="{00000000-0005-0000-0000-0000AB280000}"/>
    <cellStyle name="Обычный 4 3 105 10" xfId="52057" xr:uid="{00000000-0005-0000-0000-0000AC280000}"/>
    <cellStyle name="Обычный 4 3 105 2" xfId="9337" xr:uid="{00000000-0005-0000-0000-0000AD280000}"/>
    <cellStyle name="Обычный 4 3 105 2 2" xfId="57398" xr:uid="{00000000-0005-0000-0000-0000AE280000}"/>
    <cellStyle name="Обычный 4 3 105 3" xfId="14677" xr:uid="{00000000-0005-0000-0000-0000AF280000}"/>
    <cellStyle name="Обычный 4 3 105 4" xfId="20017" xr:uid="{00000000-0005-0000-0000-0000B0280000}"/>
    <cellStyle name="Обычный 4 3 105 5" xfId="25357" xr:uid="{00000000-0005-0000-0000-0000B1280000}"/>
    <cellStyle name="Обычный 4 3 105 6" xfId="30697" xr:uid="{00000000-0005-0000-0000-0000B2280000}"/>
    <cellStyle name="Обычный 4 3 105 7" xfId="36037" xr:uid="{00000000-0005-0000-0000-0000B3280000}"/>
    <cellStyle name="Обычный 4 3 105 8" xfId="41377" xr:uid="{00000000-0005-0000-0000-0000B4280000}"/>
    <cellStyle name="Обычный 4 3 105 9" xfId="46717" xr:uid="{00000000-0005-0000-0000-0000B5280000}"/>
    <cellStyle name="Обычный 4 3 106" xfId="4026" xr:uid="{00000000-0005-0000-0000-0000B6280000}"/>
    <cellStyle name="Обычный 4 3 106 10" xfId="52089" xr:uid="{00000000-0005-0000-0000-0000B7280000}"/>
    <cellStyle name="Обычный 4 3 106 2" xfId="9369" xr:uid="{00000000-0005-0000-0000-0000B8280000}"/>
    <cellStyle name="Обычный 4 3 106 2 2" xfId="57430" xr:uid="{00000000-0005-0000-0000-0000B9280000}"/>
    <cellStyle name="Обычный 4 3 106 3" xfId="14709" xr:uid="{00000000-0005-0000-0000-0000BA280000}"/>
    <cellStyle name="Обычный 4 3 106 4" xfId="20049" xr:uid="{00000000-0005-0000-0000-0000BB280000}"/>
    <cellStyle name="Обычный 4 3 106 5" xfId="25389" xr:uid="{00000000-0005-0000-0000-0000BC280000}"/>
    <cellStyle name="Обычный 4 3 106 6" xfId="30729" xr:uid="{00000000-0005-0000-0000-0000BD280000}"/>
    <cellStyle name="Обычный 4 3 106 7" xfId="36069" xr:uid="{00000000-0005-0000-0000-0000BE280000}"/>
    <cellStyle name="Обычный 4 3 106 8" xfId="41409" xr:uid="{00000000-0005-0000-0000-0000BF280000}"/>
    <cellStyle name="Обычный 4 3 106 9" xfId="46749" xr:uid="{00000000-0005-0000-0000-0000C0280000}"/>
    <cellStyle name="Обычный 4 3 107" xfId="4058" xr:uid="{00000000-0005-0000-0000-0000C1280000}"/>
    <cellStyle name="Обычный 4 3 107 10" xfId="52121" xr:uid="{00000000-0005-0000-0000-0000C2280000}"/>
    <cellStyle name="Обычный 4 3 107 2" xfId="9401" xr:uid="{00000000-0005-0000-0000-0000C3280000}"/>
    <cellStyle name="Обычный 4 3 107 2 2" xfId="57462" xr:uid="{00000000-0005-0000-0000-0000C4280000}"/>
    <cellStyle name="Обычный 4 3 107 3" xfId="14741" xr:uid="{00000000-0005-0000-0000-0000C5280000}"/>
    <cellStyle name="Обычный 4 3 107 4" xfId="20081" xr:uid="{00000000-0005-0000-0000-0000C6280000}"/>
    <cellStyle name="Обычный 4 3 107 5" xfId="25421" xr:uid="{00000000-0005-0000-0000-0000C7280000}"/>
    <cellStyle name="Обычный 4 3 107 6" xfId="30761" xr:uid="{00000000-0005-0000-0000-0000C8280000}"/>
    <cellStyle name="Обычный 4 3 107 7" xfId="36101" xr:uid="{00000000-0005-0000-0000-0000C9280000}"/>
    <cellStyle name="Обычный 4 3 107 8" xfId="41441" xr:uid="{00000000-0005-0000-0000-0000CA280000}"/>
    <cellStyle name="Обычный 4 3 107 9" xfId="46781" xr:uid="{00000000-0005-0000-0000-0000CB280000}"/>
    <cellStyle name="Обычный 4 3 108" xfId="4090" xr:uid="{00000000-0005-0000-0000-0000CC280000}"/>
    <cellStyle name="Обычный 4 3 108 10" xfId="52153" xr:uid="{00000000-0005-0000-0000-0000CD280000}"/>
    <cellStyle name="Обычный 4 3 108 2" xfId="9433" xr:uid="{00000000-0005-0000-0000-0000CE280000}"/>
    <cellStyle name="Обычный 4 3 108 2 2" xfId="57494" xr:uid="{00000000-0005-0000-0000-0000CF280000}"/>
    <cellStyle name="Обычный 4 3 108 3" xfId="14773" xr:uid="{00000000-0005-0000-0000-0000D0280000}"/>
    <cellStyle name="Обычный 4 3 108 4" xfId="20113" xr:uid="{00000000-0005-0000-0000-0000D1280000}"/>
    <cellStyle name="Обычный 4 3 108 5" xfId="25453" xr:uid="{00000000-0005-0000-0000-0000D2280000}"/>
    <cellStyle name="Обычный 4 3 108 6" xfId="30793" xr:uid="{00000000-0005-0000-0000-0000D3280000}"/>
    <cellStyle name="Обычный 4 3 108 7" xfId="36133" xr:uid="{00000000-0005-0000-0000-0000D4280000}"/>
    <cellStyle name="Обычный 4 3 108 8" xfId="41473" xr:uid="{00000000-0005-0000-0000-0000D5280000}"/>
    <cellStyle name="Обычный 4 3 108 9" xfId="46813" xr:uid="{00000000-0005-0000-0000-0000D6280000}"/>
    <cellStyle name="Обычный 4 3 109" xfId="4122" xr:uid="{00000000-0005-0000-0000-0000D7280000}"/>
    <cellStyle name="Обычный 4 3 109 10" xfId="52185" xr:uid="{00000000-0005-0000-0000-0000D8280000}"/>
    <cellStyle name="Обычный 4 3 109 2" xfId="9465" xr:uid="{00000000-0005-0000-0000-0000D9280000}"/>
    <cellStyle name="Обычный 4 3 109 2 2" xfId="57526" xr:uid="{00000000-0005-0000-0000-0000DA280000}"/>
    <cellStyle name="Обычный 4 3 109 3" xfId="14805" xr:uid="{00000000-0005-0000-0000-0000DB280000}"/>
    <cellStyle name="Обычный 4 3 109 4" xfId="20145" xr:uid="{00000000-0005-0000-0000-0000DC280000}"/>
    <cellStyle name="Обычный 4 3 109 5" xfId="25485" xr:uid="{00000000-0005-0000-0000-0000DD280000}"/>
    <cellStyle name="Обычный 4 3 109 6" xfId="30825" xr:uid="{00000000-0005-0000-0000-0000DE280000}"/>
    <cellStyle name="Обычный 4 3 109 7" xfId="36165" xr:uid="{00000000-0005-0000-0000-0000DF280000}"/>
    <cellStyle name="Обычный 4 3 109 8" xfId="41505" xr:uid="{00000000-0005-0000-0000-0000E0280000}"/>
    <cellStyle name="Обычный 4 3 109 9" xfId="46845" xr:uid="{00000000-0005-0000-0000-0000E1280000}"/>
    <cellStyle name="Обычный 4 3 11" xfId="1202" xr:uid="{00000000-0005-0000-0000-0000E2280000}"/>
    <cellStyle name="Обычный 4 3 11 10" xfId="49265" xr:uid="{00000000-0005-0000-0000-0000E3280000}"/>
    <cellStyle name="Обычный 4 3 11 2" xfId="6544" xr:uid="{00000000-0005-0000-0000-0000E4280000}"/>
    <cellStyle name="Обычный 4 3 11 2 2" xfId="54606" xr:uid="{00000000-0005-0000-0000-0000E5280000}"/>
    <cellStyle name="Обычный 4 3 11 3" xfId="11885" xr:uid="{00000000-0005-0000-0000-0000E6280000}"/>
    <cellStyle name="Обычный 4 3 11 4" xfId="17225" xr:uid="{00000000-0005-0000-0000-0000E7280000}"/>
    <cellStyle name="Обычный 4 3 11 5" xfId="22565" xr:uid="{00000000-0005-0000-0000-0000E8280000}"/>
    <cellStyle name="Обычный 4 3 11 6" xfId="27905" xr:uid="{00000000-0005-0000-0000-0000E9280000}"/>
    <cellStyle name="Обычный 4 3 11 7" xfId="33245" xr:uid="{00000000-0005-0000-0000-0000EA280000}"/>
    <cellStyle name="Обычный 4 3 11 8" xfId="38585" xr:uid="{00000000-0005-0000-0000-0000EB280000}"/>
    <cellStyle name="Обычный 4 3 11 9" xfId="43925" xr:uid="{00000000-0005-0000-0000-0000EC280000}"/>
    <cellStyle name="Обычный 4 3 110" xfId="4154" xr:uid="{00000000-0005-0000-0000-0000ED280000}"/>
    <cellStyle name="Обычный 4 3 110 10" xfId="52217" xr:uid="{00000000-0005-0000-0000-0000EE280000}"/>
    <cellStyle name="Обычный 4 3 110 2" xfId="9497" xr:uid="{00000000-0005-0000-0000-0000EF280000}"/>
    <cellStyle name="Обычный 4 3 110 2 2" xfId="57558" xr:uid="{00000000-0005-0000-0000-0000F0280000}"/>
    <cellStyle name="Обычный 4 3 110 3" xfId="14837" xr:uid="{00000000-0005-0000-0000-0000F1280000}"/>
    <cellStyle name="Обычный 4 3 110 4" xfId="20177" xr:uid="{00000000-0005-0000-0000-0000F2280000}"/>
    <cellStyle name="Обычный 4 3 110 5" xfId="25517" xr:uid="{00000000-0005-0000-0000-0000F3280000}"/>
    <cellStyle name="Обычный 4 3 110 6" xfId="30857" xr:uid="{00000000-0005-0000-0000-0000F4280000}"/>
    <cellStyle name="Обычный 4 3 110 7" xfId="36197" xr:uid="{00000000-0005-0000-0000-0000F5280000}"/>
    <cellStyle name="Обычный 4 3 110 8" xfId="41537" xr:uid="{00000000-0005-0000-0000-0000F6280000}"/>
    <cellStyle name="Обычный 4 3 110 9" xfId="46877" xr:uid="{00000000-0005-0000-0000-0000F7280000}"/>
    <cellStyle name="Обычный 4 3 111" xfId="4186" xr:uid="{00000000-0005-0000-0000-0000F8280000}"/>
    <cellStyle name="Обычный 4 3 111 10" xfId="52249" xr:uid="{00000000-0005-0000-0000-0000F9280000}"/>
    <cellStyle name="Обычный 4 3 111 2" xfId="9529" xr:uid="{00000000-0005-0000-0000-0000FA280000}"/>
    <cellStyle name="Обычный 4 3 111 2 2" xfId="57590" xr:uid="{00000000-0005-0000-0000-0000FB280000}"/>
    <cellStyle name="Обычный 4 3 111 3" xfId="14869" xr:uid="{00000000-0005-0000-0000-0000FC280000}"/>
    <cellStyle name="Обычный 4 3 111 4" xfId="20209" xr:uid="{00000000-0005-0000-0000-0000FD280000}"/>
    <cellStyle name="Обычный 4 3 111 5" xfId="25549" xr:uid="{00000000-0005-0000-0000-0000FE280000}"/>
    <cellStyle name="Обычный 4 3 111 6" xfId="30889" xr:uid="{00000000-0005-0000-0000-0000FF280000}"/>
    <cellStyle name="Обычный 4 3 111 7" xfId="36229" xr:uid="{00000000-0005-0000-0000-000000290000}"/>
    <cellStyle name="Обычный 4 3 111 8" xfId="41569" xr:uid="{00000000-0005-0000-0000-000001290000}"/>
    <cellStyle name="Обычный 4 3 111 9" xfId="46909" xr:uid="{00000000-0005-0000-0000-000002290000}"/>
    <cellStyle name="Обычный 4 3 112" xfId="4218" xr:uid="{00000000-0005-0000-0000-000003290000}"/>
    <cellStyle name="Обычный 4 3 112 10" xfId="52281" xr:uid="{00000000-0005-0000-0000-000004290000}"/>
    <cellStyle name="Обычный 4 3 112 2" xfId="9561" xr:uid="{00000000-0005-0000-0000-000005290000}"/>
    <cellStyle name="Обычный 4 3 112 2 2" xfId="57622" xr:uid="{00000000-0005-0000-0000-000006290000}"/>
    <cellStyle name="Обычный 4 3 112 3" xfId="14901" xr:uid="{00000000-0005-0000-0000-000007290000}"/>
    <cellStyle name="Обычный 4 3 112 4" xfId="20241" xr:uid="{00000000-0005-0000-0000-000008290000}"/>
    <cellStyle name="Обычный 4 3 112 5" xfId="25581" xr:uid="{00000000-0005-0000-0000-000009290000}"/>
    <cellStyle name="Обычный 4 3 112 6" xfId="30921" xr:uid="{00000000-0005-0000-0000-00000A290000}"/>
    <cellStyle name="Обычный 4 3 112 7" xfId="36261" xr:uid="{00000000-0005-0000-0000-00000B290000}"/>
    <cellStyle name="Обычный 4 3 112 8" xfId="41601" xr:uid="{00000000-0005-0000-0000-00000C290000}"/>
    <cellStyle name="Обычный 4 3 112 9" xfId="46941" xr:uid="{00000000-0005-0000-0000-00000D290000}"/>
    <cellStyle name="Обычный 4 3 113" xfId="4250" xr:uid="{00000000-0005-0000-0000-00000E290000}"/>
    <cellStyle name="Обычный 4 3 113 10" xfId="52313" xr:uid="{00000000-0005-0000-0000-00000F290000}"/>
    <cellStyle name="Обычный 4 3 113 2" xfId="9593" xr:uid="{00000000-0005-0000-0000-000010290000}"/>
    <cellStyle name="Обычный 4 3 113 2 2" xfId="57654" xr:uid="{00000000-0005-0000-0000-000011290000}"/>
    <cellStyle name="Обычный 4 3 113 3" xfId="14933" xr:uid="{00000000-0005-0000-0000-000012290000}"/>
    <cellStyle name="Обычный 4 3 113 4" xfId="20273" xr:uid="{00000000-0005-0000-0000-000013290000}"/>
    <cellStyle name="Обычный 4 3 113 5" xfId="25613" xr:uid="{00000000-0005-0000-0000-000014290000}"/>
    <cellStyle name="Обычный 4 3 113 6" xfId="30953" xr:uid="{00000000-0005-0000-0000-000015290000}"/>
    <cellStyle name="Обычный 4 3 113 7" xfId="36293" xr:uid="{00000000-0005-0000-0000-000016290000}"/>
    <cellStyle name="Обычный 4 3 113 8" xfId="41633" xr:uid="{00000000-0005-0000-0000-000017290000}"/>
    <cellStyle name="Обычный 4 3 113 9" xfId="46973" xr:uid="{00000000-0005-0000-0000-000018290000}"/>
    <cellStyle name="Обычный 4 3 114" xfId="4282" xr:uid="{00000000-0005-0000-0000-000019290000}"/>
    <cellStyle name="Обычный 4 3 114 10" xfId="52345" xr:uid="{00000000-0005-0000-0000-00001A290000}"/>
    <cellStyle name="Обычный 4 3 114 2" xfId="9625" xr:uid="{00000000-0005-0000-0000-00001B290000}"/>
    <cellStyle name="Обычный 4 3 114 2 2" xfId="57686" xr:uid="{00000000-0005-0000-0000-00001C290000}"/>
    <cellStyle name="Обычный 4 3 114 3" xfId="14965" xr:uid="{00000000-0005-0000-0000-00001D290000}"/>
    <cellStyle name="Обычный 4 3 114 4" xfId="20305" xr:uid="{00000000-0005-0000-0000-00001E290000}"/>
    <cellStyle name="Обычный 4 3 114 5" xfId="25645" xr:uid="{00000000-0005-0000-0000-00001F290000}"/>
    <cellStyle name="Обычный 4 3 114 6" xfId="30985" xr:uid="{00000000-0005-0000-0000-000020290000}"/>
    <cellStyle name="Обычный 4 3 114 7" xfId="36325" xr:uid="{00000000-0005-0000-0000-000021290000}"/>
    <cellStyle name="Обычный 4 3 114 8" xfId="41665" xr:uid="{00000000-0005-0000-0000-000022290000}"/>
    <cellStyle name="Обычный 4 3 114 9" xfId="47005" xr:uid="{00000000-0005-0000-0000-000023290000}"/>
    <cellStyle name="Обычный 4 3 115" xfId="4314" xr:uid="{00000000-0005-0000-0000-000024290000}"/>
    <cellStyle name="Обычный 4 3 115 10" xfId="52377" xr:uid="{00000000-0005-0000-0000-000025290000}"/>
    <cellStyle name="Обычный 4 3 115 2" xfId="9657" xr:uid="{00000000-0005-0000-0000-000026290000}"/>
    <cellStyle name="Обычный 4 3 115 2 2" xfId="57718" xr:uid="{00000000-0005-0000-0000-000027290000}"/>
    <cellStyle name="Обычный 4 3 115 3" xfId="14997" xr:uid="{00000000-0005-0000-0000-000028290000}"/>
    <cellStyle name="Обычный 4 3 115 4" xfId="20337" xr:uid="{00000000-0005-0000-0000-000029290000}"/>
    <cellStyle name="Обычный 4 3 115 5" xfId="25677" xr:uid="{00000000-0005-0000-0000-00002A290000}"/>
    <cellStyle name="Обычный 4 3 115 6" xfId="31017" xr:uid="{00000000-0005-0000-0000-00002B290000}"/>
    <cellStyle name="Обычный 4 3 115 7" xfId="36357" xr:uid="{00000000-0005-0000-0000-00002C290000}"/>
    <cellStyle name="Обычный 4 3 115 8" xfId="41697" xr:uid="{00000000-0005-0000-0000-00002D290000}"/>
    <cellStyle name="Обычный 4 3 115 9" xfId="47037" xr:uid="{00000000-0005-0000-0000-00002E290000}"/>
    <cellStyle name="Обычный 4 3 116" xfId="4346" xr:uid="{00000000-0005-0000-0000-00002F290000}"/>
    <cellStyle name="Обычный 4 3 116 10" xfId="52409" xr:uid="{00000000-0005-0000-0000-000030290000}"/>
    <cellStyle name="Обычный 4 3 116 2" xfId="9689" xr:uid="{00000000-0005-0000-0000-000031290000}"/>
    <cellStyle name="Обычный 4 3 116 2 2" xfId="57750" xr:uid="{00000000-0005-0000-0000-000032290000}"/>
    <cellStyle name="Обычный 4 3 116 3" xfId="15029" xr:uid="{00000000-0005-0000-0000-000033290000}"/>
    <cellStyle name="Обычный 4 3 116 4" xfId="20369" xr:uid="{00000000-0005-0000-0000-000034290000}"/>
    <cellStyle name="Обычный 4 3 116 5" xfId="25709" xr:uid="{00000000-0005-0000-0000-000035290000}"/>
    <cellStyle name="Обычный 4 3 116 6" xfId="31049" xr:uid="{00000000-0005-0000-0000-000036290000}"/>
    <cellStyle name="Обычный 4 3 116 7" xfId="36389" xr:uid="{00000000-0005-0000-0000-000037290000}"/>
    <cellStyle name="Обычный 4 3 116 8" xfId="41729" xr:uid="{00000000-0005-0000-0000-000038290000}"/>
    <cellStyle name="Обычный 4 3 116 9" xfId="47069" xr:uid="{00000000-0005-0000-0000-000039290000}"/>
    <cellStyle name="Обычный 4 3 117" xfId="4378" xr:uid="{00000000-0005-0000-0000-00003A290000}"/>
    <cellStyle name="Обычный 4 3 117 10" xfId="52441" xr:uid="{00000000-0005-0000-0000-00003B290000}"/>
    <cellStyle name="Обычный 4 3 117 2" xfId="9721" xr:uid="{00000000-0005-0000-0000-00003C290000}"/>
    <cellStyle name="Обычный 4 3 117 2 2" xfId="57782" xr:uid="{00000000-0005-0000-0000-00003D290000}"/>
    <cellStyle name="Обычный 4 3 117 3" xfId="15061" xr:uid="{00000000-0005-0000-0000-00003E290000}"/>
    <cellStyle name="Обычный 4 3 117 4" xfId="20401" xr:uid="{00000000-0005-0000-0000-00003F290000}"/>
    <cellStyle name="Обычный 4 3 117 5" xfId="25741" xr:uid="{00000000-0005-0000-0000-000040290000}"/>
    <cellStyle name="Обычный 4 3 117 6" xfId="31081" xr:uid="{00000000-0005-0000-0000-000041290000}"/>
    <cellStyle name="Обычный 4 3 117 7" xfId="36421" xr:uid="{00000000-0005-0000-0000-000042290000}"/>
    <cellStyle name="Обычный 4 3 117 8" xfId="41761" xr:uid="{00000000-0005-0000-0000-000043290000}"/>
    <cellStyle name="Обычный 4 3 117 9" xfId="47101" xr:uid="{00000000-0005-0000-0000-000044290000}"/>
    <cellStyle name="Обычный 4 3 118" xfId="4410" xr:uid="{00000000-0005-0000-0000-000045290000}"/>
    <cellStyle name="Обычный 4 3 118 10" xfId="52473" xr:uid="{00000000-0005-0000-0000-000046290000}"/>
    <cellStyle name="Обычный 4 3 118 2" xfId="9753" xr:uid="{00000000-0005-0000-0000-000047290000}"/>
    <cellStyle name="Обычный 4 3 118 2 2" xfId="57814" xr:uid="{00000000-0005-0000-0000-000048290000}"/>
    <cellStyle name="Обычный 4 3 118 3" xfId="15093" xr:uid="{00000000-0005-0000-0000-000049290000}"/>
    <cellStyle name="Обычный 4 3 118 4" xfId="20433" xr:uid="{00000000-0005-0000-0000-00004A290000}"/>
    <cellStyle name="Обычный 4 3 118 5" xfId="25773" xr:uid="{00000000-0005-0000-0000-00004B290000}"/>
    <cellStyle name="Обычный 4 3 118 6" xfId="31113" xr:uid="{00000000-0005-0000-0000-00004C290000}"/>
    <cellStyle name="Обычный 4 3 118 7" xfId="36453" xr:uid="{00000000-0005-0000-0000-00004D290000}"/>
    <cellStyle name="Обычный 4 3 118 8" xfId="41793" xr:uid="{00000000-0005-0000-0000-00004E290000}"/>
    <cellStyle name="Обычный 4 3 118 9" xfId="47133" xr:uid="{00000000-0005-0000-0000-00004F290000}"/>
    <cellStyle name="Обычный 4 3 119" xfId="4442" xr:uid="{00000000-0005-0000-0000-000050290000}"/>
    <cellStyle name="Обычный 4 3 119 10" xfId="52505" xr:uid="{00000000-0005-0000-0000-000051290000}"/>
    <cellStyle name="Обычный 4 3 119 2" xfId="9785" xr:uid="{00000000-0005-0000-0000-000052290000}"/>
    <cellStyle name="Обычный 4 3 119 2 2" xfId="57846" xr:uid="{00000000-0005-0000-0000-000053290000}"/>
    <cellStyle name="Обычный 4 3 119 3" xfId="15125" xr:uid="{00000000-0005-0000-0000-000054290000}"/>
    <cellStyle name="Обычный 4 3 119 4" xfId="20465" xr:uid="{00000000-0005-0000-0000-000055290000}"/>
    <cellStyle name="Обычный 4 3 119 5" xfId="25805" xr:uid="{00000000-0005-0000-0000-000056290000}"/>
    <cellStyle name="Обычный 4 3 119 6" xfId="31145" xr:uid="{00000000-0005-0000-0000-000057290000}"/>
    <cellStyle name="Обычный 4 3 119 7" xfId="36485" xr:uid="{00000000-0005-0000-0000-000058290000}"/>
    <cellStyle name="Обычный 4 3 119 8" xfId="41825" xr:uid="{00000000-0005-0000-0000-000059290000}"/>
    <cellStyle name="Обычный 4 3 119 9" xfId="47165" xr:uid="{00000000-0005-0000-0000-00005A290000}"/>
    <cellStyle name="Обычный 4 3 12" xfId="1228" xr:uid="{00000000-0005-0000-0000-00005B290000}"/>
    <cellStyle name="Обычный 4 3 12 10" xfId="49291" xr:uid="{00000000-0005-0000-0000-00005C290000}"/>
    <cellStyle name="Обычный 4 3 12 2" xfId="6570" xr:uid="{00000000-0005-0000-0000-00005D290000}"/>
    <cellStyle name="Обычный 4 3 12 2 2" xfId="54632" xr:uid="{00000000-0005-0000-0000-00005E290000}"/>
    <cellStyle name="Обычный 4 3 12 3" xfId="11911" xr:uid="{00000000-0005-0000-0000-00005F290000}"/>
    <cellStyle name="Обычный 4 3 12 4" xfId="17251" xr:uid="{00000000-0005-0000-0000-000060290000}"/>
    <cellStyle name="Обычный 4 3 12 5" xfId="22591" xr:uid="{00000000-0005-0000-0000-000061290000}"/>
    <cellStyle name="Обычный 4 3 12 6" xfId="27931" xr:uid="{00000000-0005-0000-0000-000062290000}"/>
    <cellStyle name="Обычный 4 3 12 7" xfId="33271" xr:uid="{00000000-0005-0000-0000-000063290000}"/>
    <cellStyle name="Обычный 4 3 12 8" xfId="38611" xr:uid="{00000000-0005-0000-0000-000064290000}"/>
    <cellStyle name="Обычный 4 3 12 9" xfId="43951" xr:uid="{00000000-0005-0000-0000-000065290000}"/>
    <cellStyle name="Обычный 4 3 120" xfId="4474" xr:uid="{00000000-0005-0000-0000-000066290000}"/>
    <cellStyle name="Обычный 4 3 120 10" xfId="52537" xr:uid="{00000000-0005-0000-0000-000067290000}"/>
    <cellStyle name="Обычный 4 3 120 2" xfId="9817" xr:uid="{00000000-0005-0000-0000-000068290000}"/>
    <cellStyle name="Обычный 4 3 120 2 2" xfId="57878" xr:uid="{00000000-0005-0000-0000-000069290000}"/>
    <cellStyle name="Обычный 4 3 120 3" xfId="15157" xr:uid="{00000000-0005-0000-0000-00006A290000}"/>
    <cellStyle name="Обычный 4 3 120 4" xfId="20497" xr:uid="{00000000-0005-0000-0000-00006B290000}"/>
    <cellStyle name="Обычный 4 3 120 5" xfId="25837" xr:uid="{00000000-0005-0000-0000-00006C290000}"/>
    <cellStyle name="Обычный 4 3 120 6" xfId="31177" xr:uid="{00000000-0005-0000-0000-00006D290000}"/>
    <cellStyle name="Обычный 4 3 120 7" xfId="36517" xr:uid="{00000000-0005-0000-0000-00006E290000}"/>
    <cellStyle name="Обычный 4 3 120 8" xfId="41857" xr:uid="{00000000-0005-0000-0000-00006F290000}"/>
    <cellStyle name="Обычный 4 3 120 9" xfId="47197" xr:uid="{00000000-0005-0000-0000-000070290000}"/>
    <cellStyle name="Обычный 4 3 121" xfId="4506" xr:uid="{00000000-0005-0000-0000-000071290000}"/>
    <cellStyle name="Обычный 4 3 121 10" xfId="52569" xr:uid="{00000000-0005-0000-0000-000072290000}"/>
    <cellStyle name="Обычный 4 3 121 2" xfId="9849" xr:uid="{00000000-0005-0000-0000-000073290000}"/>
    <cellStyle name="Обычный 4 3 121 2 2" xfId="57910" xr:uid="{00000000-0005-0000-0000-000074290000}"/>
    <cellStyle name="Обычный 4 3 121 3" xfId="15189" xr:uid="{00000000-0005-0000-0000-000075290000}"/>
    <cellStyle name="Обычный 4 3 121 4" xfId="20529" xr:uid="{00000000-0005-0000-0000-000076290000}"/>
    <cellStyle name="Обычный 4 3 121 5" xfId="25869" xr:uid="{00000000-0005-0000-0000-000077290000}"/>
    <cellStyle name="Обычный 4 3 121 6" xfId="31209" xr:uid="{00000000-0005-0000-0000-000078290000}"/>
    <cellStyle name="Обычный 4 3 121 7" xfId="36549" xr:uid="{00000000-0005-0000-0000-000079290000}"/>
    <cellStyle name="Обычный 4 3 121 8" xfId="41889" xr:uid="{00000000-0005-0000-0000-00007A290000}"/>
    <cellStyle name="Обычный 4 3 121 9" xfId="47229" xr:uid="{00000000-0005-0000-0000-00007B290000}"/>
    <cellStyle name="Обычный 4 3 122" xfId="4538" xr:uid="{00000000-0005-0000-0000-00007C290000}"/>
    <cellStyle name="Обычный 4 3 122 10" xfId="52601" xr:uid="{00000000-0005-0000-0000-00007D290000}"/>
    <cellStyle name="Обычный 4 3 122 2" xfId="9881" xr:uid="{00000000-0005-0000-0000-00007E290000}"/>
    <cellStyle name="Обычный 4 3 122 2 2" xfId="57942" xr:uid="{00000000-0005-0000-0000-00007F290000}"/>
    <cellStyle name="Обычный 4 3 122 3" xfId="15221" xr:uid="{00000000-0005-0000-0000-000080290000}"/>
    <cellStyle name="Обычный 4 3 122 4" xfId="20561" xr:uid="{00000000-0005-0000-0000-000081290000}"/>
    <cellStyle name="Обычный 4 3 122 5" xfId="25901" xr:uid="{00000000-0005-0000-0000-000082290000}"/>
    <cellStyle name="Обычный 4 3 122 6" xfId="31241" xr:uid="{00000000-0005-0000-0000-000083290000}"/>
    <cellStyle name="Обычный 4 3 122 7" xfId="36581" xr:uid="{00000000-0005-0000-0000-000084290000}"/>
    <cellStyle name="Обычный 4 3 122 8" xfId="41921" xr:uid="{00000000-0005-0000-0000-000085290000}"/>
    <cellStyle name="Обычный 4 3 122 9" xfId="47261" xr:uid="{00000000-0005-0000-0000-000086290000}"/>
    <cellStyle name="Обычный 4 3 123" xfId="4570" xr:uid="{00000000-0005-0000-0000-000087290000}"/>
    <cellStyle name="Обычный 4 3 123 10" xfId="52633" xr:uid="{00000000-0005-0000-0000-000088290000}"/>
    <cellStyle name="Обычный 4 3 123 2" xfId="9913" xr:uid="{00000000-0005-0000-0000-000089290000}"/>
    <cellStyle name="Обычный 4 3 123 2 2" xfId="57974" xr:uid="{00000000-0005-0000-0000-00008A290000}"/>
    <cellStyle name="Обычный 4 3 123 3" xfId="15253" xr:uid="{00000000-0005-0000-0000-00008B290000}"/>
    <cellStyle name="Обычный 4 3 123 4" xfId="20593" xr:uid="{00000000-0005-0000-0000-00008C290000}"/>
    <cellStyle name="Обычный 4 3 123 5" xfId="25933" xr:uid="{00000000-0005-0000-0000-00008D290000}"/>
    <cellStyle name="Обычный 4 3 123 6" xfId="31273" xr:uid="{00000000-0005-0000-0000-00008E290000}"/>
    <cellStyle name="Обычный 4 3 123 7" xfId="36613" xr:uid="{00000000-0005-0000-0000-00008F290000}"/>
    <cellStyle name="Обычный 4 3 123 8" xfId="41953" xr:uid="{00000000-0005-0000-0000-000090290000}"/>
    <cellStyle name="Обычный 4 3 123 9" xfId="47293" xr:uid="{00000000-0005-0000-0000-000091290000}"/>
    <cellStyle name="Обычный 4 3 124" xfId="4602" xr:uid="{00000000-0005-0000-0000-000092290000}"/>
    <cellStyle name="Обычный 4 3 124 10" xfId="52665" xr:uid="{00000000-0005-0000-0000-000093290000}"/>
    <cellStyle name="Обычный 4 3 124 2" xfId="9945" xr:uid="{00000000-0005-0000-0000-000094290000}"/>
    <cellStyle name="Обычный 4 3 124 2 2" xfId="58006" xr:uid="{00000000-0005-0000-0000-000095290000}"/>
    <cellStyle name="Обычный 4 3 124 3" xfId="15285" xr:uid="{00000000-0005-0000-0000-000096290000}"/>
    <cellStyle name="Обычный 4 3 124 4" xfId="20625" xr:uid="{00000000-0005-0000-0000-000097290000}"/>
    <cellStyle name="Обычный 4 3 124 5" xfId="25965" xr:uid="{00000000-0005-0000-0000-000098290000}"/>
    <cellStyle name="Обычный 4 3 124 6" xfId="31305" xr:uid="{00000000-0005-0000-0000-000099290000}"/>
    <cellStyle name="Обычный 4 3 124 7" xfId="36645" xr:uid="{00000000-0005-0000-0000-00009A290000}"/>
    <cellStyle name="Обычный 4 3 124 8" xfId="41985" xr:uid="{00000000-0005-0000-0000-00009B290000}"/>
    <cellStyle name="Обычный 4 3 124 9" xfId="47325" xr:uid="{00000000-0005-0000-0000-00009C290000}"/>
    <cellStyle name="Обычный 4 3 125" xfId="4634" xr:uid="{00000000-0005-0000-0000-00009D290000}"/>
    <cellStyle name="Обычный 4 3 125 10" xfId="52697" xr:uid="{00000000-0005-0000-0000-00009E290000}"/>
    <cellStyle name="Обычный 4 3 125 2" xfId="9977" xr:uid="{00000000-0005-0000-0000-00009F290000}"/>
    <cellStyle name="Обычный 4 3 125 2 2" xfId="58038" xr:uid="{00000000-0005-0000-0000-0000A0290000}"/>
    <cellStyle name="Обычный 4 3 125 3" xfId="15317" xr:uid="{00000000-0005-0000-0000-0000A1290000}"/>
    <cellStyle name="Обычный 4 3 125 4" xfId="20657" xr:uid="{00000000-0005-0000-0000-0000A2290000}"/>
    <cellStyle name="Обычный 4 3 125 5" xfId="25997" xr:uid="{00000000-0005-0000-0000-0000A3290000}"/>
    <cellStyle name="Обычный 4 3 125 6" xfId="31337" xr:uid="{00000000-0005-0000-0000-0000A4290000}"/>
    <cellStyle name="Обычный 4 3 125 7" xfId="36677" xr:uid="{00000000-0005-0000-0000-0000A5290000}"/>
    <cellStyle name="Обычный 4 3 125 8" xfId="42017" xr:uid="{00000000-0005-0000-0000-0000A6290000}"/>
    <cellStyle name="Обычный 4 3 125 9" xfId="47357" xr:uid="{00000000-0005-0000-0000-0000A7290000}"/>
    <cellStyle name="Обычный 4 3 126" xfId="4666" xr:uid="{00000000-0005-0000-0000-0000A8290000}"/>
    <cellStyle name="Обычный 4 3 126 10" xfId="52729" xr:uid="{00000000-0005-0000-0000-0000A9290000}"/>
    <cellStyle name="Обычный 4 3 126 2" xfId="10009" xr:uid="{00000000-0005-0000-0000-0000AA290000}"/>
    <cellStyle name="Обычный 4 3 126 2 2" xfId="58070" xr:uid="{00000000-0005-0000-0000-0000AB290000}"/>
    <cellStyle name="Обычный 4 3 126 3" xfId="15349" xr:uid="{00000000-0005-0000-0000-0000AC290000}"/>
    <cellStyle name="Обычный 4 3 126 4" xfId="20689" xr:uid="{00000000-0005-0000-0000-0000AD290000}"/>
    <cellStyle name="Обычный 4 3 126 5" xfId="26029" xr:uid="{00000000-0005-0000-0000-0000AE290000}"/>
    <cellStyle name="Обычный 4 3 126 6" xfId="31369" xr:uid="{00000000-0005-0000-0000-0000AF290000}"/>
    <cellStyle name="Обычный 4 3 126 7" xfId="36709" xr:uid="{00000000-0005-0000-0000-0000B0290000}"/>
    <cellStyle name="Обычный 4 3 126 8" xfId="42049" xr:uid="{00000000-0005-0000-0000-0000B1290000}"/>
    <cellStyle name="Обычный 4 3 126 9" xfId="47389" xr:uid="{00000000-0005-0000-0000-0000B2290000}"/>
    <cellStyle name="Обычный 4 3 127" xfId="4698" xr:uid="{00000000-0005-0000-0000-0000B3290000}"/>
    <cellStyle name="Обычный 4 3 127 10" xfId="52761" xr:uid="{00000000-0005-0000-0000-0000B4290000}"/>
    <cellStyle name="Обычный 4 3 127 2" xfId="10041" xr:uid="{00000000-0005-0000-0000-0000B5290000}"/>
    <cellStyle name="Обычный 4 3 127 2 2" xfId="58102" xr:uid="{00000000-0005-0000-0000-0000B6290000}"/>
    <cellStyle name="Обычный 4 3 127 3" xfId="15381" xr:uid="{00000000-0005-0000-0000-0000B7290000}"/>
    <cellStyle name="Обычный 4 3 127 4" xfId="20721" xr:uid="{00000000-0005-0000-0000-0000B8290000}"/>
    <cellStyle name="Обычный 4 3 127 5" xfId="26061" xr:uid="{00000000-0005-0000-0000-0000B9290000}"/>
    <cellStyle name="Обычный 4 3 127 6" xfId="31401" xr:uid="{00000000-0005-0000-0000-0000BA290000}"/>
    <cellStyle name="Обычный 4 3 127 7" xfId="36741" xr:uid="{00000000-0005-0000-0000-0000BB290000}"/>
    <cellStyle name="Обычный 4 3 127 8" xfId="42081" xr:uid="{00000000-0005-0000-0000-0000BC290000}"/>
    <cellStyle name="Обычный 4 3 127 9" xfId="47421" xr:uid="{00000000-0005-0000-0000-0000BD290000}"/>
    <cellStyle name="Обычный 4 3 128" xfId="4732" xr:uid="{00000000-0005-0000-0000-0000BE290000}"/>
    <cellStyle name="Обычный 4 3 128 10" xfId="52795" xr:uid="{00000000-0005-0000-0000-0000BF290000}"/>
    <cellStyle name="Обычный 4 3 128 2" xfId="10075" xr:uid="{00000000-0005-0000-0000-0000C0290000}"/>
    <cellStyle name="Обычный 4 3 128 2 2" xfId="58136" xr:uid="{00000000-0005-0000-0000-0000C1290000}"/>
    <cellStyle name="Обычный 4 3 128 3" xfId="15415" xr:uid="{00000000-0005-0000-0000-0000C2290000}"/>
    <cellStyle name="Обычный 4 3 128 4" xfId="20755" xr:uid="{00000000-0005-0000-0000-0000C3290000}"/>
    <cellStyle name="Обычный 4 3 128 5" xfId="26095" xr:uid="{00000000-0005-0000-0000-0000C4290000}"/>
    <cellStyle name="Обычный 4 3 128 6" xfId="31435" xr:uid="{00000000-0005-0000-0000-0000C5290000}"/>
    <cellStyle name="Обычный 4 3 128 7" xfId="36775" xr:uid="{00000000-0005-0000-0000-0000C6290000}"/>
    <cellStyle name="Обычный 4 3 128 8" xfId="42115" xr:uid="{00000000-0005-0000-0000-0000C7290000}"/>
    <cellStyle name="Обычный 4 3 128 9" xfId="47455" xr:uid="{00000000-0005-0000-0000-0000C8290000}"/>
    <cellStyle name="Обычный 4 3 129" xfId="4764" xr:uid="{00000000-0005-0000-0000-0000C9290000}"/>
    <cellStyle name="Обычный 4 3 129 10" xfId="52827" xr:uid="{00000000-0005-0000-0000-0000CA290000}"/>
    <cellStyle name="Обычный 4 3 129 2" xfId="10107" xr:uid="{00000000-0005-0000-0000-0000CB290000}"/>
    <cellStyle name="Обычный 4 3 129 2 2" xfId="58168" xr:uid="{00000000-0005-0000-0000-0000CC290000}"/>
    <cellStyle name="Обычный 4 3 129 3" xfId="15447" xr:uid="{00000000-0005-0000-0000-0000CD290000}"/>
    <cellStyle name="Обычный 4 3 129 4" xfId="20787" xr:uid="{00000000-0005-0000-0000-0000CE290000}"/>
    <cellStyle name="Обычный 4 3 129 5" xfId="26127" xr:uid="{00000000-0005-0000-0000-0000CF290000}"/>
    <cellStyle name="Обычный 4 3 129 6" xfId="31467" xr:uid="{00000000-0005-0000-0000-0000D0290000}"/>
    <cellStyle name="Обычный 4 3 129 7" xfId="36807" xr:uid="{00000000-0005-0000-0000-0000D1290000}"/>
    <cellStyle name="Обычный 4 3 129 8" xfId="42147" xr:uid="{00000000-0005-0000-0000-0000D2290000}"/>
    <cellStyle name="Обычный 4 3 129 9" xfId="47487" xr:uid="{00000000-0005-0000-0000-0000D3290000}"/>
    <cellStyle name="Обычный 4 3 13" xfId="1254" xr:uid="{00000000-0005-0000-0000-0000D4290000}"/>
    <cellStyle name="Обычный 4 3 13 10" xfId="49317" xr:uid="{00000000-0005-0000-0000-0000D5290000}"/>
    <cellStyle name="Обычный 4 3 13 2" xfId="6596" xr:uid="{00000000-0005-0000-0000-0000D6290000}"/>
    <cellStyle name="Обычный 4 3 13 2 2" xfId="54658" xr:uid="{00000000-0005-0000-0000-0000D7290000}"/>
    <cellStyle name="Обычный 4 3 13 3" xfId="11937" xr:uid="{00000000-0005-0000-0000-0000D8290000}"/>
    <cellStyle name="Обычный 4 3 13 4" xfId="17277" xr:uid="{00000000-0005-0000-0000-0000D9290000}"/>
    <cellStyle name="Обычный 4 3 13 5" xfId="22617" xr:uid="{00000000-0005-0000-0000-0000DA290000}"/>
    <cellStyle name="Обычный 4 3 13 6" xfId="27957" xr:uid="{00000000-0005-0000-0000-0000DB290000}"/>
    <cellStyle name="Обычный 4 3 13 7" xfId="33297" xr:uid="{00000000-0005-0000-0000-0000DC290000}"/>
    <cellStyle name="Обычный 4 3 13 8" xfId="38637" xr:uid="{00000000-0005-0000-0000-0000DD290000}"/>
    <cellStyle name="Обычный 4 3 13 9" xfId="43977" xr:uid="{00000000-0005-0000-0000-0000DE290000}"/>
    <cellStyle name="Обычный 4 3 130" xfId="4796" xr:uid="{00000000-0005-0000-0000-0000DF290000}"/>
    <cellStyle name="Обычный 4 3 130 10" xfId="52859" xr:uid="{00000000-0005-0000-0000-0000E0290000}"/>
    <cellStyle name="Обычный 4 3 130 2" xfId="10139" xr:uid="{00000000-0005-0000-0000-0000E1290000}"/>
    <cellStyle name="Обычный 4 3 130 2 2" xfId="58200" xr:uid="{00000000-0005-0000-0000-0000E2290000}"/>
    <cellStyle name="Обычный 4 3 130 3" xfId="15479" xr:uid="{00000000-0005-0000-0000-0000E3290000}"/>
    <cellStyle name="Обычный 4 3 130 4" xfId="20819" xr:uid="{00000000-0005-0000-0000-0000E4290000}"/>
    <cellStyle name="Обычный 4 3 130 5" xfId="26159" xr:uid="{00000000-0005-0000-0000-0000E5290000}"/>
    <cellStyle name="Обычный 4 3 130 6" xfId="31499" xr:uid="{00000000-0005-0000-0000-0000E6290000}"/>
    <cellStyle name="Обычный 4 3 130 7" xfId="36839" xr:uid="{00000000-0005-0000-0000-0000E7290000}"/>
    <cellStyle name="Обычный 4 3 130 8" xfId="42179" xr:uid="{00000000-0005-0000-0000-0000E8290000}"/>
    <cellStyle name="Обычный 4 3 130 9" xfId="47519" xr:uid="{00000000-0005-0000-0000-0000E9290000}"/>
    <cellStyle name="Обычный 4 3 131" xfId="4828" xr:uid="{00000000-0005-0000-0000-0000EA290000}"/>
    <cellStyle name="Обычный 4 3 131 10" xfId="52891" xr:uid="{00000000-0005-0000-0000-0000EB290000}"/>
    <cellStyle name="Обычный 4 3 131 2" xfId="10171" xr:uid="{00000000-0005-0000-0000-0000EC290000}"/>
    <cellStyle name="Обычный 4 3 131 2 2" xfId="58232" xr:uid="{00000000-0005-0000-0000-0000ED290000}"/>
    <cellStyle name="Обычный 4 3 131 3" xfId="15511" xr:uid="{00000000-0005-0000-0000-0000EE290000}"/>
    <cellStyle name="Обычный 4 3 131 4" xfId="20851" xr:uid="{00000000-0005-0000-0000-0000EF290000}"/>
    <cellStyle name="Обычный 4 3 131 5" xfId="26191" xr:uid="{00000000-0005-0000-0000-0000F0290000}"/>
    <cellStyle name="Обычный 4 3 131 6" xfId="31531" xr:uid="{00000000-0005-0000-0000-0000F1290000}"/>
    <cellStyle name="Обычный 4 3 131 7" xfId="36871" xr:uid="{00000000-0005-0000-0000-0000F2290000}"/>
    <cellStyle name="Обычный 4 3 131 8" xfId="42211" xr:uid="{00000000-0005-0000-0000-0000F3290000}"/>
    <cellStyle name="Обычный 4 3 131 9" xfId="47551" xr:uid="{00000000-0005-0000-0000-0000F4290000}"/>
    <cellStyle name="Обычный 4 3 132" xfId="4860" xr:uid="{00000000-0005-0000-0000-0000F5290000}"/>
    <cellStyle name="Обычный 4 3 132 10" xfId="52923" xr:uid="{00000000-0005-0000-0000-0000F6290000}"/>
    <cellStyle name="Обычный 4 3 132 2" xfId="10203" xr:uid="{00000000-0005-0000-0000-0000F7290000}"/>
    <cellStyle name="Обычный 4 3 132 2 2" xfId="58264" xr:uid="{00000000-0005-0000-0000-0000F8290000}"/>
    <cellStyle name="Обычный 4 3 132 3" xfId="15543" xr:uid="{00000000-0005-0000-0000-0000F9290000}"/>
    <cellStyle name="Обычный 4 3 132 4" xfId="20883" xr:uid="{00000000-0005-0000-0000-0000FA290000}"/>
    <cellStyle name="Обычный 4 3 132 5" xfId="26223" xr:uid="{00000000-0005-0000-0000-0000FB290000}"/>
    <cellStyle name="Обычный 4 3 132 6" xfId="31563" xr:uid="{00000000-0005-0000-0000-0000FC290000}"/>
    <cellStyle name="Обычный 4 3 132 7" xfId="36903" xr:uid="{00000000-0005-0000-0000-0000FD290000}"/>
    <cellStyle name="Обычный 4 3 132 8" xfId="42243" xr:uid="{00000000-0005-0000-0000-0000FE290000}"/>
    <cellStyle name="Обычный 4 3 132 9" xfId="47583" xr:uid="{00000000-0005-0000-0000-0000FF290000}"/>
    <cellStyle name="Обычный 4 3 133" xfId="4892" xr:uid="{00000000-0005-0000-0000-0000002A0000}"/>
    <cellStyle name="Обычный 4 3 133 10" xfId="52955" xr:uid="{00000000-0005-0000-0000-0000012A0000}"/>
    <cellStyle name="Обычный 4 3 133 2" xfId="10235" xr:uid="{00000000-0005-0000-0000-0000022A0000}"/>
    <cellStyle name="Обычный 4 3 133 2 2" xfId="58296" xr:uid="{00000000-0005-0000-0000-0000032A0000}"/>
    <cellStyle name="Обычный 4 3 133 3" xfId="15575" xr:uid="{00000000-0005-0000-0000-0000042A0000}"/>
    <cellStyle name="Обычный 4 3 133 4" xfId="20915" xr:uid="{00000000-0005-0000-0000-0000052A0000}"/>
    <cellStyle name="Обычный 4 3 133 5" xfId="26255" xr:uid="{00000000-0005-0000-0000-0000062A0000}"/>
    <cellStyle name="Обычный 4 3 133 6" xfId="31595" xr:uid="{00000000-0005-0000-0000-0000072A0000}"/>
    <cellStyle name="Обычный 4 3 133 7" xfId="36935" xr:uid="{00000000-0005-0000-0000-0000082A0000}"/>
    <cellStyle name="Обычный 4 3 133 8" xfId="42275" xr:uid="{00000000-0005-0000-0000-0000092A0000}"/>
    <cellStyle name="Обычный 4 3 133 9" xfId="47615" xr:uid="{00000000-0005-0000-0000-00000A2A0000}"/>
    <cellStyle name="Обычный 4 3 134" xfId="4924" xr:uid="{00000000-0005-0000-0000-00000B2A0000}"/>
    <cellStyle name="Обычный 4 3 134 10" xfId="52987" xr:uid="{00000000-0005-0000-0000-00000C2A0000}"/>
    <cellStyle name="Обычный 4 3 134 2" xfId="10267" xr:uid="{00000000-0005-0000-0000-00000D2A0000}"/>
    <cellStyle name="Обычный 4 3 134 2 2" xfId="58328" xr:uid="{00000000-0005-0000-0000-00000E2A0000}"/>
    <cellStyle name="Обычный 4 3 134 3" xfId="15607" xr:uid="{00000000-0005-0000-0000-00000F2A0000}"/>
    <cellStyle name="Обычный 4 3 134 4" xfId="20947" xr:uid="{00000000-0005-0000-0000-0000102A0000}"/>
    <cellStyle name="Обычный 4 3 134 5" xfId="26287" xr:uid="{00000000-0005-0000-0000-0000112A0000}"/>
    <cellStyle name="Обычный 4 3 134 6" xfId="31627" xr:uid="{00000000-0005-0000-0000-0000122A0000}"/>
    <cellStyle name="Обычный 4 3 134 7" xfId="36967" xr:uid="{00000000-0005-0000-0000-0000132A0000}"/>
    <cellStyle name="Обычный 4 3 134 8" xfId="42307" xr:uid="{00000000-0005-0000-0000-0000142A0000}"/>
    <cellStyle name="Обычный 4 3 134 9" xfId="47647" xr:uid="{00000000-0005-0000-0000-0000152A0000}"/>
    <cellStyle name="Обычный 4 3 135" xfId="4956" xr:uid="{00000000-0005-0000-0000-0000162A0000}"/>
    <cellStyle name="Обычный 4 3 135 10" xfId="53019" xr:uid="{00000000-0005-0000-0000-0000172A0000}"/>
    <cellStyle name="Обычный 4 3 135 2" xfId="10299" xr:uid="{00000000-0005-0000-0000-0000182A0000}"/>
    <cellStyle name="Обычный 4 3 135 2 2" xfId="58360" xr:uid="{00000000-0005-0000-0000-0000192A0000}"/>
    <cellStyle name="Обычный 4 3 135 3" xfId="15639" xr:uid="{00000000-0005-0000-0000-00001A2A0000}"/>
    <cellStyle name="Обычный 4 3 135 4" xfId="20979" xr:uid="{00000000-0005-0000-0000-00001B2A0000}"/>
    <cellStyle name="Обычный 4 3 135 5" xfId="26319" xr:uid="{00000000-0005-0000-0000-00001C2A0000}"/>
    <cellStyle name="Обычный 4 3 135 6" xfId="31659" xr:uid="{00000000-0005-0000-0000-00001D2A0000}"/>
    <cellStyle name="Обычный 4 3 135 7" xfId="36999" xr:uid="{00000000-0005-0000-0000-00001E2A0000}"/>
    <cellStyle name="Обычный 4 3 135 8" xfId="42339" xr:uid="{00000000-0005-0000-0000-00001F2A0000}"/>
    <cellStyle name="Обычный 4 3 135 9" xfId="47679" xr:uid="{00000000-0005-0000-0000-0000202A0000}"/>
    <cellStyle name="Обычный 4 3 136" xfId="4988" xr:uid="{00000000-0005-0000-0000-0000212A0000}"/>
    <cellStyle name="Обычный 4 3 136 10" xfId="53051" xr:uid="{00000000-0005-0000-0000-0000222A0000}"/>
    <cellStyle name="Обычный 4 3 136 2" xfId="10331" xr:uid="{00000000-0005-0000-0000-0000232A0000}"/>
    <cellStyle name="Обычный 4 3 136 2 2" xfId="58392" xr:uid="{00000000-0005-0000-0000-0000242A0000}"/>
    <cellStyle name="Обычный 4 3 136 3" xfId="15671" xr:uid="{00000000-0005-0000-0000-0000252A0000}"/>
    <cellStyle name="Обычный 4 3 136 4" xfId="21011" xr:uid="{00000000-0005-0000-0000-0000262A0000}"/>
    <cellStyle name="Обычный 4 3 136 5" xfId="26351" xr:uid="{00000000-0005-0000-0000-0000272A0000}"/>
    <cellStyle name="Обычный 4 3 136 6" xfId="31691" xr:uid="{00000000-0005-0000-0000-0000282A0000}"/>
    <cellStyle name="Обычный 4 3 136 7" xfId="37031" xr:uid="{00000000-0005-0000-0000-0000292A0000}"/>
    <cellStyle name="Обычный 4 3 136 8" xfId="42371" xr:uid="{00000000-0005-0000-0000-00002A2A0000}"/>
    <cellStyle name="Обычный 4 3 136 9" xfId="47711" xr:uid="{00000000-0005-0000-0000-00002B2A0000}"/>
    <cellStyle name="Обычный 4 3 137" xfId="5020" xr:uid="{00000000-0005-0000-0000-00002C2A0000}"/>
    <cellStyle name="Обычный 4 3 137 10" xfId="53083" xr:uid="{00000000-0005-0000-0000-00002D2A0000}"/>
    <cellStyle name="Обычный 4 3 137 2" xfId="10363" xr:uid="{00000000-0005-0000-0000-00002E2A0000}"/>
    <cellStyle name="Обычный 4 3 137 2 2" xfId="58424" xr:uid="{00000000-0005-0000-0000-00002F2A0000}"/>
    <cellStyle name="Обычный 4 3 137 3" xfId="15703" xr:uid="{00000000-0005-0000-0000-0000302A0000}"/>
    <cellStyle name="Обычный 4 3 137 4" xfId="21043" xr:uid="{00000000-0005-0000-0000-0000312A0000}"/>
    <cellStyle name="Обычный 4 3 137 5" xfId="26383" xr:uid="{00000000-0005-0000-0000-0000322A0000}"/>
    <cellStyle name="Обычный 4 3 137 6" xfId="31723" xr:uid="{00000000-0005-0000-0000-0000332A0000}"/>
    <cellStyle name="Обычный 4 3 137 7" xfId="37063" xr:uid="{00000000-0005-0000-0000-0000342A0000}"/>
    <cellStyle name="Обычный 4 3 137 8" xfId="42403" xr:uid="{00000000-0005-0000-0000-0000352A0000}"/>
    <cellStyle name="Обычный 4 3 137 9" xfId="47743" xr:uid="{00000000-0005-0000-0000-0000362A0000}"/>
    <cellStyle name="Обычный 4 3 138" xfId="5052" xr:uid="{00000000-0005-0000-0000-0000372A0000}"/>
    <cellStyle name="Обычный 4 3 138 10" xfId="53115" xr:uid="{00000000-0005-0000-0000-0000382A0000}"/>
    <cellStyle name="Обычный 4 3 138 2" xfId="10395" xr:uid="{00000000-0005-0000-0000-0000392A0000}"/>
    <cellStyle name="Обычный 4 3 138 2 2" xfId="58456" xr:uid="{00000000-0005-0000-0000-00003A2A0000}"/>
    <cellStyle name="Обычный 4 3 138 3" xfId="15735" xr:uid="{00000000-0005-0000-0000-00003B2A0000}"/>
    <cellStyle name="Обычный 4 3 138 4" xfId="21075" xr:uid="{00000000-0005-0000-0000-00003C2A0000}"/>
    <cellStyle name="Обычный 4 3 138 5" xfId="26415" xr:uid="{00000000-0005-0000-0000-00003D2A0000}"/>
    <cellStyle name="Обычный 4 3 138 6" xfId="31755" xr:uid="{00000000-0005-0000-0000-00003E2A0000}"/>
    <cellStyle name="Обычный 4 3 138 7" xfId="37095" xr:uid="{00000000-0005-0000-0000-00003F2A0000}"/>
    <cellStyle name="Обычный 4 3 138 8" xfId="42435" xr:uid="{00000000-0005-0000-0000-0000402A0000}"/>
    <cellStyle name="Обычный 4 3 138 9" xfId="47775" xr:uid="{00000000-0005-0000-0000-0000412A0000}"/>
    <cellStyle name="Обычный 4 3 139" xfId="5084" xr:uid="{00000000-0005-0000-0000-0000422A0000}"/>
    <cellStyle name="Обычный 4 3 139 10" xfId="53147" xr:uid="{00000000-0005-0000-0000-0000432A0000}"/>
    <cellStyle name="Обычный 4 3 139 2" xfId="10427" xr:uid="{00000000-0005-0000-0000-0000442A0000}"/>
    <cellStyle name="Обычный 4 3 139 2 2" xfId="58488" xr:uid="{00000000-0005-0000-0000-0000452A0000}"/>
    <cellStyle name="Обычный 4 3 139 3" xfId="15767" xr:uid="{00000000-0005-0000-0000-0000462A0000}"/>
    <cellStyle name="Обычный 4 3 139 4" xfId="21107" xr:uid="{00000000-0005-0000-0000-0000472A0000}"/>
    <cellStyle name="Обычный 4 3 139 5" xfId="26447" xr:uid="{00000000-0005-0000-0000-0000482A0000}"/>
    <cellStyle name="Обычный 4 3 139 6" xfId="31787" xr:uid="{00000000-0005-0000-0000-0000492A0000}"/>
    <cellStyle name="Обычный 4 3 139 7" xfId="37127" xr:uid="{00000000-0005-0000-0000-00004A2A0000}"/>
    <cellStyle name="Обычный 4 3 139 8" xfId="42467" xr:uid="{00000000-0005-0000-0000-00004B2A0000}"/>
    <cellStyle name="Обычный 4 3 139 9" xfId="47807" xr:uid="{00000000-0005-0000-0000-00004C2A0000}"/>
    <cellStyle name="Обычный 4 3 14" xfId="1280" xr:uid="{00000000-0005-0000-0000-00004D2A0000}"/>
    <cellStyle name="Обычный 4 3 14 10" xfId="49343" xr:uid="{00000000-0005-0000-0000-00004E2A0000}"/>
    <cellStyle name="Обычный 4 3 14 2" xfId="6622" xr:uid="{00000000-0005-0000-0000-00004F2A0000}"/>
    <cellStyle name="Обычный 4 3 14 2 2" xfId="54684" xr:uid="{00000000-0005-0000-0000-0000502A0000}"/>
    <cellStyle name="Обычный 4 3 14 3" xfId="11963" xr:uid="{00000000-0005-0000-0000-0000512A0000}"/>
    <cellStyle name="Обычный 4 3 14 4" xfId="17303" xr:uid="{00000000-0005-0000-0000-0000522A0000}"/>
    <cellStyle name="Обычный 4 3 14 5" xfId="22643" xr:uid="{00000000-0005-0000-0000-0000532A0000}"/>
    <cellStyle name="Обычный 4 3 14 6" xfId="27983" xr:uid="{00000000-0005-0000-0000-0000542A0000}"/>
    <cellStyle name="Обычный 4 3 14 7" xfId="33323" xr:uid="{00000000-0005-0000-0000-0000552A0000}"/>
    <cellStyle name="Обычный 4 3 14 8" xfId="38663" xr:uid="{00000000-0005-0000-0000-0000562A0000}"/>
    <cellStyle name="Обычный 4 3 14 9" xfId="44003" xr:uid="{00000000-0005-0000-0000-0000572A0000}"/>
    <cellStyle name="Обычный 4 3 140" xfId="5116" xr:uid="{00000000-0005-0000-0000-0000582A0000}"/>
    <cellStyle name="Обычный 4 3 140 10" xfId="53179" xr:uid="{00000000-0005-0000-0000-0000592A0000}"/>
    <cellStyle name="Обычный 4 3 140 2" xfId="10459" xr:uid="{00000000-0005-0000-0000-00005A2A0000}"/>
    <cellStyle name="Обычный 4 3 140 2 2" xfId="58520" xr:uid="{00000000-0005-0000-0000-00005B2A0000}"/>
    <cellStyle name="Обычный 4 3 140 3" xfId="15799" xr:uid="{00000000-0005-0000-0000-00005C2A0000}"/>
    <cellStyle name="Обычный 4 3 140 4" xfId="21139" xr:uid="{00000000-0005-0000-0000-00005D2A0000}"/>
    <cellStyle name="Обычный 4 3 140 5" xfId="26479" xr:uid="{00000000-0005-0000-0000-00005E2A0000}"/>
    <cellStyle name="Обычный 4 3 140 6" xfId="31819" xr:uid="{00000000-0005-0000-0000-00005F2A0000}"/>
    <cellStyle name="Обычный 4 3 140 7" xfId="37159" xr:uid="{00000000-0005-0000-0000-0000602A0000}"/>
    <cellStyle name="Обычный 4 3 140 8" xfId="42499" xr:uid="{00000000-0005-0000-0000-0000612A0000}"/>
    <cellStyle name="Обычный 4 3 140 9" xfId="47839" xr:uid="{00000000-0005-0000-0000-0000622A0000}"/>
    <cellStyle name="Обычный 4 3 141" xfId="5148" xr:uid="{00000000-0005-0000-0000-0000632A0000}"/>
    <cellStyle name="Обычный 4 3 141 10" xfId="53211" xr:uid="{00000000-0005-0000-0000-0000642A0000}"/>
    <cellStyle name="Обычный 4 3 141 2" xfId="10491" xr:uid="{00000000-0005-0000-0000-0000652A0000}"/>
    <cellStyle name="Обычный 4 3 141 2 2" xfId="58552" xr:uid="{00000000-0005-0000-0000-0000662A0000}"/>
    <cellStyle name="Обычный 4 3 141 3" xfId="15831" xr:uid="{00000000-0005-0000-0000-0000672A0000}"/>
    <cellStyle name="Обычный 4 3 141 4" xfId="21171" xr:uid="{00000000-0005-0000-0000-0000682A0000}"/>
    <cellStyle name="Обычный 4 3 141 5" xfId="26511" xr:uid="{00000000-0005-0000-0000-0000692A0000}"/>
    <cellStyle name="Обычный 4 3 141 6" xfId="31851" xr:uid="{00000000-0005-0000-0000-00006A2A0000}"/>
    <cellStyle name="Обычный 4 3 141 7" xfId="37191" xr:uid="{00000000-0005-0000-0000-00006B2A0000}"/>
    <cellStyle name="Обычный 4 3 141 8" xfId="42531" xr:uid="{00000000-0005-0000-0000-00006C2A0000}"/>
    <cellStyle name="Обычный 4 3 141 9" xfId="47871" xr:uid="{00000000-0005-0000-0000-00006D2A0000}"/>
    <cellStyle name="Обычный 4 3 142" xfId="5180" xr:uid="{00000000-0005-0000-0000-00006E2A0000}"/>
    <cellStyle name="Обычный 4 3 142 10" xfId="53243" xr:uid="{00000000-0005-0000-0000-00006F2A0000}"/>
    <cellStyle name="Обычный 4 3 142 2" xfId="10523" xr:uid="{00000000-0005-0000-0000-0000702A0000}"/>
    <cellStyle name="Обычный 4 3 142 2 2" xfId="58584" xr:uid="{00000000-0005-0000-0000-0000712A0000}"/>
    <cellStyle name="Обычный 4 3 142 3" xfId="15863" xr:uid="{00000000-0005-0000-0000-0000722A0000}"/>
    <cellStyle name="Обычный 4 3 142 4" xfId="21203" xr:uid="{00000000-0005-0000-0000-0000732A0000}"/>
    <cellStyle name="Обычный 4 3 142 5" xfId="26543" xr:uid="{00000000-0005-0000-0000-0000742A0000}"/>
    <cellStyle name="Обычный 4 3 142 6" xfId="31883" xr:uid="{00000000-0005-0000-0000-0000752A0000}"/>
    <cellStyle name="Обычный 4 3 142 7" xfId="37223" xr:uid="{00000000-0005-0000-0000-0000762A0000}"/>
    <cellStyle name="Обычный 4 3 142 8" xfId="42563" xr:uid="{00000000-0005-0000-0000-0000772A0000}"/>
    <cellStyle name="Обычный 4 3 142 9" xfId="47903" xr:uid="{00000000-0005-0000-0000-0000782A0000}"/>
    <cellStyle name="Обычный 4 3 143" xfId="5212" xr:uid="{00000000-0005-0000-0000-0000792A0000}"/>
    <cellStyle name="Обычный 4 3 143 10" xfId="53275" xr:uid="{00000000-0005-0000-0000-00007A2A0000}"/>
    <cellStyle name="Обычный 4 3 143 2" xfId="10555" xr:uid="{00000000-0005-0000-0000-00007B2A0000}"/>
    <cellStyle name="Обычный 4 3 143 2 2" xfId="58616" xr:uid="{00000000-0005-0000-0000-00007C2A0000}"/>
    <cellStyle name="Обычный 4 3 143 3" xfId="15895" xr:uid="{00000000-0005-0000-0000-00007D2A0000}"/>
    <cellStyle name="Обычный 4 3 143 4" xfId="21235" xr:uid="{00000000-0005-0000-0000-00007E2A0000}"/>
    <cellStyle name="Обычный 4 3 143 5" xfId="26575" xr:uid="{00000000-0005-0000-0000-00007F2A0000}"/>
    <cellStyle name="Обычный 4 3 143 6" xfId="31915" xr:uid="{00000000-0005-0000-0000-0000802A0000}"/>
    <cellStyle name="Обычный 4 3 143 7" xfId="37255" xr:uid="{00000000-0005-0000-0000-0000812A0000}"/>
    <cellStyle name="Обычный 4 3 143 8" xfId="42595" xr:uid="{00000000-0005-0000-0000-0000822A0000}"/>
    <cellStyle name="Обычный 4 3 143 9" xfId="47935" xr:uid="{00000000-0005-0000-0000-0000832A0000}"/>
    <cellStyle name="Обычный 4 3 144" xfId="5244" xr:uid="{00000000-0005-0000-0000-0000842A0000}"/>
    <cellStyle name="Обычный 4 3 144 10" xfId="53307" xr:uid="{00000000-0005-0000-0000-0000852A0000}"/>
    <cellStyle name="Обычный 4 3 144 2" xfId="10587" xr:uid="{00000000-0005-0000-0000-0000862A0000}"/>
    <cellStyle name="Обычный 4 3 144 2 2" xfId="58648" xr:uid="{00000000-0005-0000-0000-0000872A0000}"/>
    <cellStyle name="Обычный 4 3 144 3" xfId="15927" xr:uid="{00000000-0005-0000-0000-0000882A0000}"/>
    <cellStyle name="Обычный 4 3 144 4" xfId="21267" xr:uid="{00000000-0005-0000-0000-0000892A0000}"/>
    <cellStyle name="Обычный 4 3 144 5" xfId="26607" xr:uid="{00000000-0005-0000-0000-00008A2A0000}"/>
    <cellStyle name="Обычный 4 3 144 6" xfId="31947" xr:uid="{00000000-0005-0000-0000-00008B2A0000}"/>
    <cellStyle name="Обычный 4 3 144 7" xfId="37287" xr:uid="{00000000-0005-0000-0000-00008C2A0000}"/>
    <cellStyle name="Обычный 4 3 144 8" xfId="42627" xr:uid="{00000000-0005-0000-0000-00008D2A0000}"/>
    <cellStyle name="Обычный 4 3 144 9" xfId="47967" xr:uid="{00000000-0005-0000-0000-00008E2A0000}"/>
    <cellStyle name="Обычный 4 3 145" xfId="5276" xr:uid="{00000000-0005-0000-0000-00008F2A0000}"/>
    <cellStyle name="Обычный 4 3 145 10" xfId="53339" xr:uid="{00000000-0005-0000-0000-0000902A0000}"/>
    <cellStyle name="Обычный 4 3 145 2" xfId="10619" xr:uid="{00000000-0005-0000-0000-0000912A0000}"/>
    <cellStyle name="Обычный 4 3 145 2 2" xfId="58680" xr:uid="{00000000-0005-0000-0000-0000922A0000}"/>
    <cellStyle name="Обычный 4 3 145 3" xfId="15959" xr:uid="{00000000-0005-0000-0000-0000932A0000}"/>
    <cellStyle name="Обычный 4 3 145 4" xfId="21299" xr:uid="{00000000-0005-0000-0000-0000942A0000}"/>
    <cellStyle name="Обычный 4 3 145 5" xfId="26639" xr:uid="{00000000-0005-0000-0000-0000952A0000}"/>
    <cellStyle name="Обычный 4 3 145 6" xfId="31979" xr:uid="{00000000-0005-0000-0000-0000962A0000}"/>
    <cellStyle name="Обычный 4 3 145 7" xfId="37319" xr:uid="{00000000-0005-0000-0000-0000972A0000}"/>
    <cellStyle name="Обычный 4 3 145 8" xfId="42659" xr:uid="{00000000-0005-0000-0000-0000982A0000}"/>
    <cellStyle name="Обычный 4 3 145 9" xfId="47999" xr:uid="{00000000-0005-0000-0000-0000992A0000}"/>
    <cellStyle name="Обычный 4 3 146" xfId="5308" xr:uid="{00000000-0005-0000-0000-00009A2A0000}"/>
    <cellStyle name="Обычный 4 3 146 10" xfId="53371" xr:uid="{00000000-0005-0000-0000-00009B2A0000}"/>
    <cellStyle name="Обычный 4 3 146 2" xfId="10651" xr:uid="{00000000-0005-0000-0000-00009C2A0000}"/>
    <cellStyle name="Обычный 4 3 146 2 2" xfId="58712" xr:uid="{00000000-0005-0000-0000-00009D2A0000}"/>
    <cellStyle name="Обычный 4 3 146 3" xfId="15991" xr:uid="{00000000-0005-0000-0000-00009E2A0000}"/>
    <cellStyle name="Обычный 4 3 146 4" xfId="21331" xr:uid="{00000000-0005-0000-0000-00009F2A0000}"/>
    <cellStyle name="Обычный 4 3 146 5" xfId="26671" xr:uid="{00000000-0005-0000-0000-0000A02A0000}"/>
    <cellStyle name="Обычный 4 3 146 6" xfId="32011" xr:uid="{00000000-0005-0000-0000-0000A12A0000}"/>
    <cellStyle name="Обычный 4 3 146 7" xfId="37351" xr:uid="{00000000-0005-0000-0000-0000A22A0000}"/>
    <cellStyle name="Обычный 4 3 146 8" xfId="42691" xr:uid="{00000000-0005-0000-0000-0000A32A0000}"/>
    <cellStyle name="Обычный 4 3 146 9" xfId="48031" xr:uid="{00000000-0005-0000-0000-0000A42A0000}"/>
    <cellStyle name="Обычный 4 3 147" xfId="5340" xr:uid="{00000000-0005-0000-0000-0000A52A0000}"/>
    <cellStyle name="Обычный 4 3 147 10" xfId="53403" xr:uid="{00000000-0005-0000-0000-0000A62A0000}"/>
    <cellStyle name="Обычный 4 3 147 2" xfId="10683" xr:uid="{00000000-0005-0000-0000-0000A72A0000}"/>
    <cellStyle name="Обычный 4 3 147 2 2" xfId="58744" xr:uid="{00000000-0005-0000-0000-0000A82A0000}"/>
    <cellStyle name="Обычный 4 3 147 3" xfId="16023" xr:uid="{00000000-0005-0000-0000-0000A92A0000}"/>
    <cellStyle name="Обычный 4 3 147 4" xfId="21363" xr:uid="{00000000-0005-0000-0000-0000AA2A0000}"/>
    <cellStyle name="Обычный 4 3 147 5" xfId="26703" xr:uid="{00000000-0005-0000-0000-0000AB2A0000}"/>
    <cellStyle name="Обычный 4 3 147 6" xfId="32043" xr:uid="{00000000-0005-0000-0000-0000AC2A0000}"/>
    <cellStyle name="Обычный 4 3 147 7" xfId="37383" xr:uid="{00000000-0005-0000-0000-0000AD2A0000}"/>
    <cellStyle name="Обычный 4 3 147 8" xfId="42723" xr:uid="{00000000-0005-0000-0000-0000AE2A0000}"/>
    <cellStyle name="Обычный 4 3 147 9" xfId="48063" xr:uid="{00000000-0005-0000-0000-0000AF2A0000}"/>
    <cellStyle name="Обычный 4 3 148" xfId="5372" xr:uid="{00000000-0005-0000-0000-0000B02A0000}"/>
    <cellStyle name="Обычный 4 3 148 10" xfId="53435" xr:uid="{00000000-0005-0000-0000-0000B12A0000}"/>
    <cellStyle name="Обычный 4 3 148 2" xfId="10715" xr:uid="{00000000-0005-0000-0000-0000B22A0000}"/>
    <cellStyle name="Обычный 4 3 148 2 2" xfId="58776" xr:uid="{00000000-0005-0000-0000-0000B32A0000}"/>
    <cellStyle name="Обычный 4 3 148 3" xfId="16055" xr:uid="{00000000-0005-0000-0000-0000B42A0000}"/>
    <cellStyle name="Обычный 4 3 148 4" xfId="21395" xr:uid="{00000000-0005-0000-0000-0000B52A0000}"/>
    <cellStyle name="Обычный 4 3 148 5" xfId="26735" xr:uid="{00000000-0005-0000-0000-0000B62A0000}"/>
    <cellStyle name="Обычный 4 3 148 6" xfId="32075" xr:uid="{00000000-0005-0000-0000-0000B72A0000}"/>
    <cellStyle name="Обычный 4 3 148 7" xfId="37415" xr:uid="{00000000-0005-0000-0000-0000B82A0000}"/>
    <cellStyle name="Обычный 4 3 148 8" xfId="42755" xr:uid="{00000000-0005-0000-0000-0000B92A0000}"/>
    <cellStyle name="Обычный 4 3 148 9" xfId="48095" xr:uid="{00000000-0005-0000-0000-0000BA2A0000}"/>
    <cellStyle name="Обычный 4 3 149" xfId="5399" xr:uid="{00000000-0005-0000-0000-0000BB2A0000}"/>
    <cellStyle name="Обычный 4 3 149 2" xfId="53461" xr:uid="{00000000-0005-0000-0000-0000BC2A0000}"/>
    <cellStyle name="Обычный 4 3 15" xfId="1306" xr:uid="{00000000-0005-0000-0000-0000BD2A0000}"/>
    <cellStyle name="Обычный 4 3 15 10" xfId="49369" xr:uid="{00000000-0005-0000-0000-0000BE2A0000}"/>
    <cellStyle name="Обычный 4 3 15 2" xfId="6648" xr:uid="{00000000-0005-0000-0000-0000BF2A0000}"/>
    <cellStyle name="Обычный 4 3 15 2 2" xfId="54710" xr:uid="{00000000-0005-0000-0000-0000C02A0000}"/>
    <cellStyle name="Обычный 4 3 15 3" xfId="11989" xr:uid="{00000000-0005-0000-0000-0000C12A0000}"/>
    <cellStyle name="Обычный 4 3 15 4" xfId="17329" xr:uid="{00000000-0005-0000-0000-0000C22A0000}"/>
    <cellStyle name="Обычный 4 3 15 5" xfId="22669" xr:uid="{00000000-0005-0000-0000-0000C32A0000}"/>
    <cellStyle name="Обычный 4 3 15 6" xfId="28009" xr:uid="{00000000-0005-0000-0000-0000C42A0000}"/>
    <cellStyle name="Обычный 4 3 15 7" xfId="33349" xr:uid="{00000000-0005-0000-0000-0000C52A0000}"/>
    <cellStyle name="Обычный 4 3 15 8" xfId="38689" xr:uid="{00000000-0005-0000-0000-0000C62A0000}"/>
    <cellStyle name="Обычный 4 3 15 9" xfId="44029" xr:uid="{00000000-0005-0000-0000-0000C72A0000}"/>
    <cellStyle name="Обычный 4 3 150" xfId="10740" xr:uid="{00000000-0005-0000-0000-0000C82A0000}"/>
    <cellStyle name="Обычный 4 3 151" xfId="16080" xr:uid="{00000000-0005-0000-0000-0000C92A0000}"/>
    <cellStyle name="Обычный 4 3 152" xfId="21420" xr:uid="{00000000-0005-0000-0000-0000CA2A0000}"/>
    <cellStyle name="Обычный 4 3 153" xfId="26760" xr:uid="{00000000-0005-0000-0000-0000CB2A0000}"/>
    <cellStyle name="Обычный 4 3 154" xfId="32100" xr:uid="{00000000-0005-0000-0000-0000CC2A0000}"/>
    <cellStyle name="Обычный 4 3 155" xfId="37440" xr:uid="{00000000-0005-0000-0000-0000CD2A0000}"/>
    <cellStyle name="Обычный 4 3 156" xfId="42780" xr:uid="{00000000-0005-0000-0000-0000CE2A0000}"/>
    <cellStyle name="Обычный 4 3 157" xfId="48120" xr:uid="{00000000-0005-0000-0000-0000CF2A0000}"/>
    <cellStyle name="Обычный 4 3 16" xfId="1332" xr:uid="{00000000-0005-0000-0000-0000D02A0000}"/>
    <cellStyle name="Обычный 4 3 16 10" xfId="49395" xr:uid="{00000000-0005-0000-0000-0000D12A0000}"/>
    <cellStyle name="Обычный 4 3 16 2" xfId="6674" xr:uid="{00000000-0005-0000-0000-0000D22A0000}"/>
    <cellStyle name="Обычный 4 3 16 2 2" xfId="54736" xr:uid="{00000000-0005-0000-0000-0000D32A0000}"/>
    <cellStyle name="Обычный 4 3 16 3" xfId="12015" xr:uid="{00000000-0005-0000-0000-0000D42A0000}"/>
    <cellStyle name="Обычный 4 3 16 4" xfId="17355" xr:uid="{00000000-0005-0000-0000-0000D52A0000}"/>
    <cellStyle name="Обычный 4 3 16 5" xfId="22695" xr:uid="{00000000-0005-0000-0000-0000D62A0000}"/>
    <cellStyle name="Обычный 4 3 16 6" xfId="28035" xr:uid="{00000000-0005-0000-0000-0000D72A0000}"/>
    <cellStyle name="Обычный 4 3 16 7" xfId="33375" xr:uid="{00000000-0005-0000-0000-0000D82A0000}"/>
    <cellStyle name="Обычный 4 3 16 8" xfId="38715" xr:uid="{00000000-0005-0000-0000-0000D92A0000}"/>
    <cellStyle name="Обычный 4 3 16 9" xfId="44055" xr:uid="{00000000-0005-0000-0000-0000DA2A0000}"/>
    <cellStyle name="Обычный 4 3 17" xfId="1358" xr:uid="{00000000-0005-0000-0000-0000DB2A0000}"/>
    <cellStyle name="Обычный 4 3 17 10" xfId="49421" xr:uid="{00000000-0005-0000-0000-0000DC2A0000}"/>
    <cellStyle name="Обычный 4 3 17 2" xfId="6700" xr:uid="{00000000-0005-0000-0000-0000DD2A0000}"/>
    <cellStyle name="Обычный 4 3 17 2 2" xfId="54762" xr:uid="{00000000-0005-0000-0000-0000DE2A0000}"/>
    <cellStyle name="Обычный 4 3 17 3" xfId="12041" xr:uid="{00000000-0005-0000-0000-0000DF2A0000}"/>
    <cellStyle name="Обычный 4 3 17 4" xfId="17381" xr:uid="{00000000-0005-0000-0000-0000E02A0000}"/>
    <cellStyle name="Обычный 4 3 17 5" xfId="22721" xr:uid="{00000000-0005-0000-0000-0000E12A0000}"/>
    <cellStyle name="Обычный 4 3 17 6" xfId="28061" xr:uid="{00000000-0005-0000-0000-0000E22A0000}"/>
    <cellStyle name="Обычный 4 3 17 7" xfId="33401" xr:uid="{00000000-0005-0000-0000-0000E32A0000}"/>
    <cellStyle name="Обычный 4 3 17 8" xfId="38741" xr:uid="{00000000-0005-0000-0000-0000E42A0000}"/>
    <cellStyle name="Обычный 4 3 17 9" xfId="44081" xr:uid="{00000000-0005-0000-0000-0000E52A0000}"/>
    <cellStyle name="Обычный 4 3 18" xfId="1384" xr:uid="{00000000-0005-0000-0000-0000E62A0000}"/>
    <cellStyle name="Обычный 4 3 18 10" xfId="49447" xr:uid="{00000000-0005-0000-0000-0000E72A0000}"/>
    <cellStyle name="Обычный 4 3 18 2" xfId="6726" xr:uid="{00000000-0005-0000-0000-0000E82A0000}"/>
    <cellStyle name="Обычный 4 3 18 2 2" xfId="54788" xr:uid="{00000000-0005-0000-0000-0000E92A0000}"/>
    <cellStyle name="Обычный 4 3 18 3" xfId="12067" xr:uid="{00000000-0005-0000-0000-0000EA2A0000}"/>
    <cellStyle name="Обычный 4 3 18 4" xfId="17407" xr:uid="{00000000-0005-0000-0000-0000EB2A0000}"/>
    <cellStyle name="Обычный 4 3 18 5" xfId="22747" xr:uid="{00000000-0005-0000-0000-0000EC2A0000}"/>
    <cellStyle name="Обычный 4 3 18 6" xfId="28087" xr:uid="{00000000-0005-0000-0000-0000ED2A0000}"/>
    <cellStyle name="Обычный 4 3 18 7" xfId="33427" xr:uid="{00000000-0005-0000-0000-0000EE2A0000}"/>
    <cellStyle name="Обычный 4 3 18 8" xfId="38767" xr:uid="{00000000-0005-0000-0000-0000EF2A0000}"/>
    <cellStyle name="Обычный 4 3 18 9" xfId="44107" xr:uid="{00000000-0005-0000-0000-0000F02A0000}"/>
    <cellStyle name="Обычный 4 3 19" xfId="1410" xr:uid="{00000000-0005-0000-0000-0000F12A0000}"/>
    <cellStyle name="Обычный 4 3 19 10" xfId="49473" xr:uid="{00000000-0005-0000-0000-0000F22A0000}"/>
    <cellStyle name="Обычный 4 3 19 2" xfId="6752" xr:uid="{00000000-0005-0000-0000-0000F32A0000}"/>
    <cellStyle name="Обычный 4 3 19 2 2" xfId="54814" xr:uid="{00000000-0005-0000-0000-0000F42A0000}"/>
    <cellStyle name="Обычный 4 3 19 3" xfId="12093" xr:uid="{00000000-0005-0000-0000-0000F52A0000}"/>
    <cellStyle name="Обычный 4 3 19 4" xfId="17433" xr:uid="{00000000-0005-0000-0000-0000F62A0000}"/>
    <cellStyle name="Обычный 4 3 19 5" xfId="22773" xr:uid="{00000000-0005-0000-0000-0000F72A0000}"/>
    <cellStyle name="Обычный 4 3 19 6" xfId="28113" xr:uid="{00000000-0005-0000-0000-0000F82A0000}"/>
    <cellStyle name="Обычный 4 3 19 7" xfId="33453" xr:uid="{00000000-0005-0000-0000-0000F92A0000}"/>
    <cellStyle name="Обычный 4 3 19 8" xfId="38793" xr:uid="{00000000-0005-0000-0000-0000FA2A0000}"/>
    <cellStyle name="Обычный 4 3 19 9" xfId="44133" xr:uid="{00000000-0005-0000-0000-0000FB2A0000}"/>
    <cellStyle name="Обычный 4 3 2" xfId="525" xr:uid="{00000000-0005-0000-0000-0000FC2A0000}"/>
    <cellStyle name="Обычный 4 3 2 10" xfId="48587" xr:uid="{00000000-0005-0000-0000-0000FD2A0000}"/>
    <cellStyle name="Обычный 4 3 2 2" xfId="5866" xr:uid="{00000000-0005-0000-0000-0000FE2A0000}"/>
    <cellStyle name="Обычный 4 3 2 2 2" xfId="53928" xr:uid="{00000000-0005-0000-0000-0000FF2A0000}"/>
    <cellStyle name="Обычный 4 3 2 3" xfId="11207" xr:uid="{00000000-0005-0000-0000-0000002B0000}"/>
    <cellStyle name="Обычный 4 3 2 4" xfId="16547" xr:uid="{00000000-0005-0000-0000-0000012B0000}"/>
    <cellStyle name="Обычный 4 3 2 5" xfId="21887" xr:uid="{00000000-0005-0000-0000-0000022B0000}"/>
    <cellStyle name="Обычный 4 3 2 6" xfId="27227" xr:uid="{00000000-0005-0000-0000-0000032B0000}"/>
    <cellStyle name="Обычный 4 3 2 7" xfId="32567" xr:uid="{00000000-0005-0000-0000-0000042B0000}"/>
    <cellStyle name="Обычный 4 3 2 8" xfId="37907" xr:uid="{00000000-0005-0000-0000-0000052B0000}"/>
    <cellStyle name="Обычный 4 3 2 9" xfId="43247" xr:uid="{00000000-0005-0000-0000-0000062B0000}"/>
    <cellStyle name="Обычный 4 3 20" xfId="1436" xr:uid="{00000000-0005-0000-0000-0000072B0000}"/>
    <cellStyle name="Обычный 4 3 20 10" xfId="49499" xr:uid="{00000000-0005-0000-0000-0000082B0000}"/>
    <cellStyle name="Обычный 4 3 20 2" xfId="6778" xr:uid="{00000000-0005-0000-0000-0000092B0000}"/>
    <cellStyle name="Обычный 4 3 20 2 2" xfId="54840" xr:uid="{00000000-0005-0000-0000-00000A2B0000}"/>
    <cellStyle name="Обычный 4 3 20 3" xfId="12119" xr:uid="{00000000-0005-0000-0000-00000B2B0000}"/>
    <cellStyle name="Обычный 4 3 20 4" xfId="17459" xr:uid="{00000000-0005-0000-0000-00000C2B0000}"/>
    <cellStyle name="Обычный 4 3 20 5" xfId="22799" xr:uid="{00000000-0005-0000-0000-00000D2B0000}"/>
    <cellStyle name="Обычный 4 3 20 6" xfId="28139" xr:uid="{00000000-0005-0000-0000-00000E2B0000}"/>
    <cellStyle name="Обычный 4 3 20 7" xfId="33479" xr:uid="{00000000-0005-0000-0000-00000F2B0000}"/>
    <cellStyle name="Обычный 4 3 20 8" xfId="38819" xr:uid="{00000000-0005-0000-0000-0000102B0000}"/>
    <cellStyle name="Обычный 4 3 20 9" xfId="44159" xr:uid="{00000000-0005-0000-0000-0000112B0000}"/>
    <cellStyle name="Обычный 4 3 21" xfId="1462" xr:uid="{00000000-0005-0000-0000-0000122B0000}"/>
    <cellStyle name="Обычный 4 3 21 10" xfId="49525" xr:uid="{00000000-0005-0000-0000-0000132B0000}"/>
    <cellStyle name="Обычный 4 3 21 2" xfId="6804" xr:uid="{00000000-0005-0000-0000-0000142B0000}"/>
    <cellStyle name="Обычный 4 3 21 2 2" xfId="54866" xr:uid="{00000000-0005-0000-0000-0000152B0000}"/>
    <cellStyle name="Обычный 4 3 21 3" xfId="12145" xr:uid="{00000000-0005-0000-0000-0000162B0000}"/>
    <cellStyle name="Обычный 4 3 21 4" xfId="17485" xr:uid="{00000000-0005-0000-0000-0000172B0000}"/>
    <cellStyle name="Обычный 4 3 21 5" xfId="22825" xr:uid="{00000000-0005-0000-0000-0000182B0000}"/>
    <cellStyle name="Обычный 4 3 21 6" xfId="28165" xr:uid="{00000000-0005-0000-0000-0000192B0000}"/>
    <cellStyle name="Обычный 4 3 21 7" xfId="33505" xr:uid="{00000000-0005-0000-0000-00001A2B0000}"/>
    <cellStyle name="Обычный 4 3 21 8" xfId="38845" xr:uid="{00000000-0005-0000-0000-00001B2B0000}"/>
    <cellStyle name="Обычный 4 3 21 9" xfId="44185" xr:uid="{00000000-0005-0000-0000-00001C2B0000}"/>
    <cellStyle name="Обычный 4 3 22" xfId="1488" xr:uid="{00000000-0005-0000-0000-00001D2B0000}"/>
    <cellStyle name="Обычный 4 3 22 10" xfId="49551" xr:uid="{00000000-0005-0000-0000-00001E2B0000}"/>
    <cellStyle name="Обычный 4 3 22 2" xfId="6830" xr:uid="{00000000-0005-0000-0000-00001F2B0000}"/>
    <cellStyle name="Обычный 4 3 22 2 2" xfId="54892" xr:uid="{00000000-0005-0000-0000-0000202B0000}"/>
    <cellStyle name="Обычный 4 3 22 3" xfId="12171" xr:uid="{00000000-0005-0000-0000-0000212B0000}"/>
    <cellStyle name="Обычный 4 3 22 4" xfId="17511" xr:uid="{00000000-0005-0000-0000-0000222B0000}"/>
    <cellStyle name="Обычный 4 3 22 5" xfId="22851" xr:uid="{00000000-0005-0000-0000-0000232B0000}"/>
    <cellStyle name="Обычный 4 3 22 6" xfId="28191" xr:uid="{00000000-0005-0000-0000-0000242B0000}"/>
    <cellStyle name="Обычный 4 3 22 7" xfId="33531" xr:uid="{00000000-0005-0000-0000-0000252B0000}"/>
    <cellStyle name="Обычный 4 3 22 8" xfId="38871" xr:uid="{00000000-0005-0000-0000-0000262B0000}"/>
    <cellStyle name="Обычный 4 3 22 9" xfId="44211" xr:uid="{00000000-0005-0000-0000-0000272B0000}"/>
    <cellStyle name="Обычный 4 3 23" xfId="1514" xr:uid="{00000000-0005-0000-0000-0000282B0000}"/>
    <cellStyle name="Обычный 4 3 23 10" xfId="49577" xr:uid="{00000000-0005-0000-0000-0000292B0000}"/>
    <cellStyle name="Обычный 4 3 23 2" xfId="6856" xr:uid="{00000000-0005-0000-0000-00002A2B0000}"/>
    <cellStyle name="Обычный 4 3 23 2 2" xfId="54918" xr:uid="{00000000-0005-0000-0000-00002B2B0000}"/>
    <cellStyle name="Обычный 4 3 23 3" xfId="12197" xr:uid="{00000000-0005-0000-0000-00002C2B0000}"/>
    <cellStyle name="Обычный 4 3 23 4" xfId="17537" xr:uid="{00000000-0005-0000-0000-00002D2B0000}"/>
    <cellStyle name="Обычный 4 3 23 5" xfId="22877" xr:uid="{00000000-0005-0000-0000-00002E2B0000}"/>
    <cellStyle name="Обычный 4 3 23 6" xfId="28217" xr:uid="{00000000-0005-0000-0000-00002F2B0000}"/>
    <cellStyle name="Обычный 4 3 23 7" xfId="33557" xr:uid="{00000000-0005-0000-0000-0000302B0000}"/>
    <cellStyle name="Обычный 4 3 23 8" xfId="38897" xr:uid="{00000000-0005-0000-0000-0000312B0000}"/>
    <cellStyle name="Обычный 4 3 23 9" xfId="44237" xr:uid="{00000000-0005-0000-0000-0000322B0000}"/>
    <cellStyle name="Обычный 4 3 24" xfId="1540" xr:uid="{00000000-0005-0000-0000-0000332B0000}"/>
    <cellStyle name="Обычный 4 3 24 10" xfId="49603" xr:uid="{00000000-0005-0000-0000-0000342B0000}"/>
    <cellStyle name="Обычный 4 3 24 2" xfId="6882" xr:uid="{00000000-0005-0000-0000-0000352B0000}"/>
    <cellStyle name="Обычный 4 3 24 2 2" xfId="54944" xr:uid="{00000000-0005-0000-0000-0000362B0000}"/>
    <cellStyle name="Обычный 4 3 24 3" xfId="12223" xr:uid="{00000000-0005-0000-0000-0000372B0000}"/>
    <cellStyle name="Обычный 4 3 24 4" xfId="17563" xr:uid="{00000000-0005-0000-0000-0000382B0000}"/>
    <cellStyle name="Обычный 4 3 24 5" xfId="22903" xr:uid="{00000000-0005-0000-0000-0000392B0000}"/>
    <cellStyle name="Обычный 4 3 24 6" xfId="28243" xr:uid="{00000000-0005-0000-0000-00003A2B0000}"/>
    <cellStyle name="Обычный 4 3 24 7" xfId="33583" xr:uid="{00000000-0005-0000-0000-00003B2B0000}"/>
    <cellStyle name="Обычный 4 3 24 8" xfId="38923" xr:uid="{00000000-0005-0000-0000-00003C2B0000}"/>
    <cellStyle name="Обычный 4 3 24 9" xfId="44263" xr:uid="{00000000-0005-0000-0000-00003D2B0000}"/>
    <cellStyle name="Обычный 4 3 25" xfId="1566" xr:uid="{00000000-0005-0000-0000-00003E2B0000}"/>
    <cellStyle name="Обычный 4 3 25 10" xfId="49629" xr:uid="{00000000-0005-0000-0000-00003F2B0000}"/>
    <cellStyle name="Обычный 4 3 25 2" xfId="6908" xr:uid="{00000000-0005-0000-0000-0000402B0000}"/>
    <cellStyle name="Обычный 4 3 25 2 2" xfId="54970" xr:uid="{00000000-0005-0000-0000-0000412B0000}"/>
    <cellStyle name="Обычный 4 3 25 3" xfId="12249" xr:uid="{00000000-0005-0000-0000-0000422B0000}"/>
    <cellStyle name="Обычный 4 3 25 4" xfId="17589" xr:uid="{00000000-0005-0000-0000-0000432B0000}"/>
    <cellStyle name="Обычный 4 3 25 5" xfId="22929" xr:uid="{00000000-0005-0000-0000-0000442B0000}"/>
    <cellStyle name="Обычный 4 3 25 6" xfId="28269" xr:uid="{00000000-0005-0000-0000-0000452B0000}"/>
    <cellStyle name="Обычный 4 3 25 7" xfId="33609" xr:uid="{00000000-0005-0000-0000-0000462B0000}"/>
    <cellStyle name="Обычный 4 3 25 8" xfId="38949" xr:uid="{00000000-0005-0000-0000-0000472B0000}"/>
    <cellStyle name="Обычный 4 3 25 9" xfId="44289" xr:uid="{00000000-0005-0000-0000-0000482B0000}"/>
    <cellStyle name="Обычный 4 3 26" xfId="1592" xr:uid="{00000000-0005-0000-0000-0000492B0000}"/>
    <cellStyle name="Обычный 4 3 26 10" xfId="49655" xr:uid="{00000000-0005-0000-0000-00004A2B0000}"/>
    <cellStyle name="Обычный 4 3 26 2" xfId="6934" xr:uid="{00000000-0005-0000-0000-00004B2B0000}"/>
    <cellStyle name="Обычный 4 3 26 2 2" xfId="54996" xr:uid="{00000000-0005-0000-0000-00004C2B0000}"/>
    <cellStyle name="Обычный 4 3 26 3" xfId="12275" xr:uid="{00000000-0005-0000-0000-00004D2B0000}"/>
    <cellStyle name="Обычный 4 3 26 4" xfId="17615" xr:uid="{00000000-0005-0000-0000-00004E2B0000}"/>
    <cellStyle name="Обычный 4 3 26 5" xfId="22955" xr:uid="{00000000-0005-0000-0000-00004F2B0000}"/>
    <cellStyle name="Обычный 4 3 26 6" xfId="28295" xr:uid="{00000000-0005-0000-0000-0000502B0000}"/>
    <cellStyle name="Обычный 4 3 26 7" xfId="33635" xr:uid="{00000000-0005-0000-0000-0000512B0000}"/>
    <cellStyle name="Обычный 4 3 26 8" xfId="38975" xr:uid="{00000000-0005-0000-0000-0000522B0000}"/>
    <cellStyle name="Обычный 4 3 26 9" xfId="44315" xr:uid="{00000000-0005-0000-0000-0000532B0000}"/>
    <cellStyle name="Обычный 4 3 27" xfId="1618" xr:uid="{00000000-0005-0000-0000-0000542B0000}"/>
    <cellStyle name="Обычный 4 3 27 10" xfId="49681" xr:uid="{00000000-0005-0000-0000-0000552B0000}"/>
    <cellStyle name="Обычный 4 3 27 2" xfId="6960" xr:uid="{00000000-0005-0000-0000-0000562B0000}"/>
    <cellStyle name="Обычный 4 3 27 2 2" xfId="55022" xr:uid="{00000000-0005-0000-0000-0000572B0000}"/>
    <cellStyle name="Обычный 4 3 27 3" xfId="12301" xr:uid="{00000000-0005-0000-0000-0000582B0000}"/>
    <cellStyle name="Обычный 4 3 27 4" xfId="17641" xr:uid="{00000000-0005-0000-0000-0000592B0000}"/>
    <cellStyle name="Обычный 4 3 27 5" xfId="22981" xr:uid="{00000000-0005-0000-0000-00005A2B0000}"/>
    <cellStyle name="Обычный 4 3 27 6" xfId="28321" xr:uid="{00000000-0005-0000-0000-00005B2B0000}"/>
    <cellStyle name="Обычный 4 3 27 7" xfId="33661" xr:uid="{00000000-0005-0000-0000-00005C2B0000}"/>
    <cellStyle name="Обычный 4 3 27 8" xfId="39001" xr:uid="{00000000-0005-0000-0000-00005D2B0000}"/>
    <cellStyle name="Обычный 4 3 27 9" xfId="44341" xr:uid="{00000000-0005-0000-0000-00005E2B0000}"/>
    <cellStyle name="Обычный 4 3 28" xfId="1644" xr:uid="{00000000-0005-0000-0000-00005F2B0000}"/>
    <cellStyle name="Обычный 4 3 28 10" xfId="49707" xr:uid="{00000000-0005-0000-0000-0000602B0000}"/>
    <cellStyle name="Обычный 4 3 28 2" xfId="6986" xr:uid="{00000000-0005-0000-0000-0000612B0000}"/>
    <cellStyle name="Обычный 4 3 28 2 2" xfId="55048" xr:uid="{00000000-0005-0000-0000-0000622B0000}"/>
    <cellStyle name="Обычный 4 3 28 3" xfId="12327" xr:uid="{00000000-0005-0000-0000-0000632B0000}"/>
    <cellStyle name="Обычный 4 3 28 4" xfId="17667" xr:uid="{00000000-0005-0000-0000-0000642B0000}"/>
    <cellStyle name="Обычный 4 3 28 5" xfId="23007" xr:uid="{00000000-0005-0000-0000-0000652B0000}"/>
    <cellStyle name="Обычный 4 3 28 6" xfId="28347" xr:uid="{00000000-0005-0000-0000-0000662B0000}"/>
    <cellStyle name="Обычный 4 3 28 7" xfId="33687" xr:uid="{00000000-0005-0000-0000-0000672B0000}"/>
    <cellStyle name="Обычный 4 3 28 8" xfId="39027" xr:uid="{00000000-0005-0000-0000-0000682B0000}"/>
    <cellStyle name="Обычный 4 3 28 9" xfId="44367" xr:uid="{00000000-0005-0000-0000-0000692B0000}"/>
    <cellStyle name="Обычный 4 3 29" xfId="1670" xr:uid="{00000000-0005-0000-0000-00006A2B0000}"/>
    <cellStyle name="Обычный 4 3 29 10" xfId="49733" xr:uid="{00000000-0005-0000-0000-00006B2B0000}"/>
    <cellStyle name="Обычный 4 3 29 2" xfId="7012" xr:uid="{00000000-0005-0000-0000-00006C2B0000}"/>
    <cellStyle name="Обычный 4 3 29 2 2" xfId="55074" xr:uid="{00000000-0005-0000-0000-00006D2B0000}"/>
    <cellStyle name="Обычный 4 3 29 3" xfId="12353" xr:uid="{00000000-0005-0000-0000-00006E2B0000}"/>
    <cellStyle name="Обычный 4 3 29 4" xfId="17693" xr:uid="{00000000-0005-0000-0000-00006F2B0000}"/>
    <cellStyle name="Обычный 4 3 29 5" xfId="23033" xr:uid="{00000000-0005-0000-0000-0000702B0000}"/>
    <cellStyle name="Обычный 4 3 29 6" xfId="28373" xr:uid="{00000000-0005-0000-0000-0000712B0000}"/>
    <cellStyle name="Обычный 4 3 29 7" xfId="33713" xr:uid="{00000000-0005-0000-0000-0000722B0000}"/>
    <cellStyle name="Обычный 4 3 29 8" xfId="39053" xr:uid="{00000000-0005-0000-0000-0000732B0000}"/>
    <cellStyle name="Обычный 4 3 29 9" xfId="44393" xr:uid="{00000000-0005-0000-0000-0000742B0000}"/>
    <cellStyle name="Обычный 4 3 3" xfId="999" xr:uid="{00000000-0005-0000-0000-0000752B0000}"/>
    <cellStyle name="Обычный 4 3 3 10" xfId="49061" xr:uid="{00000000-0005-0000-0000-0000762B0000}"/>
    <cellStyle name="Обычный 4 3 3 2" xfId="6340" xr:uid="{00000000-0005-0000-0000-0000772B0000}"/>
    <cellStyle name="Обычный 4 3 3 2 2" xfId="54402" xr:uid="{00000000-0005-0000-0000-0000782B0000}"/>
    <cellStyle name="Обычный 4 3 3 3" xfId="11681" xr:uid="{00000000-0005-0000-0000-0000792B0000}"/>
    <cellStyle name="Обычный 4 3 3 4" xfId="17021" xr:uid="{00000000-0005-0000-0000-00007A2B0000}"/>
    <cellStyle name="Обычный 4 3 3 5" xfId="22361" xr:uid="{00000000-0005-0000-0000-00007B2B0000}"/>
    <cellStyle name="Обычный 4 3 3 6" xfId="27701" xr:uid="{00000000-0005-0000-0000-00007C2B0000}"/>
    <cellStyle name="Обычный 4 3 3 7" xfId="33041" xr:uid="{00000000-0005-0000-0000-00007D2B0000}"/>
    <cellStyle name="Обычный 4 3 3 8" xfId="38381" xr:uid="{00000000-0005-0000-0000-00007E2B0000}"/>
    <cellStyle name="Обычный 4 3 3 9" xfId="43721" xr:uid="{00000000-0005-0000-0000-00007F2B0000}"/>
    <cellStyle name="Обычный 4 3 30" xfId="1696" xr:uid="{00000000-0005-0000-0000-0000802B0000}"/>
    <cellStyle name="Обычный 4 3 30 10" xfId="49759" xr:uid="{00000000-0005-0000-0000-0000812B0000}"/>
    <cellStyle name="Обычный 4 3 30 2" xfId="7038" xr:uid="{00000000-0005-0000-0000-0000822B0000}"/>
    <cellStyle name="Обычный 4 3 30 2 2" xfId="55100" xr:uid="{00000000-0005-0000-0000-0000832B0000}"/>
    <cellStyle name="Обычный 4 3 30 3" xfId="12379" xr:uid="{00000000-0005-0000-0000-0000842B0000}"/>
    <cellStyle name="Обычный 4 3 30 4" xfId="17719" xr:uid="{00000000-0005-0000-0000-0000852B0000}"/>
    <cellStyle name="Обычный 4 3 30 5" xfId="23059" xr:uid="{00000000-0005-0000-0000-0000862B0000}"/>
    <cellStyle name="Обычный 4 3 30 6" xfId="28399" xr:uid="{00000000-0005-0000-0000-0000872B0000}"/>
    <cellStyle name="Обычный 4 3 30 7" xfId="33739" xr:uid="{00000000-0005-0000-0000-0000882B0000}"/>
    <cellStyle name="Обычный 4 3 30 8" xfId="39079" xr:uid="{00000000-0005-0000-0000-0000892B0000}"/>
    <cellStyle name="Обычный 4 3 30 9" xfId="44419" xr:uid="{00000000-0005-0000-0000-00008A2B0000}"/>
    <cellStyle name="Обычный 4 3 31" xfId="1722" xr:uid="{00000000-0005-0000-0000-00008B2B0000}"/>
    <cellStyle name="Обычный 4 3 31 10" xfId="49785" xr:uid="{00000000-0005-0000-0000-00008C2B0000}"/>
    <cellStyle name="Обычный 4 3 31 2" xfId="7064" xr:uid="{00000000-0005-0000-0000-00008D2B0000}"/>
    <cellStyle name="Обычный 4 3 31 2 2" xfId="55126" xr:uid="{00000000-0005-0000-0000-00008E2B0000}"/>
    <cellStyle name="Обычный 4 3 31 3" xfId="12405" xr:uid="{00000000-0005-0000-0000-00008F2B0000}"/>
    <cellStyle name="Обычный 4 3 31 4" xfId="17745" xr:uid="{00000000-0005-0000-0000-0000902B0000}"/>
    <cellStyle name="Обычный 4 3 31 5" xfId="23085" xr:uid="{00000000-0005-0000-0000-0000912B0000}"/>
    <cellStyle name="Обычный 4 3 31 6" xfId="28425" xr:uid="{00000000-0005-0000-0000-0000922B0000}"/>
    <cellStyle name="Обычный 4 3 31 7" xfId="33765" xr:uid="{00000000-0005-0000-0000-0000932B0000}"/>
    <cellStyle name="Обычный 4 3 31 8" xfId="39105" xr:uid="{00000000-0005-0000-0000-0000942B0000}"/>
    <cellStyle name="Обычный 4 3 31 9" xfId="44445" xr:uid="{00000000-0005-0000-0000-0000952B0000}"/>
    <cellStyle name="Обычный 4 3 32" xfId="1748" xr:uid="{00000000-0005-0000-0000-0000962B0000}"/>
    <cellStyle name="Обычный 4 3 32 10" xfId="49811" xr:uid="{00000000-0005-0000-0000-0000972B0000}"/>
    <cellStyle name="Обычный 4 3 32 2" xfId="7090" xr:uid="{00000000-0005-0000-0000-0000982B0000}"/>
    <cellStyle name="Обычный 4 3 32 2 2" xfId="55152" xr:uid="{00000000-0005-0000-0000-0000992B0000}"/>
    <cellStyle name="Обычный 4 3 32 3" xfId="12431" xr:uid="{00000000-0005-0000-0000-00009A2B0000}"/>
    <cellStyle name="Обычный 4 3 32 4" xfId="17771" xr:uid="{00000000-0005-0000-0000-00009B2B0000}"/>
    <cellStyle name="Обычный 4 3 32 5" xfId="23111" xr:uid="{00000000-0005-0000-0000-00009C2B0000}"/>
    <cellStyle name="Обычный 4 3 32 6" xfId="28451" xr:uid="{00000000-0005-0000-0000-00009D2B0000}"/>
    <cellStyle name="Обычный 4 3 32 7" xfId="33791" xr:uid="{00000000-0005-0000-0000-00009E2B0000}"/>
    <cellStyle name="Обычный 4 3 32 8" xfId="39131" xr:uid="{00000000-0005-0000-0000-00009F2B0000}"/>
    <cellStyle name="Обычный 4 3 32 9" xfId="44471" xr:uid="{00000000-0005-0000-0000-0000A02B0000}"/>
    <cellStyle name="Обычный 4 3 33" xfId="1774" xr:uid="{00000000-0005-0000-0000-0000A12B0000}"/>
    <cellStyle name="Обычный 4 3 33 10" xfId="49837" xr:uid="{00000000-0005-0000-0000-0000A22B0000}"/>
    <cellStyle name="Обычный 4 3 33 2" xfId="7116" xr:uid="{00000000-0005-0000-0000-0000A32B0000}"/>
    <cellStyle name="Обычный 4 3 33 2 2" xfId="55178" xr:uid="{00000000-0005-0000-0000-0000A42B0000}"/>
    <cellStyle name="Обычный 4 3 33 3" xfId="12457" xr:uid="{00000000-0005-0000-0000-0000A52B0000}"/>
    <cellStyle name="Обычный 4 3 33 4" xfId="17797" xr:uid="{00000000-0005-0000-0000-0000A62B0000}"/>
    <cellStyle name="Обычный 4 3 33 5" xfId="23137" xr:uid="{00000000-0005-0000-0000-0000A72B0000}"/>
    <cellStyle name="Обычный 4 3 33 6" xfId="28477" xr:uid="{00000000-0005-0000-0000-0000A82B0000}"/>
    <cellStyle name="Обычный 4 3 33 7" xfId="33817" xr:uid="{00000000-0005-0000-0000-0000A92B0000}"/>
    <cellStyle name="Обычный 4 3 33 8" xfId="39157" xr:uid="{00000000-0005-0000-0000-0000AA2B0000}"/>
    <cellStyle name="Обычный 4 3 33 9" xfId="44497" xr:uid="{00000000-0005-0000-0000-0000AB2B0000}"/>
    <cellStyle name="Обычный 4 3 34" xfId="1800" xr:uid="{00000000-0005-0000-0000-0000AC2B0000}"/>
    <cellStyle name="Обычный 4 3 34 10" xfId="49863" xr:uid="{00000000-0005-0000-0000-0000AD2B0000}"/>
    <cellStyle name="Обычный 4 3 34 2" xfId="7142" xr:uid="{00000000-0005-0000-0000-0000AE2B0000}"/>
    <cellStyle name="Обычный 4 3 34 2 2" xfId="55204" xr:uid="{00000000-0005-0000-0000-0000AF2B0000}"/>
    <cellStyle name="Обычный 4 3 34 3" xfId="12483" xr:uid="{00000000-0005-0000-0000-0000B02B0000}"/>
    <cellStyle name="Обычный 4 3 34 4" xfId="17823" xr:uid="{00000000-0005-0000-0000-0000B12B0000}"/>
    <cellStyle name="Обычный 4 3 34 5" xfId="23163" xr:uid="{00000000-0005-0000-0000-0000B22B0000}"/>
    <cellStyle name="Обычный 4 3 34 6" xfId="28503" xr:uid="{00000000-0005-0000-0000-0000B32B0000}"/>
    <cellStyle name="Обычный 4 3 34 7" xfId="33843" xr:uid="{00000000-0005-0000-0000-0000B42B0000}"/>
    <cellStyle name="Обычный 4 3 34 8" xfId="39183" xr:uid="{00000000-0005-0000-0000-0000B52B0000}"/>
    <cellStyle name="Обычный 4 3 34 9" xfId="44523" xr:uid="{00000000-0005-0000-0000-0000B62B0000}"/>
    <cellStyle name="Обычный 4 3 35" xfId="1826" xr:uid="{00000000-0005-0000-0000-0000B72B0000}"/>
    <cellStyle name="Обычный 4 3 35 10" xfId="49889" xr:uid="{00000000-0005-0000-0000-0000B82B0000}"/>
    <cellStyle name="Обычный 4 3 35 2" xfId="7168" xr:uid="{00000000-0005-0000-0000-0000B92B0000}"/>
    <cellStyle name="Обычный 4 3 35 2 2" xfId="55230" xr:uid="{00000000-0005-0000-0000-0000BA2B0000}"/>
    <cellStyle name="Обычный 4 3 35 3" xfId="12509" xr:uid="{00000000-0005-0000-0000-0000BB2B0000}"/>
    <cellStyle name="Обычный 4 3 35 4" xfId="17849" xr:uid="{00000000-0005-0000-0000-0000BC2B0000}"/>
    <cellStyle name="Обычный 4 3 35 5" xfId="23189" xr:uid="{00000000-0005-0000-0000-0000BD2B0000}"/>
    <cellStyle name="Обычный 4 3 35 6" xfId="28529" xr:uid="{00000000-0005-0000-0000-0000BE2B0000}"/>
    <cellStyle name="Обычный 4 3 35 7" xfId="33869" xr:uid="{00000000-0005-0000-0000-0000BF2B0000}"/>
    <cellStyle name="Обычный 4 3 35 8" xfId="39209" xr:uid="{00000000-0005-0000-0000-0000C02B0000}"/>
    <cellStyle name="Обычный 4 3 35 9" xfId="44549" xr:uid="{00000000-0005-0000-0000-0000C12B0000}"/>
    <cellStyle name="Обычный 4 3 36" xfId="1852" xr:uid="{00000000-0005-0000-0000-0000C22B0000}"/>
    <cellStyle name="Обычный 4 3 36 10" xfId="49915" xr:uid="{00000000-0005-0000-0000-0000C32B0000}"/>
    <cellStyle name="Обычный 4 3 36 2" xfId="7194" xr:uid="{00000000-0005-0000-0000-0000C42B0000}"/>
    <cellStyle name="Обычный 4 3 36 2 2" xfId="55256" xr:uid="{00000000-0005-0000-0000-0000C52B0000}"/>
    <cellStyle name="Обычный 4 3 36 3" xfId="12535" xr:uid="{00000000-0005-0000-0000-0000C62B0000}"/>
    <cellStyle name="Обычный 4 3 36 4" xfId="17875" xr:uid="{00000000-0005-0000-0000-0000C72B0000}"/>
    <cellStyle name="Обычный 4 3 36 5" xfId="23215" xr:uid="{00000000-0005-0000-0000-0000C82B0000}"/>
    <cellStyle name="Обычный 4 3 36 6" xfId="28555" xr:uid="{00000000-0005-0000-0000-0000C92B0000}"/>
    <cellStyle name="Обычный 4 3 36 7" xfId="33895" xr:uid="{00000000-0005-0000-0000-0000CA2B0000}"/>
    <cellStyle name="Обычный 4 3 36 8" xfId="39235" xr:uid="{00000000-0005-0000-0000-0000CB2B0000}"/>
    <cellStyle name="Обычный 4 3 36 9" xfId="44575" xr:uid="{00000000-0005-0000-0000-0000CC2B0000}"/>
    <cellStyle name="Обычный 4 3 37" xfId="1878" xr:uid="{00000000-0005-0000-0000-0000CD2B0000}"/>
    <cellStyle name="Обычный 4 3 37 10" xfId="49941" xr:uid="{00000000-0005-0000-0000-0000CE2B0000}"/>
    <cellStyle name="Обычный 4 3 37 2" xfId="7220" xr:uid="{00000000-0005-0000-0000-0000CF2B0000}"/>
    <cellStyle name="Обычный 4 3 37 2 2" xfId="55282" xr:uid="{00000000-0005-0000-0000-0000D02B0000}"/>
    <cellStyle name="Обычный 4 3 37 3" xfId="12561" xr:uid="{00000000-0005-0000-0000-0000D12B0000}"/>
    <cellStyle name="Обычный 4 3 37 4" xfId="17901" xr:uid="{00000000-0005-0000-0000-0000D22B0000}"/>
    <cellStyle name="Обычный 4 3 37 5" xfId="23241" xr:uid="{00000000-0005-0000-0000-0000D32B0000}"/>
    <cellStyle name="Обычный 4 3 37 6" xfId="28581" xr:uid="{00000000-0005-0000-0000-0000D42B0000}"/>
    <cellStyle name="Обычный 4 3 37 7" xfId="33921" xr:uid="{00000000-0005-0000-0000-0000D52B0000}"/>
    <cellStyle name="Обычный 4 3 37 8" xfId="39261" xr:uid="{00000000-0005-0000-0000-0000D62B0000}"/>
    <cellStyle name="Обычный 4 3 37 9" xfId="44601" xr:uid="{00000000-0005-0000-0000-0000D72B0000}"/>
    <cellStyle name="Обычный 4 3 38" xfId="1904" xr:uid="{00000000-0005-0000-0000-0000D82B0000}"/>
    <cellStyle name="Обычный 4 3 38 10" xfId="49967" xr:uid="{00000000-0005-0000-0000-0000D92B0000}"/>
    <cellStyle name="Обычный 4 3 38 2" xfId="7246" xr:uid="{00000000-0005-0000-0000-0000DA2B0000}"/>
    <cellStyle name="Обычный 4 3 38 2 2" xfId="55308" xr:uid="{00000000-0005-0000-0000-0000DB2B0000}"/>
    <cellStyle name="Обычный 4 3 38 3" xfId="12587" xr:uid="{00000000-0005-0000-0000-0000DC2B0000}"/>
    <cellStyle name="Обычный 4 3 38 4" xfId="17927" xr:uid="{00000000-0005-0000-0000-0000DD2B0000}"/>
    <cellStyle name="Обычный 4 3 38 5" xfId="23267" xr:uid="{00000000-0005-0000-0000-0000DE2B0000}"/>
    <cellStyle name="Обычный 4 3 38 6" xfId="28607" xr:uid="{00000000-0005-0000-0000-0000DF2B0000}"/>
    <cellStyle name="Обычный 4 3 38 7" xfId="33947" xr:uid="{00000000-0005-0000-0000-0000E02B0000}"/>
    <cellStyle name="Обычный 4 3 38 8" xfId="39287" xr:uid="{00000000-0005-0000-0000-0000E12B0000}"/>
    <cellStyle name="Обычный 4 3 38 9" xfId="44627" xr:uid="{00000000-0005-0000-0000-0000E22B0000}"/>
    <cellStyle name="Обычный 4 3 39" xfId="1930" xr:uid="{00000000-0005-0000-0000-0000E32B0000}"/>
    <cellStyle name="Обычный 4 3 39 10" xfId="49993" xr:uid="{00000000-0005-0000-0000-0000E42B0000}"/>
    <cellStyle name="Обычный 4 3 39 2" xfId="7272" xr:uid="{00000000-0005-0000-0000-0000E52B0000}"/>
    <cellStyle name="Обычный 4 3 39 2 2" xfId="55334" xr:uid="{00000000-0005-0000-0000-0000E62B0000}"/>
    <cellStyle name="Обычный 4 3 39 3" xfId="12613" xr:uid="{00000000-0005-0000-0000-0000E72B0000}"/>
    <cellStyle name="Обычный 4 3 39 4" xfId="17953" xr:uid="{00000000-0005-0000-0000-0000E82B0000}"/>
    <cellStyle name="Обычный 4 3 39 5" xfId="23293" xr:uid="{00000000-0005-0000-0000-0000E92B0000}"/>
    <cellStyle name="Обычный 4 3 39 6" xfId="28633" xr:uid="{00000000-0005-0000-0000-0000EA2B0000}"/>
    <cellStyle name="Обычный 4 3 39 7" xfId="33973" xr:uid="{00000000-0005-0000-0000-0000EB2B0000}"/>
    <cellStyle name="Обычный 4 3 39 8" xfId="39313" xr:uid="{00000000-0005-0000-0000-0000EC2B0000}"/>
    <cellStyle name="Обычный 4 3 39 9" xfId="44653" xr:uid="{00000000-0005-0000-0000-0000ED2B0000}"/>
    <cellStyle name="Обычный 4 3 4" xfId="1023" xr:uid="{00000000-0005-0000-0000-0000EE2B0000}"/>
    <cellStyle name="Обычный 4 3 4 10" xfId="49085" xr:uid="{00000000-0005-0000-0000-0000EF2B0000}"/>
    <cellStyle name="Обычный 4 3 4 2" xfId="6364" xr:uid="{00000000-0005-0000-0000-0000F02B0000}"/>
    <cellStyle name="Обычный 4 3 4 2 2" xfId="54426" xr:uid="{00000000-0005-0000-0000-0000F12B0000}"/>
    <cellStyle name="Обычный 4 3 4 3" xfId="11705" xr:uid="{00000000-0005-0000-0000-0000F22B0000}"/>
    <cellStyle name="Обычный 4 3 4 4" xfId="17045" xr:uid="{00000000-0005-0000-0000-0000F32B0000}"/>
    <cellStyle name="Обычный 4 3 4 5" xfId="22385" xr:uid="{00000000-0005-0000-0000-0000F42B0000}"/>
    <cellStyle name="Обычный 4 3 4 6" xfId="27725" xr:uid="{00000000-0005-0000-0000-0000F52B0000}"/>
    <cellStyle name="Обычный 4 3 4 7" xfId="33065" xr:uid="{00000000-0005-0000-0000-0000F62B0000}"/>
    <cellStyle name="Обычный 4 3 4 8" xfId="38405" xr:uid="{00000000-0005-0000-0000-0000F72B0000}"/>
    <cellStyle name="Обычный 4 3 4 9" xfId="43745" xr:uid="{00000000-0005-0000-0000-0000F82B0000}"/>
    <cellStyle name="Обычный 4 3 40" xfId="1958" xr:uid="{00000000-0005-0000-0000-0000F92B0000}"/>
    <cellStyle name="Обычный 4 3 40 10" xfId="50021" xr:uid="{00000000-0005-0000-0000-0000FA2B0000}"/>
    <cellStyle name="Обычный 4 3 40 2" xfId="7300" xr:uid="{00000000-0005-0000-0000-0000FB2B0000}"/>
    <cellStyle name="Обычный 4 3 40 2 2" xfId="55362" xr:uid="{00000000-0005-0000-0000-0000FC2B0000}"/>
    <cellStyle name="Обычный 4 3 40 3" xfId="12641" xr:uid="{00000000-0005-0000-0000-0000FD2B0000}"/>
    <cellStyle name="Обычный 4 3 40 4" xfId="17981" xr:uid="{00000000-0005-0000-0000-0000FE2B0000}"/>
    <cellStyle name="Обычный 4 3 40 5" xfId="23321" xr:uid="{00000000-0005-0000-0000-0000FF2B0000}"/>
    <cellStyle name="Обычный 4 3 40 6" xfId="28661" xr:uid="{00000000-0005-0000-0000-0000002C0000}"/>
    <cellStyle name="Обычный 4 3 40 7" xfId="34001" xr:uid="{00000000-0005-0000-0000-0000012C0000}"/>
    <cellStyle name="Обычный 4 3 40 8" xfId="39341" xr:uid="{00000000-0005-0000-0000-0000022C0000}"/>
    <cellStyle name="Обычный 4 3 40 9" xfId="44681" xr:uid="{00000000-0005-0000-0000-0000032C0000}"/>
    <cellStyle name="Обычный 4 3 41" xfId="1985" xr:uid="{00000000-0005-0000-0000-0000042C0000}"/>
    <cellStyle name="Обычный 4 3 41 10" xfId="50049" xr:uid="{00000000-0005-0000-0000-0000052C0000}"/>
    <cellStyle name="Обычный 4 3 41 2" xfId="7328" xr:uid="{00000000-0005-0000-0000-0000062C0000}"/>
    <cellStyle name="Обычный 4 3 41 2 2" xfId="55390" xr:uid="{00000000-0005-0000-0000-0000072C0000}"/>
    <cellStyle name="Обычный 4 3 41 3" xfId="12669" xr:uid="{00000000-0005-0000-0000-0000082C0000}"/>
    <cellStyle name="Обычный 4 3 41 4" xfId="18009" xr:uid="{00000000-0005-0000-0000-0000092C0000}"/>
    <cellStyle name="Обычный 4 3 41 5" xfId="23349" xr:uid="{00000000-0005-0000-0000-00000A2C0000}"/>
    <cellStyle name="Обычный 4 3 41 6" xfId="28689" xr:uid="{00000000-0005-0000-0000-00000B2C0000}"/>
    <cellStyle name="Обычный 4 3 41 7" xfId="34029" xr:uid="{00000000-0005-0000-0000-00000C2C0000}"/>
    <cellStyle name="Обычный 4 3 41 8" xfId="39369" xr:uid="{00000000-0005-0000-0000-00000D2C0000}"/>
    <cellStyle name="Обычный 4 3 41 9" xfId="44709" xr:uid="{00000000-0005-0000-0000-00000E2C0000}"/>
    <cellStyle name="Обычный 4 3 42" xfId="2013" xr:uid="{00000000-0005-0000-0000-00000F2C0000}"/>
    <cellStyle name="Обычный 4 3 42 10" xfId="50077" xr:uid="{00000000-0005-0000-0000-0000102C0000}"/>
    <cellStyle name="Обычный 4 3 42 2" xfId="7356" xr:uid="{00000000-0005-0000-0000-0000112C0000}"/>
    <cellStyle name="Обычный 4 3 42 2 2" xfId="55418" xr:uid="{00000000-0005-0000-0000-0000122C0000}"/>
    <cellStyle name="Обычный 4 3 42 3" xfId="12697" xr:uid="{00000000-0005-0000-0000-0000132C0000}"/>
    <cellStyle name="Обычный 4 3 42 4" xfId="18037" xr:uid="{00000000-0005-0000-0000-0000142C0000}"/>
    <cellStyle name="Обычный 4 3 42 5" xfId="23377" xr:uid="{00000000-0005-0000-0000-0000152C0000}"/>
    <cellStyle name="Обычный 4 3 42 6" xfId="28717" xr:uid="{00000000-0005-0000-0000-0000162C0000}"/>
    <cellStyle name="Обычный 4 3 42 7" xfId="34057" xr:uid="{00000000-0005-0000-0000-0000172C0000}"/>
    <cellStyle name="Обычный 4 3 42 8" xfId="39397" xr:uid="{00000000-0005-0000-0000-0000182C0000}"/>
    <cellStyle name="Обычный 4 3 42 9" xfId="44737" xr:uid="{00000000-0005-0000-0000-0000192C0000}"/>
    <cellStyle name="Обычный 4 3 43" xfId="2041" xr:uid="{00000000-0005-0000-0000-00001A2C0000}"/>
    <cellStyle name="Обычный 4 3 43 10" xfId="50105" xr:uid="{00000000-0005-0000-0000-00001B2C0000}"/>
    <cellStyle name="Обычный 4 3 43 2" xfId="7384" xr:uid="{00000000-0005-0000-0000-00001C2C0000}"/>
    <cellStyle name="Обычный 4 3 43 2 2" xfId="55446" xr:uid="{00000000-0005-0000-0000-00001D2C0000}"/>
    <cellStyle name="Обычный 4 3 43 3" xfId="12725" xr:uid="{00000000-0005-0000-0000-00001E2C0000}"/>
    <cellStyle name="Обычный 4 3 43 4" xfId="18065" xr:uid="{00000000-0005-0000-0000-00001F2C0000}"/>
    <cellStyle name="Обычный 4 3 43 5" xfId="23405" xr:uid="{00000000-0005-0000-0000-0000202C0000}"/>
    <cellStyle name="Обычный 4 3 43 6" xfId="28745" xr:uid="{00000000-0005-0000-0000-0000212C0000}"/>
    <cellStyle name="Обычный 4 3 43 7" xfId="34085" xr:uid="{00000000-0005-0000-0000-0000222C0000}"/>
    <cellStyle name="Обычный 4 3 43 8" xfId="39425" xr:uid="{00000000-0005-0000-0000-0000232C0000}"/>
    <cellStyle name="Обычный 4 3 43 9" xfId="44765" xr:uid="{00000000-0005-0000-0000-0000242C0000}"/>
    <cellStyle name="Обычный 4 3 44" xfId="2069" xr:uid="{00000000-0005-0000-0000-0000252C0000}"/>
    <cellStyle name="Обычный 4 3 44 10" xfId="50133" xr:uid="{00000000-0005-0000-0000-0000262C0000}"/>
    <cellStyle name="Обычный 4 3 44 2" xfId="7412" xr:uid="{00000000-0005-0000-0000-0000272C0000}"/>
    <cellStyle name="Обычный 4 3 44 2 2" xfId="55474" xr:uid="{00000000-0005-0000-0000-0000282C0000}"/>
    <cellStyle name="Обычный 4 3 44 3" xfId="12753" xr:uid="{00000000-0005-0000-0000-0000292C0000}"/>
    <cellStyle name="Обычный 4 3 44 4" xfId="18093" xr:uid="{00000000-0005-0000-0000-00002A2C0000}"/>
    <cellStyle name="Обычный 4 3 44 5" xfId="23433" xr:uid="{00000000-0005-0000-0000-00002B2C0000}"/>
    <cellStyle name="Обычный 4 3 44 6" xfId="28773" xr:uid="{00000000-0005-0000-0000-00002C2C0000}"/>
    <cellStyle name="Обычный 4 3 44 7" xfId="34113" xr:uid="{00000000-0005-0000-0000-00002D2C0000}"/>
    <cellStyle name="Обычный 4 3 44 8" xfId="39453" xr:uid="{00000000-0005-0000-0000-00002E2C0000}"/>
    <cellStyle name="Обычный 4 3 44 9" xfId="44793" xr:uid="{00000000-0005-0000-0000-00002F2C0000}"/>
    <cellStyle name="Обычный 4 3 45" xfId="2097" xr:uid="{00000000-0005-0000-0000-0000302C0000}"/>
    <cellStyle name="Обычный 4 3 45 10" xfId="50161" xr:uid="{00000000-0005-0000-0000-0000312C0000}"/>
    <cellStyle name="Обычный 4 3 45 2" xfId="7440" xr:uid="{00000000-0005-0000-0000-0000322C0000}"/>
    <cellStyle name="Обычный 4 3 45 2 2" xfId="55502" xr:uid="{00000000-0005-0000-0000-0000332C0000}"/>
    <cellStyle name="Обычный 4 3 45 3" xfId="12781" xr:uid="{00000000-0005-0000-0000-0000342C0000}"/>
    <cellStyle name="Обычный 4 3 45 4" xfId="18121" xr:uid="{00000000-0005-0000-0000-0000352C0000}"/>
    <cellStyle name="Обычный 4 3 45 5" xfId="23461" xr:uid="{00000000-0005-0000-0000-0000362C0000}"/>
    <cellStyle name="Обычный 4 3 45 6" xfId="28801" xr:uid="{00000000-0005-0000-0000-0000372C0000}"/>
    <cellStyle name="Обычный 4 3 45 7" xfId="34141" xr:uid="{00000000-0005-0000-0000-0000382C0000}"/>
    <cellStyle name="Обычный 4 3 45 8" xfId="39481" xr:uid="{00000000-0005-0000-0000-0000392C0000}"/>
    <cellStyle name="Обычный 4 3 45 9" xfId="44821" xr:uid="{00000000-0005-0000-0000-00003A2C0000}"/>
    <cellStyle name="Обычный 4 3 46" xfId="2125" xr:uid="{00000000-0005-0000-0000-00003B2C0000}"/>
    <cellStyle name="Обычный 4 3 46 10" xfId="50189" xr:uid="{00000000-0005-0000-0000-00003C2C0000}"/>
    <cellStyle name="Обычный 4 3 46 2" xfId="7468" xr:uid="{00000000-0005-0000-0000-00003D2C0000}"/>
    <cellStyle name="Обычный 4 3 46 2 2" xfId="55530" xr:uid="{00000000-0005-0000-0000-00003E2C0000}"/>
    <cellStyle name="Обычный 4 3 46 3" xfId="12809" xr:uid="{00000000-0005-0000-0000-00003F2C0000}"/>
    <cellStyle name="Обычный 4 3 46 4" xfId="18149" xr:uid="{00000000-0005-0000-0000-0000402C0000}"/>
    <cellStyle name="Обычный 4 3 46 5" xfId="23489" xr:uid="{00000000-0005-0000-0000-0000412C0000}"/>
    <cellStyle name="Обычный 4 3 46 6" xfId="28829" xr:uid="{00000000-0005-0000-0000-0000422C0000}"/>
    <cellStyle name="Обычный 4 3 46 7" xfId="34169" xr:uid="{00000000-0005-0000-0000-0000432C0000}"/>
    <cellStyle name="Обычный 4 3 46 8" xfId="39509" xr:uid="{00000000-0005-0000-0000-0000442C0000}"/>
    <cellStyle name="Обычный 4 3 46 9" xfId="44849" xr:uid="{00000000-0005-0000-0000-0000452C0000}"/>
    <cellStyle name="Обычный 4 3 47" xfId="2155" xr:uid="{00000000-0005-0000-0000-0000462C0000}"/>
    <cellStyle name="Обычный 4 3 47 10" xfId="50219" xr:uid="{00000000-0005-0000-0000-0000472C0000}"/>
    <cellStyle name="Обычный 4 3 47 2" xfId="7498" xr:uid="{00000000-0005-0000-0000-0000482C0000}"/>
    <cellStyle name="Обычный 4 3 47 2 2" xfId="55560" xr:uid="{00000000-0005-0000-0000-0000492C0000}"/>
    <cellStyle name="Обычный 4 3 47 3" xfId="12839" xr:uid="{00000000-0005-0000-0000-00004A2C0000}"/>
    <cellStyle name="Обычный 4 3 47 4" xfId="18179" xr:uid="{00000000-0005-0000-0000-00004B2C0000}"/>
    <cellStyle name="Обычный 4 3 47 5" xfId="23519" xr:uid="{00000000-0005-0000-0000-00004C2C0000}"/>
    <cellStyle name="Обычный 4 3 47 6" xfId="28859" xr:uid="{00000000-0005-0000-0000-00004D2C0000}"/>
    <cellStyle name="Обычный 4 3 47 7" xfId="34199" xr:uid="{00000000-0005-0000-0000-00004E2C0000}"/>
    <cellStyle name="Обычный 4 3 47 8" xfId="39539" xr:uid="{00000000-0005-0000-0000-00004F2C0000}"/>
    <cellStyle name="Обычный 4 3 47 9" xfId="44879" xr:uid="{00000000-0005-0000-0000-0000502C0000}"/>
    <cellStyle name="Обычный 4 3 48" xfId="2185" xr:uid="{00000000-0005-0000-0000-0000512C0000}"/>
    <cellStyle name="Обычный 4 3 48 10" xfId="50249" xr:uid="{00000000-0005-0000-0000-0000522C0000}"/>
    <cellStyle name="Обычный 4 3 48 2" xfId="7528" xr:uid="{00000000-0005-0000-0000-0000532C0000}"/>
    <cellStyle name="Обычный 4 3 48 2 2" xfId="55590" xr:uid="{00000000-0005-0000-0000-0000542C0000}"/>
    <cellStyle name="Обычный 4 3 48 3" xfId="12869" xr:uid="{00000000-0005-0000-0000-0000552C0000}"/>
    <cellStyle name="Обычный 4 3 48 4" xfId="18209" xr:uid="{00000000-0005-0000-0000-0000562C0000}"/>
    <cellStyle name="Обычный 4 3 48 5" xfId="23549" xr:uid="{00000000-0005-0000-0000-0000572C0000}"/>
    <cellStyle name="Обычный 4 3 48 6" xfId="28889" xr:uid="{00000000-0005-0000-0000-0000582C0000}"/>
    <cellStyle name="Обычный 4 3 48 7" xfId="34229" xr:uid="{00000000-0005-0000-0000-0000592C0000}"/>
    <cellStyle name="Обычный 4 3 48 8" xfId="39569" xr:uid="{00000000-0005-0000-0000-00005A2C0000}"/>
    <cellStyle name="Обычный 4 3 48 9" xfId="44909" xr:uid="{00000000-0005-0000-0000-00005B2C0000}"/>
    <cellStyle name="Обычный 4 3 49" xfId="2215" xr:uid="{00000000-0005-0000-0000-00005C2C0000}"/>
    <cellStyle name="Обычный 4 3 49 10" xfId="50279" xr:uid="{00000000-0005-0000-0000-00005D2C0000}"/>
    <cellStyle name="Обычный 4 3 49 2" xfId="7558" xr:uid="{00000000-0005-0000-0000-00005E2C0000}"/>
    <cellStyle name="Обычный 4 3 49 2 2" xfId="55620" xr:uid="{00000000-0005-0000-0000-00005F2C0000}"/>
    <cellStyle name="Обычный 4 3 49 3" xfId="12899" xr:uid="{00000000-0005-0000-0000-0000602C0000}"/>
    <cellStyle name="Обычный 4 3 49 4" xfId="18239" xr:uid="{00000000-0005-0000-0000-0000612C0000}"/>
    <cellStyle name="Обычный 4 3 49 5" xfId="23579" xr:uid="{00000000-0005-0000-0000-0000622C0000}"/>
    <cellStyle name="Обычный 4 3 49 6" xfId="28919" xr:uid="{00000000-0005-0000-0000-0000632C0000}"/>
    <cellStyle name="Обычный 4 3 49 7" xfId="34259" xr:uid="{00000000-0005-0000-0000-0000642C0000}"/>
    <cellStyle name="Обычный 4 3 49 8" xfId="39599" xr:uid="{00000000-0005-0000-0000-0000652C0000}"/>
    <cellStyle name="Обычный 4 3 49 9" xfId="44939" xr:uid="{00000000-0005-0000-0000-0000662C0000}"/>
    <cellStyle name="Обычный 4 3 5" xfId="1047" xr:uid="{00000000-0005-0000-0000-0000672C0000}"/>
    <cellStyle name="Обычный 4 3 5 10" xfId="49109" xr:uid="{00000000-0005-0000-0000-0000682C0000}"/>
    <cellStyle name="Обычный 4 3 5 2" xfId="6388" xr:uid="{00000000-0005-0000-0000-0000692C0000}"/>
    <cellStyle name="Обычный 4 3 5 2 2" xfId="54450" xr:uid="{00000000-0005-0000-0000-00006A2C0000}"/>
    <cellStyle name="Обычный 4 3 5 3" xfId="11729" xr:uid="{00000000-0005-0000-0000-00006B2C0000}"/>
    <cellStyle name="Обычный 4 3 5 4" xfId="17069" xr:uid="{00000000-0005-0000-0000-00006C2C0000}"/>
    <cellStyle name="Обычный 4 3 5 5" xfId="22409" xr:uid="{00000000-0005-0000-0000-00006D2C0000}"/>
    <cellStyle name="Обычный 4 3 5 6" xfId="27749" xr:uid="{00000000-0005-0000-0000-00006E2C0000}"/>
    <cellStyle name="Обычный 4 3 5 7" xfId="33089" xr:uid="{00000000-0005-0000-0000-00006F2C0000}"/>
    <cellStyle name="Обычный 4 3 5 8" xfId="38429" xr:uid="{00000000-0005-0000-0000-0000702C0000}"/>
    <cellStyle name="Обычный 4 3 5 9" xfId="43769" xr:uid="{00000000-0005-0000-0000-0000712C0000}"/>
    <cellStyle name="Обычный 4 3 50" xfId="2245" xr:uid="{00000000-0005-0000-0000-0000722C0000}"/>
    <cellStyle name="Обычный 4 3 50 10" xfId="50309" xr:uid="{00000000-0005-0000-0000-0000732C0000}"/>
    <cellStyle name="Обычный 4 3 50 2" xfId="7588" xr:uid="{00000000-0005-0000-0000-0000742C0000}"/>
    <cellStyle name="Обычный 4 3 50 2 2" xfId="55650" xr:uid="{00000000-0005-0000-0000-0000752C0000}"/>
    <cellStyle name="Обычный 4 3 50 3" xfId="12929" xr:uid="{00000000-0005-0000-0000-0000762C0000}"/>
    <cellStyle name="Обычный 4 3 50 4" xfId="18269" xr:uid="{00000000-0005-0000-0000-0000772C0000}"/>
    <cellStyle name="Обычный 4 3 50 5" xfId="23609" xr:uid="{00000000-0005-0000-0000-0000782C0000}"/>
    <cellStyle name="Обычный 4 3 50 6" xfId="28949" xr:uid="{00000000-0005-0000-0000-0000792C0000}"/>
    <cellStyle name="Обычный 4 3 50 7" xfId="34289" xr:uid="{00000000-0005-0000-0000-00007A2C0000}"/>
    <cellStyle name="Обычный 4 3 50 8" xfId="39629" xr:uid="{00000000-0005-0000-0000-00007B2C0000}"/>
    <cellStyle name="Обычный 4 3 50 9" xfId="44969" xr:uid="{00000000-0005-0000-0000-00007C2C0000}"/>
    <cellStyle name="Обычный 4 3 51" xfId="2275" xr:uid="{00000000-0005-0000-0000-00007D2C0000}"/>
    <cellStyle name="Обычный 4 3 51 10" xfId="50339" xr:uid="{00000000-0005-0000-0000-00007E2C0000}"/>
    <cellStyle name="Обычный 4 3 51 2" xfId="7618" xr:uid="{00000000-0005-0000-0000-00007F2C0000}"/>
    <cellStyle name="Обычный 4 3 51 2 2" xfId="55680" xr:uid="{00000000-0005-0000-0000-0000802C0000}"/>
    <cellStyle name="Обычный 4 3 51 3" xfId="12959" xr:uid="{00000000-0005-0000-0000-0000812C0000}"/>
    <cellStyle name="Обычный 4 3 51 4" xfId="18299" xr:uid="{00000000-0005-0000-0000-0000822C0000}"/>
    <cellStyle name="Обычный 4 3 51 5" xfId="23639" xr:uid="{00000000-0005-0000-0000-0000832C0000}"/>
    <cellStyle name="Обычный 4 3 51 6" xfId="28979" xr:uid="{00000000-0005-0000-0000-0000842C0000}"/>
    <cellStyle name="Обычный 4 3 51 7" xfId="34319" xr:uid="{00000000-0005-0000-0000-0000852C0000}"/>
    <cellStyle name="Обычный 4 3 51 8" xfId="39659" xr:uid="{00000000-0005-0000-0000-0000862C0000}"/>
    <cellStyle name="Обычный 4 3 51 9" xfId="44999" xr:uid="{00000000-0005-0000-0000-0000872C0000}"/>
    <cellStyle name="Обычный 4 3 52" xfId="2305" xr:uid="{00000000-0005-0000-0000-0000882C0000}"/>
    <cellStyle name="Обычный 4 3 52 10" xfId="50369" xr:uid="{00000000-0005-0000-0000-0000892C0000}"/>
    <cellStyle name="Обычный 4 3 52 2" xfId="7648" xr:uid="{00000000-0005-0000-0000-00008A2C0000}"/>
    <cellStyle name="Обычный 4 3 52 2 2" xfId="55710" xr:uid="{00000000-0005-0000-0000-00008B2C0000}"/>
    <cellStyle name="Обычный 4 3 52 3" xfId="12989" xr:uid="{00000000-0005-0000-0000-00008C2C0000}"/>
    <cellStyle name="Обычный 4 3 52 4" xfId="18329" xr:uid="{00000000-0005-0000-0000-00008D2C0000}"/>
    <cellStyle name="Обычный 4 3 52 5" xfId="23669" xr:uid="{00000000-0005-0000-0000-00008E2C0000}"/>
    <cellStyle name="Обычный 4 3 52 6" xfId="29009" xr:uid="{00000000-0005-0000-0000-00008F2C0000}"/>
    <cellStyle name="Обычный 4 3 52 7" xfId="34349" xr:uid="{00000000-0005-0000-0000-0000902C0000}"/>
    <cellStyle name="Обычный 4 3 52 8" xfId="39689" xr:uid="{00000000-0005-0000-0000-0000912C0000}"/>
    <cellStyle name="Обычный 4 3 52 9" xfId="45029" xr:uid="{00000000-0005-0000-0000-0000922C0000}"/>
    <cellStyle name="Обычный 4 3 53" xfId="2335" xr:uid="{00000000-0005-0000-0000-0000932C0000}"/>
    <cellStyle name="Обычный 4 3 53 10" xfId="50399" xr:uid="{00000000-0005-0000-0000-0000942C0000}"/>
    <cellStyle name="Обычный 4 3 53 2" xfId="7678" xr:uid="{00000000-0005-0000-0000-0000952C0000}"/>
    <cellStyle name="Обычный 4 3 53 2 2" xfId="55740" xr:uid="{00000000-0005-0000-0000-0000962C0000}"/>
    <cellStyle name="Обычный 4 3 53 3" xfId="13019" xr:uid="{00000000-0005-0000-0000-0000972C0000}"/>
    <cellStyle name="Обычный 4 3 53 4" xfId="18359" xr:uid="{00000000-0005-0000-0000-0000982C0000}"/>
    <cellStyle name="Обычный 4 3 53 5" xfId="23699" xr:uid="{00000000-0005-0000-0000-0000992C0000}"/>
    <cellStyle name="Обычный 4 3 53 6" xfId="29039" xr:uid="{00000000-0005-0000-0000-00009A2C0000}"/>
    <cellStyle name="Обычный 4 3 53 7" xfId="34379" xr:uid="{00000000-0005-0000-0000-00009B2C0000}"/>
    <cellStyle name="Обычный 4 3 53 8" xfId="39719" xr:uid="{00000000-0005-0000-0000-00009C2C0000}"/>
    <cellStyle name="Обычный 4 3 53 9" xfId="45059" xr:uid="{00000000-0005-0000-0000-00009D2C0000}"/>
    <cellStyle name="Обычный 4 3 54" xfId="2365" xr:uid="{00000000-0005-0000-0000-00009E2C0000}"/>
    <cellStyle name="Обычный 4 3 54 10" xfId="50429" xr:uid="{00000000-0005-0000-0000-00009F2C0000}"/>
    <cellStyle name="Обычный 4 3 54 2" xfId="7708" xr:uid="{00000000-0005-0000-0000-0000A02C0000}"/>
    <cellStyle name="Обычный 4 3 54 2 2" xfId="55770" xr:uid="{00000000-0005-0000-0000-0000A12C0000}"/>
    <cellStyle name="Обычный 4 3 54 3" xfId="13049" xr:uid="{00000000-0005-0000-0000-0000A22C0000}"/>
    <cellStyle name="Обычный 4 3 54 4" xfId="18389" xr:uid="{00000000-0005-0000-0000-0000A32C0000}"/>
    <cellStyle name="Обычный 4 3 54 5" xfId="23729" xr:uid="{00000000-0005-0000-0000-0000A42C0000}"/>
    <cellStyle name="Обычный 4 3 54 6" xfId="29069" xr:uid="{00000000-0005-0000-0000-0000A52C0000}"/>
    <cellStyle name="Обычный 4 3 54 7" xfId="34409" xr:uid="{00000000-0005-0000-0000-0000A62C0000}"/>
    <cellStyle name="Обычный 4 3 54 8" xfId="39749" xr:uid="{00000000-0005-0000-0000-0000A72C0000}"/>
    <cellStyle name="Обычный 4 3 54 9" xfId="45089" xr:uid="{00000000-0005-0000-0000-0000A82C0000}"/>
    <cellStyle name="Обычный 4 3 55" xfId="2395" xr:uid="{00000000-0005-0000-0000-0000A92C0000}"/>
    <cellStyle name="Обычный 4 3 55 10" xfId="50459" xr:uid="{00000000-0005-0000-0000-0000AA2C0000}"/>
    <cellStyle name="Обычный 4 3 55 2" xfId="7738" xr:uid="{00000000-0005-0000-0000-0000AB2C0000}"/>
    <cellStyle name="Обычный 4 3 55 2 2" xfId="55800" xr:uid="{00000000-0005-0000-0000-0000AC2C0000}"/>
    <cellStyle name="Обычный 4 3 55 3" xfId="13079" xr:uid="{00000000-0005-0000-0000-0000AD2C0000}"/>
    <cellStyle name="Обычный 4 3 55 4" xfId="18419" xr:uid="{00000000-0005-0000-0000-0000AE2C0000}"/>
    <cellStyle name="Обычный 4 3 55 5" xfId="23759" xr:uid="{00000000-0005-0000-0000-0000AF2C0000}"/>
    <cellStyle name="Обычный 4 3 55 6" xfId="29099" xr:uid="{00000000-0005-0000-0000-0000B02C0000}"/>
    <cellStyle name="Обычный 4 3 55 7" xfId="34439" xr:uid="{00000000-0005-0000-0000-0000B12C0000}"/>
    <cellStyle name="Обычный 4 3 55 8" xfId="39779" xr:uid="{00000000-0005-0000-0000-0000B22C0000}"/>
    <cellStyle name="Обычный 4 3 55 9" xfId="45119" xr:uid="{00000000-0005-0000-0000-0000B32C0000}"/>
    <cellStyle name="Обычный 4 3 56" xfId="2425" xr:uid="{00000000-0005-0000-0000-0000B42C0000}"/>
    <cellStyle name="Обычный 4 3 56 10" xfId="50489" xr:uid="{00000000-0005-0000-0000-0000B52C0000}"/>
    <cellStyle name="Обычный 4 3 56 2" xfId="7768" xr:uid="{00000000-0005-0000-0000-0000B62C0000}"/>
    <cellStyle name="Обычный 4 3 56 2 2" xfId="55830" xr:uid="{00000000-0005-0000-0000-0000B72C0000}"/>
    <cellStyle name="Обычный 4 3 56 3" xfId="13109" xr:uid="{00000000-0005-0000-0000-0000B82C0000}"/>
    <cellStyle name="Обычный 4 3 56 4" xfId="18449" xr:uid="{00000000-0005-0000-0000-0000B92C0000}"/>
    <cellStyle name="Обычный 4 3 56 5" xfId="23789" xr:uid="{00000000-0005-0000-0000-0000BA2C0000}"/>
    <cellStyle name="Обычный 4 3 56 6" xfId="29129" xr:uid="{00000000-0005-0000-0000-0000BB2C0000}"/>
    <cellStyle name="Обычный 4 3 56 7" xfId="34469" xr:uid="{00000000-0005-0000-0000-0000BC2C0000}"/>
    <cellStyle name="Обычный 4 3 56 8" xfId="39809" xr:uid="{00000000-0005-0000-0000-0000BD2C0000}"/>
    <cellStyle name="Обычный 4 3 56 9" xfId="45149" xr:uid="{00000000-0005-0000-0000-0000BE2C0000}"/>
    <cellStyle name="Обычный 4 3 57" xfId="2455" xr:uid="{00000000-0005-0000-0000-0000BF2C0000}"/>
    <cellStyle name="Обычный 4 3 57 10" xfId="50519" xr:uid="{00000000-0005-0000-0000-0000C02C0000}"/>
    <cellStyle name="Обычный 4 3 57 2" xfId="7798" xr:uid="{00000000-0005-0000-0000-0000C12C0000}"/>
    <cellStyle name="Обычный 4 3 57 2 2" xfId="55860" xr:uid="{00000000-0005-0000-0000-0000C22C0000}"/>
    <cellStyle name="Обычный 4 3 57 3" xfId="13139" xr:uid="{00000000-0005-0000-0000-0000C32C0000}"/>
    <cellStyle name="Обычный 4 3 57 4" xfId="18479" xr:uid="{00000000-0005-0000-0000-0000C42C0000}"/>
    <cellStyle name="Обычный 4 3 57 5" xfId="23819" xr:uid="{00000000-0005-0000-0000-0000C52C0000}"/>
    <cellStyle name="Обычный 4 3 57 6" xfId="29159" xr:uid="{00000000-0005-0000-0000-0000C62C0000}"/>
    <cellStyle name="Обычный 4 3 57 7" xfId="34499" xr:uid="{00000000-0005-0000-0000-0000C72C0000}"/>
    <cellStyle name="Обычный 4 3 57 8" xfId="39839" xr:uid="{00000000-0005-0000-0000-0000C82C0000}"/>
    <cellStyle name="Обычный 4 3 57 9" xfId="45179" xr:uid="{00000000-0005-0000-0000-0000C92C0000}"/>
    <cellStyle name="Обычный 4 3 58" xfId="2485" xr:uid="{00000000-0005-0000-0000-0000CA2C0000}"/>
    <cellStyle name="Обычный 4 3 58 10" xfId="50549" xr:uid="{00000000-0005-0000-0000-0000CB2C0000}"/>
    <cellStyle name="Обычный 4 3 58 2" xfId="7828" xr:uid="{00000000-0005-0000-0000-0000CC2C0000}"/>
    <cellStyle name="Обычный 4 3 58 2 2" xfId="55890" xr:uid="{00000000-0005-0000-0000-0000CD2C0000}"/>
    <cellStyle name="Обычный 4 3 58 3" xfId="13169" xr:uid="{00000000-0005-0000-0000-0000CE2C0000}"/>
    <cellStyle name="Обычный 4 3 58 4" xfId="18509" xr:uid="{00000000-0005-0000-0000-0000CF2C0000}"/>
    <cellStyle name="Обычный 4 3 58 5" xfId="23849" xr:uid="{00000000-0005-0000-0000-0000D02C0000}"/>
    <cellStyle name="Обычный 4 3 58 6" xfId="29189" xr:uid="{00000000-0005-0000-0000-0000D12C0000}"/>
    <cellStyle name="Обычный 4 3 58 7" xfId="34529" xr:uid="{00000000-0005-0000-0000-0000D22C0000}"/>
    <cellStyle name="Обычный 4 3 58 8" xfId="39869" xr:uid="{00000000-0005-0000-0000-0000D32C0000}"/>
    <cellStyle name="Обычный 4 3 58 9" xfId="45209" xr:uid="{00000000-0005-0000-0000-0000D42C0000}"/>
    <cellStyle name="Обычный 4 3 59" xfId="2517" xr:uid="{00000000-0005-0000-0000-0000D52C0000}"/>
    <cellStyle name="Обычный 4 3 59 10" xfId="50581" xr:uid="{00000000-0005-0000-0000-0000D62C0000}"/>
    <cellStyle name="Обычный 4 3 59 2" xfId="7860" xr:uid="{00000000-0005-0000-0000-0000D72C0000}"/>
    <cellStyle name="Обычный 4 3 59 2 2" xfId="55922" xr:uid="{00000000-0005-0000-0000-0000D82C0000}"/>
    <cellStyle name="Обычный 4 3 59 3" xfId="13201" xr:uid="{00000000-0005-0000-0000-0000D92C0000}"/>
    <cellStyle name="Обычный 4 3 59 4" xfId="18541" xr:uid="{00000000-0005-0000-0000-0000DA2C0000}"/>
    <cellStyle name="Обычный 4 3 59 5" xfId="23881" xr:uid="{00000000-0005-0000-0000-0000DB2C0000}"/>
    <cellStyle name="Обычный 4 3 59 6" xfId="29221" xr:uid="{00000000-0005-0000-0000-0000DC2C0000}"/>
    <cellStyle name="Обычный 4 3 59 7" xfId="34561" xr:uid="{00000000-0005-0000-0000-0000DD2C0000}"/>
    <cellStyle name="Обычный 4 3 59 8" xfId="39901" xr:uid="{00000000-0005-0000-0000-0000DE2C0000}"/>
    <cellStyle name="Обычный 4 3 59 9" xfId="45241" xr:uid="{00000000-0005-0000-0000-0000DF2C0000}"/>
    <cellStyle name="Обычный 4 3 6" xfId="1072" xr:uid="{00000000-0005-0000-0000-0000E02C0000}"/>
    <cellStyle name="Обычный 4 3 6 10" xfId="49135" xr:uid="{00000000-0005-0000-0000-0000E12C0000}"/>
    <cellStyle name="Обычный 4 3 6 2" xfId="6414" xr:uid="{00000000-0005-0000-0000-0000E22C0000}"/>
    <cellStyle name="Обычный 4 3 6 2 2" xfId="54476" xr:uid="{00000000-0005-0000-0000-0000E32C0000}"/>
    <cellStyle name="Обычный 4 3 6 3" xfId="11755" xr:uid="{00000000-0005-0000-0000-0000E42C0000}"/>
    <cellStyle name="Обычный 4 3 6 4" xfId="17095" xr:uid="{00000000-0005-0000-0000-0000E52C0000}"/>
    <cellStyle name="Обычный 4 3 6 5" xfId="22435" xr:uid="{00000000-0005-0000-0000-0000E62C0000}"/>
    <cellStyle name="Обычный 4 3 6 6" xfId="27775" xr:uid="{00000000-0005-0000-0000-0000E72C0000}"/>
    <cellStyle name="Обычный 4 3 6 7" xfId="33115" xr:uid="{00000000-0005-0000-0000-0000E82C0000}"/>
    <cellStyle name="Обычный 4 3 6 8" xfId="38455" xr:uid="{00000000-0005-0000-0000-0000E92C0000}"/>
    <cellStyle name="Обычный 4 3 6 9" xfId="43795" xr:uid="{00000000-0005-0000-0000-0000EA2C0000}"/>
    <cellStyle name="Обычный 4 3 60" xfId="2551" xr:uid="{00000000-0005-0000-0000-0000EB2C0000}"/>
    <cellStyle name="Обычный 4 3 60 10" xfId="50615" xr:uid="{00000000-0005-0000-0000-0000EC2C0000}"/>
    <cellStyle name="Обычный 4 3 60 2" xfId="7894" xr:uid="{00000000-0005-0000-0000-0000ED2C0000}"/>
    <cellStyle name="Обычный 4 3 60 2 2" xfId="55956" xr:uid="{00000000-0005-0000-0000-0000EE2C0000}"/>
    <cellStyle name="Обычный 4 3 60 3" xfId="13235" xr:uid="{00000000-0005-0000-0000-0000EF2C0000}"/>
    <cellStyle name="Обычный 4 3 60 4" xfId="18575" xr:uid="{00000000-0005-0000-0000-0000F02C0000}"/>
    <cellStyle name="Обычный 4 3 60 5" xfId="23915" xr:uid="{00000000-0005-0000-0000-0000F12C0000}"/>
    <cellStyle name="Обычный 4 3 60 6" xfId="29255" xr:uid="{00000000-0005-0000-0000-0000F22C0000}"/>
    <cellStyle name="Обычный 4 3 60 7" xfId="34595" xr:uid="{00000000-0005-0000-0000-0000F32C0000}"/>
    <cellStyle name="Обычный 4 3 60 8" xfId="39935" xr:uid="{00000000-0005-0000-0000-0000F42C0000}"/>
    <cellStyle name="Обычный 4 3 60 9" xfId="45275" xr:uid="{00000000-0005-0000-0000-0000F52C0000}"/>
    <cellStyle name="Обычный 4 3 61" xfId="2583" xr:uid="{00000000-0005-0000-0000-0000F62C0000}"/>
    <cellStyle name="Обычный 4 3 61 10" xfId="50647" xr:uid="{00000000-0005-0000-0000-0000F72C0000}"/>
    <cellStyle name="Обычный 4 3 61 2" xfId="7926" xr:uid="{00000000-0005-0000-0000-0000F82C0000}"/>
    <cellStyle name="Обычный 4 3 61 2 2" xfId="55988" xr:uid="{00000000-0005-0000-0000-0000F92C0000}"/>
    <cellStyle name="Обычный 4 3 61 3" xfId="13267" xr:uid="{00000000-0005-0000-0000-0000FA2C0000}"/>
    <cellStyle name="Обычный 4 3 61 4" xfId="18607" xr:uid="{00000000-0005-0000-0000-0000FB2C0000}"/>
    <cellStyle name="Обычный 4 3 61 5" xfId="23947" xr:uid="{00000000-0005-0000-0000-0000FC2C0000}"/>
    <cellStyle name="Обычный 4 3 61 6" xfId="29287" xr:uid="{00000000-0005-0000-0000-0000FD2C0000}"/>
    <cellStyle name="Обычный 4 3 61 7" xfId="34627" xr:uid="{00000000-0005-0000-0000-0000FE2C0000}"/>
    <cellStyle name="Обычный 4 3 61 8" xfId="39967" xr:uid="{00000000-0005-0000-0000-0000FF2C0000}"/>
    <cellStyle name="Обычный 4 3 61 9" xfId="45307" xr:uid="{00000000-0005-0000-0000-0000002D0000}"/>
    <cellStyle name="Обычный 4 3 62" xfId="2615" xr:uid="{00000000-0005-0000-0000-0000012D0000}"/>
    <cellStyle name="Обычный 4 3 62 10" xfId="50679" xr:uid="{00000000-0005-0000-0000-0000022D0000}"/>
    <cellStyle name="Обычный 4 3 62 2" xfId="7958" xr:uid="{00000000-0005-0000-0000-0000032D0000}"/>
    <cellStyle name="Обычный 4 3 62 2 2" xfId="56020" xr:uid="{00000000-0005-0000-0000-0000042D0000}"/>
    <cellStyle name="Обычный 4 3 62 3" xfId="13299" xr:uid="{00000000-0005-0000-0000-0000052D0000}"/>
    <cellStyle name="Обычный 4 3 62 4" xfId="18639" xr:uid="{00000000-0005-0000-0000-0000062D0000}"/>
    <cellStyle name="Обычный 4 3 62 5" xfId="23979" xr:uid="{00000000-0005-0000-0000-0000072D0000}"/>
    <cellStyle name="Обычный 4 3 62 6" xfId="29319" xr:uid="{00000000-0005-0000-0000-0000082D0000}"/>
    <cellStyle name="Обычный 4 3 62 7" xfId="34659" xr:uid="{00000000-0005-0000-0000-0000092D0000}"/>
    <cellStyle name="Обычный 4 3 62 8" xfId="39999" xr:uid="{00000000-0005-0000-0000-00000A2D0000}"/>
    <cellStyle name="Обычный 4 3 62 9" xfId="45339" xr:uid="{00000000-0005-0000-0000-00000B2D0000}"/>
    <cellStyle name="Обычный 4 3 63" xfId="2647" xr:uid="{00000000-0005-0000-0000-00000C2D0000}"/>
    <cellStyle name="Обычный 4 3 63 10" xfId="50711" xr:uid="{00000000-0005-0000-0000-00000D2D0000}"/>
    <cellStyle name="Обычный 4 3 63 2" xfId="7990" xr:uid="{00000000-0005-0000-0000-00000E2D0000}"/>
    <cellStyle name="Обычный 4 3 63 2 2" xfId="56052" xr:uid="{00000000-0005-0000-0000-00000F2D0000}"/>
    <cellStyle name="Обычный 4 3 63 3" xfId="13331" xr:uid="{00000000-0005-0000-0000-0000102D0000}"/>
    <cellStyle name="Обычный 4 3 63 4" xfId="18671" xr:uid="{00000000-0005-0000-0000-0000112D0000}"/>
    <cellStyle name="Обычный 4 3 63 5" xfId="24011" xr:uid="{00000000-0005-0000-0000-0000122D0000}"/>
    <cellStyle name="Обычный 4 3 63 6" xfId="29351" xr:uid="{00000000-0005-0000-0000-0000132D0000}"/>
    <cellStyle name="Обычный 4 3 63 7" xfId="34691" xr:uid="{00000000-0005-0000-0000-0000142D0000}"/>
    <cellStyle name="Обычный 4 3 63 8" xfId="40031" xr:uid="{00000000-0005-0000-0000-0000152D0000}"/>
    <cellStyle name="Обычный 4 3 63 9" xfId="45371" xr:uid="{00000000-0005-0000-0000-0000162D0000}"/>
    <cellStyle name="Обычный 4 3 64" xfId="2679" xr:uid="{00000000-0005-0000-0000-0000172D0000}"/>
    <cellStyle name="Обычный 4 3 64 10" xfId="50743" xr:uid="{00000000-0005-0000-0000-0000182D0000}"/>
    <cellStyle name="Обычный 4 3 64 2" xfId="8022" xr:uid="{00000000-0005-0000-0000-0000192D0000}"/>
    <cellStyle name="Обычный 4 3 64 2 2" xfId="56084" xr:uid="{00000000-0005-0000-0000-00001A2D0000}"/>
    <cellStyle name="Обычный 4 3 64 3" xfId="13363" xr:uid="{00000000-0005-0000-0000-00001B2D0000}"/>
    <cellStyle name="Обычный 4 3 64 4" xfId="18703" xr:uid="{00000000-0005-0000-0000-00001C2D0000}"/>
    <cellStyle name="Обычный 4 3 64 5" xfId="24043" xr:uid="{00000000-0005-0000-0000-00001D2D0000}"/>
    <cellStyle name="Обычный 4 3 64 6" xfId="29383" xr:uid="{00000000-0005-0000-0000-00001E2D0000}"/>
    <cellStyle name="Обычный 4 3 64 7" xfId="34723" xr:uid="{00000000-0005-0000-0000-00001F2D0000}"/>
    <cellStyle name="Обычный 4 3 64 8" xfId="40063" xr:uid="{00000000-0005-0000-0000-0000202D0000}"/>
    <cellStyle name="Обычный 4 3 64 9" xfId="45403" xr:uid="{00000000-0005-0000-0000-0000212D0000}"/>
    <cellStyle name="Обычный 4 3 65" xfId="2711" xr:uid="{00000000-0005-0000-0000-0000222D0000}"/>
    <cellStyle name="Обычный 4 3 65 10" xfId="50775" xr:uid="{00000000-0005-0000-0000-0000232D0000}"/>
    <cellStyle name="Обычный 4 3 65 2" xfId="8054" xr:uid="{00000000-0005-0000-0000-0000242D0000}"/>
    <cellStyle name="Обычный 4 3 65 2 2" xfId="56116" xr:uid="{00000000-0005-0000-0000-0000252D0000}"/>
    <cellStyle name="Обычный 4 3 65 3" xfId="13395" xr:uid="{00000000-0005-0000-0000-0000262D0000}"/>
    <cellStyle name="Обычный 4 3 65 4" xfId="18735" xr:uid="{00000000-0005-0000-0000-0000272D0000}"/>
    <cellStyle name="Обычный 4 3 65 5" xfId="24075" xr:uid="{00000000-0005-0000-0000-0000282D0000}"/>
    <cellStyle name="Обычный 4 3 65 6" xfId="29415" xr:uid="{00000000-0005-0000-0000-0000292D0000}"/>
    <cellStyle name="Обычный 4 3 65 7" xfId="34755" xr:uid="{00000000-0005-0000-0000-00002A2D0000}"/>
    <cellStyle name="Обычный 4 3 65 8" xfId="40095" xr:uid="{00000000-0005-0000-0000-00002B2D0000}"/>
    <cellStyle name="Обычный 4 3 65 9" xfId="45435" xr:uid="{00000000-0005-0000-0000-00002C2D0000}"/>
    <cellStyle name="Обычный 4 3 66" xfId="2743" xr:uid="{00000000-0005-0000-0000-00002D2D0000}"/>
    <cellStyle name="Обычный 4 3 66 10" xfId="50807" xr:uid="{00000000-0005-0000-0000-00002E2D0000}"/>
    <cellStyle name="Обычный 4 3 66 2" xfId="8086" xr:uid="{00000000-0005-0000-0000-00002F2D0000}"/>
    <cellStyle name="Обычный 4 3 66 2 2" xfId="56148" xr:uid="{00000000-0005-0000-0000-0000302D0000}"/>
    <cellStyle name="Обычный 4 3 66 3" xfId="13427" xr:uid="{00000000-0005-0000-0000-0000312D0000}"/>
    <cellStyle name="Обычный 4 3 66 4" xfId="18767" xr:uid="{00000000-0005-0000-0000-0000322D0000}"/>
    <cellStyle name="Обычный 4 3 66 5" xfId="24107" xr:uid="{00000000-0005-0000-0000-0000332D0000}"/>
    <cellStyle name="Обычный 4 3 66 6" xfId="29447" xr:uid="{00000000-0005-0000-0000-0000342D0000}"/>
    <cellStyle name="Обычный 4 3 66 7" xfId="34787" xr:uid="{00000000-0005-0000-0000-0000352D0000}"/>
    <cellStyle name="Обычный 4 3 66 8" xfId="40127" xr:uid="{00000000-0005-0000-0000-0000362D0000}"/>
    <cellStyle name="Обычный 4 3 66 9" xfId="45467" xr:uid="{00000000-0005-0000-0000-0000372D0000}"/>
    <cellStyle name="Обычный 4 3 67" xfId="2777" xr:uid="{00000000-0005-0000-0000-0000382D0000}"/>
    <cellStyle name="Обычный 4 3 67 10" xfId="50841" xr:uid="{00000000-0005-0000-0000-0000392D0000}"/>
    <cellStyle name="Обычный 4 3 67 2" xfId="8120" xr:uid="{00000000-0005-0000-0000-00003A2D0000}"/>
    <cellStyle name="Обычный 4 3 67 2 2" xfId="56182" xr:uid="{00000000-0005-0000-0000-00003B2D0000}"/>
    <cellStyle name="Обычный 4 3 67 3" xfId="13461" xr:uid="{00000000-0005-0000-0000-00003C2D0000}"/>
    <cellStyle name="Обычный 4 3 67 4" xfId="18801" xr:uid="{00000000-0005-0000-0000-00003D2D0000}"/>
    <cellStyle name="Обычный 4 3 67 5" xfId="24141" xr:uid="{00000000-0005-0000-0000-00003E2D0000}"/>
    <cellStyle name="Обычный 4 3 67 6" xfId="29481" xr:uid="{00000000-0005-0000-0000-00003F2D0000}"/>
    <cellStyle name="Обычный 4 3 67 7" xfId="34821" xr:uid="{00000000-0005-0000-0000-0000402D0000}"/>
    <cellStyle name="Обычный 4 3 67 8" xfId="40161" xr:uid="{00000000-0005-0000-0000-0000412D0000}"/>
    <cellStyle name="Обычный 4 3 67 9" xfId="45501" xr:uid="{00000000-0005-0000-0000-0000422D0000}"/>
    <cellStyle name="Обычный 4 3 68" xfId="2809" xr:uid="{00000000-0005-0000-0000-0000432D0000}"/>
    <cellStyle name="Обычный 4 3 68 10" xfId="50873" xr:uid="{00000000-0005-0000-0000-0000442D0000}"/>
    <cellStyle name="Обычный 4 3 68 2" xfId="8152" xr:uid="{00000000-0005-0000-0000-0000452D0000}"/>
    <cellStyle name="Обычный 4 3 68 2 2" xfId="56214" xr:uid="{00000000-0005-0000-0000-0000462D0000}"/>
    <cellStyle name="Обычный 4 3 68 3" xfId="13493" xr:uid="{00000000-0005-0000-0000-0000472D0000}"/>
    <cellStyle name="Обычный 4 3 68 4" xfId="18833" xr:uid="{00000000-0005-0000-0000-0000482D0000}"/>
    <cellStyle name="Обычный 4 3 68 5" xfId="24173" xr:uid="{00000000-0005-0000-0000-0000492D0000}"/>
    <cellStyle name="Обычный 4 3 68 6" xfId="29513" xr:uid="{00000000-0005-0000-0000-00004A2D0000}"/>
    <cellStyle name="Обычный 4 3 68 7" xfId="34853" xr:uid="{00000000-0005-0000-0000-00004B2D0000}"/>
    <cellStyle name="Обычный 4 3 68 8" xfId="40193" xr:uid="{00000000-0005-0000-0000-00004C2D0000}"/>
    <cellStyle name="Обычный 4 3 68 9" xfId="45533" xr:uid="{00000000-0005-0000-0000-00004D2D0000}"/>
    <cellStyle name="Обычный 4 3 69" xfId="2841" xr:uid="{00000000-0005-0000-0000-00004E2D0000}"/>
    <cellStyle name="Обычный 4 3 69 10" xfId="50905" xr:uid="{00000000-0005-0000-0000-00004F2D0000}"/>
    <cellStyle name="Обычный 4 3 69 2" xfId="8184" xr:uid="{00000000-0005-0000-0000-0000502D0000}"/>
    <cellStyle name="Обычный 4 3 69 2 2" xfId="56246" xr:uid="{00000000-0005-0000-0000-0000512D0000}"/>
    <cellStyle name="Обычный 4 3 69 3" xfId="13525" xr:uid="{00000000-0005-0000-0000-0000522D0000}"/>
    <cellStyle name="Обычный 4 3 69 4" xfId="18865" xr:uid="{00000000-0005-0000-0000-0000532D0000}"/>
    <cellStyle name="Обычный 4 3 69 5" xfId="24205" xr:uid="{00000000-0005-0000-0000-0000542D0000}"/>
    <cellStyle name="Обычный 4 3 69 6" xfId="29545" xr:uid="{00000000-0005-0000-0000-0000552D0000}"/>
    <cellStyle name="Обычный 4 3 69 7" xfId="34885" xr:uid="{00000000-0005-0000-0000-0000562D0000}"/>
    <cellStyle name="Обычный 4 3 69 8" xfId="40225" xr:uid="{00000000-0005-0000-0000-0000572D0000}"/>
    <cellStyle name="Обычный 4 3 69 9" xfId="45565" xr:uid="{00000000-0005-0000-0000-0000582D0000}"/>
    <cellStyle name="Обычный 4 3 7" xfId="1098" xr:uid="{00000000-0005-0000-0000-0000592D0000}"/>
    <cellStyle name="Обычный 4 3 7 10" xfId="49161" xr:uid="{00000000-0005-0000-0000-00005A2D0000}"/>
    <cellStyle name="Обычный 4 3 7 2" xfId="6440" xr:uid="{00000000-0005-0000-0000-00005B2D0000}"/>
    <cellStyle name="Обычный 4 3 7 2 2" xfId="54502" xr:uid="{00000000-0005-0000-0000-00005C2D0000}"/>
    <cellStyle name="Обычный 4 3 7 3" xfId="11781" xr:uid="{00000000-0005-0000-0000-00005D2D0000}"/>
    <cellStyle name="Обычный 4 3 7 4" xfId="17121" xr:uid="{00000000-0005-0000-0000-00005E2D0000}"/>
    <cellStyle name="Обычный 4 3 7 5" xfId="22461" xr:uid="{00000000-0005-0000-0000-00005F2D0000}"/>
    <cellStyle name="Обычный 4 3 7 6" xfId="27801" xr:uid="{00000000-0005-0000-0000-0000602D0000}"/>
    <cellStyle name="Обычный 4 3 7 7" xfId="33141" xr:uid="{00000000-0005-0000-0000-0000612D0000}"/>
    <cellStyle name="Обычный 4 3 7 8" xfId="38481" xr:uid="{00000000-0005-0000-0000-0000622D0000}"/>
    <cellStyle name="Обычный 4 3 7 9" xfId="43821" xr:uid="{00000000-0005-0000-0000-0000632D0000}"/>
    <cellStyle name="Обычный 4 3 70" xfId="2873" xr:uid="{00000000-0005-0000-0000-0000642D0000}"/>
    <cellStyle name="Обычный 4 3 70 10" xfId="50937" xr:uid="{00000000-0005-0000-0000-0000652D0000}"/>
    <cellStyle name="Обычный 4 3 70 2" xfId="8216" xr:uid="{00000000-0005-0000-0000-0000662D0000}"/>
    <cellStyle name="Обычный 4 3 70 2 2" xfId="56278" xr:uid="{00000000-0005-0000-0000-0000672D0000}"/>
    <cellStyle name="Обычный 4 3 70 3" xfId="13557" xr:uid="{00000000-0005-0000-0000-0000682D0000}"/>
    <cellStyle name="Обычный 4 3 70 4" xfId="18897" xr:uid="{00000000-0005-0000-0000-0000692D0000}"/>
    <cellStyle name="Обычный 4 3 70 5" xfId="24237" xr:uid="{00000000-0005-0000-0000-00006A2D0000}"/>
    <cellStyle name="Обычный 4 3 70 6" xfId="29577" xr:uid="{00000000-0005-0000-0000-00006B2D0000}"/>
    <cellStyle name="Обычный 4 3 70 7" xfId="34917" xr:uid="{00000000-0005-0000-0000-00006C2D0000}"/>
    <cellStyle name="Обычный 4 3 70 8" xfId="40257" xr:uid="{00000000-0005-0000-0000-00006D2D0000}"/>
    <cellStyle name="Обычный 4 3 70 9" xfId="45597" xr:uid="{00000000-0005-0000-0000-00006E2D0000}"/>
    <cellStyle name="Обычный 4 3 71" xfId="2905" xr:uid="{00000000-0005-0000-0000-00006F2D0000}"/>
    <cellStyle name="Обычный 4 3 71 10" xfId="50969" xr:uid="{00000000-0005-0000-0000-0000702D0000}"/>
    <cellStyle name="Обычный 4 3 71 2" xfId="8248" xr:uid="{00000000-0005-0000-0000-0000712D0000}"/>
    <cellStyle name="Обычный 4 3 71 2 2" xfId="56310" xr:uid="{00000000-0005-0000-0000-0000722D0000}"/>
    <cellStyle name="Обычный 4 3 71 3" xfId="13589" xr:uid="{00000000-0005-0000-0000-0000732D0000}"/>
    <cellStyle name="Обычный 4 3 71 4" xfId="18929" xr:uid="{00000000-0005-0000-0000-0000742D0000}"/>
    <cellStyle name="Обычный 4 3 71 5" xfId="24269" xr:uid="{00000000-0005-0000-0000-0000752D0000}"/>
    <cellStyle name="Обычный 4 3 71 6" xfId="29609" xr:uid="{00000000-0005-0000-0000-0000762D0000}"/>
    <cellStyle name="Обычный 4 3 71 7" xfId="34949" xr:uid="{00000000-0005-0000-0000-0000772D0000}"/>
    <cellStyle name="Обычный 4 3 71 8" xfId="40289" xr:uid="{00000000-0005-0000-0000-0000782D0000}"/>
    <cellStyle name="Обычный 4 3 71 9" xfId="45629" xr:uid="{00000000-0005-0000-0000-0000792D0000}"/>
    <cellStyle name="Обычный 4 3 72" xfId="2937" xr:uid="{00000000-0005-0000-0000-00007A2D0000}"/>
    <cellStyle name="Обычный 4 3 72 10" xfId="51001" xr:uid="{00000000-0005-0000-0000-00007B2D0000}"/>
    <cellStyle name="Обычный 4 3 72 2" xfId="8280" xr:uid="{00000000-0005-0000-0000-00007C2D0000}"/>
    <cellStyle name="Обычный 4 3 72 2 2" xfId="56342" xr:uid="{00000000-0005-0000-0000-00007D2D0000}"/>
    <cellStyle name="Обычный 4 3 72 3" xfId="13621" xr:uid="{00000000-0005-0000-0000-00007E2D0000}"/>
    <cellStyle name="Обычный 4 3 72 4" xfId="18961" xr:uid="{00000000-0005-0000-0000-00007F2D0000}"/>
    <cellStyle name="Обычный 4 3 72 5" xfId="24301" xr:uid="{00000000-0005-0000-0000-0000802D0000}"/>
    <cellStyle name="Обычный 4 3 72 6" xfId="29641" xr:uid="{00000000-0005-0000-0000-0000812D0000}"/>
    <cellStyle name="Обычный 4 3 72 7" xfId="34981" xr:uid="{00000000-0005-0000-0000-0000822D0000}"/>
    <cellStyle name="Обычный 4 3 72 8" xfId="40321" xr:uid="{00000000-0005-0000-0000-0000832D0000}"/>
    <cellStyle name="Обычный 4 3 72 9" xfId="45661" xr:uid="{00000000-0005-0000-0000-0000842D0000}"/>
    <cellStyle name="Обычный 4 3 73" xfId="2969" xr:uid="{00000000-0005-0000-0000-0000852D0000}"/>
    <cellStyle name="Обычный 4 3 73 10" xfId="51033" xr:uid="{00000000-0005-0000-0000-0000862D0000}"/>
    <cellStyle name="Обычный 4 3 73 2" xfId="8312" xr:uid="{00000000-0005-0000-0000-0000872D0000}"/>
    <cellStyle name="Обычный 4 3 73 2 2" xfId="56374" xr:uid="{00000000-0005-0000-0000-0000882D0000}"/>
    <cellStyle name="Обычный 4 3 73 3" xfId="13653" xr:uid="{00000000-0005-0000-0000-0000892D0000}"/>
    <cellStyle name="Обычный 4 3 73 4" xfId="18993" xr:uid="{00000000-0005-0000-0000-00008A2D0000}"/>
    <cellStyle name="Обычный 4 3 73 5" xfId="24333" xr:uid="{00000000-0005-0000-0000-00008B2D0000}"/>
    <cellStyle name="Обычный 4 3 73 6" xfId="29673" xr:uid="{00000000-0005-0000-0000-00008C2D0000}"/>
    <cellStyle name="Обычный 4 3 73 7" xfId="35013" xr:uid="{00000000-0005-0000-0000-00008D2D0000}"/>
    <cellStyle name="Обычный 4 3 73 8" xfId="40353" xr:uid="{00000000-0005-0000-0000-00008E2D0000}"/>
    <cellStyle name="Обычный 4 3 73 9" xfId="45693" xr:uid="{00000000-0005-0000-0000-00008F2D0000}"/>
    <cellStyle name="Обычный 4 3 74" xfId="3001" xr:uid="{00000000-0005-0000-0000-0000902D0000}"/>
    <cellStyle name="Обычный 4 3 74 10" xfId="51065" xr:uid="{00000000-0005-0000-0000-0000912D0000}"/>
    <cellStyle name="Обычный 4 3 74 2" xfId="8344" xr:uid="{00000000-0005-0000-0000-0000922D0000}"/>
    <cellStyle name="Обычный 4 3 74 2 2" xfId="56406" xr:uid="{00000000-0005-0000-0000-0000932D0000}"/>
    <cellStyle name="Обычный 4 3 74 3" xfId="13685" xr:uid="{00000000-0005-0000-0000-0000942D0000}"/>
    <cellStyle name="Обычный 4 3 74 4" xfId="19025" xr:uid="{00000000-0005-0000-0000-0000952D0000}"/>
    <cellStyle name="Обычный 4 3 74 5" xfId="24365" xr:uid="{00000000-0005-0000-0000-0000962D0000}"/>
    <cellStyle name="Обычный 4 3 74 6" xfId="29705" xr:uid="{00000000-0005-0000-0000-0000972D0000}"/>
    <cellStyle name="Обычный 4 3 74 7" xfId="35045" xr:uid="{00000000-0005-0000-0000-0000982D0000}"/>
    <cellStyle name="Обычный 4 3 74 8" xfId="40385" xr:uid="{00000000-0005-0000-0000-0000992D0000}"/>
    <cellStyle name="Обычный 4 3 74 9" xfId="45725" xr:uid="{00000000-0005-0000-0000-00009A2D0000}"/>
    <cellStyle name="Обычный 4 3 75" xfId="3033" xr:uid="{00000000-0005-0000-0000-00009B2D0000}"/>
    <cellStyle name="Обычный 4 3 75 10" xfId="51097" xr:uid="{00000000-0005-0000-0000-00009C2D0000}"/>
    <cellStyle name="Обычный 4 3 75 2" xfId="8376" xr:uid="{00000000-0005-0000-0000-00009D2D0000}"/>
    <cellStyle name="Обычный 4 3 75 2 2" xfId="56438" xr:uid="{00000000-0005-0000-0000-00009E2D0000}"/>
    <cellStyle name="Обычный 4 3 75 3" xfId="13717" xr:uid="{00000000-0005-0000-0000-00009F2D0000}"/>
    <cellStyle name="Обычный 4 3 75 4" xfId="19057" xr:uid="{00000000-0005-0000-0000-0000A02D0000}"/>
    <cellStyle name="Обычный 4 3 75 5" xfId="24397" xr:uid="{00000000-0005-0000-0000-0000A12D0000}"/>
    <cellStyle name="Обычный 4 3 75 6" xfId="29737" xr:uid="{00000000-0005-0000-0000-0000A22D0000}"/>
    <cellStyle name="Обычный 4 3 75 7" xfId="35077" xr:uid="{00000000-0005-0000-0000-0000A32D0000}"/>
    <cellStyle name="Обычный 4 3 75 8" xfId="40417" xr:uid="{00000000-0005-0000-0000-0000A42D0000}"/>
    <cellStyle name="Обычный 4 3 75 9" xfId="45757" xr:uid="{00000000-0005-0000-0000-0000A52D0000}"/>
    <cellStyle name="Обычный 4 3 76" xfId="3065" xr:uid="{00000000-0005-0000-0000-0000A62D0000}"/>
    <cellStyle name="Обычный 4 3 76 10" xfId="51129" xr:uid="{00000000-0005-0000-0000-0000A72D0000}"/>
    <cellStyle name="Обычный 4 3 76 2" xfId="8408" xr:uid="{00000000-0005-0000-0000-0000A82D0000}"/>
    <cellStyle name="Обычный 4 3 76 2 2" xfId="56470" xr:uid="{00000000-0005-0000-0000-0000A92D0000}"/>
    <cellStyle name="Обычный 4 3 76 3" xfId="13749" xr:uid="{00000000-0005-0000-0000-0000AA2D0000}"/>
    <cellStyle name="Обычный 4 3 76 4" xfId="19089" xr:uid="{00000000-0005-0000-0000-0000AB2D0000}"/>
    <cellStyle name="Обычный 4 3 76 5" xfId="24429" xr:uid="{00000000-0005-0000-0000-0000AC2D0000}"/>
    <cellStyle name="Обычный 4 3 76 6" xfId="29769" xr:uid="{00000000-0005-0000-0000-0000AD2D0000}"/>
    <cellStyle name="Обычный 4 3 76 7" xfId="35109" xr:uid="{00000000-0005-0000-0000-0000AE2D0000}"/>
    <cellStyle name="Обычный 4 3 76 8" xfId="40449" xr:uid="{00000000-0005-0000-0000-0000AF2D0000}"/>
    <cellStyle name="Обычный 4 3 76 9" xfId="45789" xr:uid="{00000000-0005-0000-0000-0000B02D0000}"/>
    <cellStyle name="Обычный 4 3 77" xfId="3097" xr:uid="{00000000-0005-0000-0000-0000B12D0000}"/>
    <cellStyle name="Обычный 4 3 77 10" xfId="51161" xr:uid="{00000000-0005-0000-0000-0000B22D0000}"/>
    <cellStyle name="Обычный 4 3 77 2" xfId="8440" xr:uid="{00000000-0005-0000-0000-0000B32D0000}"/>
    <cellStyle name="Обычный 4 3 77 2 2" xfId="56502" xr:uid="{00000000-0005-0000-0000-0000B42D0000}"/>
    <cellStyle name="Обычный 4 3 77 3" xfId="13781" xr:uid="{00000000-0005-0000-0000-0000B52D0000}"/>
    <cellStyle name="Обычный 4 3 77 4" xfId="19121" xr:uid="{00000000-0005-0000-0000-0000B62D0000}"/>
    <cellStyle name="Обычный 4 3 77 5" xfId="24461" xr:uid="{00000000-0005-0000-0000-0000B72D0000}"/>
    <cellStyle name="Обычный 4 3 77 6" xfId="29801" xr:uid="{00000000-0005-0000-0000-0000B82D0000}"/>
    <cellStyle name="Обычный 4 3 77 7" xfId="35141" xr:uid="{00000000-0005-0000-0000-0000B92D0000}"/>
    <cellStyle name="Обычный 4 3 77 8" xfId="40481" xr:uid="{00000000-0005-0000-0000-0000BA2D0000}"/>
    <cellStyle name="Обычный 4 3 77 9" xfId="45821" xr:uid="{00000000-0005-0000-0000-0000BB2D0000}"/>
    <cellStyle name="Обычный 4 3 78" xfId="3130" xr:uid="{00000000-0005-0000-0000-0000BC2D0000}"/>
    <cellStyle name="Обычный 4 3 78 10" xfId="51193" xr:uid="{00000000-0005-0000-0000-0000BD2D0000}"/>
    <cellStyle name="Обычный 4 3 78 2" xfId="8473" xr:uid="{00000000-0005-0000-0000-0000BE2D0000}"/>
    <cellStyle name="Обычный 4 3 78 2 2" xfId="56534" xr:uid="{00000000-0005-0000-0000-0000BF2D0000}"/>
    <cellStyle name="Обычный 4 3 78 3" xfId="13813" xr:uid="{00000000-0005-0000-0000-0000C02D0000}"/>
    <cellStyle name="Обычный 4 3 78 4" xfId="19153" xr:uid="{00000000-0005-0000-0000-0000C12D0000}"/>
    <cellStyle name="Обычный 4 3 78 5" xfId="24493" xr:uid="{00000000-0005-0000-0000-0000C22D0000}"/>
    <cellStyle name="Обычный 4 3 78 6" xfId="29833" xr:uid="{00000000-0005-0000-0000-0000C32D0000}"/>
    <cellStyle name="Обычный 4 3 78 7" xfId="35173" xr:uid="{00000000-0005-0000-0000-0000C42D0000}"/>
    <cellStyle name="Обычный 4 3 78 8" xfId="40513" xr:uid="{00000000-0005-0000-0000-0000C52D0000}"/>
    <cellStyle name="Обычный 4 3 78 9" xfId="45853" xr:uid="{00000000-0005-0000-0000-0000C62D0000}"/>
    <cellStyle name="Обычный 4 3 79" xfId="3162" xr:uid="{00000000-0005-0000-0000-0000C72D0000}"/>
    <cellStyle name="Обычный 4 3 79 10" xfId="51225" xr:uid="{00000000-0005-0000-0000-0000C82D0000}"/>
    <cellStyle name="Обычный 4 3 79 2" xfId="8505" xr:uid="{00000000-0005-0000-0000-0000C92D0000}"/>
    <cellStyle name="Обычный 4 3 79 2 2" xfId="56566" xr:uid="{00000000-0005-0000-0000-0000CA2D0000}"/>
    <cellStyle name="Обычный 4 3 79 3" xfId="13845" xr:uid="{00000000-0005-0000-0000-0000CB2D0000}"/>
    <cellStyle name="Обычный 4 3 79 4" xfId="19185" xr:uid="{00000000-0005-0000-0000-0000CC2D0000}"/>
    <cellStyle name="Обычный 4 3 79 5" xfId="24525" xr:uid="{00000000-0005-0000-0000-0000CD2D0000}"/>
    <cellStyle name="Обычный 4 3 79 6" xfId="29865" xr:uid="{00000000-0005-0000-0000-0000CE2D0000}"/>
    <cellStyle name="Обычный 4 3 79 7" xfId="35205" xr:uid="{00000000-0005-0000-0000-0000CF2D0000}"/>
    <cellStyle name="Обычный 4 3 79 8" xfId="40545" xr:uid="{00000000-0005-0000-0000-0000D02D0000}"/>
    <cellStyle name="Обычный 4 3 79 9" xfId="45885" xr:uid="{00000000-0005-0000-0000-0000D12D0000}"/>
    <cellStyle name="Обычный 4 3 8" xfId="1124" xr:uid="{00000000-0005-0000-0000-0000D22D0000}"/>
    <cellStyle name="Обычный 4 3 8 10" xfId="49187" xr:uid="{00000000-0005-0000-0000-0000D32D0000}"/>
    <cellStyle name="Обычный 4 3 8 2" xfId="6466" xr:uid="{00000000-0005-0000-0000-0000D42D0000}"/>
    <cellStyle name="Обычный 4 3 8 2 2" xfId="54528" xr:uid="{00000000-0005-0000-0000-0000D52D0000}"/>
    <cellStyle name="Обычный 4 3 8 3" xfId="11807" xr:uid="{00000000-0005-0000-0000-0000D62D0000}"/>
    <cellStyle name="Обычный 4 3 8 4" xfId="17147" xr:uid="{00000000-0005-0000-0000-0000D72D0000}"/>
    <cellStyle name="Обычный 4 3 8 5" xfId="22487" xr:uid="{00000000-0005-0000-0000-0000D82D0000}"/>
    <cellStyle name="Обычный 4 3 8 6" xfId="27827" xr:uid="{00000000-0005-0000-0000-0000D92D0000}"/>
    <cellStyle name="Обычный 4 3 8 7" xfId="33167" xr:uid="{00000000-0005-0000-0000-0000DA2D0000}"/>
    <cellStyle name="Обычный 4 3 8 8" xfId="38507" xr:uid="{00000000-0005-0000-0000-0000DB2D0000}"/>
    <cellStyle name="Обычный 4 3 8 9" xfId="43847" xr:uid="{00000000-0005-0000-0000-0000DC2D0000}"/>
    <cellStyle name="Обычный 4 3 80" xfId="3194" xr:uid="{00000000-0005-0000-0000-0000DD2D0000}"/>
    <cellStyle name="Обычный 4 3 80 10" xfId="51257" xr:uid="{00000000-0005-0000-0000-0000DE2D0000}"/>
    <cellStyle name="Обычный 4 3 80 2" xfId="8537" xr:uid="{00000000-0005-0000-0000-0000DF2D0000}"/>
    <cellStyle name="Обычный 4 3 80 2 2" xfId="56598" xr:uid="{00000000-0005-0000-0000-0000E02D0000}"/>
    <cellStyle name="Обычный 4 3 80 3" xfId="13877" xr:uid="{00000000-0005-0000-0000-0000E12D0000}"/>
    <cellStyle name="Обычный 4 3 80 4" xfId="19217" xr:uid="{00000000-0005-0000-0000-0000E22D0000}"/>
    <cellStyle name="Обычный 4 3 80 5" xfId="24557" xr:uid="{00000000-0005-0000-0000-0000E32D0000}"/>
    <cellStyle name="Обычный 4 3 80 6" xfId="29897" xr:uid="{00000000-0005-0000-0000-0000E42D0000}"/>
    <cellStyle name="Обычный 4 3 80 7" xfId="35237" xr:uid="{00000000-0005-0000-0000-0000E52D0000}"/>
    <cellStyle name="Обычный 4 3 80 8" xfId="40577" xr:uid="{00000000-0005-0000-0000-0000E62D0000}"/>
    <cellStyle name="Обычный 4 3 80 9" xfId="45917" xr:uid="{00000000-0005-0000-0000-0000E72D0000}"/>
    <cellStyle name="Обычный 4 3 81" xfId="3226" xr:uid="{00000000-0005-0000-0000-0000E82D0000}"/>
    <cellStyle name="Обычный 4 3 81 10" xfId="51289" xr:uid="{00000000-0005-0000-0000-0000E92D0000}"/>
    <cellStyle name="Обычный 4 3 81 2" xfId="8569" xr:uid="{00000000-0005-0000-0000-0000EA2D0000}"/>
    <cellStyle name="Обычный 4 3 81 2 2" xfId="56630" xr:uid="{00000000-0005-0000-0000-0000EB2D0000}"/>
    <cellStyle name="Обычный 4 3 81 3" xfId="13909" xr:uid="{00000000-0005-0000-0000-0000EC2D0000}"/>
    <cellStyle name="Обычный 4 3 81 4" xfId="19249" xr:uid="{00000000-0005-0000-0000-0000ED2D0000}"/>
    <cellStyle name="Обычный 4 3 81 5" xfId="24589" xr:uid="{00000000-0005-0000-0000-0000EE2D0000}"/>
    <cellStyle name="Обычный 4 3 81 6" xfId="29929" xr:uid="{00000000-0005-0000-0000-0000EF2D0000}"/>
    <cellStyle name="Обычный 4 3 81 7" xfId="35269" xr:uid="{00000000-0005-0000-0000-0000F02D0000}"/>
    <cellStyle name="Обычный 4 3 81 8" xfId="40609" xr:uid="{00000000-0005-0000-0000-0000F12D0000}"/>
    <cellStyle name="Обычный 4 3 81 9" xfId="45949" xr:uid="{00000000-0005-0000-0000-0000F22D0000}"/>
    <cellStyle name="Обычный 4 3 82" xfId="3258" xr:uid="{00000000-0005-0000-0000-0000F32D0000}"/>
    <cellStyle name="Обычный 4 3 82 10" xfId="51321" xr:uid="{00000000-0005-0000-0000-0000F42D0000}"/>
    <cellStyle name="Обычный 4 3 82 2" xfId="8601" xr:uid="{00000000-0005-0000-0000-0000F52D0000}"/>
    <cellStyle name="Обычный 4 3 82 2 2" xfId="56662" xr:uid="{00000000-0005-0000-0000-0000F62D0000}"/>
    <cellStyle name="Обычный 4 3 82 3" xfId="13941" xr:uid="{00000000-0005-0000-0000-0000F72D0000}"/>
    <cellStyle name="Обычный 4 3 82 4" xfId="19281" xr:uid="{00000000-0005-0000-0000-0000F82D0000}"/>
    <cellStyle name="Обычный 4 3 82 5" xfId="24621" xr:uid="{00000000-0005-0000-0000-0000F92D0000}"/>
    <cellStyle name="Обычный 4 3 82 6" xfId="29961" xr:uid="{00000000-0005-0000-0000-0000FA2D0000}"/>
    <cellStyle name="Обычный 4 3 82 7" xfId="35301" xr:uid="{00000000-0005-0000-0000-0000FB2D0000}"/>
    <cellStyle name="Обычный 4 3 82 8" xfId="40641" xr:uid="{00000000-0005-0000-0000-0000FC2D0000}"/>
    <cellStyle name="Обычный 4 3 82 9" xfId="45981" xr:uid="{00000000-0005-0000-0000-0000FD2D0000}"/>
    <cellStyle name="Обычный 4 3 83" xfId="3290" xr:uid="{00000000-0005-0000-0000-0000FE2D0000}"/>
    <cellStyle name="Обычный 4 3 83 10" xfId="51353" xr:uid="{00000000-0005-0000-0000-0000FF2D0000}"/>
    <cellStyle name="Обычный 4 3 83 2" xfId="8633" xr:uid="{00000000-0005-0000-0000-0000002E0000}"/>
    <cellStyle name="Обычный 4 3 83 2 2" xfId="56694" xr:uid="{00000000-0005-0000-0000-0000012E0000}"/>
    <cellStyle name="Обычный 4 3 83 3" xfId="13973" xr:uid="{00000000-0005-0000-0000-0000022E0000}"/>
    <cellStyle name="Обычный 4 3 83 4" xfId="19313" xr:uid="{00000000-0005-0000-0000-0000032E0000}"/>
    <cellStyle name="Обычный 4 3 83 5" xfId="24653" xr:uid="{00000000-0005-0000-0000-0000042E0000}"/>
    <cellStyle name="Обычный 4 3 83 6" xfId="29993" xr:uid="{00000000-0005-0000-0000-0000052E0000}"/>
    <cellStyle name="Обычный 4 3 83 7" xfId="35333" xr:uid="{00000000-0005-0000-0000-0000062E0000}"/>
    <cellStyle name="Обычный 4 3 83 8" xfId="40673" xr:uid="{00000000-0005-0000-0000-0000072E0000}"/>
    <cellStyle name="Обычный 4 3 83 9" xfId="46013" xr:uid="{00000000-0005-0000-0000-0000082E0000}"/>
    <cellStyle name="Обычный 4 3 84" xfId="3322" xr:uid="{00000000-0005-0000-0000-0000092E0000}"/>
    <cellStyle name="Обычный 4 3 84 10" xfId="51385" xr:uid="{00000000-0005-0000-0000-00000A2E0000}"/>
    <cellStyle name="Обычный 4 3 84 2" xfId="8665" xr:uid="{00000000-0005-0000-0000-00000B2E0000}"/>
    <cellStyle name="Обычный 4 3 84 2 2" xfId="56726" xr:uid="{00000000-0005-0000-0000-00000C2E0000}"/>
    <cellStyle name="Обычный 4 3 84 3" xfId="14005" xr:uid="{00000000-0005-0000-0000-00000D2E0000}"/>
    <cellStyle name="Обычный 4 3 84 4" xfId="19345" xr:uid="{00000000-0005-0000-0000-00000E2E0000}"/>
    <cellStyle name="Обычный 4 3 84 5" xfId="24685" xr:uid="{00000000-0005-0000-0000-00000F2E0000}"/>
    <cellStyle name="Обычный 4 3 84 6" xfId="30025" xr:uid="{00000000-0005-0000-0000-0000102E0000}"/>
    <cellStyle name="Обычный 4 3 84 7" xfId="35365" xr:uid="{00000000-0005-0000-0000-0000112E0000}"/>
    <cellStyle name="Обычный 4 3 84 8" xfId="40705" xr:uid="{00000000-0005-0000-0000-0000122E0000}"/>
    <cellStyle name="Обычный 4 3 84 9" xfId="46045" xr:uid="{00000000-0005-0000-0000-0000132E0000}"/>
    <cellStyle name="Обычный 4 3 85" xfId="3354" xr:uid="{00000000-0005-0000-0000-0000142E0000}"/>
    <cellStyle name="Обычный 4 3 85 10" xfId="51417" xr:uid="{00000000-0005-0000-0000-0000152E0000}"/>
    <cellStyle name="Обычный 4 3 85 2" xfId="8697" xr:uid="{00000000-0005-0000-0000-0000162E0000}"/>
    <cellStyle name="Обычный 4 3 85 2 2" xfId="56758" xr:uid="{00000000-0005-0000-0000-0000172E0000}"/>
    <cellStyle name="Обычный 4 3 85 3" xfId="14037" xr:uid="{00000000-0005-0000-0000-0000182E0000}"/>
    <cellStyle name="Обычный 4 3 85 4" xfId="19377" xr:uid="{00000000-0005-0000-0000-0000192E0000}"/>
    <cellStyle name="Обычный 4 3 85 5" xfId="24717" xr:uid="{00000000-0005-0000-0000-00001A2E0000}"/>
    <cellStyle name="Обычный 4 3 85 6" xfId="30057" xr:uid="{00000000-0005-0000-0000-00001B2E0000}"/>
    <cellStyle name="Обычный 4 3 85 7" xfId="35397" xr:uid="{00000000-0005-0000-0000-00001C2E0000}"/>
    <cellStyle name="Обычный 4 3 85 8" xfId="40737" xr:uid="{00000000-0005-0000-0000-00001D2E0000}"/>
    <cellStyle name="Обычный 4 3 85 9" xfId="46077" xr:uid="{00000000-0005-0000-0000-00001E2E0000}"/>
    <cellStyle name="Обычный 4 3 86" xfId="3386" xr:uid="{00000000-0005-0000-0000-00001F2E0000}"/>
    <cellStyle name="Обычный 4 3 86 10" xfId="51449" xr:uid="{00000000-0005-0000-0000-0000202E0000}"/>
    <cellStyle name="Обычный 4 3 86 2" xfId="8729" xr:uid="{00000000-0005-0000-0000-0000212E0000}"/>
    <cellStyle name="Обычный 4 3 86 2 2" xfId="56790" xr:uid="{00000000-0005-0000-0000-0000222E0000}"/>
    <cellStyle name="Обычный 4 3 86 3" xfId="14069" xr:uid="{00000000-0005-0000-0000-0000232E0000}"/>
    <cellStyle name="Обычный 4 3 86 4" xfId="19409" xr:uid="{00000000-0005-0000-0000-0000242E0000}"/>
    <cellStyle name="Обычный 4 3 86 5" xfId="24749" xr:uid="{00000000-0005-0000-0000-0000252E0000}"/>
    <cellStyle name="Обычный 4 3 86 6" xfId="30089" xr:uid="{00000000-0005-0000-0000-0000262E0000}"/>
    <cellStyle name="Обычный 4 3 86 7" xfId="35429" xr:uid="{00000000-0005-0000-0000-0000272E0000}"/>
    <cellStyle name="Обычный 4 3 86 8" xfId="40769" xr:uid="{00000000-0005-0000-0000-0000282E0000}"/>
    <cellStyle name="Обычный 4 3 86 9" xfId="46109" xr:uid="{00000000-0005-0000-0000-0000292E0000}"/>
    <cellStyle name="Обычный 4 3 87" xfId="3418" xr:uid="{00000000-0005-0000-0000-00002A2E0000}"/>
    <cellStyle name="Обычный 4 3 87 10" xfId="51481" xr:uid="{00000000-0005-0000-0000-00002B2E0000}"/>
    <cellStyle name="Обычный 4 3 87 2" xfId="8761" xr:uid="{00000000-0005-0000-0000-00002C2E0000}"/>
    <cellStyle name="Обычный 4 3 87 2 2" xfId="56822" xr:uid="{00000000-0005-0000-0000-00002D2E0000}"/>
    <cellStyle name="Обычный 4 3 87 3" xfId="14101" xr:uid="{00000000-0005-0000-0000-00002E2E0000}"/>
    <cellStyle name="Обычный 4 3 87 4" xfId="19441" xr:uid="{00000000-0005-0000-0000-00002F2E0000}"/>
    <cellStyle name="Обычный 4 3 87 5" xfId="24781" xr:uid="{00000000-0005-0000-0000-0000302E0000}"/>
    <cellStyle name="Обычный 4 3 87 6" xfId="30121" xr:uid="{00000000-0005-0000-0000-0000312E0000}"/>
    <cellStyle name="Обычный 4 3 87 7" xfId="35461" xr:uid="{00000000-0005-0000-0000-0000322E0000}"/>
    <cellStyle name="Обычный 4 3 87 8" xfId="40801" xr:uid="{00000000-0005-0000-0000-0000332E0000}"/>
    <cellStyle name="Обычный 4 3 87 9" xfId="46141" xr:uid="{00000000-0005-0000-0000-0000342E0000}"/>
    <cellStyle name="Обычный 4 3 88" xfId="3450" xr:uid="{00000000-0005-0000-0000-0000352E0000}"/>
    <cellStyle name="Обычный 4 3 88 10" xfId="51513" xr:uid="{00000000-0005-0000-0000-0000362E0000}"/>
    <cellStyle name="Обычный 4 3 88 2" xfId="8793" xr:uid="{00000000-0005-0000-0000-0000372E0000}"/>
    <cellStyle name="Обычный 4 3 88 2 2" xfId="56854" xr:uid="{00000000-0005-0000-0000-0000382E0000}"/>
    <cellStyle name="Обычный 4 3 88 3" xfId="14133" xr:uid="{00000000-0005-0000-0000-0000392E0000}"/>
    <cellStyle name="Обычный 4 3 88 4" xfId="19473" xr:uid="{00000000-0005-0000-0000-00003A2E0000}"/>
    <cellStyle name="Обычный 4 3 88 5" xfId="24813" xr:uid="{00000000-0005-0000-0000-00003B2E0000}"/>
    <cellStyle name="Обычный 4 3 88 6" xfId="30153" xr:uid="{00000000-0005-0000-0000-00003C2E0000}"/>
    <cellStyle name="Обычный 4 3 88 7" xfId="35493" xr:uid="{00000000-0005-0000-0000-00003D2E0000}"/>
    <cellStyle name="Обычный 4 3 88 8" xfId="40833" xr:uid="{00000000-0005-0000-0000-00003E2E0000}"/>
    <cellStyle name="Обычный 4 3 88 9" xfId="46173" xr:uid="{00000000-0005-0000-0000-00003F2E0000}"/>
    <cellStyle name="Обычный 4 3 89" xfId="3482" xr:uid="{00000000-0005-0000-0000-0000402E0000}"/>
    <cellStyle name="Обычный 4 3 89 10" xfId="51545" xr:uid="{00000000-0005-0000-0000-0000412E0000}"/>
    <cellStyle name="Обычный 4 3 89 2" xfId="8825" xr:uid="{00000000-0005-0000-0000-0000422E0000}"/>
    <cellStyle name="Обычный 4 3 89 2 2" xfId="56886" xr:uid="{00000000-0005-0000-0000-0000432E0000}"/>
    <cellStyle name="Обычный 4 3 89 3" xfId="14165" xr:uid="{00000000-0005-0000-0000-0000442E0000}"/>
    <cellStyle name="Обычный 4 3 89 4" xfId="19505" xr:uid="{00000000-0005-0000-0000-0000452E0000}"/>
    <cellStyle name="Обычный 4 3 89 5" xfId="24845" xr:uid="{00000000-0005-0000-0000-0000462E0000}"/>
    <cellStyle name="Обычный 4 3 89 6" xfId="30185" xr:uid="{00000000-0005-0000-0000-0000472E0000}"/>
    <cellStyle name="Обычный 4 3 89 7" xfId="35525" xr:uid="{00000000-0005-0000-0000-0000482E0000}"/>
    <cellStyle name="Обычный 4 3 89 8" xfId="40865" xr:uid="{00000000-0005-0000-0000-0000492E0000}"/>
    <cellStyle name="Обычный 4 3 89 9" xfId="46205" xr:uid="{00000000-0005-0000-0000-00004A2E0000}"/>
    <cellStyle name="Обычный 4 3 9" xfId="1150" xr:uid="{00000000-0005-0000-0000-00004B2E0000}"/>
    <cellStyle name="Обычный 4 3 9 10" xfId="49213" xr:uid="{00000000-0005-0000-0000-00004C2E0000}"/>
    <cellStyle name="Обычный 4 3 9 2" xfId="6492" xr:uid="{00000000-0005-0000-0000-00004D2E0000}"/>
    <cellStyle name="Обычный 4 3 9 2 2" xfId="54554" xr:uid="{00000000-0005-0000-0000-00004E2E0000}"/>
    <cellStyle name="Обычный 4 3 9 3" xfId="11833" xr:uid="{00000000-0005-0000-0000-00004F2E0000}"/>
    <cellStyle name="Обычный 4 3 9 4" xfId="17173" xr:uid="{00000000-0005-0000-0000-0000502E0000}"/>
    <cellStyle name="Обычный 4 3 9 5" xfId="22513" xr:uid="{00000000-0005-0000-0000-0000512E0000}"/>
    <cellStyle name="Обычный 4 3 9 6" xfId="27853" xr:uid="{00000000-0005-0000-0000-0000522E0000}"/>
    <cellStyle name="Обычный 4 3 9 7" xfId="33193" xr:uid="{00000000-0005-0000-0000-0000532E0000}"/>
    <cellStyle name="Обычный 4 3 9 8" xfId="38533" xr:uid="{00000000-0005-0000-0000-0000542E0000}"/>
    <cellStyle name="Обычный 4 3 9 9" xfId="43873" xr:uid="{00000000-0005-0000-0000-0000552E0000}"/>
    <cellStyle name="Обычный 4 3 90" xfId="3514" xr:uid="{00000000-0005-0000-0000-0000562E0000}"/>
    <cellStyle name="Обычный 4 3 90 10" xfId="51577" xr:uid="{00000000-0005-0000-0000-0000572E0000}"/>
    <cellStyle name="Обычный 4 3 90 2" xfId="8857" xr:uid="{00000000-0005-0000-0000-0000582E0000}"/>
    <cellStyle name="Обычный 4 3 90 2 2" xfId="56918" xr:uid="{00000000-0005-0000-0000-0000592E0000}"/>
    <cellStyle name="Обычный 4 3 90 3" xfId="14197" xr:uid="{00000000-0005-0000-0000-00005A2E0000}"/>
    <cellStyle name="Обычный 4 3 90 4" xfId="19537" xr:uid="{00000000-0005-0000-0000-00005B2E0000}"/>
    <cellStyle name="Обычный 4 3 90 5" xfId="24877" xr:uid="{00000000-0005-0000-0000-00005C2E0000}"/>
    <cellStyle name="Обычный 4 3 90 6" xfId="30217" xr:uid="{00000000-0005-0000-0000-00005D2E0000}"/>
    <cellStyle name="Обычный 4 3 90 7" xfId="35557" xr:uid="{00000000-0005-0000-0000-00005E2E0000}"/>
    <cellStyle name="Обычный 4 3 90 8" xfId="40897" xr:uid="{00000000-0005-0000-0000-00005F2E0000}"/>
    <cellStyle name="Обычный 4 3 90 9" xfId="46237" xr:uid="{00000000-0005-0000-0000-0000602E0000}"/>
    <cellStyle name="Обычный 4 3 91" xfId="3546" xr:uid="{00000000-0005-0000-0000-0000612E0000}"/>
    <cellStyle name="Обычный 4 3 91 10" xfId="51609" xr:uid="{00000000-0005-0000-0000-0000622E0000}"/>
    <cellStyle name="Обычный 4 3 91 2" xfId="8889" xr:uid="{00000000-0005-0000-0000-0000632E0000}"/>
    <cellStyle name="Обычный 4 3 91 2 2" xfId="56950" xr:uid="{00000000-0005-0000-0000-0000642E0000}"/>
    <cellStyle name="Обычный 4 3 91 3" xfId="14229" xr:uid="{00000000-0005-0000-0000-0000652E0000}"/>
    <cellStyle name="Обычный 4 3 91 4" xfId="19569" xr:uid="{00000000-0005-0000-0000-0000662E0000}"/>
    <cellStyle name="Обычный 4 3 91 5" xfId="24909" xr:uid="{00000000-0005-0000-0000-0000672E0000}"/>
    <cellStyle name="Обычный 4 3 91 6" xfId="30249" xr:uid="{00000000-0005-0000-0000-0000682E0000}"/>
    <cellStyle name="Обычный 4 3 91 7" xfId="35589" xr:uid="{00000000-0005-0000-0000-0000692E0000}"/>
    <cellStyle name="Обычный 4 3 91 8" xfId="40929" xr:uid="{00000000-0005-0000-0000-00006A2E0000}"/>
    <cellStyle name="Обычный 4 3 91 9" xfId="46269" xr:uid="{00000000-0005-0000-0000-00006B2E0000}"/>
    <cellStyle name="Обычный 4 3 92" xfId="3578" xr:uid="{00000000-0005-0000-0000-00006C2E0000}"/>
    <cellStyle name="Обычный 4 3 92 10" xfId="51641" xr:uid="{00000000-0005-0000-0000-00006D2E0000}"/>
    <cellStyle name="Обычный 4 3 92 2" xfId="8921" xr:uid="{00000000-0005-0000-0000-00006E2E0000}"/>
    <cellStyle name="Обычный 4 3 92 2 2" xfId="56982" xr:uid="{00000000-0005-0000-0000-00006F2E0000}"/>
    <cellStyle name="Обычный 4 3 92 3" xfId="14261" xr:uid="{00000000-0005-0000-0000-0000702E0000}"/>
    <cellStyle name="Обычный 4 3 92 4" xfId="19601" xr:uid="{00000000-0005-0000-0000-0000712E0000}"/>
    <cellStyle name="Обычный 4 3 92 5" xfId="24941" xr:uid="{00000000-0005-0000-0000-0000722E0000}"/>
    <cellStyle name="Обычный 4 3 92 6" xfId="30281" xr:uid="{00000000-0005-0000-0000-0000732E0000}"/>
    <cellStyle name="Обычный 4 3 92 7" xfId="35621" xr:uid="{00000000-0005-0000-0000-0000742E0000}"/>
    <cellStyle name="Обычный 4 3 92 8" xfId="40961" xr:uid="{00000000-0005-0000-0000-0000752E0000}"/>
    <cellStyle name="Обычный 4 3 92 9" xfId="46301" xr:uid="{00000000-0005-0000-0000-0000762E0000}"/>
    <cellStyle name="Обычный 4 3 93" xfId="3610" xr:uid="{00000000-0005-0000-0000-0000772E0000}"/>
    <cellStyle name="Обычный 4 3 93 10" xfId="51673" xr:uid="{00000000-0005-0000-0000-0000782E0000}"/>
    <cellStyle name="Обычный 4 3 93 2" xfId="8953" xr:uid="{00000000-0005-0000-0000-0000792E0000}"/>
    <cellStyle name="Обычный 4 3 93 2 2" xfId="57014" xr:uid="{00000000-0005-0000-0000-00007A2E0000}"/>
    <cellStyle name="Обычный 4 3 93 3" xfId="14293" xr:uid="{00000000-0005-0000-0000-00007B2E0000}"/>
    <cellStyle name="Обычный 4 3 93 4" xfId="19633" xr:uid="{00000000-0005-0000-0000-00007C2E0000}"/>
    <cellStyle name="Обычный 4 3 93 5" xfId="24973" xr:uid="{00000000-0005-0000-0000-00007D2E0000}"/>
    <cellStyle name="Обычный 4 3 93 6" xfId="30313" xr:uid="{00000000-0005-0000-0000-00007E2E0000}"/>
    <cellStyle name="Обычный 4 3 93 7" xfId="35653" xr:uid="{00000000-0005-0000-0000-00007F2E0000}"/>
    <cellStyle name="Обычный 4 3 93 8" xfId="40993" xr:uid="{00000000-0005-0000-0000-0000802E0000}"/>
    <cellStyle name="Обычный 4 3 93 9" xfId="46333" xr:uid="{00000000-0005-0000-0000-0000812E0000}"/>
    <cellStyle name="Обычный 4 3 94" xfId="3642" xr:uid="{00000000-0005-0000-0000-0000822E0000}"/>
    <cellStyle name="Обычный 4 3 94 10" xfId="51705" xr:uid="{00000000-0005-0000-0000-0000832E0000}"/>
    <cellStyle name="Обычный 4 3 94 2" xfId="8985" xr:uid="{00000000-0005-0000-0000-0000842E0000}"/>
    <cellStyle name="Обычный 4 3 94 2 2" xfId="57046" xr:uid="{00000000-0005-0000-0000-0000852E0000}"/>
    <cellStyle name="Обычный 4 3 94 3" xfId="14325" xr:uid="{00000000-0005-0000-0000-0000862E0000}"/>
    <cellStyle name="Обычный 4 3 94 4" xfId="19665" xr:uid="{00000000-0005-0000-0000-0000872E0000}"/>
    <cellStyle name="Обычный 4 3 94 5" xfId="25005" xr:uid="{00000000-0005-0000-0000-0000882E0000}"/>
    <cellStyle name="Обычный 4 3 94 6" xfId="30345" xr:uid="{00000000-0005-0000-0000-0000892E0000}"/>
    <cellStyle name="Обычный 4 3 94 7" xfId="35685" xr:uid="{00000000-0005-0000-0000-00008A2E0000}"/>
    <cellStyle name="Обычный 4 3 94 8" xfId="41025" xr:uid="{00000000-0005-0000-0000-00008B2E0000}"/>
    <cellStyle name="Обычный 4 3 94 9" xfId="46365" xr:uid="{00000000-0005-0000-0000-00008C2E0000}"/>
    <cellStyle name="Обычный 4 3 95" xfId="3674" xr:uid="{00000000-0005-0000-0000-00008D2E0000}"/>
    <cellStyle name="Обычный 4 3 95 10" xfId="51737" xr:uid="{00000000-0005-0000-0000-00008E2E0000}"/>
    <cellStyle name="Обычный 4 3 95 2" xfId="9017" xr:uid="{00000000-0005-0000-0000-00008F2E0000}"/>
    <cellStyle name="Обычный 4 3 95 2 2" xfId="57078" xr:uid="{00000000-0005-0000-0000-0000902E0000}"/>
    <cellStyle name="Обычный 4 3 95 3" xfId="14357" xr:uid="{00000000-0005-0000-0000-0000912E0000}"/>
    <cellStyle name="Обычный 4 3 95 4" xfId="19697" xr:uid="{00000000-0005-0000-0000-0000922E0000}"/>
    <cellStyle name="Обычный 4 3 95 5" xfId="25037" xr:uid="{00000000-0005-0000-0000-0000932E0000}"/>
    <cellStyle name="Обычный 4 3 95 6" xfId="30377" xr:uid="{00000000-0005-0000-0000-0000942E0000}"/>
    <cellStyle name="Обычный 4 3 95 7" xfId="35717" xr:uid="{00000000-0005-0000-0000-0000952E0000}"/>
    <cellStyle name="Обычный 4 3 95 8" xfId="41057" xr:uid="{00000000-0005-0000-0000-0000962E0000}"/>
    <cellStyle name="Обычный 4 3 95 9" xfId="46397" xr:uid="{00000000-0005-0000-0000-0000972E0000}"/>
    <cellStyle name="Обычный 4 3 96" xfId="3706" xr:uid="{00000000-0005-0000-0000-0000982E0000}"/>
    <cellStyle name="Обычный 4 3 96 10" xfId="51769" xr:uid="{00000000-0005-0000-0000-0000992E0000}"/>
    <cellStyle name="Обычный 4 3 96 2" xfId="9049" xr:uid="{00000000-0005-0000-0000-00009A2E0000}"/>
    <cellStyle name="Обычный 4 3 96 2 2" xfId="57110" xr:uid="{00000000-0005-0000-0000-00009B2E0000}"/>
    <cellStyle name="Обычный 4 3 96 3" xfId="14389" xr:uid="{00000000-0005-0000-0000-00009C2E0000}"/>
    <cellStyle name="Обычный 4 3 96 4" xfId="19729" xr:uid="{00000000-0005-0000-0000-00009D2E0000}"/>
    <cellStyle name="Обычный 4 3 96 5" xfId="25069" xr:uid="{00000000-0005-0000-0000-00009E2E0000}"/>
    <cellStyle name="Обычный 4 3 96 6" xfId="30409" xr:uid="{00000000-0005-0000-0000-00009F2E0000}"/>
    <cellStyle name="Обычный 4 3 96 7" xfId="35749" xr:uid="{00000000-0005-0000-0000-0000A02E0000}"/>
    <cellStyle name="Обычный 4 3 96 8" xfId="41089" xr:uid="{00000000-0005-0000-0000-0000A12E0000}"/>
    <cellStyle name="Обычный 4 3 96 9" xfId="46429" xr:uid="{00000000-0005-0000-0000-0000A22E0000}"/>
    <cellStyle name="Обычный 4 3 97" xfId="3738" xr:uid="{00000000-0005-0000-0000-0000A32E0000}"/>
    <cellStyle name="Обычный 4 3 97 10" xfId="51801" xr:uid="{00000000-0005-0000-0000-0000A42E0000}"/>
    <cellStyle name="Обычный 4 3 97 2" xfId="9081" xr:uid="{00000000-0005-0000-0000-0000A52E0000}"/>
    <cellStyle name="Обычный 4 3 97 2 2" xfId="57142" xr:uid="{00000000-0005-0000-0000-0000A62E0000}"/>
    <cellStyle name="Обычный 4 3 97 3" xfId="14421" xr:uid="{00000000-0005-0000-0000-0000A72E0000}"/>
    <cellStyle name="Обычный 4 3 97 4" xfId="19761" xr:uid="{00000000-0005-0000-0000-0000A82E0000}"/>
    <cellStyle name="Обычный 4 3 97 5" xfId="25101" xr:uid="{00000000-0005-0000-0000-0000A92E0000}"/>
    <cellStyle name="Обычный 4 3 97 6" xfId="30441" xr:uid="{00000000-0005-0000-0000-0000AA2E0000}"/>
    <cellStyle name="Обычный 4 3 97 7" xfId="35781" xr:uid="{00000000-0005-0000-0000-0000AB2E0000}"/>
    <cellStyle name="Обычный 4 3 97 8" xfId="41121" xr:uid="{00000000-0005-0000-0000-0000AC2E0000}"/>
    <cellStyle name="Обычный 4 3 97 9" xfId="46461" xr:uid="{00000000-0005-0000-0000-0000AD2E0000}"/>
    <cellStyle name="Обычный 4 3 98" xfId="3770" xr:uid="{00000000-0005-0000-0000-0000AE2E0000}"/>
    <cellStyle name="Обычный 4 3 98 10" xfId="51833" xr:uid="{00000000-0005-0000-0000-0000AF2E0000}"/>
    <cellStyle name="Обычный 4 3 98 2" xfId="9113" xr:uid="{00000000-0005-0000-0000-0000B02E0000}"/>
    <cellStyle name="Обычный 4 3 98 2 2" xfId="57174" xr:uid="{00000000-0005-0000-0000-0000B12E0000}"/>
    <cellStyle name="Обычный 4 3 98 3" xfId="14453" xr:uid="{00000000-0005-0000-0000-0000B22E0000}"/>
    <cellStyle name="Обычный 4 3 98 4" xfId="19793" xr:uid="{00000000-0005-0000-0000-0000B32E0000}"/>
    <cellStyle name="Обычный 4 3 98 5" xfId="25133" xr:uid="{00000000-0005-0000-0000-0000B42E0000}"/>
    <cellStyle name="Обычный 4 3 98 6" xfId="30473" xr:uid="{00000000-0005-0000-0000-0000B52E0000}"/>
    <cellStyle name="Обычный 4 3 98 7" xfId="35813" xr:uid="{00000000-0005-0000-0000-0000B62E0000}"/>
    <cellStyle name="Обычный 4 3 98 8" xfId="41153" xr:uid="{00000000-0005-0000-0000-0000B72E0000}"/>
    <cellStyle name="Обычный 4 3 98 9" xfId="46493" xr:uid="{00000000-0005-0000-0000-0000B82E0000}"/>
    <cellStyle name="Обычный 4 3 99" xfId="3802" xr:uid="{00000000-0005-0000-0000-0000B92E0000}"/>
    <cellStyle name="Обычный 4 3 99 10" xfId="51865" xr:uid="{00000000-0005-0000-0000-0000BA2E0000}"/>
    <cellStyle name="Обычный 4 3 99 2" xfId="9145" xr:uid="{00000000-0005-0000-0000-0000BB2E0000}"/>
    <cellStyle name="Обычный 4 3 99 2 2" xfId="57206" xr:uid="{00000000-0005-0000-0000-0000BC2E0000}"/>
    <cellStyle name="Обычный 4 3 99 3" xfId="14485" xr:uid="{00000000-0005-0000-0000-0000BD2E0000}"/>
    <cellStyle name="Обычный 4 3 99 4" xfId="19825" xr:uid="{00000000-0005-0000-0000-0000BE2E0000}"/>
    <cellStyle name="Обычный 4 3 99 5" xfId="25165" xr:uid="{00000000-0005-0000-0000-0000BF2E0000}"/>
    <cellStyle name="Обычный 4 3 99 6" xfId="30505" xr:uid="{00000000-0005-0000-0000-0000C02E0000}"/>
    <cellStyle name="Обычный 4 3 99 7" xfId="35845" xr:uid="{00000000-0005-0000-0000-0000C12E0000}"/>
    <cellStyle name="Обычный 4 3 99 8" xfId="41185" xr:uid="{00000000-0005-0000-0000-0000C22E0000}"/>
    <cellStyle name="Обычный 4 3 99 9" xfId="46525" xr:uid="{00000000-0005-0000-0000-0000C32E0000}"/>
    <cellStyle name="Обычный 4 30" xfId="242" xr:uid="{00000000-0005-0000-0000-0000C42E0000}"/>
    <cellStyle name="Обычный 4 30 10" xfId="42964" xr:uid="{00000000-0005-0000-0000-0000C52E0000}"/>
    <cellStyle name="Обычный 4 30 11" xfId="48304" xr:uid="{00000000-0005-0000-0000-0000C62E0000}"/>
    <cellStyle name="Обычный 4 30 2" xfId="709" xr:uid="{00000000-0005-0000-0000-0000C72E0000}"/>
    <cellStyle name="Обычный 4 30 2 10" xfId="48771" xr:uid="{00000000-0005-0000-0000-0000C82E0000}"/>
    <cellStyle name="Обычный 4 30 2 2" xfId="6050" xr:uid="{00000000-0005-0000-0000-0000C92E0000}"/>
    <cellStyle name="Обычный 4 30 2 2 2" xfId="54112" xr:uid="{00000000-0005-0000-0000-0000CA2E0000}"/>
    <cellStyle name="Обычный 4 30 2 3" xfId="11391" xr:uid="{00000000-0005-0000-0000-0000CB2E0000}"/>
    <cellStyle name="Обычный 4 30 2 4" xfId="16731" xr:uid="{00000000-0005-0000-0000-0000CC2E0000}"/>
    <cellStyle name="Обычный 4 30 2 5" xfId="22071" xr:uid="{00000000-0005-0000-0000-0000CD2E0000}"/>
    <cellStyle name="Обычный 4 30 2 6" xfId="27411" xr:uid="{00000000-0005-0000-0000-0000CE2E0000}"/>
    <cellStyle name="Обычный 4 30 2 7" xfId="32751" xr:uid="{00000000-0005-0000-0000-0000CF2E0000}"/>
    <cellStyle name="Обычный 4 30 2 8" xfId="38091" xr:uid="{00000000-0005-0000-0000-0000D02E0000}"/>
    <cellStyle name="Обычный 4 30 2 9" xfId="43431" xr:uid="{00000000-0005-0000-0000-0000D12E0000}"/>
    <cellStyle name="Обычный 4 30 3" xfId="5583" xr:uid="{00000000-0005-0000-0000-0000D22E0000}"/>
    <cellStyle name="Обычный 4 30 3 2" xfId="53645" xr:uid="{00000000-0005-0000-0000-0000D32E0000}"/>
    <cellStyle name="Обычный 4 30 4" xfId="10924" xr:uid="{00000000-0005-0000-0000-0000D42E0000}"/>
    <cellStyle name="Обычный 4 30 5" xfId="16264" xr:uid="{00000000-0005-0000-0000-0000D52E0000}"/>
    <cellStyle name="Обычный 4 30 6" xfId="21604" xr:uid="{00000000-0005-0000-0000-0000D62E0000}"/>
    <cellStyle name="Обычный 4 30 7" xfId="26944" xr:uid="{00000000-0005-0000-0000-0000D72E0000}"/>
    <cellStyle name="Обычный 4 30 8" xfId="32284" xr:uid="{00000000-0005-0000-0000-0000D82E0000}"/>
    <cellStyle name="Обычный 4 30 9" xfId="37624" xr:uid="{00000000-0005-0000-0000-0000D92E0000}"/>
    <cellStyle name="Обычный 4 31" xfId="252" xr:uid="{00000000-0005-0000-0000-0000DA2E0000}"/>
    <cellStyle name="Обычный 4 31 10" xfId="42974" xr:uid="{00000000-0005-0000-0000-0000DB2E0000}"/>
    <cellStyle name="Обычный 4 31 11" xfId="48314" xr:uid="{00000000-0005-0000-0000-0000DC2E0000}"/>
    <cellStyle name="Обычный 4 31 2" xfId="719" xr:uid="{00000000-0005-0000-0000-0000DD2E0000}"/>
    <cellStyle name="Обычный 4 31 2 10" xfId="48781" xr:uid="{00000000-0005-0000-0000-0000DE2E0000}"/>
    <cellStyle name="Обычный 4 31 2 2" xfId="6060" xr:uid="{00000000-0005-0000-0000-0000DF2E0000}"/>
    <cellStyle name="Обычный 4 31 2 2 2" xfId="54122" xr:uid="{00000000-0005-0000-0000-0000E02E0000}"/>
    <cellStyle name="Обычный 4 31 2 3" xfId="11401" xr:uid="{00000000-0005-0000-0000-0000E12E0000}"/>
    <cellStyle name="Обычный 4 31 2 4" xfId="16741" xr:uid="{00000000-0005-0000-0000-0000E22E0000}"/>
    <cellStyle name="Обычный 4 31 2 5" xfId="22081" xr:uid="{00000000-0005-0000-0000-0000E32E0000}"/>
    <cellStyle name="Обычный 4 31 2 6" xfId="27421" xr:uid="{00000000-0005-0000-0000-0000E42E0000}"/>
    <cellStyle name="Обычный 4 31 2 7" xfId="32761" xr:uid="{00000000-0005-0000-0000-0000E52E0000}"/>
    <cellStyle name="Обычный 4 31 2 8" xfId="38101" xr:uid="{00000000-0005-0000-0000-0000E62E0000}"/>
    <cellStyle name="Обычный 4 31 2 9" xfId="43441" xr:uid="{00000000-0005-0000-0000-0000E72E0000}"/>
    <cellStyle name="Обычный 4 31 3" xfId="5593" xr:uid="{00000000-0005-0000-0000-0000E82E0000}"/>
    <cellStyle name="Обычный 4 31 3 2" xfId="53655" xr:uid="{00000000-0005-0000-0000-0000E92E0000}"/>
    <cellStyle name="Обычный 4 31 4" xfId="10934" xr:uid="{00000000-0005-0000-0000-0000EA2E0000}"/>
    <cellStyle name="Обычный 4 31 5" xfId="16274" xr:uid="{00000000-0005-0000-0000-0000EB2E0000}"/>
    <cellStyle name="Обычный 4 31 6" xfId="21614" xr:uid="{00000000-0005-0000-0000-0000EC2E0000}"/>
    <cellStyle name="Обычный 4 31 7" xfId="26954" xr:uid="{00000000-0005-0000-0000-0000ED2E0000}"/>
    <cellStyle name="Обычный 4 31 8" xfId="32294" xr:uid="{00000000-0005-0000-0000-0000EE2E0000}"/>
    <cellStyle name="Обычный 4 31 9" xfId="37634" xr:uid="{00000000-0005-0000-0000-0000EF2E0000}"/>
    <cellStyle name="Обычный 4 32" xfId="262" xr:uid="{00000000-0005-0000-0000-0000F02E0000}"/>
    <cellStyle name="Обычный 4 32 10" xfId="42984" xr:uid="{00000000-0005-0000-0000-0000F12E0000}"/>
    <cellStyle name="Обычный 4 32 11" xfId="48324" xr:uid="{00000000-0005-0000-0000-0000F22E0000}"/>
    <cellStyle name="Обычный 4 32 2" xfId="729" xr:uid="{00000000-0005-0000-0000-0000F32E0000}"/>
    <cellStyle name="Обычный 4 32 2 10" xfId="48791" xr:uid="{00000000-0005-0000-0000-0000F42E0000}"/>
    <cellStyle name="Обычный 4 32 2 2" xfId="6070" xr:uid="{00000000-0005-0000-0000-0000F52E0000}"/>
    <cellStyle name="Обычный 4 32 2 2 2" xfId="54132" xr:uid="{00000000-0005-0000-0000-0000F62E0000}"/>
    <cellStyle name="Обычный 4 32 2 3" xfId="11411" xr:uid="{00000000-0005-0000-0000-0000F72E0000}"/>
    <cellStyle name="Обычный 4 32 2 4" xfId="16751" xr:uid="{00000000-0005-0000-0000-0000F82E0000}"/>
    <cellStyle name="Обычный 4 32 2 5" xfId="22091" xr:uid="{00000000-0005-0000-0000-0000F92E0000}"/>
    <cellStyle name="Обычный 4 32 2 6" xfId="27431" xr:uid="{00000000-0005-0000-0000-0000FA2E0000}"/>
    <cellStyle name="Обычный 4 32 2 7" xfId="32771" xr:uid="{00000000-0005-0000-0000-0000FB2E0000}"/>
    <cellStyle name="Обычный 4 32 2 8" xfId="38111" xr:uid="{00000000-0005-0000-0000-0000FC2E0000}"/>
    <cellStyle name="Обычный 4 32 2 9" xfId="43451" xr:uid="{00000000-0005-0000-0000-0000FD2E0000}"/>
    <cellStyle name="Обычный 4 32 3" xfId="5603" xr:uid="{00000000-0005-0000-0000-0000FE2E0000}"/>
    <cellStyle name="Обычный 4 32 3 2" xfId="53665" xr:uid="{00000000-0005-0000-0000-0000FF2E0000}"/>
    <cellStyle name="Обычный 4 32 4" xfId="10944" xr:uid="{00000000-0005-0000-0000-0000002F0000}"/>
    <cellStyle name="Обычный 4 32 5" xfId="16284" xr:uid="{00000000-0005-0000-0000-0000012F0000}"/>
    <cellStyle name="Обычный 4 32 6" xfId="21624" xr:uid="{00000000-0005-0000-0000-0000022F0000}"/>
    <cellStyle name="Обычный 4 32 7" xfId="26964" xr:uid="{00000000-0005-0000-0000-0000032F0000}"/>
    <cellStyle name="Обычный 4 32 8" xfId="32304" xr:uid="{00000000-0005-0000-0000-0000042F0000}"/>
    <cellStyle name="Обычный 4 32 9" xfId="37644" xr:uid="{00000000-0005-0000-0000-0000052F0000}"/>
    <cellStyle name="Обычный 4 33" xfId="272" xr:uid="{00000000-0005-0000-0000-0000062F0000}"/>
    <cellStyle name="Обычный 4 33 10" xfId="42994" xr:uid="{00000000-0005-0000-0000-0000072F0000}"/>
    <cellStyle name="Обычный 4 33 11" xfId="48334" xr:uid="{00000000-0005-0000-0000-0000082F0000}"/>
    <cellStyle name="Обычный 4 33 2" xfId="739" xr:uid="{00000000-0005-0000-0000-0000092F0000}"/>
    <cellStyle name="Обычный 4 33 2 10" xfId="48801" xr:uid="{00000000-0005-0000-0000-00000A2F0000}"/>
    <cellStyle name="Обычный 4 33 2 2" xfId="6080" xr:uid="{00000000-0005-0000-0000-00000B2F0000}"/>
    <cellStyle name="Обычный 4 33 2 2 2" xfId="54142" xr:uid="{00000000-0005-0000-0000-00000C2F0000}"/>
    <cellStyle name="Обычный 4 33 2 3" xfId="11421" xr:uid="{00000000-0005-0000-0000-00000D2F0000}"/>
    <cellStyle name="Обычный 4 33 2 4" xfId="16761" xr:uid="{00000000-0005-0000-0000-00000E2F0000}"/>
    <cellStyle name="Обычный 4 33 2 5" xfId="22101" xr:uid="{00000000-0005-0000-0000-00000F2F0000}"/>
    <cellStyle name="Обычный 4 33 2 6" xfId="27441" xr:uid="{00000000-0005-0000-0000-0000102F0000}"/>
    <cellStyle name="Обычный 4 33 2 7" xfId="32781" xr:uid="{00000000-0005-0000-0000-0000112F0000}"/>
    <cellStyle name="Обычный 4 33 2 8" xfId="38121" xr:uid="{00000000-0005-0000-0000-0000122F0000}"/>
    <cellStyle name="Обычный 4 33 2 9" xfId="43461" xr:uid="{00000000-0005-0000-0000-0000132F0000}"/>
    <cellStyle name="Обычный 4 33 3" xfId="5613" xr:uid="{00000000-0005-0000-0000-0000142F0000}"/>
    <cellStyle name="Обычный 4 33 3 2" xfId="53675" xr:uid="{00000000-0005-0000-0000-0000152F0000}"/>
    <cellStyle name="Обычный 4 33 4" xfId="10954" xr:uid="{00000000-0005-0000-0000-0000162F0000}"/>
    <cellStyle name="Обычный 4 33 5" xfId="16294" xr:uid="{00000000-0005-0000-0000-0000172F0000}"/>
    <cellStyle name="Обычный 4 33 6" xfId="21634" xr:uid="{00000000-0005-0000-0000-0000182F0000}"/>
    <cellStyle name="Обычный 4 33 7" xfId="26974" xr:uid="{00000000-0005-0000-0000-0000192F0000}"/>
    <cellStyle name="Обычный 4 33 8" xfId="32314" xr:uid="{00000000-0005-0000-0000-00001A2F0000}"/>
    <cellStyle name="Обычный 4 33 9" xfId="37654" xr:uid="{00000000-0005-0000-0000-00001B2F0000}"/>
    <cellStyle name="Обычный 4 34" xfId="282" xr:uid="{00000000-0005-0000-0000-00001C2F0000}"/>
    <cellStyle name="Обычный 4 34 10" xfId="43004" xr:uid="{00000000-0005-0000-0000-00001D2F0000}"/>
    <cellStyle name="Обычный 4 34 11" xfId="48344" xr:uid="{00000000-0005-0000-0000-00001E2F0000}"/>
    <cellStyle name="Обычный 4 34 2" xfId="749" xr:uid="{00000000-0005-0000-0000-00001F2F0000}"/>
    <cellStyle name="Обычный 4 34 2 10" xfId="48811" xr:uid="{00000000-0005-0000-0000-0000202F0000}"/>
    <cellStyle name="Обычный 4 34 2 2" xfId="6090" xr:uid="{00000000-0005-0000-0000-0000212F0000}"/>
    <cellStyle name="Обычный 4 34 2 2 2" xfId="54152" xr:uid="{00000000-0005-0000-0000-0000222F0000}"/>
    <cellStyle name="Обычный 4 34 2 3" xfId="11431" xr:uid="{00000000-0005-0000-0000-0000232F0000}"/>
    <cellStyle name="Обычный 4 34 2 4" xfId="16771" xr:uid="{00000000-0005-0000-0000-0000242F0000}"/>
    <cellStyle name="Обычный 4 34 2 5" xfId="22111" xr:uid="{00000000-0005-0000-0000-0000252F0000}"/>
    <cellStyle name="Обычный 4 34 2 6" xfId="27451" xr:uid="{00000000-0005-0000-0000-0000262F0000}"/>
    <cellStyle name="Обычный 4 34 2 7" xfId="32791" xr:uid="{00000000-0005-0000-0000-0000272F0000}"/>
    <cellStyle name="Обычный 4 34 2 8" xfId="38131" xr:uid="{00000000-0005-0000-0000-0000282F0000}"/>
    <cellStyle name="Обычный 4 34 2 9" xfId="43471" xr:uid="{00000000-0005-0000-0000-0000292F0000}"/>
    <cellStyle name="Обычный 4 34 3" xfId="5623" xr:uid="{00000000-0005-0000-0000-00002A2F0000}"/>
    <cellStyle name="Обычный 4 34 3 2" xfId="53685" xr:uid="{00000000-0005-0000-0000-00002B2F0000}"/>
    <cellStyle name="Обычный 4 34 4" xfId="10964" xr:uid="{00000000-0005-0000-0000-00002C2F0000}"/>
    <cellStyle name="Обычный 4 34 5" xfId="16304" xr:uid="{00000000-0005-0000-0000-00002D2F0000}"/>
    <cellStyle name="Обычный 4 34 6" xfId="21644" xr:uid="{00000000-0005-0000-0000-00002E2F0000}"/>
    <cellStyle name="Обычный 4 34 7" xfId="26984" xr:uid="{00000000-0005-0000-0000-00002F2F0000}"/>
    <cellStyle name="Обычный 4 34 8" xfId="32324" xr:uid="{00000000-0005-0000-0000-0000302F0000}"/>
    <cellStyle name="Обычный 4 34 9" xfId="37664" xr:uid="{00000000-0005-0000-0000-0000312F0000}"/>
    <cellStyle name="Обычный 4 35" xfId="292" xr:uid="{00000000-0005-0000-0000-0000322F0000}"/>
    <cellStyle name="Обычный 4 35 10" xfId="43014" xr:uid="{00000000-0005-0000-0000-0000332F0000}"/>
    <cellStyle name="Обычный 4 35 11" xfId="48354" xr:uid="{00000000-0005-0000-0000-0000342F0000}"/>
    <cellStyle name="Обычный 4 35 2" xfId="759" xr:uid="{00000000-0005-0000-0000-0000352F0000}"/>
    <cellStyle name="Обычный 4 35 2 10" xfId="48821" xr:uid="{00000000-0005-0000-0000-0000362F0000}"/>
    <cellStyle name="Обычный 4 35 2 2" xfId="6100" xr:uid="{00000000-0005-0000-0000-0000372F0000}"/>
    <cellStyle name="Обычный 4 35 2 2 2" xfId="54162" xr:uid="{00000000-0005-0000-0000-0000382F0000}"/>
    <cellStyle name="Обычный 4 35 2 3" xfId="11441" xr:uid="{00000000-0005-0000-0000-0000392F0000}"/>
    <cellStyle name="Обычный 4 35 2 4" xfId="16781" xr:uid="{00000000-0005-0000-0000-00003A2F0000}"/>
    <cellStyle name="Обычный 4 35 2 5" xfId="22121" xr:uid="{00000000-0005-0000-0000-00003B2F0000}"/>
    <cellStyle name="Обычный 4 35 2 6" xfId="27461" xr:uid="{00000000-0005-0000-0000-00003C2F0000}"/>
    <cellStyle name="Обычный 4 35 2 7" xfId="32801" xr:uid="{00000000-0005-0000-0000-00003D2F0000}"/>
    <cellStyle name="Обычный 4 35 2 8" xfId="38141" xr:uid="{00000000-0005-0000-0000-00003E2F0000}"/>
    <cellStyle name="Обычный 4 35 2 9" xfId="43481" xr:uid="{00000000-0005-0000-0000-00003F2F0000}"/>
    <cellStyle name="Обычный 4 35 3" xfId="5633" xr:uid="{00000000-0005-0000-0000-0000402F0000}"/>
    <cellStyle name="Обычный 4 35 3 2" xfId="53695" xr:uid="{00000000-0005-0000-0000-0000412F0000}"/>
    <cellStyle name="Обычный 4 35 4" xfId="10974" xr:uid="{00000000-0005-0000-0000-0000422F0000}"/>
    <cellStyle name="Обычный 4 35 5" xfId="16314" xr:uid="{00000000-0005-0000-0000-0000432F0000}"/>
    <cellStyle name="Обычный 4 35 6" xfId="21654" xr:uid="{00000000-0005-0000-0000-0000442F0000}"/>
    <cellStyle name="Обычный 4 35 7" xfId="26994" xr:uid="{00000000-0005-0000-0000-0000452F0000}"/>
    <cellStyle name="Обычный 4 35 8" xfId="32334" xr:uid="{00000000-0005-0000-0000-0000462F0000}"/>
    <cellStyle name="Обычный 4 35 9" xfId="37674" xr:uid="{00000000-0005-0000-0000-0000472F0000}"/>
    <cellStyle name="Обычный 4 36" xfId="302" xr:uid="{00000000-0005-0000-0000-0000482F0000}"/>
    <cellStyle name="Обычный 4 36 10" xfId="43024" xr:uid="{00000000-0005-0000-0000-0000492F0000}"/>
    <cellStyle name="Обычный 4 36 11" xfId="48364" xr:uid="{00000000-0005-0000-0000-00004A2F0000}"/>
    <cellStyle name="Обычный 4 36 2" xfId="769" xr:uid="{00000000-0005-0000-0000-00004B2F0000}"/>
    <cellStyle name="Обычный 4 36 2 10" xfId="48831" xr:uid="{00000000-0005-0000-0000-00004C2F0000}"/>
    <cellStyle name="Обычный 4 36 2 2" xfId="6110" xr:uid="{00000000-0005-0000-0000-00004D2F0000}"/>
    <cellStyle name="Обычный 4 36 2 2 2" xfId="54172" xr:uid="{00000000-0005-0000-0000-00004E2F0000}"/>
    <cellStyle name="Обычный 4 36 2 3" xfId="11451" xr:uid="{00000000-0005-0000-0000-00004F2F0000}"/>
    <cellStyle name="Обычный 4 36 2 4" xfId="16791" xr:uid="{00000000-0005-0000-0000-0000502F0000}"/>
    <cellStyle name="Обычный 4 36 2 5" xfId="22131" xr:uid="{00000000-0005-0000-0000-0000512F0000}"/>
    <cellStyle name="Обычный 4 36 2 6" xfId="27471" xr:uid="{00000000-0005-0000-0000-0000522F0000}"/>
    <cellStyle name="Обычный 4 36 2 7" xfId="32811" xr:uid="{00000000-0005-0000-0000-0000532F0000}"/>
    <cellStyle name="Обычный 4 36 2 8" xfId="38151" xr:uid="{00000000-0005-0000-0000-0000542F0000}"/>
    <cellStyle name="Обычный 4 36 2 9" xfId="43491" xr:uid="{00000000-0005-0000-0000-0000552F0000}"/>
    <cellStyle name="Обычный 4 36 3" xfId="5643" xr:uid="{00000000-0005-0000-0000-0000562F0000}"/>
    <cellStyle name="Обычный 4 36 3 2" xfId="53705" xr:uid="{00000000-0005-0000-0000-0000572F0000}"/>
    <cellStyle name="Обычный 4 36 4" xfId="10984" xr:uid="{00000000-0005-0000-0000-0000582F0000}"/>
    <cellStyle name="Обычный 4 36 5" xfId="16324" xr:uid="{00000000-0005-0000-0000-0000592F0000}"/>
    <cellStyle name="Обычный 4 36 6" xfId="21664" xr:uid="{00000000-0005-0000-0000-00005A2F0000}"/>
    <cellStyle name="Обычный 4 36 7" xfId="27004" xr:uid="{00000000-0005-0000-0000-00005B2F0000}"/>
    <cellStyle name="Обычный 4 36 8" xfId="32344" xr:uid="{00000000-0005-0000-0000-00005C2F0000}"/>
    <cellStyle name="Обычный 4 36 9" xfId="37684" xr:uid="{00000000-0005-0000-0000-00005D2F0000}"/>
    <cellStyle name="Обычный 4 37" xfId="312" xr:uid="{00000000-0005-0000-0000-00005E2F0000}"/>
    <cellStyle name="Обычный 4 37 10" xfId="43034" xr:uid="{00000000-0005-0000-0000-00005F2F0000}"/>
    <cellStyle name="Обычный 4 37 11" xfId="48374" xr:uid="{00000000-0005-0000-0000-0000602F0000}"/>
    <cellStyle name="Обычный 4 37 2" xfId="779" xr:uid="{00000000-0005-0000-0000-0000612F0000}"/>
    <cellStyle name="Обычный 4 37 2 10" xfId="48841" xr:uid="{00000000-0005-0000-0000-0000622F0000}"/>
    <cellStyle name="Обычный 4 37 2 2" xfId="6120" xr:uid="{00000000-0005-0000-0000-0000632F0000}"/>
    <cellStyle name="Обычный 4 37 2 2 2" xfId="54182" xr:uid="{00000000-0005-0000-0000-0000642F0000}"/>
    <cellStyle name="Обычный 4 37 2 3" xfId="11461" xr:uid="{00000000-0005-0000-0000-0000652F0000}"/>
    <cellStyle name="Обычный 4 37 2 4" xfId="16801" xr:uid="{00000000-0005-0000-0000-0000662F0000}"/>
    <cellStyle name="Обычный 4 37 2 5" xfId="22141" xr:uid="{00000000-0005-0000-0000-0000672F0000}"/>
    <cellStyle name="Обычный 4 37 2 6" xfId="27481" xr:uid="{00000000-0005-0000-0000-0000682F0000}"/>
    <cellStyle name="Обычный 4 37 2 7" xfId="32821" xr:uid="{00000000-0005-0000-0000-0000692F0000}"/>
    <cellStyle name="Обычный 4 37 2 8" xfId="38161" xr:uid="{00000000-0005-0000-0000-00006A2F0000}"/>
    <cellStyle name="Обычный 4 37 2 9" xfId="43501" xr:uid="{00000000-0005-0000-0000-00006B2F0000}"/>
    <cellStyle name="Обычный 4 37 3" xfId="5653" xr:uid="{00000000-0005-0000-0000-00006C2F0000}"/>
    <cellStyle name="Обычный 4 37 3 2" xfId="53715" xr:uid="{00000000-0005-0000-0000-00006D2F0000}"/>
    <cellStyle name="Обычный 4 37 4" xfId="10994" xr:uid="{00000000-0005-0000-0000-00006E2F0000}"/>
    <cellStyle name="Обычный 4 37 5" xfId="16334" xr:uid="{00000000-0005-0000-0000-00006F2F0000}"/>
    <cellStyle name="Обычный 4 37 6" xfId="21674" xr:uid="{00000000-0005-0000-0000-0000702F0000}"/>
    <cellStyle name="Обычный 4 37 7" xfId="27014" xr:uid="{00000000-0005-0000-0000-0000712F0000}"/>
    <cellStyle name="Обычный 4 37 8" xfId="32354" xr:uid="{00000000-0005-0000-0000-0000722F0000}"/>
    <cellStyle name="Обычный 4 37 9" xfId="37694" xr:uid="{00000000-0005-0000-0000-0000732F0000}"/>
    <cellStyle name="Обычный 4 38" xfId="322" xr:uid="{00000000-0005-0000-0000-0000742F0000}"/>
    <cellStyle name="Обычный 4 38 10" xfId="43044" xr:uid="{00000000-0005-0000-0000-0000752F0000}"/>
    <cellStyle name="Обычный 4 38 11" xfId="48384" xr:uid="{00000000-0005-0000-0000-0000762F0000}"/>
    <cellStyle name="Обычный 4 38 2" xfId="789" xr:uid="{00000000-0005-0000-0000-0000772F0000}"/>
    <cellStyle name="Обычный 4 38 2 10" xfId="48851" xr:uid="{00000000-0005-0000-0000-0000782F0000}"/>
    <cellStyle name="Обычный 4 38 2 2" xfId="6130" xr:uid="{00000000-0005-0000-0000-0000792F0000}"/>
    <cellStyle name="Обычный 4 38 2 2 2" xfId="54192" xr:uid="{00000000-0005-0000-0000-00007A2F0000}"/>
    <cellStyle name="Обычный 4 38 2 3" xfId="11471" xr:uid="{00000000-0005-0000-0000-00007B2F0000}"/>
    <cellStyle name="Обычный 4 38 2 4" xfId="16811" xr:uid="{00000000-0005-0000-0000-00007C2F0000}"/>
    <cellStyle name="Обычный 4 38 2 5" xfId="22151" xr:uid="{00000000-0005-0000-0000-00007D2F0000}"/>
    <cellStyle name="Обычный 4 38 2 6" xfId="27491" xr:uid="{00000000-0005-0000-0000-00007E2F0000}"/>
    <cellStyle name="Обычный 4 38 2 7" xfId="32831" xr:uid="{00000000-0005-0000-0000-00007F2F0000}"/>
    <cellStyle name="Обычный 4 38 2 8" xfId="38171" xr:uid="{00000000-0005-0000-0000-0000802F0000}"/>
    <cellStyle name="Обычный 4 38 2 9" xfId="43511" xr:uid="{00000000-0005-0000-0000-0000812F0000}"/>
    <cellStyle name="Обычный 4 38 3" xfId="5663" xr:uid="{00000000-0005-0000-0000-0000822F0000}"/>
    <cellStyle name="Обычный 4 38 3 2" xfId="53725" xr:uid="{00000000-0005-0000-0000-0000832F0000}"/>
    <cellStyle name="Обычный 4 38 4" xfId="11004" xr:uid="{00000000-0005-0000-0000-0000842F0000}"/>
    <cellStyle name="Обычный 4 38 5" xfId="16344" xr:uid="{00000000-0005-0000-0000-0000852F0000}"/>
    <cellStyle name="Обычный 4 38 6" xfId="21684" xr:uid="{00000000-0005-0000-0000-0000862F0000}"/>
    <cellStyle name="Обычный 4 38 7" xfId="27024" xr:uid="{00000000-0005-0000-0000-0000872F0000}"/>
    <cellStyle name="Обычный 4 38 8" xfId="32364" xr:uid="{00000000-0005-0000-0000-0000882F0000}"/>
    <cellStyle name="Обычный 4 38 9" xfId="37704" xr:uid="{00000000-0005-0000-0000-0000892F0000}"/>
    <cellStyle name="Обычный 4 39" xfId="332" xr:uid="{00000000-0005-0000-0000-00008A2F0000}"/>
    <cellStyle name="Обычный 4 39 10" xfId="43054" xr:uid="{00000000-0005-0000-0000-00008B2F0000}"/>
    <cellStyle name="Обычный 4 39 11" xfId="48394" xr:uid="{00000000-0005-0000-0000-00008C2F0000}"/>
    <cellStyle name="Обычный 4 39 2" xfId="799" xr:uid="{00000000-0005-0000-0000-00008D2F0000}"/>
    <cellStyle name="Обычный 4 39 2 10" xfId="48861" xr:uid="{00000000-0005-0000-0000-00008E2F0000}"/>
    <cellStyle name="Обычный 4 39 2 2" xfId="6140" xr:uid="{00000000-0005-0000-0000-00008F2F0000}"/>
    <cellStyle name="Обычный 4 39 2 2 2" xfId="54202" xr:uid="{00000000-0005-0000-0000-0000902F0000}"/>
    <cellStyle name="Обычный 4 39 2 3" xfId="11481" xr:uid="{00000000-0005-0000-0000-0000912F0000}"/>
    <cellStyle name="Обычный 4 39 2 4" xfId="16821" xr:uid="{00000000-0005-0000-0000-0000922F0000}"/>
    <cellStyle name="Обычный 4 39 2 5" xfId="22161" xr:uid="{00000000-0005-0000-0000-0000932F0000}"/>
    <cellStyle name="Обычный 4 39 2 6" xfId="27501" xr:uid="{00000000-0005-0000-0000-0000942F0000}"/>
    <cellStyle name="Обычный 4 39 2 7" xfId="32841" xr:uid="{00000000-0005-0000-0000-0000952F0000}"/>
    <cellStyle name="Обычный 4 39 2 8" xfId="38181" xr:uid="{00000000-0005-0000-0000-0000962F0000}"/>
    <cellStyle name="Обычный 4 39 2 9" xfId="43521" xr:uid="{00000000-0005-0000-0000-0000972F0000}"/>
    <cellStyle name="Обычный 4 39 3" xfId="5673" xr:uid="{00000000-0005-0000-0000-0000982F0000}"/>
    <cellStyle name="Обычный 4 39 3 2" xfId="53735" xr:uid="{00000000-0005-0000-0000-0000992F0000}"/>
    <cellStyle name="Обычный 4 39 4" xfId="11014" xr:uid="{00000000-0005-0000-0000-00009A2F0000}"/>
    <cellStyle name="Обычный 4 39 5" xfId="16354" xr:uid="{00000000-0005-0000-0000-00009B2F0000}"/>
    <cellStyle name="Обычный 4 39 6" xfId="21694" xr:uid="{00000000-0005-0000-0000-00009C2F0000}"/>
    <cellStyle name="Обычный 4 39 7" xfId="27034" xr:uid="{00000000-0005-0000-0000-00009D2F0000}"/>
    <cellStyle name="Обычный 4 39 8" xfId="32374" xr:uid="{00000000-0005-0000-0000-00009E2F0000}"/>
    <cellStyle name="Обычный 4 39 9" xfId="37714" xr:uid="{00000000-0005-0000-0000-00009F2F0000}"/>
    <cellStyle name="Обычный 4 4" xfId="62" xr:uid="{00000000-0005-0000-0000-0000A02F0000}"/>
    <cellStyle name="Обычный 4 4 10" xfId="42784" xr:uid="{00000000-0005-0000-0000-0000A12F0000}"/>
    <cellStyle name="Обычный 4 4 11" xfId="48124" xr:uid="{00000000-0005-0000-0000-0000A22F0000}"/>
    <cellStyle name="Обычный 4 4 2" xfId="529" xr:uid="{00000000-0005-0000-0000-0000A32F0000}"/>
    <cellStyle name="Обычный 4 4 2 10" xfId="48591" xr:uid="{00000000-0005-0000-0000-0000A42F0000}"/>
    <cellStyle name="Обычный 4 4 2 2" xfId="5870" xr:uid="{00000000-0005-0000-0000-0000A52F0000}"/>
    <cellStyle name="Обычный 4 4 2 2 2" xfId="53932" xr:uid="{00000000-0005-0000-0000-0000A62F0000}"/>
    <cellStyle name="Обычный 4 4 2 3" xfId="11211" xr:uid="{00000000-0005-0000-0000-0000A72F0000}"/>
    <cellStyle name="Обычный 4 4 2 4" xfId="16551" xr:uid="{00000000-0005-0000-0000-0000A82F0000}"/>
    <cellStyle name="Обычный 4 4 2 5" xfId="21891" xr:uid="{00000000-0005-0000-0000-0000A92F0000}"/>
    <cellStyle name="Обычный 4 4 2 6" xfId="27231" xr:uid="{00000000-0005-0000-0000-0000AA2F0000}"/>
    <cellStyle name="Обычный 4 4 2 7" xfId="32571" xr:uid="{00000000-0005-0000-0000-0000AB2F0000}"/>
    <cellStyle name="Обычный 4 4 2 8" xfId="37911" xr:uid="{00000000-0005-0000-0000-0000AC2F0000}"/>
    <cellStyle name="Обычный 4 4 2 9" xfId="43251" xr:uid="{00000000-0005-0000-0000-0000AD2F0000}"/>
    <cellStyle name="Обычный 4 4 3" xfId="5403" xr:uid="{00000000-0005-0000-0000-0000AE2F0000}"/>
    <cellStyle name="Обычный 4 4 3 2" xfId="53465" xr:uid="{00000000-0005-0000-0000-0000AF2F0000}"/>
    <cellStyle name="Обычный 4 4 4" xfId="10744" xr:uid="{00000000-0005-0000-0000-0000B02F0000}"/>
    <cellStyle name="Обычный 4 4 5" xfId="16084" xr:uid="{00000000-0005-0000-0000-0000B12F0000}"/>
    <cellStyle name="Обычный 4 4 6" xfId="21424" xr:uid="{00000000-0005-0000-0000-0000B22F0000}"/>
    <cellStyle name="Обычный 4 4 7" xfId="26764" xr:uid="{00000000-0005-0000-0000-0000B32F0000}"/>
    <cellStyle name="Обычный 4 4 8" xfId="32104" xr:uid="{00000000-0005-0000-0000-0000B42F0000}"/>
    <cellStyle name="Обычный 4 4 9" xfId="37444" xr:uid="{00000000-0005-0000-0000-0000B52F0000}"/>
    <cellStyle name="Обычный 4 40" xfId="342" xr:uid="{00000000-0005-0000-0000-0000B62F0000}"/>
    <cellStyle name="Обычный 4 40 10" xfId="43064" xr:uid="{00000000-0005-0000-0000-0000B72F0000}"/>
    <cellStyle name="Обычный 4 40 11" xfId="48404" xr:uid="{00000000-0005-0000-0000-0000B82F0000}"/>
    <cellStyle name="Обычный 4 40 2" xfId="809" xr:uid="{00000000-0005-0000-0000-0000B92F0000}"/>
    <cellStyle name="Обычный 4 40 2 10" xfId="48871" xr:uid="{00000000-0005-0000-0000-0000BA2F0000}"/>
    <cellStyle name="Обычный 4 40 2 2" xfId="6150" xr:uid="{00000000-0005-0000-0000-0000BB2F0000}"/>
    <cellStyle name="Обычный 4 40 2 2 2" xfId="54212" xr:uid="{00000000-0005-0000-0000-0000BC2F0000}"/>
    <cellStyle name="Обычный 4 40 2 3" xfId="11491" xr:uid="{00000000-0005-0000-0000-0000BD2F0000}"/>
    <cellStyle name="Обычный 4 40 2 4" xfId="16831" xr:uid="{00000000-0005-0000-0000-0000BE2F0000}"/>
    <cellStyle name="Обычный 4 40 2 5" xfId="22171" xr:uid="{00000000-0005-0000-0000-0000BF2F0000}"/>
    <cellStyle name="Обычный 4 40 2 6" xfId="27511" xr:uid="{00000000-0005-0000-0000-0000C02F0000}"/>
    <cellStyle name="Обычный 4 40 2 7" xfId="32851" xr:uid="{00000000-0005-0000-0000-0000C12F0000}"/>
    <cellStyle name="Обычный 4 40 2 8" xfId="38191" xr:uid="{00000000-0005-0000-0000-0000C22F0000}"/>
    <cellStyle name="Обычный 4 40 2 9" xfId="43531" xr:uid="{00000000-0005-0000-0000-0000C32F0000}"/>
    <cellStyle name="Обычный 4 40 3" xfId="5683" xr:uid="{00000000-0005-0000-0000-0000C42F0000}"/>
    <cellStyle name="Обычный 4 40 3 2" xfId="53745" xr:uid="{00000000-0005-0000-0000-0000C52F0000}"/>
    <cellStyle name="Обычный 4 40 4" xfId="11024" xr:uid="{00000000-0005-0000-0000-0000C62F0000}"/>
    <cellStyle name="Обычный 4 40 5" xfId="16364" xr:uid="{00000000-0005-0000-0000-0000C72F0000}"/>
    <cellStyle name="Обычный 4 40 6" xfId="21704" xr:uid="{00000000-0005-0000-0000-0000C82F0000}"/>
    <cellStyle name="Обычный 4 40 7" xfId="27044" xr:uid="{00000000-0005-0000-0000-0000C92F0000}"/>
    <cellStyle name="Обычный 4 40 8" xfId="32384" xr:uid="{00000000-0005-0000-0000-0000CA2F0000}"/>
    <cellStyle name="Обычный 4 40 9" xfId="37724" xr:uid="{00000000-0005-0000-0000-0000CB2F0000}"/>
    <cellStyle name="Обычный 4 41" xfId="352" xr:uid="{00000000-0005-0000-0000-0000CC2F0000}"/>
    <cellStyle name="Обычный 4 41 10" xfId="43074" xr:uid="{00000000-0005-0000-0000-0000CD2F0000}"/>
    <cellStyle name="Обычный 4 41 11" xfId="48414" xr:uid="{00000000-0005-0000-0000-0000CE2F0000}"/>
    <cellStyle name="Обычный 4 41 2" xfId="819" xr:uid="{00000000-0005-0000-0000-0000CF2F0000}"/>
    <cellStyle name="Обычный 4 41 2 10" xfId="48881" xr:uid="{00000000-0005-0000-0000-0000D02F0000}"/>
    <cellStyle name="Обычный 4 41 2 2" xfId="6160" xr:uid="{00000000-0005-0000-0000-0000D12F0000}"/>
    <cellStyle name="Обычный 4 41 2 2 2" xfId="54222" xr:uid="{00000000-0005-0000-0000-0000D22F0000}"/>
    <cellStyle name="Обычный 4 41 2 3" xfId="11501" xr:uid="{00000000-0005-0000-0000-0000D32F0000}"/>
    <cellStyle name="Обычный 4 41 2 4" xfId="16841" xr:uid="{00000000-0005-0000-0000-0000D42F0000}"/>
    <cellStyle name="Обычный 4 41 2 5" xfId="22181" xr:uid="{00000000-0005-0000-0000-0000D52F0000}"/>
    <cellStyle name="Обычный 4 41 2 6" xfId="27521" xr:uid="{00000000-0005-0000-0000-0000D62F0000}"/>
    <cellStyle name="Обычный 4 41 2 7" xfId="32861" xr:uid="{00000000-0005-0000-0000-0000D72F0000}"/>
    <cellStyle name="Обычный 4 41 2 8" xfId="38201" xr:uid="{00000000-0005-0000-0000-0000D82F0000}"/>
    <cellStyle name="Обычный 4 41 2 9" xfId="43541" xr:uid="{00000000-0005-0000-0000-0000D92F0000}"/>
    <cellStyle name="Обычный 4 41 3" xfId="5693" xr:uid="{00000000-0005-0000-0000-0000DA2F0000}"/>
    <cellStyle name="Обычный 4 41 3 2" xfId="53755" xr:uid="{00000000-0005-0000-0000-0000DB2F0000}"/>
    <cellStyle name="Обычный 4 41 4" xfId="11034" xr:uid="{00000000-0005-0000-0000-0000DC2F0000}"/>
    <cellStyle name="Обычный 4 41 5" xfId="16374" xr:uid="{00000000-0005-0000-0000-0000DD2F0000}"/>
    <cellStyle name="Обычный 4 41 6" xfId="21714" xr:uid="{00000000-0005-0000-0000-0000DE2F0000}"/>
    <cellStyle name="Обычный 4 41 7" xfId="27054" xr:uid="{00000000-0005-0000-0000-0000DF2F0000}"/>
    <cellStyle name="Обычный 4 41 8" xfId="32394" xr:uid="{00000000-0005-0000-0000-0000E02F0000}"/>
    <cellStyle name="Обычный 4 41 9" xfId="37734" xr:uid="{00000000-0005-0000-0000-0000E12F0000}"/>
    <cellStyle name="Обычный 4 42" xfId="362" xr:uid="{00000000-0005-0000-0000-0000E22F0000}"/>
    <cellStyle name="Обычный 4 42 10" xfId="43084" xr:uid="{00000000-0005-0000-0000-0000E32F0000}"/>
    <cellStyle name="Обычный 4 42 11" xfId="48424" xr:uid="{00000000-0005-0000-0000-0000E42F0000}"/>
    <cellStyle name="Обычный 4 42 2" xfId="829" xr:uid="{00000000-0005-0000-0000-0000E52F0000}"/>
    <cellStyle name="Обычный 4 42 2 10" xfId="48891" xr:uid="{00000000-0005-0000-0000-0000E62F0000}"/>
    <cellStyle name="Обычный 4 42 2 2" xfId="6170" xr:uid="{00000000-0005-0000-0000-0000E72F0000}"/>
    <cellStyle name="Обычный 4 42 2 2 2" xfId="54232" xr:uid="{00000000-0005-0000-0000-0000E82F0000}"/>
    <cellStyle name="Обычный 4 42 2 3" xfId="11511" xr:uid="{00000000-0005-0000-0000-0000E92F0000}"/>
    <cellStyle name="Обычный 4 42 2 4" xfId="16851" xr:uid="{00000000-0005-0000-0000-0000EA2F0000}"/>
    <cellStyle name="Обычный 4 42 2 5" xfId="22191" xr:uid="{00000000-0005-0000-0000-0000EB2F0000}"/>
    <cellStyle name="Обычный 4 42 2 6" xfId="27531" xr:uid="{00000000-0005-0000-0000-0000EC2F0000}"/>
    <cellStyle name="Обычный 4 42 2 7" xfId="32871" xr:uid="{00000000-0005-0000-0000-0000ED2F0000}"/>
    <cellStyle name="Обычный 4 42 2 8" xfId="38211" xr:uid="{00000000-0005-0000-0000-0000EE2F0000}"/>
    <cellStyle name="Обычный 4 42 2 9" xfId="43551" xr:uid="{00000000-0005-0000-0000-0000EF2F0000}"/>
    <cellStyle name="Обычный 4 42 3" xfId="5703" xr:uid="{00000000-0005-0000-0000-0000F02F0000}"/>
    <cellStyle name="Обычный 4 42 3 2" xfId="53765" xr:uid="{00000000-0005-0000-0000-0000F12F0000}"/>
    <cellStyle name="Обычный 4 42 4" xfId="11044" xr:uid="{00000000-0005-0000-0000-0000F22F0000}"/>
    <cellStyle name="Обычный 4 42 5" xfId="16384" xr:uid="{00000000-0005-0000-0000-0000F32F0000}"/>
    <cellStyle name="Обычный 4 42 6" xfId="21724" xr:uid="{00000000-0005-0000-0000-0000F42F0000}"/>
    <cellStyle name="Обычный 4 42 7" xfId="27064" xr:uid="{00000000-0005-0000-0000-0000F52F0000}"/>
    <cellStyle name="Обычный 4 42 8" xfId="32404" xr:uid="{00000000-0005-0000-0000-0000F62F0000}"/>
    <cellStyle name="Обычный 4 42 9" xfId="37744" xr:uid="{00000000-0005-0000-0000-0000F72F0000}"/>
    <cellStyle name="Обычный 4 43" xfId="372" xr:uid="{00000000-0005-0000-0000-0000F82F0000}"/>
    <cellStyle name="Обычный 4 43 10" xfId="43094" xr:uid="{00000000-0005-0000-0000-0000F92F0000}"/>
    <cellStyle name="Обычный 4 43 11" xfId="48434" xr:uid="{00000000-0005-0000-0000-0000FA2F0000}"/>
    <cellStyle name="Обычный 4 43 2" xfId="839" xr:uid="{00000000-0005-0000-0000-0000FB2F0000}"/>
    <cellStyle name="Обычный 4 43 2 10" xfId="48901" xr:uid="{00000000-0005-0000-0000-0000FC2F0000}"/>
    <cellStyle name="Обычный 4 43 2 2" xfId="6180" xr:uid="{00000000-0005-0000-0000-0000FD2F0000}"/>
    <cellStyle name="Обычный 4 43 2 2 2" xfId="54242" xr:uid="{00000000-0005-0000-0000-0000FE2F0000}"/>
    <cellStyle name="Обычный 4 43 2 3" xfId="11521" xr:uid="{00000000-0005-0000-0000-0000FF2F0000}"/>
    <cellStyle name="Обычный 4 43 2 4" xfId="16861" xr:uid="{00000000-0005-0000-0000-000000300000}"/>
    <cellStyle name="Обычный 4 43 2 5" xfId="22201" xr:uid="{00000000-0005-0000-0000-000001300000}"/>
    <cellStyle name="Обычный 4 43 2 6" xfId="27541" xr:uid="{00000000-0005-0000-0000-000002300000}"/>
    <cellStyle name="Обычный 4 43 2 7" xfId="32881" xr:uid="{00000000-0005-0000-0000-000003300000}"/>
    <cellStyle name="Обычный 4 43 2 8" xfId="38221" xr:uid="{00000000-0005-0000-0000-000004300000}"/>
    <cellStyle name="Обычный 4 43 2 9" xfId="43561" xr:uid="{00000000-0005-0000-0000-000005300000}"/>
    <cellStyle name="Обычный 4 43 3" xfId="5713" xr:uid="{00000000-0005-0000-0000-000006300000}"/>
    <cellStyle name="Обычный 4 43 3 2" xfId="53775" xr:uid="{00000000-0005-0000-0000-000007300000}"/>
    <cellStyle name="Обычный 4 43 4" xfId="11054" xr:uid="{00000000-0005-0000-0000-000008300000}"/>
    <cellStyle name="Обычный 4 43 5" xfId="16394" xr:uid="{00000000-0005-0000-0000-000009300000}"/>
    <cellStyle name="Обычный 4 43 6" xfId="21734" xr:uid="{00000000-0005-0000-0000-00000A300000}"/>
    <cellStyle name="Обычный 4 43 7" xfId="27074" xr:uid="{00000000-0005-0000-0000-00000B300000}"/>
    <cellStyle name="Обычный 4 43 8" xfId="32414" xr:uid="{00000000-0005-0000-0000-00000C300000}"/>
    <cellStyle name="Обычный 4 43 9" xfId="37754" xr:uid="{00000000-0005-0000-0000-00000D300000}"/>
    <cellStyle name="Обычный 4 44" xfId="382" xr:uid="{00000000-0005-0000-0000-00000E300000}"/>
    <cellStyle name="Обычный 4 44 10" xfId="43104" xr:uid="{00000000-0005-0000-0000-00000F300000}"/>
    <cellStyle name="Обычный 4 44 11" xfId="48444" xr:uid="{00000000-0005-0000-0000-000010300000}"/>
    <cellStyle name="Обычный 4 44 2" xfId="849" xr:uid="{00000000-0005-0000-0000-000011300000}"/>
    <cellStyle name="Обычный 4 44 2 10" xfId="48911" xr:uid="{00000000-0005-0000-0000-000012300000}"/>
    <cellStyle name="Обычный 4 44 2 2" xfId="6190" xr:uid="{00000000-0005-0000-0000-000013300000}"/>
    <cellStyle name="Обычный 4 44 2 2 2" xfId="54252" xr:uid="{00000000-0005-0000-0000-000014300000}"/>
    <cellStyle name="Обычный 4 44 2 3" xfId="11531" xr:uid="{00000000-0005-0000-0000-000015300000}"/>
    <cellStyle name="Обычный 4 44 2 4" xfId="16871" xr:uid="{00000000-0005-0000-0000-000016300000}"/>
    <cellStyle name="Обычный 4 44 2 5" xfId="22211" xr:uid="{00000000-0005-0000-0000-000017300000}"/>
    <cellStyle name="Обычный 4 44 2 6" xfId="27551" xr:uid="{00000000-0005-0000-0000-000018300000}"/>
    <cellStyle name="Обычный 4 44 2 7" xfId="32891" xr:uid="{00000000-0005-0000-0000-000019300000}"/>
    <cellStyle name="Обычный 4 44 2 8" xfId="38231" xr:uid="{00000000-0005-0000-0000-00001A300000}"/>
    <cellStyle name="Обычный 4 44 2 9" xfId="43571" xr:uid="{00000000-0005-0000-0000-00001B300000}"/>
    <cellStyle name="Обычный 4 44 3" xfId="5723" xr:uid="{00000000-0005-0000-0000-00001C300000}"/>
    <cellStyle name="Обычный 4 44 3 2" xfId="53785" xr:uid="{00000000-0005-0000-0000-00001D300000}"/>
    <cellStyle name="Обычный 4 44 4" xfId="11064" xr:uid="{00000000-0005-0000-0000-00001E300000}"/>
    <cellStyle name="Обычный 4 44 5" xfId="16404" xr:uid="{00000000-0005-0000-0000-00001F300000}"/>
    <cellStyle name="Обычный 4 44 6" xfId="21744" xr:uid="{00000000-0005-0000-0000-000020300000}"/>
    <cellStyle name="Обычный 4 44 7" xfId="27084" xr:uid="{00000000-0005-0000-0000-000021300000}"/>
    <cellStyle name="Обычный 4 44 8" xfId="32424" xr:uid="{00000000-0005-0000-0000-000022300000}"/>
    <cellStyle name="Обычный 4 44 9" xfId="37764" xr:uid="{00000000-0005-0000-0000-000023300000}"/>
    <cellStyle name="Обычный 4 45" xfId="392" xr:uid="{00000000-0005-0000-0000-000024300000}"/>
    <cellStyle name="Обычный 4 45 10" xfId="43114" xr:uid="{00000000-0005-0000-0000-000025300000}"/>
    <cellStyle name="Обычный 4 45 11" xfId="48454" xr:uid="{00000000-0005-0000-0000-000026300000}"/>
    <cellStyle name="Обычный 4 45 2" xfId="859" xr:uid="{00000000-0005-0000-0000-000027300000}"/>
    <cellStyle name="Обычный 4 45 2 10" xfId="48921" xr:uid="{00000000-0005-0000-0000-000028300000}"/>
    <cellStyle name="Обычный 4 45 2 2" xfId="6200" xr:uid="{00000000-0005-0000-0000-000029300000}"/>
    <cellStyle name="Обычный 4 45 2 2 2" xfId="54262" xr:uid="{00000000-0005-0000-0000-00002A300000}"/>
    <cellStyle name="Обычный 4 45 2 3" xfId="11541" xr:uid="{00000000-0005-0000-0000-00002B300000}"/>
    <cellStyle name="Обычный 4 45 2 4" xfId="16881" xr:uid="{00000000-0005-0000-0000-00002C300000}"/>
    <cellStyle name="Обычный 4 45 2 5" xfId="22221" xr:uid="{00000000-0005-0000-0000-00002D300000}"/>
    <cellStyle name="Обычный 4 45 2 6" xfId="27561" xr:uid="{00000000-0005-0000-0000-00002E300000}"/>
    <cellStyle name="Обычный 4 45 2 7" xfId="32901" xr:uid="{00000000-0005-0000-0000-00002F300000}"/>
    <cellStyle name="Обычный 4 45 2 8" xfId="38241" xr:uid="{00000000-0005-0000-0000-000030300000}"/>
    <cellStyle name="Обычный 4 45 2 9" xfId="43581" xr:uid="{00000000-0005-0000-0000-000031300000}"/>
    <cellStyle name="Обычный 4 45 3" xfId="5733" xr:uid="{00000000-0005-0000-0000-000032300000}"/>
    <cellStyle name="Обычный 4 45 3 2" xfId="53795" xr:uid="{00000000-0005-0000-0000-000033300000}"/>
    <cellStyle name="Обычный 4 45 4" xfId="11074" xr:uid="{00000000-0005-0000-0000-000034300000}"/>
    <cellStyle name="Обычный 4 45 5" xfId="16414" xr:uid="{00000000-0005-0000-0000-000035300000}"/>
    <cellStyle name="Обычный 4 45 6" xfId="21754" xr:uid="{00000000-0005-0000-0000-000036300000}"/>
    <cellStyle name="Обычный 4 45 7" xfId="27094" xr:uid="{00000000-0005-0000-0000-000037300000}"/>
    <cellStyle name="Обычный 4 45 8" xfId="32434" xr:uid="{00000000-0005-0000-0000-000038300000}"/>
    <cellStyle name="Обычный 4 45 9" xfId="37774" xr:uid="{00000000-0005-0000-0000-000039300000}"/>
    <cellStyle name="Обычный 4 46" xfId="402" xr:uid="{00000000-0005-0000-0000-00003A300000}"/>
    <cellStyle name="Обычный 4 46 10" xfId="43124" xr:uid="{00000000-0005-0000-0000-00003B300000}"/>
    <cellStyle name="Обычный 4 46 11" xfId="48464" xr:uid="{00000000-0005-0000-0000-00003C300000}"/>
    <cellStyle name="Обычный 4 46 2" xfId="869" xr:uid="{00000000-0005-0000-0000-00003D300000}"/>
    <cellStyle name="Обычный 4 46 2 10" xfId="48931" xr:uid="{00000000-0005-0000-0000-00003E300000}"/>
    <cellStyle name="Обычный 4 46 2 2" xfId="6210" xr:uid="{00000000-0005-0000-0000-00003F300000}"/>
    <cellStyle name="Обычный 4 46 2 2 2" xfId="54272" xr:uid="{00000000-0005-0000-0000-000040300000}"/>
    <cellStyle name="Обычный 4 46 2 3" xfId="11551" xr:uid="{00000000-0005-0000-0000-000041300000}"/>
    <cellStyle name="Обычный 4 46 2 4" xfId="16891" xr:uid="{00000000-0005-0000-0000-000042300000}"/>
    <cellStyle name="Обычный 4 46 2 5" xfId="22231" xr:uid="{00000000-0005-0000-0000-000043300000}"/>
    <cellStyle name="Обычный 4 46 2 6" xfId="27571" xr:uid="{00000000-0005-0000-0000-000044300000}"/>
    <cellStyle name="Обычный 4 46 2 7" xfId="32911" xr:uid="{00000000-0005-0000-0000-000045300000}"/>
    <cellStyle name="Обычный 4 46 2 8" xfId="38251" xr:uid="{00000000-0005-0000-0000-000046300000}"/>
    <cellStyle name="Обычный 4 46 2 9" xfId="43591" xr:uid="{00000000-0005-0000-0000-000047300000}"/>
    <cellStyle name="Обычный 4 46 3" xfId="5743" xr:uid="{00000000-0005-0000-0000-000048300000}"/>
    <cellStyle name="Обычный 4 46 3 2" xfId="53805" xr:uid="{00000000-0005-0000-0000-000049300000}"/>
    <cellStyle name="Обычный 4 46 4" xfId="11084" xr:uid="{00000000-0005-0000-0000-00004A300000}"/>
    <cellStyle name="Обычный 4 46 5" xfId="16424" xr:uid="{00000000-0005-0000-0000-00004B300000}"/>
    <cellStyle name="Обычный 4 46 6" xfId="21764" xr:uid="{00000000-0005-0000-0000-00004C300000}"/>
    <cellStyle name="Обычный 4 46 7" xfId="27104" xr:uid="{00000000-0005-0000-0000-00004D300000}"/>
    <cellStyle name="Обычный 4 46 8" xfId="32444" xr:uid="{00000000-0005-0000-0000-00004E300000}"/>
    <cellStyle name="Обычный 4 46 9" xfId="37784" xr:uid="{00000000-0005-0000-0000-00004F300000}"/>
    <cellStyle name="Обычный 4 47" xfId="412" xr:uid="{00000000-0005-0000-0000-000050300000}"/>
    <cellStyle name="Обычный 4 47 10" xfId="43134" xr:uid="{00000000-0005-0000-0000-000051300000}"/>
    <cellStyle name="Обычный 4 47 11" xfId="48474" xr:uid="{00000000-0005-0000-0000-000052300000}"/>
    <cellStyle name="Обычный 4 47 2" xfId="879" xr:uid="{00000000-0005-0000-0000-000053300000}"/>
    <cellStyle name="Обычный 4 47 2 10" xfId="48941" xr:uid="{00000000-0005-0000-0000-000054300000}"/>
    <cellStyle name="Обычный 4 47 2 2" xfId="6220" xr:uid="{00000000-0005-0000-0000-000055300000}"/>
    <cellStyle name="Обычный 4 47 2 2 2" xfId="54282" xr:uid="{00000000-0005-0000-0000-000056300000}"/>
    <cellStyle name="Обычный 4 47 2 3" xfId="11561" xr:uid="{00000000-0005-0000-0000-000057300000}"/>
    <cellStyle name="Обычный 4 47 2 4" xfId="16901" xr:uid="{00000000-0005-0000-0000-000058300000}"/>
    <cellStyle name="Обычный 4 47 2 5" xfId="22241" xr:uid="{00000000-0005-0000-0000-000059300000}"/>
    <cellStyle name="Обычный 4 47 2 6" xfId="27581" xr:uid="{00000000-0005-0000-0000-00005A300000}"/>
    <cellStyle name="Обычный 4 47 2 7" xfId="32921" xr:uid="{00000000-0005-0000-0000-00005B300000}"/>
    <cellStyle name="Обычный 4 47 2 8" xfId="38261" xr:uid="{00000000-0005-0000-0000-00005C300000}"/>
    <cellStyle name="Обычный 4 47 2 9" xfId="43601" xr:uid="{00000000-0005-0000-0000-00005D300000}"/>
    <cellStyle name="Обычный 4 47 3" xfId="5753" xr:uid="{00000000-0005-0000-0000-00005E300000}"/>
    <cellStyle name="Обычный 4 47 3 2" xfId="53815" xr:uid="{00000000-0005-0000-0000-00005F300000}"/>
    <cellStyle name="Обычный 4 47 4" xfId="11094" xr:uid="{00000000-0005-0000-0000-000060300000}"/>
    <cellStyle name="Обычный 4 47 5" xfId="16434" xr:uid="{00000000-0005-0000-0000-000061300000}"/>
    <cellStyle name="Обычный 4 47 6" xfId="21774" xr:uid="{00000000-0005-0000-0000-000062300000}"/>
    <cellStyle name="Обычный 4 47 7" xfId="27114" xr:uid="{00000000-0005-0000-0000-000063300000}"/>
    <cellStyle name="Обычный 4 47 8" xfId="32454" xr:uid="{00000000-0005-0000-0000-000064300000}"/>
    <cellStyle name="Обычный 4 47 9" xfId="37794" xr:uid="{00000000-0005-0000-0000-000065300000}"/>
    <cellStyle name="Обычный 4 48" xfId="424" xr:uid="{00000000-0005-0000-0000-000066300000}"/>
    <cellStyle name="Обычный 4 48 10" xfId="43146" xr:uid="{00000000-0005-0000-0000-000067300000}"/>
    <cellStyle name="Обычный 4 48 11" xfId="48486" xr:uid="{00000000-0005-0000-0000-000068300000}"/>
    <cellStyle name="Обычный 4 48 2" xfId="891" xr:uid="{00000000-0005-0000-0000-000069300000}"/>
    <cellStyle name="Обычный 4 48 2 10" xfId="48953" xr:uid="{00000000-0005-0000-0000-00006A300000}"/>
    <cellStyle name="Обычный 4 48 2 2" xfId="6232" xr:uid="{00000000-0005-0000-0000-00006B300000}"/>
    <cellStyle name="Обычный 4 48 2 2 2" xfId="54294" xr:uid="{00000000-0005-0000-0000-00006C300000}"/>
    <cellStyle name="Обычный 4 48 2 3" xfId="11573" xr:uid="{00000000-0005-0000-0000-00006D300000}"/>
    <cellStyle name="Обычный 4 48 2 4" xfId="16913" xr:uid="{00000000-0005-0000-0000-00006E300000}"/>
    <cellStyle name="Обычный 4 48 2 5" xfId="22253" xr:uid="{00000000-0005-0000-0000-00006F300000}"/>
    <cellStyle name="Обычный 4 48 2 6" xfId="27593" xr:uid="{00000000-0005-0000-0000-000070300000}"/>
    <cellStyle name="Обычный 4 48 2 7" xfId="32933" xr:uid="{00000000-0005-0000-0000-000071300000}"/>
    <cellStyle name="Обычный 4 48 2 8" xfId="38273" xr:uid="{00000000-0005-0000-0000-000072300000}"/>
    <cellStyle name="Обычный 4 48 2 9" xfId="43613" xr:uid="{00000000-0005-0000-0000-000073300000}"/>
    <cellStyle name="Обычный 4 48 3" xfId="5765" xr:uid="{00000000-0005-0000-0000-000074300000}"/>
    <cellStyle name="Обычный 4 48 3 2" xfId="53827" xr:uid="{00000000-0005-0000-0000-000075300000}"/>
    <cellStyle name="Обычный 4 48 4" xfId="11106" xr:uid="{00000000-0005-0000-0000-000076300000}"/>
    <cellStyle name="Обычный 4 48 5" xfId="16446" xr:uid="{00000000-0005-0000-0000-000077300000}"/>
    <cellStyle name="Обычный 4 48 6" xfId="21786" xr:uid="{00000000-0005-0000-0000-000078300000}"/>
    <cellStyle name="Обычный 4 48 7" xfId="27126" xr:uid="{00000000-0005-0000-0000-000079300000}"/>
    <cellStyle name="Обычный 4 48 8" xfId="32466" xr:uid="{00000000-0005-0000-0000-00007A300000}"/>
    <cellStyle name="Обычный 4 48 9" xfId="37806" xr:uid="{00000000-0005-0000-0000-00007B300000}"/>
    <cellStyle name="Обычный 4 49" xfId="436" xr:uid="{00000000-0005-0000-0000-00007C300000}"/>
    <cellStyle name="Обычный 4 49 10" xfId="43158" xr:uid="{00000000-0005-0000-0000-00007D300000}"/>
    <cellStyle name="Обычный 4 49 11" xfId="48498" xr:uid="{00000000-0005-0000-0000-00007E300000}"/>
    <cellStyle name="Обычный 4 49 2" xfId="903" xr:uid="{00000000-0005-0000-0000-00007F300000}"/>
    <cellStyle name="Обычный 4 49 2 10" xfId="48965" xr:uid="{00000000-0005-0000-0000-000080300000}"/>
    <cellStyle name="Обычный 4 49 2 2" xfId="6244" xr:uid="{00000000-0005-0000-0000-000081300000}"/>
    <cellStyle name="Обычный 4 49 2 2 2" xfId="54306" xr:uid="{00000000-0005-0000-0000-000082300000}"/>
    <cellStyle name="Обычный 4 49 2 3" xfId="11585" xr:uid="{00000000-0005-0000-0000-000083300000}"/>
    <cellStyle name="Обычный 4 49 2 4" xfId="16925" xr:uid="{00000000-0005-0000-0000-000084300000}"/>
    <cellStyle name="Обычный 4 49 2 5" xfId="22265" xr:uid="{00000000-0005-0000-0000-000085300000}"/>
    <cellStyle name="Обычный 4 49 2 6" xfId="27605" xr:uid="{00000000-0005-0000-0000-000086300000}"/>
    <cellStyle name="Обычный 4 49 2 7" xfId="32945" xr:uid="{00000000-0005-0000-0000-000087300000}"/>
    <cellStyle name="Обычный 4 49 2 8" xfId="38285" xr:uid="{00000000-0005-0000-0000-000088300000}"/>
    <cellStyle name="Обычный 4 49 2 9" xfId="43625" xr:uid="{00000000-0005-0000-0000-000089300000}"/>
    <cellStyle name="Обычный 4 49 3" xfId="5777" xr:uid="{00000000-0005-0000-0000-00008A300000}"/>
    <cellStyle name="Обычный 4 49 3 2" xfId="53839" xr:uid="{00000000-0005-0000-0000-00008B300000}"/>
    <cellStyle name="Обычный 4 49 4" xfId="11118" xr:uid="{00000000-0005-0000-0000-00008C300000}"/>
    <cellStyle name="Обычный 4 49 5" xfId="16458" xr:uid="{00000000-0005-0000-0000-00008D300000}"/>
    <cellStyle name="Обычный 4 49 6" xfId="21798" xr:uid="{00000000-0005-0000-0000-00008E300000}"/>
    <cellStyle name="Обычный 4 49 7" xfId="27138" xr:uid="{00000000-0005-0000-0000-00008F300000}"/>
    <cellStyle name="Обычный 4 49 8" xfId="32478" xr:uid="{00000000-0005-0000-0000-000090300000}"/>
    <cellStyle name="Обычный 4 49 9" xfId="37818" xr:uid="{00000000-0005-0000-0000-000091300000}"/>
    <cellStyle name="Обычный 4 5" xfId="64" xr:uid="{00000000-0005-0000-0000-000092300000}"/>
    <cellStyle name="Обычный 4 5 10" xfId="42786" xr:uid="{00000000-0005-0000-0000-000093300000}"/>
    <cellStyle name="Обычный 4 5 11" xfId="48126" xr:uid="{00000000-0005-0000-0000-000094300000}"/>
    <cellStyle name="Обычный 4 5 2" xfId="531" xr:uid="{00000000-0005-0000-0000-000095300000}"/>
    <cellStyle name="Обычный 4 5 2 10" xfId="48593" xr:uid="{00000000-0005-0000-0000-000096300000}"/>
    <cellStyle name="Обычный 4 5 2 2" xfId="5872" xr:uid="{00000000-0005-0000-0000-000097300000}"/>
    <cellStyle name="Обычный 4 5 2 2 2" xfId="53934" xr:uid="{00000000-0005-0000-0000-000098300000}"/>
    <cellStyle name="Обычный 4 5 2 3" xfId="11213" xr:uid="{00000000-0005-0000-0000-000099300000}"/>
    <cellStyle name="Обычный 4 5 2 4" xfId="16553" xr:uid="{00000000-0005-0000-0000-00009A300000}"/>
    <cellStyle name="Обычный 4 5 2 5" xfId="21893" xr:uid="{00000000-0005-0000-0000-00009B300000}"/>
    <cellStyle name="Обычный 4 5 2 6" xfId="27233" xr:uid="{00000000-0005-0000-0000-00009C300000}"/>
    <cellStyle name="Обычный 4 5 2 7" xfId="32573" xr:uid="{00000000-0005-0000-0000-00009D300000}"/>
    <cellStyle name="Обычный 4 5 2 8" xfId="37913" xr:uid="{00000000-0005-0000-0000-00009E300000}"/>
    <cellStyle name="Обычный 4 5 2 9" xfId="43253" xr:uid="{00000000-0005-0000-0000-00009F300000}"/>
    <cellStyle name="Обычный 4 5 3" xfId="5405" xr:uid="{00000000-0005-0000-0000-0000A0300000}"/>
    <cellStyle name="Обычный 4 5 3 2" xfId="53467" xr:uid="{00000000-0005-0000-0000-0000A1300000}"/>
    <cellStyle name="Обычный 4 5 4" xfId="10746" xr:uid="{00000000-0005-0000-0000-0000A2300000}"/>
    <cellStyle name="Обычный 4 5 5" xfId="16086" xr:uid="{00000000-0005-0000-0000-0000A3300000}"/>
    <cellStyle name="Обычный 4 5 6" xfId="21426" xr:uid="{00000000-0005-0000-0000-0000A4300000}"/>
    <cellStyle name="Обычный 4 5 7" xfId="26766" xr:uid="{00000000-0005-0000-0000-0000A5300000}"/>
    <cellStyle name="Обычный 4 5 8" xfId="32106" xr:uid="{00000000-0005-0000-0000-0000A6300000}"/>
    <cellStyle name="Обычный 4 5 9" xfId="37446" xr:uid="{00000000-0005-0000-0000-0000A7300000}"/>
    <cellStyle name="Обычный 4 50" xfId="448" xr:uid="{00000000-0005-0000-0000-0000A8300000}"/>
    <cellStyle name="Обычный 4 50 10" xfId="43170" xr:uid="{00000000-0005-0000-0000-0000A9300000}"/>
    <cellStyle name="Обычный 4 50 11" xfId="48510" xr:uid="{00000000-0005-0000-0000-0000AA300000}"/>
    <cellStyle name="Обычный 4 50 2" xfId="915" xr:uid="{00000000-0005-0000-0000-0000AB300000}"/>
    <cellStyle name="Обычный 4 50 2 10" xfId="48977" xr:uid="{00000000-0005-0000-0000-0000AC300000}"/>
    <cellStyle name="Обычный 4 50 2 2" xfId="6256" xr:uid="{00000000-0005-0000-0000-0000AD300000}"/>
    <cellStyle name="Обычный 4 50 2 2 2" xfId="54318" xr:uid="{00000000-0005-0000-0000-0000AE300000}"/>
    <cellStyle name="Обычный 4 50 2 3" xfId="11597" xr:uid="{00000000-0005-0000-0000-0000AF300000}"/>
    <cellStyle name="Обычный 4 50 2 4" xfId="16937" xr:uid="{00000000-0005-0000-0000-0000B0300000}"/>
    <cellStyle name="Обычный 4 50 2 5" xfId="22277" xr:uid="{00000000-0005-0000-0000-0000B1300000}"/>
    <cellStyle name="Обычный 4 50 2 6" xfId="27617" xr:uid="{00000000-0005-0000-0000-0000B2300000}"/>
    <cellStyle name="Обычный 4 50 2 7" xfId="32957" xr:uid="{00000000-0005-0000-0000-0000B3300000}"/>
    <cellStyle name="Обычный 4 50 2 8" xfId="38297" xr:uid="{00000000-0005-0000-0000-0000B4300000}"/>
    <cellStyle name="Обычный 4 50 2 9" xfId="43637" xr:uid="{00000000-0005-0000-0000-0000B5300000}"/>
    <cellStyle name="Обычный 4 50 3" xfId="5789" xr:uid="{00000000-0005-0000-0000-0000B6300000}"/>
    <cellStyle name="Обычный 4 50 3 2" xfId="53851" xr:uid="{00000000-0005-0000-0000-0000B7300000}"/>
    <cellStyle name="Обычный 4 50 4" xfId="11130" xr:uid="{00000000-0005-0000-0000-0000B8300000}"/>
    <cellStyle name="Обычный 4 50 5" xfId="16470" xr:uid="{00000000-0005-0000-0000-0000B9300000}"/>
    <cellStyle name="Обычный 4 50 6" xfId="21810" xr:uid="{00000000-0005-0000-0000-0000BA300000}"/>
    <cellStyle name="Обычный 4 50 7" xfId="27150" xr:uid="{00000000-0005-0000-0000-0000BB300000}"/>
    <cellStyle name="Обычный 4 50 8" xfId="32490" xr:uid="{00000000-0005-0000-0000-0000BC300000}"/>
    <cellStyle name="Обычный 4 50 9" xfId="37830" xr:uid="{00000000-0005-0000-0000-0000BD300000}"/>
    <cellStyle name="Обычный 4 51" xfId="460" xr:uid="{00000000-0005-0000-0000-0000BE300000}"/>
    <cellStyle name="Обычный 4 51 10" xfId="43182" xr:uid="{00000000-0005-0000-0000-0000BF300000}"/>
    <cellStyle name="Обычный 4 51 11" xfId="48522" xr:uid="{00000000-0005-0000-0000-0000C0300000}"/>
    <cellStyle name="Обычный 4 51 2" xfId="927" xr:uid="{00000000-0005-0000-0000-0000C1300000}"/>
    <cellStyle name="Обычный 4 51 2 10" xfId="48989" xr:uid="{00000000-0005-0000-0000-0000C2300000}"/>
    <cellStyle name="Обычный 4 51 2 2" xfId="6268" xr:uid="{00000000-0005-0000-0000-0000C3300000}"/>
    <cellStyle name="Обычный 4 51 2 2 2" xfId="54330" xr:uid="{00000000-0005-0000-0000-0000C4300000}"/>
    <cellStyle name="Обычный 4 51 2 3" xfId="11609" xr:uid="{00000000-0005-0000-0000-0000C5300000}"/>
    <cellStyle name="Обычный 4 51 2 4" xfId="16949" xr:uid="{00000000-0005-0000-0000-0000C6300000}"/>
    <cellStyle name="Обычный 4 51 2 5" xfId="22289" xr:uid="{00000000-0005-0000-0000-0000C7300000}"/>
    <cellStyle name="Обычный 4 51 2 6" xfId="27629" xr:uid="{00000000-0005-0000-0000-0000C8300000}"/>
    <cellStyle name="Обычный 4 51 2 7" xfId="32969" xr:uid="{00000000-0005-0000-0000-0000C9300000}"/>
    <cellStyle name="Обычный 4 51 2 8" xfId="38309" xr:uid="{00000000-0005-0000-0000-0000CA300000}"/>
    <cellStyle name="Обычный 4 51 2 9" xfId="43649" xr:uid="{00000000-0005-0000-0000-0000CB300000}"/>
    <cellStyle name="Обычный 4 51 3" xfId="5801" xr:uid="{00000000-0005-0000-0000-0000CC300000}"/>
    <cellStyle name="Обычный 4 51 3 2" xfId="53863" xr:uid="{00000000-0005-0000-0000-0000CD300000}"/>
    <cellStyle name="Обычный 4 51 4" xfId="11142" xr:uid="{00000000-0005-0000-0000-0000CE300000}"/>
    <cellStyle name="Обычный 4 51 5" xfId="16482" xr:uid="{00000000-0005-0000-0000-0000CF300000}"/>
    <cellStyle name="Обычный 4 51 6" xfId="21822" xr:uid="{00000000-0005-0000-0000-0000D0300000}"/>
    <cellStyle name="Обычный 4 51 7" xfId="27162" xr:uid="{00000000-0005-0000-0000-0000D1300000}"/>
    <cellStyle name="Обычный 4 51 8" xfId="32502" xr:uid="{00000000-0005-0000-0000-0000D2300000}"/>
    <cellStyle name="Обычный 4 51 9" xfId="37842" xr:uid="{00000000-0005-0000-0000-0000D3300000}"/>
    <cellStyle name="Обычный 4 52" xfId="472" xr:uid="{00000000-0005-0000-0000-0000D4300000}"/>
    <cellStyle name="Обычный 4 52 10" xfId="43194" xr:uid="{00000000-0005-0000-0000-0000D5300000}"/>
    <cellStyle name="Обычный 4 52 11" xfId="48534" xr:uid="{00000000-0005-0000-0000-0000D6300000}"/>
    <cellStyle name="Обычный 4 52 2" xfId="939" xr:uid="{00000000-0005-0000-0000-0000D7300000}"/>
    <cellStyle name="Обычный 4 52 2 10" xfId="49001" xr:uid="{00000000-0005-0000-0000-0000D8300000}"/>
    <cellStyle name="Обычный 4 52 2 2" xfId="6280" xr:uid="{00000000-0005-0000-0000-0000D9300000}"/>
    <cellStyle name="Обычный 4 52 2 2 2" xfId="54342" xr:uid="{00000000-0005-0000-0000-0000DA300000}"/>
    <cellStyle name="Обычный 4 52 2 3" xfId="11621" xr:uid="{00000000-0005-0000-0000-0000DB300000}"/>
    <cellStyle name="Обычный 4 52 2 4" xfId="16961" xr:uid="{00000000-0005-0000-0000-0000DC300000}"/>
    <cellStyle name="Обычный 4 52 2 5" xfId="22301" xr:uid="{00000000-0005-0000-0000-0000DD300000}"/>
    <cellStyle name="Обычный 4 52 2 6" xfId="27641" xr:uid="{00000000-0005-0000-0000-0000DE300000}"/>
    <cellStyle name="Обычный 4 52 2 7" xfId="32981" xr:uid="{00000000-0005-0000-0000-0000DF300000}"/>
    <cellStyle name="Обычный 4 52 2 8" xfId="38321" xr:uid="{00000000-0005-0000-0000-0000E0300000}"/>
    <cellStyle name="Обычный 4 52 2 9" xfId="43661" xr:uid="{00000000-0005-0000-0000-0000E1300000}"/>
    <cellStyle name="Обычный 4 52 3" xfId="5813" xr:uid="{00000000-0005-0000-0000-0000E2300000}"/>
    <cellStyle name="Обычный 4 52 3 2" xfId="53875" xr:uid="{00000000-0005-0000-0000-0000E3300000}"/>
    <cellStyle name="Обычный 4 52 4" xfId="11154" xr:uid="{00000000-0005-0000-0000-0000E4300000}"/>
    <cellStyle name="Обычный 4 52 5" xfId="16494" xr:uid="{00000000-0005-0000-0000-0000E5300000}"/>
    <cellStyle name="Обычный 4 52 6" xfId="21834" xr:uid="{00000000-0005-0000-0000-0000E6300000}"/>
    <cellStyle name="Обычный 4 52 7" xfId="27174" xr:uid="{00000000-0005-0000-0000-0000E7300000}"/>
    <cellStyle name="Обычный 4 52 8" xfId="32514" xr:uid="{00000000-0005-0000-0000-0000E8300000}"/>
    <cellStyle name="Обычный 4 52 9" xfId="37854" xr:uid="{00000000-0005-0000-0000-0000E9300000}"/>
    <cellStyle name="Обычный 4 53" xfId="484" xr:uid="{00000000-0005-0000-0000-0000EA300000}"/>
    <cellStyle name="Обычный 4 53 10" xfId="43206" xr:uid="{00000000-0005-0000-0000-0000EB300000}"/>
    <cellStyle name="Обычный 4 53 11" xfId="48546" xr:uid="{00000000-0005-0000-0000-0000EC300000}"/>
    <cellStyle name="Обычный 4 53 2" xfId="951" xr:uid="{00000000-0005-0000-0000-0000ED300000}"/>
    <cellStyle name="Обычный 4 53 2 10" xfId="49013" xr:uid="{00000000-0005-0000-0000-0000EE300000}"/>
    <cellStyle name="Обычный 4 53 2 2" xfId="6292" xr:uid="{00000000-0005-0000-0000-0000EF300000}"/>
    <cellStyle name="Обычный 4 53 2 2 2" xfId="54354" xr:uid="{00000000-0005-0000-0000-0000F0300000}"/>
    <cellStyle name="Обычный 4 53 2 3" xfId="11633" xr:uid="{00000000-0005-0000-0000-0000F1300000}"/>
    <cellStyle name="Обычный 4 53 2 4" xfId="16973" xr:uid="{00000000-0005-0000-0000-0000F2300000}"/>
    <cellStyle name="Обычный 4 53 2 5" xfId="22313" xr:uid="{00000000-0005-0000-0000-0000F3300000}"/>
    <cellStyle name="Обычный 4 53 2 6" xfId="27653" xr:uid="{00000000-0005-0000-0000-0000F4300000}"/>
    <cellStyle name="Обычный 4 53 2 7" xfId="32993" xr:uid="{00000000-0005-0000-0000-0000F5300000}"/>
    <cellStyle name="Обычный 4 53 2 8" xfId="38333" xr:uid="{00000000-0005-0000-0000-0000F6300000}"/>
    <cellStyle name="Обычный 4 53 2 9" xfId="43673" xr:uid="{00000000-0005-0000-0000-0000F7300000}"/>
    <cellStyle name="Обычный 4 53 3" xfId="5825" xr:uid="{00000000-0005-0000-0000-0000F8300000}"/>
    <cellStyle name="Обычный 4 53 3 2" xfId="53887" xr:uid="{00000000-0005-0000-0000-0000F9300000}"/>
    <cellStyle name="Обычный 4 53 4" xfId="11166" xr:uid="{00000000-0005-0000-0000-0000FA300000}"/>
    <cellStyle name="Обычный 4 53 5" xfId="16506" xr:uid="{00000000-0005-0000-0000-0000FB300000}"/>
    <cellStyle name="Обычный 4 53 6" xfId="21846" xr:uid="{00000000-0005-0000-0000-0000FC300000}"/>
    <cellStyle name="Обычный 4 53 7" xfId="27186" xr:uid="{00000000-0005-0000-0000-0000FD300000}"/>
    <cellStyle name="Обычный 4 53 8" xfId="32526" xr:uid="{00000000-0005-0000-0000-0000FE300000}"/>
    <cellStyle name="Обычный 4 53 9" xfId="37866" xr:uid="{00000000-0005-0000-0000-0000FF300000}"/>
    <cellStyle name="Обычный 4 54" xfId="496" xr:uid="{00000000-0005-0000-0000-000000310000}"/>
    <cellStyle name="Обычный 4 54 10" xfId="43218" xr:uid="{00000000-0005-0000-0000-000001310000}"/>
    <cellStyle name="Обычный 4 54 11" xfId="48558" xr:uid="{00000000-0005-0000-0000-000002310000}"/>
    <cellStyle name="Обычный 4 54 2" xfId="963" xr:uid="{00000000-0005-0000-0000-000003310000}"/>
    <cellStyle name="Обычный 4 54 2 10" xfId="49025" xr:uid="{00000000-0005-0000-0000-000004310000}"/>
    <cellStyle name="Обычный 4 54 2 2" xfId="6304" xr:uid="{00000000-0005-0000-0000-000005310000}"/>
    <cellStyle name="Обычный 4 54 2 2 2" xfId="54366" xr:uid="{00000000-0005-0000-0000-000006310000}"/>
    <cellStyle name="Обычный 4 54 2 3" xfId="11645" xr:uid="{00000000-0005-0000-0000-000007310000}"/>
    <cellStyle name="Обычный 4 54 2 4" xfId="16985" xr:uid="{00000000-0005-0000-0000-000008310000}"/>
    <cellStyle name="Обычный 4 54 2 5" xfId="22325" xr:uid="{00000000-0005-0000-0000-000009310000}"/>
    <cellStyle name="Обычный 4 54 2 6" xfId="27665" xr:uid="{00000000-0005-0000-0000-00000A310000}"/>
    <cellStyle name="Обычный 4 54 2 7" xfId="33005" xr:uid="{00000000-0005-0000-0000-00000B310000}"/>
    <cellStyle name="Обычный 4 54 2 8" xfId="38345" xr:uid="{00000000-0005-0000-0000-00000C310000}"/>
    <cellStyle name="Обычный 4 54 2 9" xfId="43685" xr:uid="{00000000-0005-0000-0000-00000D310000}"/>
    <cellStyle name="Обычный 4 54 3" xfId="5837" xr:uid="{00000000-0005-0000-0000-00000E310000}"/>
    <cellStyle name="Обычный 4 54 3 2" xfId="53899" xr:uid="{00000000-0005-0000-0000-00000F310000}"/>
    <cellStyle name="Обычный 4 54 4" xfId="11178" xr:uid="{00000000-0005-0000-0000-000010310000}"/>
    <cellStyle name="Обычный 4 54 5" xfId="16518" xr:uid="{00000000-0005-0000-0000-000011310000}"/>
    <cellStyle name="Обычный 4 54 6" xfId="21858" xr:uid="{00000000-0005-0000-0000-000012310000}"/>
    <cellStyle name="Обычный 4 54 7" xfId="27198" xr:uid="{00000000-0005-0000-0000-000013310000}"/>
    <cellStyle name="Обычный 4 54 8" xfId="32538" xr:uid="{00000000-0005-0000-0000-000014310000}"/>
    <cellStyle name="Обычный 4 54 9" xfId="37878" xr:uid="{00000000-0005-0000-0000-000015310000}"/>
    <cellStyle name="Обычный 4 55" xfId="508" xr:uid="{00000000-0005-0000-0000-000016310000}"/>
    <cellStyle name="Обычный 4 55 10" xfId="43230" xr:uid="{00000000-0005-0000-0000-000017310000}"/>
    <cellStyle name="Обычный 4 55 11" xfId="48570" xr:uid="{00000000-0005-0000-0000-000018310000}"/>
    <cellStyle name="Обычный 4 55 2" xfId="975" xr:uid="{00000000-0005-0000-0000-000019310000}"/>
    <cellStyle name="Обычный 4 55 2 10" xfId="49037" xr:uid="{00000000-0005-0000-0000-00001A310000}"/>
    <cellStyle name="Обычный 4 55 2 2" xfId="6316" xr:uid="{00000000-0005-0000-0000-00001B310000}"/>
    <cellStyle name="Обычный 4 55 2 2 2" xfId="54378" xr:uid="{00000000-0005-0000-0000-00001C310000}"/>
    <cellStyle name="Обычный 4 55 2 3" xfId="11657" xr:uid="{00000000-0005-0000-0000-00001D310000}"/>
    <cellStyle name="Обычный 4 55 2 4" xfId="16997" xr:uid="{00000000-0005-0000-0000-00001E310000}"/>
    <cellStyle name="Обычный 4 55 2 5" xfId="22337" xr:uid="{00000000-0005-0000-0000-00001F310000}"/>
    <cellStyle name="Обычный 4 55 2 6" xfId="27677" xr:uid="{00000000-0005-0000-0000-000020310000}"/>
    <cellStyle name="Обычный 4 55 2 7" xfId="33017" xr:uid="{00000000-0005-0000-0000-000021310000}"/>
    <cellStyle name="Обычный 4 55 2 8" xfId="38357" xr:uid="{00000000-0005-0000-0000-000022310000}"/>
    <cellStyle name="Обычный 4 55 2 9" xfId="43697" xr:uid="{00000000-0005-0000-0000-000023310000}"/>
    <cellStyle name="Обычный 4 55 3" xfId="5849" xr:uid="{00000000-0005-0000-0000-000024310000}"/>
    <cellStyle name="Обычный 4 55 3 2" xfId="53911" xr:uid="{00000000-0005-0000-0000-000025310000}"/>
    <cellStyle name="Обычный 4 55 4" xfId="11190" xr:uid="{00000000-0005-0000-0000-000026310000}"/>
    <cellStyle name="Обычный 4 55 5" xfId="16530" xr:uid="{00000000-0005-0000-0000-000027310000}"/>
    <cellStyle name="Обычный 4 55 6" xfId="21870" xr:uid="{00000000-0005-0000-0000-000028310000}"/>
    <cellStyle name="Обычный 4 55 7" xfId="27210" xr:uid="{00000000-0005-0000-0000-000029310000}"/>
    <cellStyle name="Обычный 4 55 8" xfId="32550" xr:uid="{00000000-0005-0000-0000-00002A310000}"/>
    <cellStyle name="Обычный 4 55 9" xfId="37890" xr:uid="{00000000-0005-0000-0000-00002B310000}"/>
    <cellStyle name="Обычный 4 56" xfId="521" xr:uid="{00000000-0005-0000-0000-00002C310000}"/>
    <cellStyle name="Обычный 4 56 10" xfId="48583" xr:uid="{00000000-0005-0000-0000-00002D310000}"/>
    <cellStyle name="Обычный 4 56 2" xfId="5862" xr:uid="{00000000-0005-0000-0000-00002E310000}"/>
    <cellStyle name="Обычный 4 56 2 2" xfId="53924" xr:uid="{00000000-0005-0000-0000-00002F310000}"/>
    <cellStyle name="Обычный 4 56 3" xfId="11203" xr:uid="{00000000-0005-0000-0000-000030310000}"/>
    <cellStyle name="Обычный 4 56 4" xfId="16543" xr:uid="{00000000-0005-0000-0000-000031310000}"/>
    <cellStyle name="Обычный 4 56 5" xfId="21883" xr:uid="{00000000-0005-0000-0000-000032310000}"/>
    <cellStyle name="Обычный 4 56 6" xfId="27223" xr:uid="{00000000-0005-0000-0000-000033310000}"/>
    <cellStyle name="Обычный 4 56 7" xfId="32563" xr:uid="{00000000-0005-0000-0000-000034310000}"/>
    <cellStyle name="Обычный 4 56 8" xfId="37903" xr:uid="{00000000-0005-0000-0000-000035310000}"/>
    <cellStyle name="Обычный 4 56 9" xfId="43243" xr:uid="{00000000-0005-0000-0000-000036310000}"/>
    <cellStyle name="Обычный 4 57" xfId="987" xr:uid="{00000000-0005-0000-0000-000037310000}"/>
    <cellStyle name="Обычный 4 57 10" xfId="49049" xr:uid="{00000000-0005-0000-0000-000038310000}"/>
    <cellStyle name="Обычный 4 57 2" xfId="6328" xr:uid="{00000000-0005-0000-0000-000039310000}"/>
    <cellStyle name="Обычный 4 57 2 2" xfId="54390" xr:uid="{00000000-0005-0000-0000-00003A310000}"/>
    <cellStyle name="Обычный 4 57 3" xfId="11669" xr:uid="{00000000-0005-0000-0000-00003B310000}"/>
    <cellStyle name="Обычный 4 57 4" xfId="17009" xr:uid="{00000000-0005-0000-0000-00003C310000}"/>
    <cellStyle name="Обычный 4 57 5" xfId="22349" xr:uid="{00000000-0005-0000-0000-00003D310000}"/>
    <cellStyle name="Обычный 4 57 6" xfId="27689" xr:uid="{00000000-0005-0000-0000-00003E310000}"/>
    <cellStyle name="Обычный 4 57 7" xfId="33029" xr:uid="{00000000-0005-0000-0000-00003F310000}"/>
    <cellStyle name="Обычный 4 57 8" xfId="38369" xr:uid="{00000000-0005-0000-0000-000040310000}"/>
    <cellStyle name="Обычный 4 57 9" xfId="43709" xr:uid="{00000000-0005-0000-0000-000041310000}"/>
    <cellStyle name="Обычный 4 58" xfId="1011" xr:uid="{00000000-0005-0000-0000-000042310000}"/>
    <cellStyle name="Обычный 4 58 10" xfId="49073" xr:uid="{00000000-0005-0000-0000-000043310000}"/>
    <cellStyle name="Обычный 4 58 2" xfId="6352" xr:uid="{00000000-0005-0000-0000-000044310000}"/>
    <cellStyle name="Обычный 4 58 2 2" xfId="54414" xr:uid="{00000000-0005-0000-0000-000045310000}"/>
    <cellStyle name="Обычный 4 58 3" xfId="11693" xr:uid="{00000000-0005-0000-0000-000046310000}"/>
    <cellStyle name="Обычный 4 58 4" xfId="17033" xr:uid="{00000000-0005-0000-0000-000047310000}"/>
    <cellStyle name="Обычный 4 58 5" xfId="22373" xr:uid="{00000000-0005-0000-0000-000048310000}"/>
    <cellStyle name="Обычный 4 58 6" xfId="27713" xr:uid="{00000000-0005-0000-0000-000049310000}"/>
    <cellStyle name="Обычный 4 58 7" xfId="33053" xr:uid="{00000000-0005-0000-0000-00004A310000}"/>
    <cellStyle name="Обычный 4 58 8" xfId="38393" xr:uid="{00000000-0005-0000-0000-00004B310000}"/>
    <cellStyle name="Обычный 4 58 9" xfId="43733" xr:uid="{00000000-0005-0000-0000-00004C310000}"/>
    <cellStyle name="Обычный 4 59" xfId="1035" xr:uid="{00000000-0005-0000-0000-00004D310000}"/>
    <cellStyle name="Обычный 4 59 10" xfId="49097" xr:uid="{00000000-0005-0000-0000-00004E310000}"/>
    <cellStyle name="Обычный 4 59 2" xfId="6376" xr:uid="{00000000-0005-0000-0000-00004F310000}"/>
    <cellStyle name="Обычный 4 59 2 2" xfId="54438" xr:uid="{00000000-0005-0000-0000-000050310000}"/>
    <cellStyle name="Обычный 4 59 3" xfId="11717" xr:uid="{00000000-0005-0000-0000-000051310000}"/>
    <cellStyle name="Обычный 4 59 4" xfId="17057" xr:uid="{00000000-0005-0000-0000-000052310000}"/>
    <cellStyle name="Обычный 4 59 5" xfId="22397" xr:uid="{00000000-0005-0000-0000-000053310000}"/>
    <cellStyle name="Обычный 4 59 6" xfId="27737" xr:uid="{00000000-0005-0000-0000-000054310000}"/>
    <cellStyle name="Обычный 4 59 7" xfId="33077" xr:uid="{00000000-0005-0000-0000-000055310000}"/>
    <cellStyle name="Обычный 4 59 8" xfId="38417" xr:uid="{00000000-0005-0000-0000-000056310000}"/>
    <cellStyle name="Обычный 4 59 9" xfId="43757" xr:uid="{00000000-0005-0000-0000-000057310000}"/>
    <cellStyle name="Обычный 4 6" xfId="66" xr:uid="{00000000-0005-0000-0000-000058310000}"/>
    <cellStyle name="Обычный 4 6 10" xfId="42788" xr:uid="{00000000-0005-0000-0000-000059310000}"/>
    <cellStyle name="Обычный 4 6 11" xfId="48128" xr:uid="{00000000-0005-0000-0000-00005A310000}"/>
    <cellStyle name="Обычный 4 6 2" xfId="533" xr:uid="{00000000-0005-0000-0000-00005B310000}"/>
    <cellStyle name="Обычный 4 6 2 10" xfId="48595" xr:uid="{00000000-0005-0000-0000-00005C310000}"/>
    <cellStyle name="Обычный 4 6 2 2" xfId="5874" xr:uid="{00000000-0005-0000-0000-00005D310000}"/>
    <cellStyle name="Обычный 4 6 2 2 2" xfId="53936" xr:uid="{00000000-0005-0000-0000-00005E310000}"/>
    <cellStyle name="Обычный 4 6 2 3" xfId="11215" xr:uid="{00000000-0005-0000-0000-00005F310000}"/>
    <cellStyle name="Обычный 4 6 2 4" xfId="16555" xr:uid="{00000000-0005-0000-0000-000060310000}"/>
    <cellStyle name="Обычный 4 6 2 5" xfId="21895" xr:uid="{00000000-0005-0000-0000-000061310000}"/>
    <cellStyle name="Обычный 4 6 2 6" xfId="27235" xr:uid="{00000000-0005-0000-0000-000062310000}"/>
    <cellStyle name="Обычный 4 6 2 7" xfId="32575" xr:uid="{00000000-0005-0000-0000-000063310000}"/>
    <cellStyle name="Обычный 4 6 2 8" xfId="37915" xr:uid="{00000000-0005-0000-0000-000064310000}"/>
    <cellStyle name="Обычный 4 6 2 9" xfId="43255" xr:uid="{00000000-0005-0000-0000-000065310000}"/>
    <cellStyle name="Обычный 4 6 3" xfId="5407" xr:uid="{00000000-0005-0000-0000-000066310000}"/>
    <cellStyle name="Обычный 4 6 3 2" xfId="53469" xr:uid="{00000000-0005-0000-0000-000067310000}"/>
    <cellStyle name="Обычный 4 6 4" xfId="10748" xr:uid="{00000000-0005-0000-0000-000068310000}"/>
    <cellStyle name="Обычный 4 6 5" xfId="16088" xr:uid="{00000000-0005-0000-0000-000069310000}"/>
    <cellStyle name="Обычный 4 6 6" xfId="21428" xr:uid="{00000000-0005-0000-0000-00006A310000}"/>
    <cellStyle name="Обычный 4 6 7" xfId="26768" xr:uid="{00000000-0005-0000-0000-00006B310000}"/>
    <cellStyle name="Обычный 4 6 8" xfId="32108" xr:uid="{00000000-0005-0000-0000-00006C310000}"/>
    <cellStyle name="Обычный 4 6 9" xfId="37448" xr:uid="{00000000-0005-0000-0000-00006D310000}"/>
    <cellStyle name="Обычный 4 60" xfId="1060" xr:uid="{00000000-0005-0000-0000-00006E310000}"/>
    <cellStyle name="Обычный 4 60 10" xfId="49123" xr:uid="{00000000-0005-0000-0000-00006F310000}"/>
    <cellStyle name="Обычный 4 60 2" xfId="6402" xr:uid="{00000000-0005-0000-0000-000070310000}"/>
    <cellStyle name="Обычный 4 60 2 2" xfId="54464" xr:uid="{00000000-0005-0000-0000-000071310000}"/>
    <cellStyle name="Обычный 4 60 3" xfId="11743" xr:uid="{00000000-0005-0000-0000-000072310000}"/>
    <cellStyle name="Обычный 4 60 4" xfId="17083" xr:uid="{00000000-0005-0000-0000-000073310000}"/>
    <cellStyle name="Обычный 4 60 5" xfId="22423" xr:uid="{00000000-0005-0000-0000-000074310000}"/>
    <cellStyle name="Обычный 4 60 6" xfId="27763" xr:uid="{00000000-0005-0000-0000-000075310000}"/>
    <cellStyle name="Обычный 4 60 7" xfId="33103" xr:uid="{00000000-0005-0000-0000-000076310000}"/>
    <cellStyle name="Обычный 4 60 8" xfId="38443" xr:uid="{00000000-0005-0000-0000-000077310000}"/>
    <cellStyle name="Обычный 4 60 9" xfId="43783" xr:uid="{00000000-0005-0000-0000-000078310000}"/>
    <cellStyle name="Обычный 4 61" xfId="1086" xr:uid="{00000000-0005-0000-0000-000079310000}"/>
    <cellStyle name="Обычный 4 61 10" xfId="49149" xr:uid="{00000000-0005-0000-0000-00007A310000}"/>
    <cellStyle name="Обычный 4 61 2" xfId="6428" xr:uid="{00000000-0005-0000-0000-00007B310000}"/>
    <cellStyle name="Обычный 4 61 2 2" xfId="54490" xr:uid="{00000000-0005-0000-0000-00007C310000}"/>
    <cellStyle name="Обычный 4 61 3" xfId="11769" xr:uid="{00000000-0005-0000-0000-00007D310000}"/>
    <cellStyle name="Обычный 4 61 4" xfId="17109" xr:uid="{00000000-0005-0000-0000-00007E310000}"/>
    <cellStyle name="Обычный 4 61 5" xfId="22449" xr:uid="{00000000-0005-0000-0000-00007F310000}"/>
    <cellStyle name="Обычный 4 61 6" xfId="27789" xr:uid="{00000000-0005-0000-0000-000080310000}"/>
    <cellStyle name="Обычный 4 61 7" xfId="33129" xr:uid="{00000000-0005-0000-0000-000081310000}"/>
    <cellStyle name="Обычный 4 61 8" xfId="38469" xr:uid="{00000000-0005-0000-0000-000082310000}"/>
    <cellStyle name="Обычный 4 61 9" xfId="43809" xr:uid="{00000000-0005-0000-0000-000083310000}"/>
    <cellStyle name="Обычный 4 62" xfId="1112" xr:uid="{00000000-0005-0000-0000-000084310000}"/>
    <cellStyle name="Обычный 4 62 10" xfId="49175" xr:uid="{00000000-0005-0000-0000-000085310000}"/>
    <cellStyle name="Обычный 4 62 2" xfId="6454" xr:uid="{00000000-0005-0000-0000-000086310000}"/>
    <cellStyle name="Обычный 4 62 2 2" xfId="54516" xr:uid="{00000000-0005-0000-0000-000087310000}"/>
    <cellStyle name="Обычный 4 62 3" xfId="11795" xr:uid="{00000000-0005-0000-0000-000088310000}"/>
    <cellStyle name="Обычный 4 62 4" xfId="17135" xr:uid="{00000000-0005-0000-0000-000089310000}"/>
    <cellStyle name="Обычный 4 62 5" xfId="22475" xr:uid="{00000000-0005-0000-0000-00008A310000}"/>
    <cellStyle name="Обычный 4 62 6" xfId="27815" xr:uid="{00000000-0005-0000-0000-00008B310000}"/>
    <cellStyle name="Обычный 4 62 7" xfId="33155" xr:uid="{00000000-0005-0000-0000-00008C310000}"/>
    <cellStyle name="Обычный 4 62 8" xfId="38495" xr:uid="{00000000-0005-0000-0000-00008D310000}"/>
    <cellStyle name="Обычный 4 62 9" xfId="43835" xr:uid="{00000000-0005-0000-0000-00008E310000}"/>
    <cellStyle name="Обычный 4 63" xfId="1138" xr:uid="{00000000-0005-0000-0000-00008F310000}"/>
    <cellStyle name="Обычный 4 63 10" xfId="49201" xr:uid="{00000000-0005-0000-0000-000090310000}"/>
    <cellStyle name="Обычный 4 63 2" xfId="6480" xr:uid="{00000000-0005-0000-0000-000091310000}"/>
    <cellStyle name="Обычный 4 63 2 2" xfId="54542" xr:uid="{00000000-0005-0000-0000-000092310000}"/>
    <cellStyle name="Обычный 4 63 3" xfId="11821" xr:uid="{00000000-0005-0000-0000-000093310000}"/>
    <cellStyle name="Обычный 4 63 4" xfId="17161" xr:uid="{00000000-0005-0000-0000-000094310000}"/>
    <cellStyle name="Обычный 4 63 5" xfId="22501" xr:uid="{00000000-0005-0000-0000-000095310000}"/>
    <cellStyle name="Обычный 4 63 6" xfId="27841" xr:uid="{00000000-0005-0000-0000-000096310000}"/>
    <cellStyle name="Обычный 4 63 7" xfId="33181" xr:uid="{00000000-0005-0000-0000-000097310000}"/>
    <cellStyle name="Обычный 4 63 8" xfId="38521" xr:uid="{00000000-0005-0000-0000-000098310000}"/>
    <cellStyle name="Обычный 4 63 9" xfId="43861" xr:uid="{00000000-0005-0000-0000-000099310000}"/>
    <cellStyle name="Обычный 4 64" xfId="1164" xr:uid="{00000000-0005-0000-0000-00009A310000}"/>
    <cellStyle name="Обычный 4 64 10" xfId="49227" xr:uid="{00000000-0005-0000-0000-00009B310000}"/>
    <cellStyle name="Обычный 4 64 2" xfId="6506" xr:uid="{00000000-0005-0000-0000-00009C310000}"/>
    <cellStyle name="Обычный 4 64 2 2" xfId="54568" xr:uid="{00000000-0005-0000-0000-00009D310000}"/>
    <cellStyle name="Обычный 4 64 3" xfId="11847" xr:uid="{00000000-0005-0000-0000-00009E310000}"/>
    <cellStyle name="Обычный 4 64 4" xfId="17187" xr:uid="{00000000-0005-0000-0000-00009F310000}"/>
    <cellStyle name="Обычный 4 64 5" xfId="22527" xr:uid="{00000000-0005-0000-0000-0000A0310000}"/>
    <cellStyle name="Обычный 4 64 6" xfId="27867" xr:uid="{00000000-0005-0000-0000-0000A1310000}"/>
    <cellStyle name="Обычный 4 64 7" xfId="33207" xr:uid="{00000000-0005-0000-0000-0000A2310000}"/>
    <cellStyle name="Обычный 4 64 8" xfId="38547" xr:uid="{00000000-0005-0000-0000-0000A3310000}"/>
    <cellStyle name="Обычный 4 64 9" xfId="43887" xr:uid="{00000000-0005-0000-0000-0000A4310000}"/>
    <cellStyle name="Обычный 4 65" xfId="1190" xr:uid="{00000000-0005-0000-0000-0000A5310000}"/>
    <cellStyle name="Обычный 4 65 10" xfId="49253" xr:uid="{00000000-0005-0000-0000-0000A6310000}"/>
    <cellStyle name="Обычный 4 65 2" xfId="6532" xr:uid="{00000000-0005-0000-0000-0000A7310000}"/>
    <cellStyle name="Обычный 4 65 2 2" xfId="54594" xr:uid="{00000000-0005-0000-0000-0000A8310000}"/>
    <cellStyle name="Обычный 4 65 3" xfId="11873" xr:uid="{00000000-0005-0000-0000-0000A9310000}"/>
    <cellStyle name="Обычный 4 65 4" xfId="17213" xr:uid="{00000000-0005-0000-0000-0000AA310000}"/>
    <cellStyle name="Обычный 4 65 5" xfId="22553" xr:uid="{00000000-0005-0000-0000-0000AB310000}"/>
    <cellStyle name="Обычный 4 65 6" xfId="27893" xr:uid="{00000000-0005-0000-0000-0000AC310000}"/>
    <cellStyle name="Обычный 4 65 7" xfId="33233" xr:uid="{00000000-0005-0000-0000-0000AD310000}"/>
    <cellStyle name="Обычный 4 65 8" xfId="38573" xr:uid="{00000000-0005-0000-0000-0000AE310000}"/>
    <cellStyle name="Обычный 4 65 9" xfId="43913" xr:uid="{00000000-0005-0000-0000-0000AF310000}"/>
    <cellStyle name="Обычный 4 66" xfId="1216" xr:uid="{00000000-0005-0000-0000-0000B0310000}"/>
    <cellStyle name="Обычный 4 66 10" xfId="49279" xr:uid="{00000000-0005-0000-0000-0000B1310000}"/>
    <cellStyle name="Обычный 4 66 2" xfId="6558" xr:uid="{00000000-0005-0000-0000-0000B2310000}"/>
    <cellStyle name="Обычный 4 66 2 2" xfId="54620" xr:uid="{00000000-0005-0000-0000-0000B3310000}"/>
    <cellStyle name="Обычный 4 66 3" xfId="11899" xr:uid="{00000000-0005-0000-0000-0000B4310000}"/>
    <cellStyle name="Обычный 4 66 4" xfId="17239" xr:uid="{00000000-0005-0000-0000-0000B5310000}"/>
    <cellStyle name="Обычный 4 66 5" xfId="22579" xr:uid="{00000000-0005-0000-0000-0000B6310000}"/>
    <cellStyle name="Обычный 4 66 6" xfId="27919" xr:uid="{00000000-0005-0000-0000-0000B7310000}"/>
    <cellStyle name="Обычный 4 66 7" xfId="33259" xr:uid="{00000000-0005-0000-0000-0000B8310000}"/>
    <cellStyle name="Обычный 4 66 8" xfId="38599" xr:uid="{00000000-0005-0000-0000-0000B9310000}"/>
    <cellStyle name="Обычный 4 66 9" xfId="43939" xr:uid="{00000000-0005-0000-0000-0000BA310000}"/>
    <cellStyle name="Обычный 4 67" xfId="1242" xr:uid="{00000000-0005-0000-0000-0000BB310000}"/>
    <cellStyle name="Обычный 4 67 10" xfId="49305" xr:uid="{00000000-0005-0000-0000-0000BC310000}"/>
    <cellStyle name="Обычный 4 67 2" xfId="6584" xr:uid="{00000000-0005-0000-0000-0000BD310000}"/>
    <cellStyle name="Обычный 4 67 2 2" xfId="54646" xr:uid="{00000000-0005-0000-0000-0000BE310000}"/>
    <cellStyle name="Обычный 4 67 3" xfId="11925" xr:uid="{00000000-0005-0000-0000-0000BF310000}"/>
    <cellStyle name="Обычный 4 67 4" xfId="17265" xr:uid="{00000000-0005-0000-0000-0000C0310000}"/>
    <cellStyle name="Обычный 4 67 5" xfId="22605" xr:uid="{00000000-0005-0000-0000-0000C1310000}"/>
    <cellStyle name="Обычный 4 67 6" xfId="27945" xr:uid="{00000000-0005-0000-0000-0000C2310000}"/>
    <cellStyle name="Обычный 4 67 7" xfId="33285" xr:uid="{00000000-0005-0000-0000-0000C3310000}"/>
    <cellStyle name="Обычный 4 67 8" xfId="38625" xr:uid="{00000000-0005-0000-0000-0000C4310000}"/>
    <cellStyle name="Обычный 4 67 9" xfId="43965" xr:uid="{00000000-0005-0000-0000-0000C5310000}"/>
    <cellStyle name="Обычный 4 68" xfId="1268" xr:uid="{00000000-0005-0000-0000-0000C6310000}"/>
    <cellStyle name="Обычный 4 68 10" xfId="49331" xr:uid="{00000000-0005-0000-0000-0000C7310000}"/>
    <cellStyle name="Обычный 4 68 2" xfId="6610" xr:uid="{00000000-0005-0000-0000-0000C8310000}"/>
    <cellStyle name="Обычный 4 68 2 2" xfId="54672" xr:uid="{00000000-0005-0000-0000-0000C9310000}"/>
    <cellStyle name="Обычный 4 68 3" xfId="11951" xr:uid="{00000000-0005-0000-0000-0000CA310000}"/>
    <cellStyle name="Обычный 4 68 4" xfId="17291" xr:uid="{00000000-0005-0000-0000-0000CB310000}"/>
    <cellStyle name="Обычный 4 68 5" xfId="22631" xr:uid="{00000000-0005-0000-0000-0000CC310000}"/>
    <cellStyle name="Обычный 4 68 6" xfId="27971" xr:uid="{00000000-0005-0000-0000-0000CD310000}"/>
    <cellStyle name="Обычный 4 68 7" xfId="33311" xr:uid="{00000000-0005-0000-0000-0000CE310000}"/>
    <cellStyle name="Обычный 4 68 8" xfId="38651" xr:uid="{00000000-0005-0000-0000-0000CF310000}"/>
    <cellStyle name="Обычный 4 68 9" xfId="43991" xr:uid="{00000000-0005-0000-0000-0000D0310000}"/>
    <cellStyle name="Обычный 4 69" xfId="1294" xr:uid="{00000000-0005-0000-0000-0000D1310000}"/>
    <cellStyle name="Обычный 4 69 10" xfId="49357" xr:uid="{00000000-0005-0000-0000-0000D2310000}"/>
    <cellStyle name="Обычный 4 69 2" xfId="6636" xr:uid="{00000000-0005-0000-0000-0000D3310000}"/>
    <cellStyle name="Обычный 4 69 2 2" xfId="54698" xr:uid="{00000000-0005-0000-0000-0000D4310000}"/>
    <cellStyle name="Обычный 4 69 3" xfId="11977" xr:uid="{00000000-0005-0000-0000-0000D5310000}"/>
    <cellStyle name="Обычный 4 69 4" xfId="17317" xr:uid="{00000000-0005-0000-0000-0000D6310000}"/>
    <cellStyle name="Обычный 4 69 5" xfId="22657" xr:uid="{00000000-0005-0000-0000-0000D7310000}"/>
    <cellStyle name="Обычный 4 69 6" xfId="27997" xr:uid="{00000000-0005-0000-0000-0000D8310000}"/>
    <cellStyle name="Обычный 4 69 7" xfId="33337" xr:uid="{00000000-0005-0000-0000-0000D9310000}"/>
    <cellStyle name="Обычный 4 69 8" xfId="38677" xr:uid="{00000000-0005-0000-0000-0000DA310000}"/>
    <cellStyle name="Обычный 4 69 9" xfId="44017" xr:uid="{00000000-0005-0000-0000-0000DB310000}"/>
    <cellStyle name="Обычный 4 7" xfId="68" xr:uid="{00000000-0005-0000-0000-0000DC310000}"/>
    <cellStyle name="Обычный 4 7 10" xfId="42790" xr:uid="{00000000-0005-0000-0000-0000DD310000}"/>
    <cellStyle name="Обычный 4 7 11" xfId="48130" xr:uid="{00000000-0005-0000-0000-0000DE310000}"/>
    <cellStyle name="Обычный 4 7 2" xfId="535" xr:uid="{00000000-0005-0000-0000-0000DF310000}"/>
    <cellStyle name="Обычный 4 7 2 10" xfId="48597" xr:uid="{00000000-0005-0000-0000-0000E0310000}"/>
    <cellStyle name="Обычный 4 7 2 2" xfId="5876" xr:uid="{00000000-0005-0000-0000-0000E1310000}"/>
    <cellStyle name="Обычный 4 7 2 2 2" xfId="53938" xr:uid="{00000000-0005-0000-0000-0000E2310000}"/>
    <cellStyle name="Обычный 4 7 2 3" xfId="11217" xr:uid="{00000000-0005-0000-0000-0000E3310000}"/>
    <cellStyle name="Обычный 4 7 2 4" xfId="16557" xr:uid="{00000000-0005-0000-0000-0000E4310000}"/>
    <cellStyle name="Обычный 4 7 2 5" xfId="21897" xr:uid="{00000000-0005-0000-0000-0000E5310000}"/>
    <cellStyle name="Обычный 4 7 2 6" xfId="27237" xr:uid="{00000000-0005-0000-0000-0000E6310000}"/>
    <cellStyle name="Обычный 4 7 2 7" xfId="32577" xr:uid="{00000000-0005-0000-0000-0000E7310000}"/>
    <cellStyle name="Обычный 4 7 2 8" xfId="37917" xr:uid="{00000000-0005-0000-0000-0000E8310000}"/>
    <cellStyle name="Обычный 4 7 2 9" xfId="43257" xr:uid="{00000000-0005-0000-0000-0000E9310000}"/>
    <cellStyle name="Обычный 4 7 3" xfId="5409" xr:uid="{00000000-0005-0000-0000-0000EA310000}"/>
    <cellStyle name="Обычный 4 7 3 2" xfId="53471" xr:uid="{00000000-0005-0000-0000-0000EB310000}"/>
    <cellStyle name="Обычный 4 7 4" xfId="10750" xr:uid="{00000000-0005-0000-0000-0000EC310000}"/>
    <cellStyle name="Обычный 4 7 5" xfId="16090" xr:uid="{00000000-0005-0000-0000-0000ED310000}"/>
    <cellStyle name="Обычный 4 7 6" xfId="21430" xr:uid="{00000000-0005-0000-0000-0000EE310000}"/>
    <cellStyle name="Обычный 4 7 7" xfId="26770" xr:uid="{00000000-0005-0000-0000-0000EF310000}"/>
    <cellStyle name="Обычный 4 7 8" xfId="32110" xr:uid="{00000000-0005-0000-0000-0000F0310000}"/>
    <cellStyle name="Обычный 4 7 9" xfId="37450" xr:uid="{00000000-0005-0000-0000-0000F1310000}"/>
    <cellStyle name="Обычный 4 70" xfId="1320" xr:uid="{00000000-0005-0000-0000-0000F2310000}"/>
    <cellStyle name="Обычный 4 70 10" xfId="49383" xr:uid="{00000000-0005-0000-0000-0000F3310000}"/>
    <cellStyle name="Обычный 4 70 2" xfId="6662" xr:uid="{00000000-0005-0000-0000-0000F4310000}"/>
    <cellStyle name="Обычный 4 70 2 2" xfId="54724" xr:uid="{00000000-0005-0000-0000-0000F5310000}"/>
    <cellStyle name="Обычный 4 70 3" xfId="12003" xr:uid="{00000000-0005-0000-0000-0000F6310000}"/>
    <cellStyle name="Обычный 4 70 4" xfId="17343" xr:uid="{00000000-0005-0000-0000-0000F7310000}"/>
    <cellStyle name="Обычный 4 70 5" xfId="22683" xr:uid="{00000000-0005-0000-0000-0000F8310000}"/>
    <cellStyle name="Обычный 4 70 6" xfId="28023" xr:uid="{00000000-0005-0000-0000-0000F9310000}"/>
    <cellStyle name="Обычный 4 70 7" xfId="33363" xr:uid="{00000000-0005-0000-0000-0000FA310000}"/>
    <cellStyle name="Обычный 4 70 8" xfId="38703" xr:uid="{00000000-0005-0000-0000-0000FB310000}"/>
    <cellStyle name="Обычный 4 70 9" xfId="44043" xr:uid="{00000000-0005-0000-0000-0000FC310000}"/>
    <cellStyle name="Обычный 4 71" xfId="1346" xr:uid="{00000000-0005-0000-0000-0000FD310000}"/>
    <cellStyle name="Обычный 4 71 10" xfId="49409" xr:uid="{00000000-0005-0000-0000-0000FE310000}"/>
    <cellStyle name="Обычный 4 71 2" xfId="6688" xr:uid="{00000000-0005-0000-0000-0000FF310000}"/>
    <cellStyle name="Обычный 4 71 2 2" xfId="54750" xr:uid="{00000000-0005-0000-0000-000000320000}"/>
    <cellStyle name="Обычный 4 71 3" xfId="12029" xr:uid="{00000000-0005-0000-0000-000001320000}"/>
    <cellStyle name="Обычный 4 71 4" xfId="17369" xr:uid="{00000000-0005-0000-0000-000002320000}"/>
    <cellStyle name="Обычный 4 71 5" xfId="22709" xr:uid="{00000000-0005-0000-0000-000003320000}"/>
    <cellStyle name="Обычный 4 71 6" xfId="28049" xr:uid="{00000000-0005-0000-0000-000004320000}"/>
    <cellStyle name="Обычный 4 71 7" xfId="33389" xr:uid="{00000000-0005-0000-0000-000005320000}"/>
    <cellStyle name="Обычный 4 71 8" xfId="38729" xr:uid="{00000000-0005-0000-0000-000006320000}"/>
    <cellStyle name="Обычный 4 71 9" xfId="44069" xr:uid="{00000000-0005-0000-0000-000007320000}"/>
    <cellStyle name="Обычный 4 72" xfId="1372" xr:uid="{00000000-0005-0000-0000-000008320000}"/>
    <cellStyle name="Обычный 4 72 10" xfId="49435" xr:uid="{00000000-0005-0000-0000-000009320000}"/>
    <cellStyle name="Обычный 4 72 2" xfId="6714" xr:uid="{00000000-0005-0000-0000-00000A320000}"/>
    <cellStyle name="Обычный 4 72 2 2" xfId="54776" xr:uid="{00000000-0005-0000-0000-00000B320000}"/>
    <cellStyle name="Обычный 4 72 3" xfId="12055" xr:uid="{00000000-0005-0000-0000-00000C320000}"/>
    <cellStyle name="Обычный 4 72 4" xfId="17395" xr:uid="{00000000-0005-0000-0000-00000D320000}"/>
    <cellStyle name="Обычный 4 72 5" xfId="22735" xr:uid="{00000000-0005-0000-0000-00000E320000}"/>
    <cellStyle name="Обычный 4 72 6" xfId="28075" xr:uid="{00000000-0005-0000-0000-00000F320000}"/>
    <cellStyle name="Обычный 4 72 7" xfId="33415" xr:uid="{00000000-0005-0000-0000-000010320000}"/>
    <cellStyle name="Обычный 4 72 8" xfId="38755" xr:uid="{00000000-0005-0000-0000-000011320000}"/>
    <cellStyle name="Обычный 4 72 9" xfId="44095" xr:uid="{00000000-0005-0000-0000-000012320000}"/>
    <cellStyle name="Обычный 4 73" xfId="1398" xr:uid="{00000000-0005-0000-0000-000013320000}"/>
    <cellStyle name="Обычный 4 73 10" xfId="49461" xr:uid="{00000000-0005-0000-0000-000014320000}"/>
    <cellStyle name="Обычный 4 73 2" xfId="6740" xr:uid="{00000000-0005-0000-0000-000015320000}"/>
    <cellStyle name="Обычный 4 73 2 2" xfId="54802" xr:uid="{00000000-0005-0000-0000-000016320000}"/>
    <cellStyle name="Обычный 4 73 3" xfId="12081" xr:uid="{00000000-0005-0000-0000-000017320000}"/>
    <cellStyle name="Обычный 4 73 4" xfId="17421" xr:uid="{00000000-0005-0000-0000-000018320000}"/>
    <cellStyle name="Обычный 4 73 5" xfId="22761" xr:uid="{00000000-0005-0000-0000-000019320000}"/>
    <cellStyle name="Обычный 4 73 6" xfId="28101" xr:uid="{00000000-0005-0000-0000-00001A320000}"/>
    <cellStyle name="Обычный 4 73 7" xfId="33441" xr:uid="{00000000-0005-0000-0000-00001B320000}"/>
    <cellStyle name="Обычный 4 73 8" xfId="38781" xr:uid="{00000000-0005-0000-0000-00001C320000}"/>
    <cellStyle name="Обычный 4 73 9" xfId="44121" xr:uid="{00000000-0005-0000-0000-00001D320000}"/>
    <cellStyle name="Обычный 4 74" xfId="1424" xr:uid="{00000000-0005-0000-0000-00001E320000}"/>
    <cellStyle name="Обычный 4 74 10" xfId="49487" xr:uid="{00000000-0005-0000-0000-00001F320000}"/>
    <cellStyle name="Обычный 4 74 2" xfId="6766" xr:uid="{00000000-0005-0000-0000-000020320000}"/>
    <cellStyle name="Обычный 4 74 2 2" xfId="54828" xr:uid="{00000000-0005-0000-0000-000021320000}"/>
    <cellStyle name="Обычный 4 74 3" xfId="12107" xr:uid="{00000000-0005-0000-0000-000022320000}"/>
    <cellStyle name="Обычный 4 74 4" xfId="17447" xr:uid="{00000000-0005-0000-0000-000023320000}"/>
    <cellStyle name="Обычный 4 74 5" xfId="22787" xr:uid="{00000000-0005-0000-0000-000024320000}"/>
    <cellStyle name="Обычный 4 74 6" xfId="28127" xr:uid="{00000000-0005-0000-0000-000025320000}"/>
    <cellStyle name="Обычный 4 74 7" xfId="33467" xr:uid="{00000000-0005-0000-0000-000026320000}"/>
    <cellStyle name="Обычный 4 74 8" xfId="38807" xr:uid="{00000000-0005-0000-0000-000027320000}"/>
    <cellStyle name="Обычный 4 74 9" xfId="44147" xr:uid="{00000000-0005-0000-0000-000028320000}"/>
    <cellStyle name="Обычный 4 75" xfId="1450" xr:uid="{00000000-0005-0000-0000-000029320000}"/>
    <cellStyle name="Обычный 4 75 10" xfId="49513" xr:uid="{00000000-0005-0000-0000-00002A320000}"/>
    <cellStyle name="Обычный 4 75 2" xfId="6792" xr:uid="{00000000-0005-0000-0000-00002B320000}"/>
    <cellStyle name="Обычный 4 75 2 2" xfId="54854" xr:uid="{00000000-0005-0000-0000-00002C320000}"/>
    <cellStyle name="Обычный 4 75 3" xfId="12133" xr:uid="{00000000-0005-0000-0000-00002D320000}"/>
    <cellStyle name="Обычный 4 75 4" xfId="17473" xr:uid="{00000000-0005-0000-0000-00002E320000}"/>
    <cellStyle name="Обычный 4 75 5" xfId="22813" xr:uid="{00000000-0005-0000-0000-00002F320000}"/>
    <cellStyle name="Обычный 4 75 6" xfId="28153" xr:uid="{00000000-0005-0000-0000-000030320000}"/>
    <cellStyle name="Обычный 4 75 7" xfId="33493" xr:uid="{00000000-0005-0000-0000-000031320000}"/>
    <cellStyle name="Обычный 4 75 8" xfId="38833" xr:uid="{00000000-0005-0000-0000-000032320000}"/>
    <cellStyle name="Обычный 4 75 9" xfId="44173" xr:uid="{00000000-0005-0000-0000-000033320000}"/>
    <cellStyle name="Обычный 4 76" xfId="1476" xr:uid="{00000000-0005-0000-0000-000034320000}"/>
    <cellStyle name="Обычный 4 76 10" xfId="49539" xr:uid="{00000000-0005-0000-0000-000035320000}"/>
    <cellStyle name="Обычный 4 76 2" xfId="6818" xr:uid="{00000000-0005-0000-0000-000036320000}"/>
    <cellStyle name="Обычный 4 76 2 2" xfId="54880" xr:uid="{00000000-0005-0000-0000-000037320000}"/>
    <cellStyle name="Обычный 4 76 3" xfId="12159" xr:uid="{00000000-0005-0000-0000-000038320000}"/>
    <cellStyle name="Обычный 4 76 4" xfId="17499" xr:uid="{00000000-0005-0000-0000-000039320000}"/>
    <cellStyle name="Обычный 4 76 5" xfId="22839" xr:uid="{00000000-0005-0000-0000-00003A320000}"/>
    <cellStyle name="Обычный 4 76 6" xfId="28179" xr:uid="{00000000-0005-0000-0000-00003B320000}"/>
    <cellStyle name="Обычный 4 76 7" xfId="33519" xr:uid="{00000000-0005-0000-0000-00003C320000}"/>
    <cellStyle name="Обычный 4 76 8" xfId="38859" xr:uid="{00000000-0005-0000-0000-00003D320000}"/>
    <cellStyle name="Обычный 4 76 9" xfId="44199" xr:uid="{00000000-0005-0000-0000-00003E320000}"/>
    <cellStyle name="Обычный 4 77" xfId="1502" xr:uid="{00000000-0005-0000-0000-00003F320000}"/>
    <cellStyle name="Обычный 4 77 10" xfId="49565" xr:uid="{00000000-0005-0000-0000-000040320000}"/>
    <cellStyle name="Обычный 4 77 2" xfId="6844" xr:uid="{00000000-0005-0000-0000-000041320000}"/>
    <cellStyle name="Обычный 4 77 2 2" xfId="54906" xr:uid="{00000000-0005-0000-0000-000042320000}"/>
    <cellStyle name="Обычный 4 77 3" xfId="12185" xr:uid="{00000000-0005-0000-0000-000043320000}"/>
    <cellStyle name="Обычный 4 77 4" xfId="17525" xr:uid="{00000000-0005-0000-0000-000044320000}"/>
    <cellStyle name="Обычный 4 77 5" xfId="22865" xr:uid="{00000000-0005-0000-0000-000045320000}"/>
    <cellStyle name="Обычный 4 77 6" xfId="28205" xr:uid="{00000000-0005-0000-0000-000046320000}"/>
    <cellStyle name="Обычный 4 77 7" xfId="33545" xr:uid="{00000000-0005-0000-0000-000047320000}"/>
    <cellStyle name="Обычный 4 77 8" xfId="38885" xr:uid="{00000000-0005-0000-0000-000048320000}"/>
    <cellStyle name="Обычный 4 77 9" xfId="44225" xr:uid="{00000000-0005-0000-0000-000049320000}"/>
    <cellStyle name="Обычный 4 78" xfId="1528" xr:uid="{00000000-0005-0000-0000-00004A320000}"/>
    <cellStyle name="Обычный 4 78 10" xfId="49591" xr:uid="{00000000-0005-0000-0000-00004B320000}"/>
    <cellStyle name="Обычный 4 78 2" xfId="6870" xr:uid="{00000000-0005-0000-0000-00004C320000}"/>
    <cellStyle name="Обычный 4 78 2 2" xfId="54932" xr:uid="{00000000-0005-0000-0000-00004D320000}"/>
    <cellStyle name="Обычный 4 78 3" xfId="12211" xr:uid="{00000000-0005-0000-0000-00004E320000}"/>
    <cellStyle name="Обычный 4 78 4" xfId="17551" xr:uid="{00000000-0005-0000-0000-00004F320000}"/>
    <cellStyle name="Обычный 4 78 5" xfId="22891" xr:uid="{00000000-0005-0000-0000-000050320000}"/>
    <cellStyle name="Обычный 4 78 6" xfId="28231" xr:uid="{00000000-0005-0000-0000-000051320000}"/>
    <cellStyle name="Обычный 4 78 7" xfId="33571" xr:uid="{00000000-0005-0000-0000-000052320000}"/>
    <cellStyle name="Обычный 4 78 8" xfId="38911" xr:uid="{00000000-0005-0000-0000-000053320000}"/>
    <cellStyle name="Обычный 4 78 9" xfId="44251" xr:uid="{00000000-0005-0000-0000-000054320000}"/>
    <cellStyle name="Обычный 4 79" xfId="1554" xr:uid="{00000000-0005-0000-0000-000055320000}"/>
    <cellStyle name="Обычный 4 79 10" xfId="49617" xr:uid="{00000000-0005-0000-0000-000056320000}"/>
    <cellStyle name="Обычный 4 79 2" xfId="6896" xr:uid="{00000000-0005-0000-0000-000057320000}"/>
    <cellStyle name="Обычный 4 79 2 2" xfId="54958" xr:uid="{00000000-0005-0000-0000-000058320000}"/>
    <cellStyle name="Обычный 4 79 3" xfId="12237" xr:uid="{00000000-0005-0000-0000-000059320000}"/>
    <cellStyle name="Обычный 4 79 4" xfId="17577" xr:uid="{00000000-0005-0000-0000-00005A320000}"/>
    <cellStyle name="Обычный 4 79 5" xfId="22917" xr:uid="{00000000-0005-0000-0000-00005B320000}"/>
    <cellStyle name="Обычный 4 79 6" xfId="28257" xr:uid="{00000000-0005-0000-0000-00005C320000}"/>
    <cellStyle name="Обычный 4 79 7" xfId="33597" xr:uid="{00000000-0005-0000-0000-00005D320000}"/>
    <cellStyle name="Обычный 4 79 8" xfId="38937" xr:uid="{00000000-0005-0000-0000-00005E320000}"/>
    <cellStyle name="Обычный 4 79 9" xfId="44277" xr:uid="{00000000-0005-0000-0000-00005F320000}"/>
    <cellStyle name="Обычный 4 8" xfId="70" xr:uid="{00000000-0005-0000-0000-000060320000}"/>
    <cellStyle name="Обычный 4 8 10" xfId="42792" xr:uid="{00000000-0005-0000-0000-000061320000}"/>
    <cellStyle name="Обычный 4 8 11" xfId="48132" xr:uid="{00000000-0005-0000-0000-000062320000}"/>
    <cellStyle name="Обычный 4 8 2" xfId="537" xr:uid="{00000000-0005-0000-0000-000063320000}"/>
    <cellStyle name="Обычный 4 8 2 10" xfId="48599" xr:uid="{00000000-0005-0000-0000-000064320000}"/>
    <cellStyle name="Обычный 4 8 2 2" xfId="5878" xr:uid="{00000000-0005-0000-0000-000065320000}"/>
    <cellStyle name="Обычный 4 8 2 2 2" xfId="53940" xr:uid="{00000000-0005-0000-0000-000066320000}"/>
    <cellStyle name="Обычный 4 8 2 3" xfId="11219" xr:uid="{00000000-0005-0000-0000-000067320000}"/>
    <cellStyle name="Обычный 4 8 2 4" xfId="16559" xr:uid="{00000000-0005-0000-0000-000068320000}"/>
    <cellStyle name="Обычный 4 8 2 5" xfId="21899" xr:uid="{00000000-0005-0000-0000-000069320000}"/>
    <cellStyle name="Обычный 4 8 2 6" xfId="27239" xr:uid="{00000000-0005-0000-0000-00006A320000}"/>
    <cellStyle name="Обычный 4 8 2 7" xfId="32579" xr:uid="{00000000-0005-0000-0000-00006B320000}"/>
    <cellStyle name="Обычный 4 8 2 8" xfId="37919" xr:uid="{00000000-0005-0000-0000-00006C320000}"/>
    <cellStyle name="Обычный 4 8 2 9" xfId="43259" xr:uid="{00000000-0005-0000-0000-00006D320000}"/>
    <cellStyle name="Обычный 4 8 3" xfId="5411" xr:uid="{00000000-0005-0000-0000-00006E320000}"/>
    <cellStyle name="Обычный 4 8 3 2" xfId="53473" xr:uid="{00000000-0005-0000-0000-00006F320000}"/>
    <cellStyle name="Обычный 4 8 4" xfId="10752" xr:uid="{00000000-0005-0000-0000-000070320000}"/>
    <cellStyle name="Обычный 4 8 5" xfId="16092" xr:uid="{00000000-0005-0000-0000-000071320000}"/>
    <cellStyle name="Обычный 4 8 6" xfId="21432" xr:uid="{00000000-0005-0000-0000-000072320000}"/>
    <cellStyle name="Обычный 4 8 7" xfId="26772" xr:uid="{00000000-0005-0000-0000-000073320000}"/>
    <cellStyle name="Обычный 4 8 8" xfId="32112" xr:uid="{00000000-0005-0000-0000-000074320000}"/>
    <cellStyle name="Обычный 4 8 9" xfId="37452" xr:uid="{00000000-0005-0000-0000-000075320000}"/>
    <cellStyle name="Обычный 4 80" xfId="1580" xr:uid="{00000000-0005-0000-0000-000076320000}"/>
    <cellStyle name="Обычный 4 80 10" xfId="49643" xr:uid="{00000000-0005-0000-0000-000077320000}"/>
    <cellStyle name="Обычный 4 80 2" xfId="6922" xr:uid="{00000000-0005-0000-0000-000078320000}"/>
    <cellStyle name="Обычный 4 80 2 2" xfId="54984" xr:uid="{00000000-0005-0000-0000-000079320000}"/>
    <cellStyle name="Обычный 4 80 3" xfId="12263" xr:uid="{00000000-0005-0000-0000-00007A320000}"/>
    <cellStyle name="Обычный 4 80 4" xfId="17603" xr:uid="{00000000-0005-0000-0000-00007B320000}"/>
    <cellStyle name="Обычный 4 80 5" xfId="22943" xr:uid="{00000000-0005-0000-0000-00007C320000}"/>
    <cellStyle name="Обычный 4 80 6" xfId="28283" xr:uid="{00000000-0005-0000-0000-00007D320000}"/>
    <cellStyle name="Обычный 4 80 7" xfId="33623" xr:uid="{00000000-0005-0000-0000-00007E320000}"/>
    <cellStyle name="Обычный 4 80 8" xfId="38963" xr:uid="{00000000-0005-0000-0000-00007F320000}"/>
    <cellStyle name="Обычный 4 80 9" xfId="44303" xr:uid="{00000000-0005-0000-0000-000080320000}"/>
    <cellStyle name="Обычный 4 81" xfId="1606" xr:uid="{00000000-0005-0000-0000-000081320000}"/>
    <cellStyle name="Обычный 4 81 10" xfId="49669" xr:uid="{00000000-0005-0000-0000-000082320000}"/>
    <cellStyle name="Обычный 4 81 2" xfId="6948" xr:uid="{00000000-0005-0000-0000-000083320000}"/>
    <cellStyle name="Обычный 4 81 2 2" xfId="55010" xr:uid="{00000000-0005-0000-0000-000084320000}"/>
    <cellStyle name="Обычный 4 81 3" xfId="12289" xr:uid="{00000000-0005-0000-0000-000085320000}"/>
    <cellStyle name="Обычный 4 81 4" xfId="17629" xr:uid="{00000000-0005-0000-0000-000086320000}"/>
    <cellStyle name="Обычный 4 81 5" xfId="22969" xr:uid="{00000000-0005-0000-0000-000087320000}"/>
    <cellStyle name="Обычный 4 81 6" xfId="28309" xr:uid="{00000000-0005-0000-0000-000088320000}"/>
    <cellStyle name="Обычный 4 81 7" xfId="33649" xr:uid="{00000000-0005-0000-0000-000089320000}"/>
    <cellStyle name="Обычный 4 81 8" xfId="38989" xr:uid="{00000000-0005-0000-0000-00008A320000}"/>
    <cellStyle name="Обычный 4 81 9" xfId="44329" xr:uid="{00000000-0005-0000-0000-00008B320000}"/>
    <cellStyle name="Обычный 4 82" xfId="1632" xr:uid="{00000000-0005-0000-0000-00008C320000}"/>
    <cellStyle name="Обычный 4 82 10" xfId="49695" xr:uid="{00000000-0005-0000-0000-00008D320000}"/>
    <cellStyle name="Обычный 4 82 2" xfId="6974" xr:uid="{00000000-0005-0000-0000-00008E320000}"/>
    <cellStyle name="Обычный 4 82 2 2" xfId="55036" xr:uid="{00000000-0005-0000-0000-00008F320000}"/>
    <cellStyle name="Обычный 4 82 3" xfId="12315" xr:uid="{00000000-0005-0000-0000-000090320000}"/>
    <cellStyle name="Обычный 4 82 4" xfId="17655" xr:uid="{00000000-0005-0000-0000-000091320000}"/>
    <cellStyle name="Обычный 4 82 5" xfId="22995" xr:uid="{00000000-0005-0000-0000-000092320000}"/>
    <cellStyle name="Обычный 4 82 6" xfId="28335" xr:uid="{00000000-0005-0000-0000-000093320000}"/>
    <cellStyle name="Обычный 4 82 7" xfId="33675" xr:uid="{00000000-0005-0000-0000-000094320000}"/>
    <cellStyle name="Обычный 4 82 8" xfId="39015" xr:uid="{00000000-0005-0000-0000-000095320000}"/>
    <cellStyle name="Обычный 4 82 9" xfId="44355" xr:uid="{00000000-0005-0000-0000-000096320000}"/>
    <cellStyle name="Обычный 4 83" xfId="1658" xr:uid="{00000000-0005-0000-0000-000097320000}"/>
    <cellStyle name="Обычный 4 83 10" xfId="49721" xr:uid="{00000000-0005-0000-0000-000098320000}"/>
    <cellStyle name="Обычный 4 83 2" xfId="7000" xr:uid="{00000000-0005-0000-0000-000099320000}"/>
    <cellStyle name="Обычный 4 83 2 2" xfId="55062" xr:uid="{00000000-0005-0000-0000-00009A320000}"/>
    <cellStyle name="Обычный 4 83 3" xfId="12341" xr:uid="{00000000-0005-0000-0000-00009B320000}"/>
    <cellStyle name="Обычный 4 83 4" xfId="17681" xr:uid="{00000000-0005-0000-0000-00009C320000}"/>
    <cellStyle name="Обычный 4 83 5" xfId="23021" xr:uid="{00000000-0005-0000-0000-00009D320000}"/>
    <cellStyle name="Обычный 4 83 6" xfId="28361" xr:uid="{00000000-0005-0000-0000-00009E320000}"/>
    <cellStyle name="Обычный 4 83 7" xfId="33701" xr:uid="{00000000-0005-0000-0000-00009F320000}"/>
    <cellStyle name="Обычный 4 83 8" xfId="39041" xr:uid="{00000000-0005-0000-0000-0000A0320000}"/>
    <cellStyle name="Обычный 4 83 9" xfId="44381" xr:uid="{00000000-0005-0000-0000-0000A1320000}"/>
    <cellStyle name="Обычный 4 84" xfId="1684" xr:uid="{00000000-0005-0000-0000-0000A2320000}"/>
    <cellStyle name="Обычный 4 84 10" xfId="49747" xr:uid="{00000000-0005-0000-0000-0000A3320000}"/>
    <cellStyle name="Обычный 4 84 2" xfId="7026" xr:uid="{00000000-0005-0000-0000-0000A4320000}"/>
    <cellStyle name="Обычный 4 84 2 2" xfId="55088" xr:uid="{00000000-0005-0000-0000-0000A5320000}"/>
    <cellStyle name="Обычный 4 84 3" xfId="12367" xr:uid="{00000000-0005-0000-0000-0000A6320000}"/>
    <cellStyle name="Обычный 4 84 4" xfId="17707" xr:uid="{00000000-0005-0000-0000-0000A7320000}"/>
    <cellStyle name="Обычный 4 84 5" xfId="23047" xr:uid="{00000000-0005-0000-0000-0000A8320000}"/>
    <cellStyle name="Обычный 4 84 6" xfId="28387" xr:uid="{00000000-0005-0000-0000-0000A9320000}"/>
    <cellStyle name="Обычный 4 84 7" xfId="33727" xr:uid="{00000000-0005-0000-0000-0000AA320000}"/>
    <cellStyle name="Обычный 4 84 8" xfId="39067" xr:uid="{00000000-0005-0000-0000-0000AB320000}"/>
    <cellStyle name="Обычный 4 84 9" xfId="44407" xr:uid="{00000000-0005-0000-0000-0000AC320000}"/>
    <cellStyle name="Обычный 4 85" xfId="1710" xr:uid="{00000000-0005-0000-0000-0000AD320000}"/>
    <cellStyle name="Обычный 4 85 10" xfId="49773" xr:uid="{00000000-0005-0000-0000-0000AE320000}"/>
    <cellStyle name="Обычный 4 85 2" xfId="7052" xr:uid="{00000000-0005-0000-0000-0000AF320000}"/>
    <cellStyle name="Обычный 4 85 2 2" xfId="55114" xr:uid="{00000000-0005-0000-0000-0000B0320000}"/>
    <cellStyle name="Обычный 4 85 3" xfId="12393" xr:uid="{00000000-0005-0000-0000-0000B1320000}"/>
    <cellStyle name="Обычный 4 85 4" xfId="17733" xr:uid="{00000000-0005-0000-0000-0000B2320000}"/>
    <cellStyle name="Обычный 4 85 5" xfId="23073" xr:uid="{00000000-0005-0000-0000-0000B3320000}"/>
    <cellStyle name="Обычный 4 85 6" xfId="28413" xr:uid="{00000000-0005-0000-0000-0000B4320000}"/>
    <cellStyle name="Обычный 4 85 7" xfId="33753" xr:uid="{00000000-0005-0000-0000-0000B5320000}"/>
    <cellStyle name="Обычный 4 85 8" xfId="39093" xr:uid="{00000000-0005-0000-0000-0000B6320000}"/>
    <cellStyle name="Обычный 4 85 9" xfId="44433" xr:uid="{00000000-0005-0000-0000-0000B7320000}"/>
    <cellStyle name="Обычный 4 86" xfId="1736" xr:uid="{00000000-0005-0000-0000-0000B8320000}"/>
    <cellStyle name="Обычный 4 86 10" xfId="49799" xr:uid="{00000000-0005-0000-0000-0000B9320000}"/>
    <cellStyle name="Обычный 4 86 2" xfId="7078" xr:uid="{00000000-0005-0000-0000-0000BA320000}"/>
    <cellStyle name="Обычный 4 86 2 2" xfId="55140" xr:uid="{00000000-0005-0000-0000-0000BB320000}"/>
    <cellStyle name="Обычный 4 86 3" xfId="12419" xr:uid="{00000000-0005-0000-0000-0000BC320000}"/>
    <cellStyle name="Обычный 4 86 4" xfId="17759" xr:uid="{00000000-0005-0000-0000-0000BD320000}"/>
    <cellStyle name="Обычный 4 86 5" xfId="23099" xr:uid="{00000000-0005-0000-0000-0000BE320000}"/>
    <cellStyle name="Обычный 4 86 6" xfId="28439" xr:uid="{00000000-0005-0000-0000-0000BF320000}"/>
    <cellStyle name="Обычный 4 86 7" xfId="33779" xr:uid="{00000000-0005-0000-0000-0000C0320000}"/>
    <cellStyle name="Обычный 4 86 8" xfId="39119" xr:uid="{00000000-0005-0000-0000-0000C1320000}"/>
    <cellStyle name="Обычный 4 86 9" xfId="44459" xr:uid="{00000000-0005-0000-0000-0000C2320000}"/>
    <cellStyle name="Обычный 4 87" xfId="1762" xr:uid="{00000000-0005-0000-0000-0000C3320000}"/>
    <cellStyle name="Обычный 4 87 10" xfId="49825" xr:uid="{00000000-0005-0000-0000-0000C4320000}"/>
    <cellStyle name="Обычный 4 87 2" xfId="7104" xr:uid="{00000000-0005-0000-0000-0000C5320000}"/>
    <cellStyle name="Обычный 4 87 2 2" xfId="55166" xr:uid="{00000000-0005-0000-0000-0000C6320000}"/>
    <cellStyle name="Обычный 4 87 3" xfId="12445" xr:uid="{00000000-0005-0000-0000-0000C7320000}"/>
    <cellStyle name="Обычный 4 87 4" xfId="17785" xr:uid="{00000000-0005-0000-0000-0000C8320000}"/>
    <cellStyle name="Обычный 4 87 5" xfId="23125" xr:uid="{00000000-0005-0000-0000-0000C9320000}"/>
    <cellStyle name="Обычный 4 87 6" xfId="28465" xr:uid="{00000000-0005-0000-0000-0000CA320000}"/>
    <cellStyle name="Обычный 4 87 7" xfId="33805" xr:uid="{00000000-0005-0000-0000-0000CB320000}"/>
    <cellStyle name="Обычный 4 87 8" xfId="39145" xr:uid="{00000000-0005-0000-0000-0000CC320000}"/>
    <cellStyle name="Обычный 4 87 9" xfId="44485" xr:uid="{00000000-0005-0000-0000-0000CD320000}"/>
    <cellStyle name="Обычный 4 88" xfId="1788" xr:uid="{00000000-0005-0000-0000-0000CE320000}"/>
    <cellStyle name="Обычный 4 88 10" xfId="49851" xr:uid="{00000000-0005-0000-0000-0000CF320000}"/>
    <cellStyle name="Обычный 4 88 2" xfId="7130" xr:uid="{00000000-0005-0000-0000-0000D0320000}"/>
    <cellStyle name="Обычный 4 88 2 2" xfId="55192" xr:uid="{00000000-0005-0000-0000-0000D1320000}"/>
    <cellStyle name="Обычный 4 88 3" xfId="12471" xr:uid="{00000000-0005-0000-0000-0000D2320000}"/>
    <cellStyle name="Обычный 4 88 4" xfId="17811" xr:uid="{00000000-0005-0000-0000-0000D3320000}"/>
    <cellStyle name="Обычный 4 88 5" xfId="23151" xr:uid="{00000000-0005-0000-0000-0000D4320000}"/>
    <cellStyle name="Обычный 4 88 6" xfId="28491" xr:uid="{00000000-0005-0000-0000-0000D5320000}"/>
    <cellStyle name="Обычный 4 88 7" xfId="33831" xr:uid="{00000000-0005-0000-0000-0000D6320000}"/>
    <cellStyle name="Обычный 4 88 8" xfId="39171" xr:uid="{00000000-0005-0000-0000-0000D7320000}"/>
    <cellStyle name="Обычный 4 88 9" xfId="44511" xr:uid="{00000000-0005-0000-0000-0000D8320000}"/>
    <cellStyle name="Обычный 4 89" xfId="1814" xr:uid="{00000000-0005-0000-0000-0000D9320000}"/>
    <cellStyle name="Обычный 4 89 10" xfId="49877" xr:uid="{00000000-0005-0000-0000-0000DA320000}"/>
    <cellStyle name="Обычный 4 89 2" xfId="7156" xr:uid="{00000000-0005-0000-0000-0000DB320000}"/>
    <cellStyle name="Обычный 4 89 2 2" xfId="55218" xr:uid="{00000000-0005-0000-0000-0000DC320000}"/>
    <cellStyle name="Обычный 4 89 3" xfId="12497" xr:uid="{00000000-0005-0000-0000-0000DD320000}"/>
    <cellStyle name="Обычный 4 89 4" xfId="17837" xr:uid="{00000000-0005-0000-0000-0000DE320000}"/>
    <cellStyle name="Обычный 4 89 5" xfId="23177" xr:uid="{00000000-0005-0000-0000-0000DF320000}"/>
    <cellStyle name="Обычный 4 89 6" xfId="28517" xr:uid="{00000000-0005-0000-0000-0000E0320000}"/>
    <cellStyle name="Обычный 4 89 7" xfId="33857" xr:uid="{00000000-0005-0000-0000-0000E1320000}"/>
    <cellStyle name="Обычный 4 89 8" xfId="39197" xr:uid="{00000000-0005-0000-0000-0000E2320000}"/>
    <cellStyle name="Обычный 4 89 9" xfId="44537" xr:uid="{00000000-0005-0000-0000-0000E3320000}"/>
    <cellStyle name="Обычный 4 9" xfId="72" xr:uid="{00000000-0005-0000-0000-0000E4320000}"/>
    <cellStyle name="Обычный 4 9 10" xfId="42794" xr:uid="{00000000-0005-0000-0000-0000E5320000}"/>
    <cellStyle name="Обычный 4 9 11" xfId="48134" xr:uid="{00000000-0005-0000-0000-0000E6320000}"/>
    <cellStyle name="Обычный 4 9 2" xfId="539" xr:uid="{00000000-0005-0000-0000-0000E7320000}"/>
    <cellStyle name="Обычный 4 9 2 10" xfId="48601" xr:uid="{00000000-0005-0000-0000-0000E8320000}"/>
    <cellStyle name="Обычный 4 9 2 2" xfId="5880" xr:uid="{00000000-0005-0000-0000-0000E9320000}"/>
    <cellStyle name="Обычный 4 9 2 2 2" xfId="53942" xr:uid="{00000000-0005-0000-0000-0000EA320000}"/>
    <cellStyle name="Обычный 4 9 2 3" xfId="11221" xr:uid="{00000000-0005-0000-0000-0000EB320000}"/>
    <cellStyle name="Обычный 4 9 2 4" xfId="16561" xr:uid="{00000000-0005-0000-0000-0000EC320000}"/>
    <cellStyle name="Обычный 4 9 2 5" xfId="21901" xr:uid="{00000000-0005-0000-0000-0000ED320000}"/>
    <cellStyle name="Обычный 4 9 2 6" xfId="27241" xr:uid="{00000000-0005-0000-0000-0000EE320000}"/>
    <cellStyle name="Обычный 4 9 2 7" xfId="32581" xr:uid="{00000000-0005-0000-0000-0000EF320000}"/>
    <cellStyle name="Обычный 4 9 2 8" xfId="37921" xr:uid="{00000000-0005-0000-0000-0000F0320000}"/>
    <cellStyle name="Обычный 4 9 2 9" xfId="43261" xr:uid="{00000000-0005-0000-0000-0000F1320000}"/>
    <cellStyle name="Обычный 4 9 3" xfId="5413" xr:uid="{00000000-0005-0000-0000-0000F2320000}"/>
    <cellStyle name="Обычный 4 9 3 2" xfId="53475" xr:uid="{00000000-0005-0000-0000-0000F3320000}"/>
    <cellStyle name="Обычный 4 9 4" xfId="10754" xr:uid="{00000000-0005-0000-0000-0000F4320000}"/>
    <cellStyle name="Обычный 4 9 5" xfId="16094" xr:uid="{00000000-0005-0000-0000-0000F5320000}"/>
    <cellStyle name="Обычный 4 9 6" xfId="21434" xr:uid="{00000000-0005-0000-0000-0000F6320000}"/>
    <cellStyle name="Обычный 4 9 7" xfId="26774" xr:uid="{00000000-0005-0000-0000-0000F7320000}"/>
    <cellStyle name="Обычный 4 9 8" xfId="32114" xr:uid="{00000000-0005-0000-0000-0000F8320000}"/>
    <cellStyle name="Обычный 4 9 9" xfId="37454" xr:uid="{00000000-0005-0000-0000-0000F9320000}"/>
    <cellStyle name="Обычный 4 90" xfId="1840" xr:uid="{00000000-0005-0000-0000-0000FA320000}"/>
    <cellStyle name="Обычный 4 90 10" xfId="49903" xr:uid="{00000000-0005-0000-0000-0000FB320000}"/>
    <cellStyle name="Обычный 4 90 2" xfId="7182" xr:uid="{00000000-0005-0000-0000-0000FC320000}"/>
    <cellStyle name="Обычный 4 90 2 2" xfId="55244" xr:uid="{00000000-0005-0000-0000-0000FD320000}"/>
    <cellStyle name="Обычный 4 90 3" xfId="12523" xr:uid="{00000000-0005-0000-0000-0000FE320000}"/>
    <cellStyle name="Обычный 4 90 4" xfId="17863" xr:uid="{00000000-0005-0000-0000-0000FF320000}"/>
    <cellStyle name="Обычный 4 90 5" xfId="23203" xr:uid="{00000000-0005-0000-0000-000000330000}"/>
    <cellStyle name="Обычный 4 90 6" xfId="28543" xr:uid="{00000000-0005-0000-0000-000001330000}"/>
    <cellStyle name="Обычный 4 90 7" xfId="33883" xr:uid="{00000000-0005-0000-0000-000002330000}"/>
    <cellStyle name="Обычный 4 90 8" xfId="39223" xr:uid="{00000000-0005-0000-0000-000003330000}"/>
    <cellStyle name="Обычный 4 90 9" xfId="44563" xr:uid="{00000000-0005-0000-0000-000004330000}"/>
    <cellStyle name="Обычный 4 91" xfId="1866" xr:uid="{00000000-0005-0000-0000-000005330000}"/>
    <cellStyle name="Обычный 4 91 10" xfId="49929" xr:uid="{00000000-0005-0000-0000-000006330000}"/>
    <cellStyle name="Обычный 4 91 2" xfId="7208" xr:uid="{00000000-0005-0000-0000-000007330000}"/>
    <cellStyle name="Обычный 4 91 2 2" xfId="55270" xr:uid="{00000000-0005-0000-0000-000008330000}"/>
    <cellStyle name="Обычный 4 91 3" xfId="12549" xr:uid="{00000000-0005-0000-0000-000009330000}"/>
    <cellStyle name="Обычный 4 91 4" xfId="17889" xr:uid="{00000000-0005-0000-0000-00000A330000}"/>
    <cellStyle name="Обычный 4 91 5" xfId="23229" xr:uid="{00000000-0005-0000-0000-00000B330000}"/>
    <cellStyle name="Обычный 4 91 6" xfId="28569" xr:uid="{00000000-0005-0000-0000-00000C330000}"/>
    <cellStyle name="Обычный 4 91 7" xfId="33909" xr:uid="{00000000-0005-0000-0000-00000D330000}"/>
    <cellStyle name="Обычный 4 91 8" xfId="39249" xr:uid="{00000000-0005-0000-0000-00000E330000}"/>
    <cellStyle name="Обычный 4 91 9" xfId="44589" xr:uid="{00000000-0005-0000-0000-00000F330000}"/>
    <cellStyle name="Обычный 4 92" xfId="1892" xr:uid="{00000000-0005-0000-0000-000010330000}"/>
    <cellStyle name="Обычный 4 92 10" xfId="49955" xr:uid="{00000000-0005-0000-0000-000011330000}"/>
    <cellStyle name="Обычный 4 92 2" xfId="7234" xr:uid="{00000000-0005-0000-0000-000012330000}"/>
    <cellStyle name="Обычный 4 92 2 2" xfId="55296" xr:uid="{00000000-0005-0000-0000-000013330000}"/>
    <cellStyle name="Обычный 4 92 3" xfId="12575" xr:uid="{00000000-0005-0000-0000-000014330000}"/>
    <cellStyle name="Обычный 4 92 4" xfId="17915" xr:uid="{00000000-0005-0000-0000-000015330000}"/>
    <cellStyle name="Обычный 4 92 5" xfId="23255" xr:uid="{00000000-0005-0000-0000-000016330000}"/>
    <cellStyle name="Обычный 4 92 6" xfId="28595" xr:uid="{00000000-0005-0000-0000-000017330000}"/>
    <cellStyle name="Обычный 4 92 7" xfId="33935" xr:uid="{00000000-0005-0000-0000-000018330000}"/>
    <cellStyle name="Обычный 4 92 8" xfId="39275" xr:uid="{00000000-0005-0000-0000-000019330000}"/>
    <cellStyle name="Обычный 4 92 9" xfId="44615" xr:uid="{00000000-0005-0000-0000-00001A330000}"/>
    <cellStyle name="Обычный 4 93" xfId="1918" xr:uid="{00000000-0005-0000-0000-00001B330000}"/>
    <cellStyle name="Обычный 4 93 10" xfId="49981" xr:uid="{00000000-0005-0000-0000-00001C330000}"/>
    <cellStyle name="Обычный 4 93 2" xfId="7260" xr:uid="{00000000-0005-0000-0000-00001D330000}"/>
    <cellStyle name="Обычный 4 93 2 2" xfId="55322" xr:uid="{00000000-0005-0000-0000-00001E330000}"/>
    <cellStyle name="Обычный 4 93 3" xfId="12601" xr:uid="{00000000-0005-0000-0000-00001F330000}"/>
    <cellStyle name="Обычный 4 93 4" xfId="17941" xr:uid="{00000000-0005-0000-0000-000020330000}"/>
    <cellStyle name="Обычный 4 93 5" xfId="23281" xr:uid="{00000000-0005-0000-0000-000021330000}"/>
    <cellStyle name="Обычный 4 93 6" xfId="28621" xr:uid="{00000000-0005-0000-0000-000022330000}"/>
    <cellStyle name="Обычный 4 93 7" xfId="33961" xr:uid="{00000000-0005-0000-0000-000023330000}"/>
    <cellStyle name="Обычный 4 93 8" xfId="39301" xr:uid="{00000000-0005-0000-0000-000024330000}"/>
    <cellStyle name="Обычный 4 93 9" xfId="44641" xr:uid="{00000000-0005-0000-0000-000025330000}"/>
    <cellStyle name="Обычный 4 94" xfId="1946" xr:uid="{00000000-0005-0000-0000-000026330000}"/>
    <cellStyle name="Обычный 4 94 10" xfId="50009" xr:uid="{00000000-0005-0000-0000-000027330000}"/>
    <cellStyle name="Обычный 4 94 2" xfId="7288" xr:uid="{00000000-0005-0000-0000-000028330000}"/>
    <cellStyle name="Обычный 4 94 2 2" xfId="55350" xr:uid="{00000000-0005-0000-0000-000029330000}"/>
    <cellStyle name="Обычный 4 94 3" xfId="12629" xr:uid="{00000000-0005-0000-0000-00002A330000}"/>
    <cellStyle name="Обычный 4 94 4" xfId="17969" xr:uid="{00000000-0005-0000-0000-00002B330000}"/>
    <cellStyle name="Обычный 4 94 5" xfId="23309" xr:uid="{00000000-0005-0000-0000-00002C330000}"/>
    <cellStyle name="Обычный 4 94 6" xfId="28649" xr:uid="{00000000-0005-0000-0000-00002D330000}"/>
    <cellStyle name="Обычный 4 94 7" xfId="33989" xr:uid="{00000000-0005-0000-0000-00002E330000}"/>
    <cellStyle name="Обычный 4 94 8" xfId="39329" xr:uid="{00000000-0005-0000-0000-00002F330000}"/>
    <cellStyle name="Обычный 4 94 9" xfId="44669" xr:uid="{00000000-0005-0000-0000-000030330000}"/>
    <cellStyle name="Обычный 4 95" xfId="1973" xr:uid="{00000000-0005-0000-0000-000031330000}"/>
    <cellStyle name="Обычный 4 95 10" xfId="50037" xr:uid="{00000000-0005-0000-0000-000032330000}"/>
    <cellStyle name="Обычный 4 95 2" xfId="7316" xr:uid="{00000000-0005-0000-0000-000033330000}"/>
    <cellStyle name="Обычный 4 95 2 2" xfId="55378" xr:uid="{00000000-0005-0000-0000-000034330000}"/>
    <cellStyle name="Обычный 4 95 3" xfId="12657" xr:uid="{00000000-0005-0000-0000-000035330000}"/>
    <cellStyle name="Обычный 4 95 4" xfId="17997" xr:uid="{00000000-0005-0000-0000-000036330000}"/>
    <cellStyle name="Обычный 4 95 5" xfId="23337" xr:uid="{00000000-0005-0000-0000-000037330000}"/>
    <cellStyle name="Обычный 4 95 6" xfId="28677" xr:uid="{00000000-0005-0000-0000-000038330000}"/>
    <cellStyle name="Обычный 4 95 7" xfId="34017" xr:uid="{00000000-0005-0000-0000-000039330000}"/>
    <cellStyle name="Обычный 4 95 8" xfId="39357" xr:uid="{00000000-0005-0000-0000-00003A330000}"/>
    <cellStyle name="Обычный 4 95 9" xfId="44697" xr:uid="{00000000-0005-0000-0000-00003B330000}"/>
    <cellStyle name="Обычный 4 96" xfId="2001" xr:uid="{00000000-0005-0000-0000-00003C330000}"/>
    <cellStyle name="Обычный 4 96 10" xfId="50065" xr:uid="{00000000-0005-0000-0000-00003D330000}"/>
    <cellStyle name="Обычный 4 96 2" xfId="7344" xr:uid="{00000000-0005-0000-0000-00003E330000}"/>
    <cellStyle name="Обычный 4 96 2 2" xfId="55406" xr:uid="{00000000-0005-0000-0000-00003F330000}"/>
    <cellStyle name="Обычный 4 96 3" xfId="12685" xr:uid="{00000000-0005-0000-0000-000040330000}"/>
    <cellStyle name="Обычный 4 96 4" xfId="18025" xr:uid="{00000000-0005-0000-0000-000041330000}"/>
    <cellStyle name="Обычный 4 96 5" xfId="23365" xr:uid="{00000000-0005-0000-0000-000042330000}"/>
    <cellStyle name="Обычный 4 96 6" xfId="28705" xr:uid="{00000000-0005-0000-0000-000043330000}"/>
    <cellStyle name="Обычный 4 96 7" xfId="34045" xr:uid="{00000000-0005-0000-0000-000044330000}"/>
    <cellStyle name="Обычный 4 96 8" xfId="39385" xr:uid="{00000000-0005-0000-0000-000045330000}"/>
    <cellStyle name="Обычный 4 96 9" xfId="44725" xr:uid="{00000000-0005-0000-0000-000046330000}"/>
    <cellStyle name="Обычный 4 97" xfId="2029" xr:uid="{00000000-0005-0000-0000-000047330000}"/>
    <cellStyle name="Обычный 4 97 10" xfId="50093" xr:uid="{00000000-0005-0000-0000-000048330000}"/>
    <cellStyle name="Обычный 4 97 2" xfId="7372" xr:uid="{00000000-0005-0000-0000-000049330000}"/>
    <cellStyle name="Обычный 4 97 2 2" xfId="55434" xr:uid="{00000000-0005-0000-0000-00004A330000}"/>
    <cellStyle name="Обычный 4 97 3" xfId="12713" xr:uid="{00000000-0005-0000-0000-00004B330000}"/>
    <cellStyle name="Обычный 4 97 4" xfId="18053" xr:uid="{00000000-0005-0000-0000-00004C330000}"/>
    <cellStyle name="Обычный 4 97 5" xfId="23393" xr:uid="{00000000-0005-0000-0000-00004D330000}"/>
    <cellStyle name="Обычный 4 97 6" xfId="28733" xr:uid="{00000000-0005-0000-0000-00004E330000}"/>
    <cellStyle name="Обычный 4 97 7" xfId="34073" xr:uid="{00000000-0005-0000-0000-00004F330000}"/>
    <cellStyle name="Обычный 4 97 8" xfId="39413" xr:uid="{00000000-0005-0000-0000-000050330000}"/>
    <cellStyle name="Обычный 4 97 9" xfId="44753" xr:uid="{00000000-0005-0000-0000-000051330000}"/>
    <cellStyle name="Обычный 4 98" xfId="2057" xr:uid="{00000000-0005-0000-0000-000052330000}"/>
    <cellStyle name="Обычный 4 98 10" xfId="50121" xr:uid="{00000000-0005-0000-0000-000053330000}"/>
    <cellStyle name="Обычный 4 98 2" xfId="7400" xr:uid="{00000000-0005-0000-0000-000054330000}"/>
    <cellStyle name="Обычный 4 98 2 2" xfId="55462" xr:uid="{00000000-0005-0000-0000-000055330000}"/>
    <cellStyle name="Обычный 4 98 3" xfId="12741" xr:uid="{00000000-0005-0000-0000-000056330000}"/>
    <cellStyle name="Обычный 4 98 4" xfId="18081" xr:uid="{00000000-0005-0000-0000-000057330000}"/>
    <cellStyle name="Обычный 4 98 5" xfId="23421" xr:uid="{00000000-0005-0000-0000-000058330000}"/>
    <cellStyle name="Обычный 4 98 6" xfId="28761" xr:uid="{00000000-0005-0000-0000-000059330000}"/>
    <cellStyle name="Обычный 4 98 7" xfId="34101" xr:uid="{00000000-0005-0000-0000-00005A330000}"/>
    <cellStyle name="Обычный 4 98 8" xfId="39441" xr:uid="{00000000-0005-0000-0000-00005B330000}"/>
    <cellStyle name="Обычный 4 98 9" xfId="44781" xr:uid="{00000000-0005-0000-0000-00005C330000}"/>
    <cellStyle name="Обычный 4 99" xfId="2085" xr:uid="{00000000-0005-0000-0000-00005D330000}"/>
    <cellStyle name="Обычный 4 99 10" xfId="50149" xr:uid="{00000000-0005-0000-0000-00005E330000}"/>
    <cellStyle name="Обычный 4 99 2" xfId="7428" xr:uid="{00000000-0005-0000-0000-00005F330000}"/>
    <cellStyle name="Обычный 4 99 2 2" xfId="55490" xr:uid="{00000000-0005-0000-0000-000060330000}"/>
    <cellStyle name="Обычный 4 99 3" xfId="12769" xr:uid="{00000000-0005-0000-0000-000061330000}"/>
    <cellStyle name="Обычный 4 99 4" xfId="18109" xr:uid="{00000000-0005-0000-0000-000062330000}"/>
    <cellStyle name="Обычный 4 99 5" xfId="23449" xr:uid="{00000000-0005-0000-0000-000063330000}"/>
    <cellStyle name="Обычный 4 99 6" xfId="28789" xr:uid="{00000000-0005-0000-0000-000064330000}"/>
    <cellStyle name="Обычный 4 99 7" xfId="34129" xr:uid="{00000000-0005-0000-0000-000065330000}"/>
    <cellStyle name="Обычный 4 99 8" xfId="39469" xr:uid="{00000000-0005-0000-0000-000066330000}"/>
    <cellStyle name="Обычный 4 99 9" xfId="44809" xr:uid="{00000000-0005-0000-0000-000067330000}"/>
    <cellStyle name="Обычный 5" xfId="60" xr:uid="{00000000-0005-0000-0000-000068330000}"/>
    <cellStyle name="Обычный 5 10" xfId="114" xr:uid="{00000000-0005-0000-0000-000069330000}"/>
    <cellStyle name="Обычный 5 10 10" xfId="42836" xr:uid="{00000000-0005-0000-0000-00006A330000}"/>
    <cellStyle name="Обычный 5 10 11" xfId="48176" xr:uid="{00000000-0005-0000-0000-00006B330000}"/>
    <cellStyle name="Обычный 5 10 2" xfId="581" xr:uid="{00000000-0005-0000-0000-00006C330000}"/>
    <cellStyle name="Обычный 5 10 2 10" xfId="48643" xr:uid="{00000000-0005-0000-0000-00006D330000}"/>
    <cellStyle name="Обычный 5 10 2 2" xfId="5922" xr:uid="{00000000-0005-0000-0000-00006E330000}"/>
    <cellStyle name="Обычный 5 10 2 2 2" xfId="53984" xr:uid="{00000000-0005-0000-0000-00006F330000}"/>
    <cellStyle name="Обычный 5 10 2 3" xfId="11263" xr:uid="{00000000-0005-0000-0000-000070330000}"/>
    <cellStyle name="Обычный 5 10 2 4" xfId="16603" xr:uid="{00000000-0005-0000-0000-000071330000}"/>
    <cellStyle name="Обычный 5 10 2 5" xfId="21943" xr:uid="{00000000-0005-0000-0000-000072330000}"/>
    <cellStyle name="Обычный 5 10 2 6" xfId="27283" xr:uid="{00000000-0005-0000-0000-000073330000}"/>
    <cellStyle name="Обычный 5 10 2 7" xfId="32623" xr:uid="{00000000-0005-0000-0000-000074330000}"/>
    <cellStyle name="Обычный 5 10 2 8" xfId="37963" xr:uid="{00000000-0005-0000-0000-000075330000}"/>
    <cellStyle name="Обычный 5 10 2 9" xfId="43303" xr:uid="{00000000-0005-0000-0000-000076330000}"/>
    <cellStyle name="Обычный 5 10 3" xfId="5455" xr:uid="{00000000-0005-0000-0000-000077330000}"/>
    <cellStyle name="Обычный 5 10 3 2" xfId="53517" xr:uid="{00000000-0005-0000-0000-000078330000}"/>
    <cellStyle name="Обычный 5 10 4" xfId="10796" xr:uid="{00000000-0005-0000-0000-000079330000}"/>
    <cellStyle name="Обычный 5 10 5" xfId="16136" xr:uid="{00000000-0005-0000-0000-00007A330000}"/>
    <cellStyle name="Обычный 5 10 6" xfId="21476" xr:uid="{00000000-0005-0000-0000-00007B330000}"/>
    <cellStyle name="Обычный 5 10 7" xfId="26816" xr:uid="{00000000-0005-0000-0000-00007C330000}"/>
    <cellStyle name="Обычный 5 10 8" xfId="32156" xr:uid="{00000000-0005-0000-0000-00007D330000}"/>
    <cellStyle name="Обычный 5 10 9" xfId="37496" xr:uid="{00000000-0005-0000-0000-00007E330000}"/>
    <cellStyle name="Обычный 5 100" xfId="2325" xr:uid="{00000000-0005-0000-0000-00007F330000}"/>
    <cellStyle name="Обычный 5 100 10" xfId="50389" xr:uid="{00000000-0005-0000-0000-000080330000}"/>
    <cellStyle name="Обычный 5 100 2" xfId="7668" xr:uid="{00000000-0005-0000-0000-000081330000}"/>
    <cellStyle name="Обычный 5 100 2 2" xfId="55730" xr:uid="{00000000-0005-0000-0000-000082330000}"/>
    <cellStyle name="Обычный 5 100 3" xfId="13009" xr:uid="{00000000-0005-0000-0000-000083330000}"/>
    <cellStyle name="Обычный 5 100 4" xfId="18349" xr:uid="{00000000-0005-0000-0000-000084330000}"/>
    <cellStyle name="Обычный 5 100 5" xfId="23689" xr:uid="{00000000-0005-0000-0000-000085330000}"/>
    <cellStyle name="Обычный 5 100 6" xfId="29029" xr:uid="{00000000-0005-0000-0000-000086330000}"/>
    <cellStyle name="Обычный 5 100 7" xfId="34369" xr:uid="{00000000-0005-0000-0000-000087330000}"/>
    <cellStyle name="Обычный 5 100 8" xfId="39709" xr:uid="{00000000-0005-0000-0000-000088330000}"/>
    <cellStyle name="Обычный 5 100 9" xfId="45049" xr:uid="{00000000-0005-0000-0000-000089330000}"/>
    <cellStyle name="Обычный 5 101" xfId="2355" xr:uid="{00000000-0005-0000-0000-00008A330000}"/>
    <cellStyle name="Обычный 5 101 10" xfId="50419" xr:uid="{00000000-0005-0000-0000-00008B330000}"/>
    <cellStyle name="Обычный 5 101 2" xfId="7698" xr:uid="{00000000-0005-0000-0000-00008C330000}"/>
    <cellStyle name="Обычный 5 101 2 2" xfId="55760" xr:uid="{00000000-0005-0000-0000-00008D330000}"/>
    <cellStyle name="Обычный 5 101 3" xfId="13039" xr:uid="{00000000-0005-0000-0000-00008E330000}"/>
    <cellStyle name="Обычный 5 101 4" xfId="18379" xr:uid="{00000000-0005-0000-0000-00008F330000}"/>
    <cellStyle name="Обычный 5 101 5" xfId="23719" xr:uid="{00000000-0005-0000-0000-000090330000}"/>
    <cellStyle name="Обычный 5 101 6" xfId="29059" xr:uid="{00000000-0005-0000-0000-000091330000}"/>
    <cellStyle name="Обычный 5 101 7" xfId="34399" xr:uid="{00000000-0005-0000-0000-000092330000}"/>
    <cellStyle name="Обычный 5 101 8" xfId="39739" xr:uid="{00000000-0005-0000-0000-000093330000}"/>
    <cellStyle name="Обычный 5 101 9" xfId="45079" xr:uid="{00000000-0005-0000-0000-000094330000}"/>
    <cellStyle name="Обычный 5 102" xfId="2385" xr:uid="{00000000-0005-0000-0000-000095330000}"/>
    <cellStyle name="Обычный 5 102 10" xfId="50449" xr:uid="{00000000-0005-0000-0000-000096330000}"/>
    <cellStyle name="Обычный 5 102 2" xfId="7728" xr:uid="{00000000-0005-0000-0000-000097330000}"/>
    <cellStyle name="Обычный 5 102 2 2" xfId="55790" xr:uid="{00000000-0005-0000-0000-000098330000}"/>
    <cellStyle name="Обычный 5 102 3" xfId="13069" xr:uid="{00000000-0005-0000-0000-000099330000}"/>
    <cellStyle name="Обычный 5 102 4" xfId="18409" xr:uid="{00000000-0005-0000-0000-00009A330000}"/>
    <cellStyle name="Обычный 5 102 5" xfId="23749" xr:uid="{00000000-0005-0000-0000-00009B330000}"/>
    <cellStyle name="Обычный 5 102 6" xfId="29089" xr:uid="{00000000-0005-0000-0000-00009C330000}"/>
    <cellStyle name="Обычный 5 102 7" xfId="34429" xr:uid="{00000000-0005-0000-0000-00009D330000}"/>
    <cellStyle name="Обычный 5 102 8" xfId="39769" xr:uid="{00000000-0005-0000-0000-00009E330000}"/>
    <cellStyle name="Обычный 5 102 9" xfId="45109" xr:uid="{00000000-0005-0000-0000-00009F330000}"/>
    <cellStyle name="Обычный 5 103" xfId="2415" xr:uid="{00000000-0005-0000-0000-0000A0330000}"/>
    <cellStyle name="Обычный 5 103 10" xfId="50479" xr:uid="{00000000-0005-0000-0000-0000A1330000}"/>
    <cellStyle name="Обычный 5 103 2" xfId="7758" xr:uid="{00000000-0005-0000-0000-0000A2330000}"/>
    <cellStyle name="Обычный 5 103 2 2" xfId="55820" xr:uid="{00000000-0005-0000-0000-0000A3330000}"/>
    <cellStyle name="Обычный 5 103 3" xfId="13099" xr:uid="{00000000-0005-0000-0000-0000A4330000}"/>
    <cellStyle name="Обычный 5 103 4" xfId="18439" xr:uid="{00000000-0005-0000-0000-0000A5330000}"/>
    <cellStyle name="Обычный 5 103 5" xfId="23779" xr:uid="{00000000-0005-0000-0000-0000A6330000}"/>
    <cellStyle name="Обычный 5 103 6" xfId="29119" xr:uid="{00000000-0005-0000-0000-0000A7330000}"/>
    <cellStyle name="Обычный 5 103 7" xfId="34459" xr:uid="{00000000-0005-0000-0000-0000A8330000}"/>
    <cellStyle name="Обычный 5 103 8" xfId="39799" xr:uid="{00000000-0005-0000-0000-0000A9330000}"/>
    <cellStyle name="Обычный 5 103 9" xfId="45139" xr:uid="{00000000-0005-0000-0000-0000AA330000}"/>
    <cellStyle name="Обычный 5 104" xfId="2445" xr:uid="{00000000-0005-0000-0000-0000AB330000}"/>
    <cellStyle name="Обычный 5 104 10" xfId="50509" xr:uid="{00000000-0005-0000-0000-0000AC330000}"/>
    <cellStyle name="Обычный 5 104 2" xfId="7788" xr:uid="{00000000-0005-0000-0000-0000AD330000}"/>
    <cellStyle name="Обычный 5 104 2 2" xfId="55850" xr:uid="{00000000-0005-0000-0000-0000AE330000}"/>
    <cellStyle name="Обычный 5 104 3" xfId="13129" xr:uid="{00000000-0005-0000-0000-0000AF330000}"/>
    <cellStyle name="Обычный 5 104 4" xfId="18469" xr:uid="{00000000-0005-0000-0000-0000B0330000}"/>
    <cellStyle name="Обычный 5 104 5" xfId="23809" xr:uid="{00000000-0005-0000-0000-0000B1330000}"/>
    <cellStyle name="Обычный 5 104 6" xfId="29149" xr:uid="{00000000-0005-0000-0000-0000B2330000}"/>
    <cellStyle name="Обычный 5 104 7" xfId="34489" xr:uid="{00000000-0005-0000-0000-0000B3330000}"/>
    <cellStyle name="Обычный 5 104 8" xfId="39829" xr:uid="{00000000-0005-0000-0000-0000B4330000}"/>
    <cellStyle name="Обычный 5 104 9" xfId="45169" xr:uid="{00000000-0005-0000-0000-0000B5330000}"/>
    <cellStyle name="Обычный 5 105" xfId="2475" xr:uid="{00000000-0005-0000-0000-0000B6330000}"/>
    <cellStyle name="Обычный 5 105 10" xfId="50539" xr:uid="{00000000-0005-0000-0000-0000B7330000}"/>
    <cellStyle name="Обычный 5 105 2" xfId="7818" xr:uid="{00000000-0005-0000-0000-0000B8330000}"/>
    <cellStyle name="Обычный 5 105 2 2" xfId="55880" xr:uid="{00000000-0005-0000-0000-0000B9330000}"/>
    <cellStyle name="Обычный 5 105 3" xfId="13159" xr:uid="{00000000-0005-0000-0000-0000BA330000}"/>
    <cellStyle name="Обычный 5 105 4" xfId="18499" xr:uid="{00000000-0005-0000-0000-0000BB330000}"/>
    <cellStyle name="Обычный 5 105 5" xfId="23839" xr:uid="{00000000-0005-0000-0000-0000BC330000}"/>
    <cellStyle name="Обычный 5 105 6" xfId="29179" xr:uid="{00000000-0005-0000-0000-0000BD330000}"/>
    <cellStyle name="Обычный 5 105 7" xfId="34519" xr:uid="{00000000-0005-0000-0000-0000BE330000}"/>
    <cellStyle name="Обычный 5 105 8" xfId="39859" xr:uid="{00000000-0005-0000-0000-0000BF330000}"/>
    <cellStyle name="Обычный 5 105 9" xfId="45199" xr:uid="{00000000-0005-0000-0000-0000C0330000}"/>
    <cellStyle name="Обычный 5 106" xfId="2507" xr:uid="{00000000-0005-0000-0000-0000C1330000}"/>
    <cellStyle name="Обычный 5 106 10" xfId="50571" xr:uid="{00000000-0005-0000-0000-0000C2330000}"/>
    <cellStyle name="Обычный 5 106 2" xfId="7850" xr:uid="{00000000-0005-0000-0000-0000C3330000}"/>
    <cellStyle name="Обычный 5 106 2 2" xfId="55912" xr:uid="{00000000-0005-0000-0000-0000C4330000}"/>
    <cellStyle name="Обычный 5 106 3" xfId="13191" xr:uid="{00000000-0005-0000-0000-0000C5330000}"/>
    <cellStyle name="Обычный 5 106 4" xfId="18531" xr:uid="{00000000-0005-0000-0000-0000C6330000}"/>
    <cellStyle name="Обычный 5 106 5" xfId="23871" xr:uid="{00000000-0005-0000-0000-0000C7330000}"/>
    <cellStyle name="Обычный 5 106 6" xfId="29211" xr:uid="{00000000-0005-0000-0000-0000C8330000}"/>
    <cellStyle name="Обычный 5 106 7" xfId="34551" xr:uid="{00000000-0005-0000-0000-0000C9330000}"/>
    <cellStyle name="Обычный 5 106 8" xfId="39891" xr:uid="{00000000-0005-0000-0000-0000CA330000}"/>
    <cellStyle name="Обычный 5 106 9" xfId="45231" xr:uid="{00000000-0005-0000-0000-0000CB330000}"/>
    <cellStyle name="Обычный 5 107" xfId="2541" xr:uid="{00000000-0005-0000-0000-0000CC330000}"/>
    <cellStyle name="Обычный 5 107 10" xfId="50605" xr:uid="{00000000-0005-0000-0000-0000CD330000}"/>
    <cellStyle name="Обычный 5 107 2" xfId="7884" xr:uid="{00000000-0005-0000-0000-0000CE330000}"/>
    <cellStyle name="Обычный 5 107 2 2" xfId="55946" xr:uid="{00000000-0005-0000-0000-0000CF330000}"/>
    <cellStyle name="Обычный 5 107 3" xfId="13225" xr:uid="{00000000-0005-0000-0000-0000D0330000}"/>
    <cellStyle name="Обычный 5 107 4" xfId="18565" xr:uid="{00000000-0005-0000-0000-0000D1330000}"/>
    <cellStyle name="Обычный 5 107 5" xfId="23905" xr:uid="{00000000-0005-0000-0000-0000D2330000}"/>
    <cellStyle name="Обычный 5 107 6" xfId="29245" xr:uid="{00000000-0005-0000-0000-0000D3330000}"/>
    <cellStyle name="Обычный 5 107 7" xfId="34585" xr:uid="{00000000-0005-0000-0000-0000D4330000}"/>
    <cellStyle name="Обычный 5 107 8" xfId="39925" xr:uid="{00000000-0005-0000-0000-0000D5330000}"/>
    <cellStyle name="Обычный 5 107 9" xfId="45265" xr:uid="{00000000-0005-0000-0000-0000D6330000}"/>
    <cellStyle name="Обычный 5 108" xfId="2573" xr:uid="{00000000-0005-0000-0000-0000D7330000}"/>
    <cellStyle name="Обычный 5 108 10" xfId="50637" xr:uid="{00000000-0005-0000-0000-0000D8330000}"/>
    <cellStyle name="Обычный 5 108 2" xfId="7916" xr:uid="{00000000-0005-0000-0000-0000D9330000}"/>
    <cellStyle name="Обычный 5 108 2 2" xfId="55978" xr:uid="{00000000-0005-0000-0000-0000DA330000}"/>
    <cellStyle name="Обычный 5 108 3" xfId="13257" xr:uid="{00000000-0005-0000-0000-0000DB330000}"/>
    <cellStyle name="Обычный 5 108 4" xfId="18597" xr:uid="{00000000-0005-0000-0000-0000DC330000}"/>
    <cellStyle name="Обычный 5 108 5" xfId="23937" xr:uid="{00000000-0005-0000-0000-0000DD330000}"/>
    <cellStyle name="Обычный 5 108 6" xfId="29277" xr:uid="{00000000-0005-0000-0000-0000DE330000}"/>
    <cellStyle name="Обычный 5 108 7" xfId="34617" xr:uid="{00000000-0005-0000-0000-0000DF330000}"/>
    <cellStyle name="Обычный 5 108 8" xfId="39957" xr:uid="{00000000-0005-0000-0000-0000E0330000}"/>
    <cellStyle name="Обычный 5 108 9" xfId="45297" xr:uid="{00000000-0005-0000-0000-0000E1330000}"/>
    <cellStyle name="Обычный 5 109" xfId="2605" xr:uid="{00000000-0005-0000-0000-0000E2330000}"/>
    <cellStyle name="Обычный 5 109 10" xfId="50669" xr:uid="{00000000-0005-0000-0000-0000E3330000}"/>
    <cellStyle name="Обычный 5 109 2" xfId="7948" xr:uid="{00000000-0005-0000-0000-0000E4330000}"/>
    <cellStyle name="Обычный 5 109 2 2" xfId="56010" xr:uid="{00000000-0005-0000-0000-0000E5330000}"/>
    <cellStyle name="Обычный 5 109 3" xfId="13289" xr:uid="{00000000-0005-0000-0000-0000E6330000}"/>
    <cellStyle name="Обычный 5 109 4" xfId="18629" xr:uid="{00000000-0005-0000-0000-0000E7330000}"/>
    <cellStyle name="Обычный 5 109 5" xfId="23969" xr:uid="{00000000-0005-0000-0000-0000E8330000}"/>
    <cellStyle name="Обычный 5 109 6" xfId="29309" xr:uid="{00000000-0005-0000-0000-0000E9330000}"/>
    <cellStyle name="Обычный 5 109 7" xfId="34649" xr:uid="{00000000-0005-0000-0000-0000EA330000}"/>
    <cellStyle name="Обычный 5 109 8" xfId="39989" xr:uid="{00000000-0005-0000-0000-0000EB330000}"/>
    <cellStyle name="Обычный 5 109 9" xfId="45329" xr:uid="{00000000-0005-0000-0000-0000EC330000}"/>
    <cellStyle name="Обычный 5 11" xfId="124" xr:uid="{00000000-0005-0000-0000-0000ED330000}"/>
    <cellStyle name="Обычный 5 11 10" xfId="42846" xr:uid="{00000000-0005-0000-0000-0000EE330000}"/>
    <cellStyle name="Обычный 5 11 11" xfId="48186" xr:uid="{00000000-0005-0000-0000-0000EF330000}"/>
    <cellStyle name="Обычный 5 11 2" xfId="591" xr:uid="{00000000-0005-0000-0000-0000F0330000}"/>
    <cellStyle name="Обычный 5 11 2 10" xfId="48653" xr:uid="{00000000-0005-0000-0000-0000F1330000}"/>
    <cellStyle name="Обычный 5 11 2 2" xfId="5932" xr:uid="{00000000-0005-0000-0000-0000F2330000}"/>
    <cellStyle name="Обычный 5 11 2 2 2" xfId="53994" xr:uid="{00000000-0005-0000-0000-0000F3330000}"/>
    <cellStyle name="Обычный 5 11 2 3" xfId="11273" xr:uid="{00000000-0005-0000-0000-0000F4330000}"/>
    <cellStyle name="Обычный 5 11 2 4" xfId="16613" xr:uid="{00000000-0005-0000-0000-0000F5330000}"/>
    <cellStyle name="Обычный 5 11 2 5" xfId="21953" xr:uid="{00000000-0005-0000-0000-0000F6330000}"/>
    <cellStyle name="Обычный 5 11 2 6" xfId="27293" xr:uid="{00000000-0005-0000-0000-0000F7330000}"/>
    <cellStyle name="Обычный 5 11 2 7" xfId="32633" xr:uid="{00000000-0005-0000-0000-0000F8330000}"/>
    <cellStyle name="Обычный 5 11 2 8" xfId="37973" xr:uid="{00000000-0005-0000-0000-0000F9330000}"/>
    <cellStyle name="Обычный 5 11 2 9" xfId="43313" xr:uid="{00000000-0005-0000-0000-0000FA330000}"/>
    <cellStyle name="Обычный 5 11 3" xfId="5465" xr:uid="{00000000-0005-0000-0000-0000FB330000}"/>
    <cellStyle name="Обычный 5 11 3 2" xfId="53527" xr:uid="{00000000-0005-0000-0000-0000FC330000}"/>
    <cellStyle name="Обычный 5 11 4" xfId="10806" xr:uid="{00000000-0005-0000-0000-0000FD330000}"/>
    <cellStyle name="Обычный 5 11 5" xfId="16146" xr:uid="{00000000-0005-0000-0000-0000FE330000}"/>
    <cellStyle name="Обычный 5 11 6" xfId="21486" xr:uid="{00000000-0005-0000-0000-0000FF330000}"/>
    <cellStyle name="Обычный 5 11 7" xfId="26826" xr:uid="{00000000-0005-0000-0000-000000340000}"/>
    <cellStyle name="Обычный 5 11 8" xfId="32166" xr:uid="{00000000-0005-0000-0000-000001340000}"/>
    <cellStyle name="Обычный 5 11 9" xfId="37506" xr:uid="{00000000-0005-0000-0000-000002340000}"/>
    <cellStyle name="Обычный 5 110" xfId="2637" xr:uid="{00000000-0005-0000-0000-000003340000}"/>
    <cellStyle name="Обычный 5 110 10" xfId="50701" xr:uid="{00000000-0005-0000-0000-000004340000}"/>
    <cellStyle name="Обычный 5 110 2" xfId="7980" xr:uid="{00000000-0005-0000-0000-000005340000}"/>
    <cellStyle name="Обычный 5 110 2 2" xfId="56042" xr:uid="{00000000-0005-0000-0000-000006340000}"/>
    <cellStyle name="Обычный 5 110 3" xfId="13321" xr:uid="{00000000-0005-0000-0000-000007340000}"/>
    <cellStyle name="Обычный 5 110 4" xfId="18661" xr:uid="{00000000-0005-0000-0000-000008340000}"/>
    <cellStyle name="Обычный 5 110 5" xfId="24001" xr:uid="{00000000-0005-0000-0000-000009340000}"/>
    <cellStyle name="Обычный 5 110 6" xfId="29341" xr:uid="{00000000-0005-0000-0000-00000A340000}"/>
    <cellStyle name="Обычный 5 110 7" xfId="34681" xr:uid="{00000000-0005-0000-0000-00000B340000}"/>
    <cellStyle name="Обычный 5 110 8" xfId="40021" xr:uid="{00000000-0005-0000-0000-00000C340000}"/>
    <cellStyle name="Обычный 5 110 9" xfId="45361" xr:uid="{00000000-0005-0000-0000-00000D340000}"/>
    <cellStyle name="Обычный 5 111" xfId="2669" xr:uid="{00000000-0005-0000-0000-00000E340000}"/>
    <cellStyle name="Обычный 5 111 10" xfId="50733" xr:uid="{00000000-0005-0000-0000-00000F340000}"/>
    <cellStyle name="Обычный 5 111 2" xfId="8012" xr:uid="{00000000-0005-0000-0000-000010340000}"/>
    <cellStyle name="Обычный 5 111 2 2" xfId="56074" xr:uid="{00000000-0005-0000-0000-000011340000}"/>
    <cellStyle name="Обычный 5 111 3" xfId="13353" xr:uid="{00000000-0005-0000-0000-000012340000}"/>
    <cellStyle name="Обычный 5 111 4" xfId="18693" xr:uid="{00000000-0005-0000-0000-000013340000}"/>
    <cellStyle name="Обычный 5 111 5" xfId="24033" xr:uid="{00000000-0005-0000-0000-000014340000}"/>
    <cellStyle name="Обычный 5 111 6" xfId="29373" xr:uid="{00000000-0005-0000-0000-000015340000}"/>
    <cellStyle name="Обычный 5 111 7" xfId="34713" xr:uid="{00000000-0005-0000-0000-000016340000}"/>
    <cellStyle name="Обычный 5 111 8" xfId="40053" xr:uid="{00000000-0005-0000-0000-000017340000}"/>
    <cellStyle name="Обычный 5 111 9" xfId="45393" xr:uid="{00000000-0005-0000-0000-000018340000}"/>
    <cellStyle name="Обычный 5 112" xfId="2701" xr:uid="{00000000-0005-0000-0000-000019340000}"/>
    <cellStyle name="Обычный 5 112 10" xfId="50765" xr:uid="{00000000-0005-0000-0000-00001A340000}"/>
    <cellStyle name="Обычный 5 112 2" xfId="8044" xr:uid="{00000000-0005-0000-0000-00001B340000}"/>
    <cellStyle name="Обычный 5 112 2 2" xfId="56106" xr:uid="{00000000-0005-0000-0000-00001C340000}"/>
    <cellStyle name="Обычный 5 112 3" xfId="13385" xr:uid="{00000000-0005-0000-0000-00001D340000}"/>
    <cellStyle name="Обычный 5 112 4" xfId="18725" xr:uid="{00000000-0005-0000-0000-00001E340000}"/>
    <cellStyle name="Обычный 5 112 5" xfId="24065" xr:uid="{00000000-0005-0000-0000-00001F340000}"/>
    <cellStyle name="Обычный 5 112 6" xfId="29405" xr:uid="{00000000-0005-0000-0000-000020340000}"/>
    <cellStyle name="Обычный 5 112 7" xfId="34745" xr:uid="{00000000-0005-0000-0000-000021340000}"/>
    <cellStyle name="Обычный 5 112 8" xfId="40085" xr:uid="{00000000-0005-0000-0000-000022340000}"/>
    <cellStyle name="Обычный 5 112 9" xfId="45425" xr:uid="{00000000-0005-0000-0000-000023340000}"/>
    <cellStyle name="Обычный 5 113" xfId="2733" xr:uid="{00000000-0005-0000-0000-000024340000}"/>
    <cellStyle name="Обычный 5 113 10" xfId="50797" xr:uid="{00000000-0005-0000-0000-000025340000}"/>
    <cellStyle name="Обычный 5 113 2" xfId="8076" xr:uid="{00000000-0005-0000-0000-000026340000}"/>
    <cellStyle name="Обычный 5 113 2 2" xfId="56138" xr:uid="{00000000-0005-0000-0000-000027340000}"/>
    <cellStyle name="Обычный 5 113 3" xfId="13417" xr:uid="{00000000-0005-0000-0000-000028340000}"/>
    <cellStyle name="Обычный 5 113 4" xfId="18757" xr:uid="{00000000-0005-0000-0000-000029340000}"/>
    <cellStyle name="Обычный 5 113 5" xfId="24097" xr:uid="{00000000-0005-0000-0000-00002A340000}"/>
    <cellStyle name="Обычный 5 113 6" xfId="29437" xr:uid="{00000000-0005-0000-0000-00002B340000}"/>
    <cellStyle name="Обычный 5 113 7" xfId="34777" xr:uid="{00000000-0005-0000-0000-00002C340000}"/>
    <cellStyle name="Обычный 5 113 8" xfId="40117" xr:uid="{00000000-0005-0000-0000-00002D340000}"/>
    <cellStyle name="Обычный 5 113 9" xfId="45457" xr:uid="{00000000-0005-0000-0000-00002E340000}"/>
    <cellStyle name="Обычный 5 114" xfId="2767" xr:uid="{00000000-0005-0000-0000-00002F340000}"/>
    <cellStyle name="Обычный 5 114 10" xfId="50831" xr:uid="{00000000-0005-0000-0000-000030340000}"/>
    <cellStyle name="Обычный 5 114 2" xfId="8110" xr:uid="{00000000-0005-0000-0000-000031340000}"/>
    <cellStyle name="Обычный 5 114 2 2" xfId="56172" xr:uid="{00000000-0005-0000-0000-000032340000}"/>
    <cellStyle name="Обычный 5 114 3" xfId="13451" xr:uid="{00000000-0005-0000-0000-000033340000}"/>
    <cellStyle name="Обычный 5 114 4" xfId="18791" xr:uid="{00000000-0005-0000-0000-000034340000}"/>
    <cellStyle name="Обычный 5 114 5" xfId="24131" xr:uid="{00000000-0005-0000-0000-000035340000}"/>
    <cellStyle name="Обычный 5 114 6" xfId="29471" xr:uid="{00000000-0005-0000-0000-000036340000}"/>
    <cellStyle name="Обычный 5 114 7" xfId="34811" xr:uid="{00000000-0005-0000-0000-000037340000}"/>
    <cellStyle name="Обычный 5 114 8" xfId="40151" xr:uid="{00000000-0005-0000-0000-000038340000}"/>
    <cellStyle name="Обычный 5 114 9" xfId="45491" xr:uid="{00000000-0005-0000-0000-000039340000}"/>
    <cellStyle name="Обычный 5 115" xfId="2799" xr:uid="{00000000-0005-0000-0000-00003A340000}"/>
    <cellStyle name="Обычный 5 115 10" xfId="50863" xr:uid="{00000000-0005-0000-0000-00003B340000}"/>
    <cellStyle name="Обычный 5 115 2" xfId="8142" xr:uid="{00000000-0005-0000-0000-00003C340000}"/>
    <cellStyle name="Обычный 5 115 2 2" xfId="56204" xr:uid="{00000000-0005-0000-0000-00003D340000}"/>
    <cellStyle name="Обычный 5 115 3" xfId="13483" xr:uid="{00000000-0005-0000-0000-00003E340000}"/>
    <cellStyle name="Обычный 5 115 4" xfId="18823" xr:uid="{00000000-0005-0000-0000-00003F340000}"/>
    <cellStyle name="Обычный 5 115 5" xfId="24163" xr:uid="{00000000-0005-0000-0000-000040340000}"/>
    <cellStyle name="Обычный 5 115 6" xfId="29503" xr:uid="{00000000-0005-0000-0000-000041340000}"/>
    <cellStyle name="Обычный 5 115 7" xfId="34843" xr:uid="{00000000-0005-0000-0000-000042340000}"/>
    <cellStyle name="Обычный 5 115 8" xfId="40183" xr:uid="{00000000-0005-0000-0000-000043340000}"/>
    <cellStyle name="Обычный 5 115 9" xfId="45523" xr:uid="{00000000-0005-0000-0000-000044340000}"/>
    <cellStyle name="Обычный 5 116" xfId="2831" xr:uid="{00000000-0005-0000-0000-000045340000}"/>
    <cellStyle name="Обычный 5 116 10" xfId="50895" xr:uid="{00000000-0005-0000-0000-000046340000}"/>
    <cellStyle name="Обычный 5 116 2" xfId="8174" xr:uid="{00000000-0005-0000-0000-000047340000}"/>
    <cellStyle name="Обычный 5 116 2 2" xfId="56236" xr:uid="{00000000-0005-0000-0000-000048340000}"/>
    <cellStyle name="Обычный 5 116 3" xfId="13515" xr:uid="{00000000-0005-0000-0000-000049340000}"/>
    <cellStyle name="Обычный 5 116 4" xfId="18855" xr:uid="{00000000-0005-0000-0000-00004A340000}"/>
    <cellStyle name="Обычный 5 116 5" xfId="24195" xr:uid="{00000000-0005-0000-0000-00004B340000}"/>
    <cellStyle name="Обычный 5 116 6" xfId="29535" xr:uid="{00000000-0005-0000-0000-00004C340000}"/>
    <cellStyle name="Обычный 5 116 7" xfId="34875" xr:uid="{00000000-0005-0000-0000-00004D340000}"/>
    <cellStyle name="Обычный 5 116 8" xfId="40215" xr:uid="{00000000-0005-0000-0000-00004E340000}"/>
    <cellStyle name="Обычный 5 116 9" xfId="45555" xr:uid="{00000000-0005-0000-0000-00004F340000}"/>
    <cellStyle name="Обычный 5 117" xfId="2863" xr:uid="{00000000-0005-0000-0000-000050340000}"/>
    <cellStyle name="Обычный 5 117 10" xfId="50927" xr:uid="{00000000-0005-0000-0000-000051340000}"/>
    <cellStyle name="Обычный 5 117 2" xfId="8206" xr:uid="{00000000-0005-0000-0000-000052340000}"/>
    <cellStyle name="Обычный 5 117 2 2" xfId="56268" xr:uid="{00000000-0005-0000-0000-000053340000}"/>
    <cellStyle name="Обычный 5 117 3" xfId="13547" xr:uid="{00000000-0005-0000-0000-000054340000}"/>
    <cellStyle name="Обычный 5 117 4" xfId="18887" xr:uid="{00000000-0005-0000-0000-000055340000}"/>
    <cellStyle name="Обычный 5 117 5" xfId="24227" xr:uid="{00000000-0005-0000-0000-000056340000}"/>
    <cellStyle name="Обычный 5 117 6" xfId="29567" xr:uid="{00000000-0005-0000-0000-000057340000}"/>
    <cellStyle name="Обычный 5 117 7" xfId="34907" xr:uid="{00000000-0005-0000-0000-000058340000}"/>
    <cellStyle name="Обычный 5 117 8" xfId="40247" xr:uid="{00000000-0005-0000-0000-000059340000}"/>
    <cellStyle name="Обычный 5 117 9" xfId="45587" xr:uid="{00000000-0005-0000-0000-00005A340000}"/>
    <cellStyle name="Обычный 5 118" xfId="2895" xr:uid="{00000000-0005-0000-0000-00005B340000}"/>
    <cellStyle name="Обычный 5 118 10" xfId="50959" xr:uid="{00000000-0005-0000-0000-00005C340000}"/>
    <cellStyle name="Обычный 5 118 2" xfId="8238" xr:uid="{00000000-0005-0000-0000-00005D340000}"/>
    <cellStyle name="Обычный 5 118 2 2" xfId="56300" xr:uid="{00000000-0005-0000-0000-00005E340000}"/>
    <cellStyle name="Обычный 5 118 3" xfId="13579" xr:uid="{00000000-0005-0000-0000-00005F340000}"/>
    <cellStyle name="Обычный 5 118 4" xfId="18919" xr:uid="{00000000-0005-0000-0000-000060340000}"/>
    <cellStyle name="Обычный 5 118 5" xfId="24259" xr:uid="{00000000-0005-0000-0000-000061340000}"/>
    <cellStyle name="Обычный 5 118 6" xfId="29599" xr:uid="{00000000-0005-0000-0000-000062340000}"/>
    <cellStyle name="Обычный 5 118 7" xfId="34939" xr:uid="{00000000-0005-0000-0000-000063340000}"/>
    <cellStyle name="Обычный 5 118 8" xfId="40279" xr:uid="{00000000-0005-0000-0000-000064340000}"/>
    <cellStyle name="Обычный 5 118 9" xfId="45619" xr:uid="{00000000-0005-0000-0000-000065340000}"/>
    <cellStyle name="Обычный 5 119" xfId="2927" xr:uid="{00000000-0005-0000-0000-000066340000}"/>
    <cellStyle name="Обычный 5 119 10" xfId="50991" xr:uid="{00000000-0005-0000-0000-000067340000}"/>
    <cellStyle name="Обычный 5 119 2" xfId="8270" xr:uid="{00000000-0005-0000-0000-000068340000}"/>
    <cellStyle name="Обычный 5 119 2 2" xfId="56332" xr:uid="{00000000-0005-0000-0000-000069340000}"/>
    <cellStyle name="Обычный 5 119 3" xfId="13611" xr:uid="{00000000-0005-0000-0000-00006A340000}"/>
    <cellStyle name="Обычный 5 119 4" xfId="18951" xr:uid="{00000000-0005-0000-0000-00006B340000}"/>
    <cellStyle name="Обычный 5 119 5" xfId="24291" xr:uid="{00000000-0005-0000-0000-00006C340000}"/>
    <cellStyle name="Обычный 5 119 6" xfId="29631" xr:uid="{00000000-0005-0000-0000-00006D340000}"/>
    <cellStyle name="Обычный 5 119 7" xfId="34971" xr:uid="{00000000-0005-0000-0000-00006E340000}"/>
    <cellStyle name="Обычный 5 119 8" xfId="40311" xr:uid="{00000000-0005-0000-0000-00006F340000}"/>
    <cellStyle name="Обычный 5 119 9" xfId="45651" xr:uid="{00000000-0005-0000-0000-000070340000}"/>
    <cellStyle name="Обычный 5 12" xfId="134" xr:uid="{00000000-0005-0000-0000-000071340000}"/>
    <cellStyle name="Обычный 5 12 10" xfId="42856" xr:uid="{00000000-0005-0000-0000-000072340000}"/>
    <cellStyle name="Обычный 5 12 11" xfId="48196" xr:uid="{00000000-0005-0000-0000-000073340000}"/>
    <cellStyle name="Обычный 5 12 2" xfId="601" xr:uid="{00000000-0005-0000-0000-000074340000}"/>
    <cellStyle name="Обычный 5 12 2 10" xfId="48663" xr:uid="{00000000-0005-0000-0000-000075340000}"/>
    <cellStyle name="Обычный 5 12 2 2" xfId="5942" xr:uid="{00000000-0005-0000-0000-000076340000}"/>
    <cellStyle name="Обычный 5 12 2 2 2" xfId="54004" xr:uid="{00000000-0005-0000-0000-000077340000}"/>
    <cellStyle name="Обычный 5 12 2 3" xfId="11283" xr:uid="{00000000-0005-0000-0000-000078340000}"/>
    <cellStyle name="Обычный 5 12 2 4" xfId="16623" xr:uid="{00000000-0005-0000-0000-000079340000}"/>
    <cellStyle name="Обычный 5 12 2 5" xfId="21963" xr:uid="{00000000-0005-0000-0000-00007A340000}"/>
    <cellStyle name="Обычный 5 12 2 6" xfId="27303" xr:uid="{00000000-0005-0000-0000-00007B340000}"/>
    <cellStyle name="Обычный 5 12 2 7" xfId="32643" xr:uid="{00000000-0005-0000-0000-00007C340000}"/>
    <cellStyle name="Обычный 5 12 2 8" xfId="37983" xr:uid="{00000000-0005-0000-0000-00007D340000}"/>
    <cellStyle name="Обычный 5 12 2 9" xfId="43323" xr:uid="{00000000-0005-0000-0000-00007E340000}"/>
    <cellStyle name="Обычный 5 12 3" xfId="5475" xr:uid="{00000000-0005-0000-0000-00007F340000}"/>
    <cellStyle name="Обычный 5 12 3 2" xfId="53537" xr:uid="{00000000-0005-0000-0000-000080340000}"/>
    <cellStyle name="Обычный 5 12 4" xfId="10816" xr:uid="{00000000-0005-0000-0000-000081340000}"/>
    <cellStyle name="Обычный 5 12 5" xfId="16156" xr:uid="{00000000-0005-0000-0000-000082340000}"/>
    <cellStyle name="Обычный 5 12 6" xfId="21496" xr:uid="{00000000-0005-0000-0000-000083340000}"/>
    <cellStyle name="Обычный 5 12 7" xfId="26836" xr:uid="{00000000-0005-0000-0000-000084340000}"/>
    <cellStyle name="Обычный 5 12 8" xfId="32176" xr:uid="{00000000-0005-0000-0000-000085340000}"/>
    <cellStyle name="Обычный 5 12 9" xfId="37516" xr:uid="{00000000-0005-0000-0000-000086340000}"/>
    <cellStyle name="Обычный 5 120" xfId="2959" xr:uid="{00000000-0005-0000-0000-000087340000}"/>
    <cellStyle name="Обычный 5 120 10" xfId="51023" xr:uid="{00000000-0005-0000-0000-000088340000}"/>
    <cellStyle name="Обычный 5 120 2" xfId="8302" xr:uid="{00000000-0005-0000-0000-000089340000}"/>
    <cellStyle name="Обычный 5 120 2 2" xfId="56364" xr:uid="{00000000-0005-0000-0000-00008A340000}"/>
    <cellStyle name="Обычный 5 120 3" xfId="13643" xr:uid="{00000000-0005-0000-0000-00008B340000}"/>
    <cellStyle name="Обычный 5 120 4" xfId="18983" xr:uid="{00000000-0005-0000-0000-00008C340000}"/>
    <cellStyle name="Обычный 5 120 5" xfId="24323" xr:uid="{00000000-0005-0000-0000-00008D340000}"/>
    <cellStyle name="Обычный 5 120 6" xfId="29663" xr:uid="{00000000-0005-0000-0000-00008E340000}"/>
    <cellStyle name="Обычный 5 120 7" xfId="35003" xr:uid="{00000000-0005-0000-0000-00008F340000}"/>
    <cellStyle name="Обычный 5 120 8" xfId="40343" xr:uid="{00000000-0005-0000-0000-000090340000}"/>
    <cellStyle name="Обычный 5 120 9" xfId="45683" xr:uid="{00000000-0005-0000-0000-000091340000}"/>
    <cellStyle name="Обычный 5 121" xfId="2991" xr:uid="{00000000-0005-0000-0000-000092340000}"/>
    <cellStyle name="Обычный 5 121 10" xfId="51055" xr:uid="{00000000-0005-0000-0000-000093340000}"/>
    <cellStyle name="Обычный 5 121 2" xfId="8334" xr:uid="{00000000-0005-0000-0000-000094340000}"/>
    <cellStyle name="Обычный 5 121 2 2" xfId="56396" xr:uid="{00000000-0005-0000-0000-000095340000}"/>
    <cellStyle name="Обычный 5 121 3" xfId="13675" xr:uid="{00000000-0005-0000-0000-000096340000}"/>
    <cellStyle name="Обычный 5 121 4" xfId="19015" xr:uid="{00000000-0005-0000-0000-000097340000}"/>
    <cellStyle name="Обычный 5 121 5" xfId="24355" xr:uid="{00000000-0005-0000-0000-000098340000}"/>
    <cellStyle name="Обычный 5 121 6" xfId="29695" xr:uid="{00000000-0005-0000-0000-000099340000}"/>
    <cellStyle name="Обычный 5 121 7" xfId="35035" xr:uid="{00000000-0005-0000-0000-00009A340000}"/>
    <cellStyle name="Обычный 5 121 8" xfId="40375" xr:uid="{00000000-0005-0000-0000-00009B340000}"/>
    <cellStyle name="Обычный 5 121 9" xfId="45715" xr:uid="{00000000-0005-0000-0000-00009C340000}"/>
    <cellStyle name="Обычный 5 122" xfId="3023" xr:uid="{00000000-0005-0000-0000-00009D340000}"/>
    <cellStyle name="Обычный 5 122 10" xfId="51087" xr:uid="{00000000-0005-0000-0000-00009E340000}"/>
    <cellStyle name="Обычный 5 122 2" xfId="8366" xr:uid="{00000000-0005-0000-0000-00009F340000}"/>
    <cellStyle name="Обычный 5 122 2 2" xfId="56428" xr:uid="{00000000-0005-0000-0000-0000A0340000}"/>
    <cellStyle name="Обычный 5 122 3" xfId="13707" xr:uid="{00000000-0005-0000-0000-0000A1340000}"/>
    <cellStyle name="Обычный 5 122 4" xfId="19047" xr:uid="{00000000-0005-0000-0000-0000A2340000}"/>
    <cellStyle name="Обычный 5 122 5" xfId="24387" xr:uid="{00000000-0005-0000-0000-0000A3340000}"/>
    <cellStyle name="Обычный 5 122 6" xfId="29727" xr:uid="{00000000-0005-0000-0000-0000A4340000}"/>
    <cellStyle name="Обычный 5 122 7" xfId="35067" xr:uid="{00000000-0005-0000-0000-0000A5340000}"/>
    <cellStyle name="Обычный 5 122 8" xfId="40407" xr:uid="{00000000-0005-0000-0000-0000A6340000}"/>
    <cellStyle name="Обычный 5 122 9" xfId="45747" xr:uid="{00000000-0005-0000-0000-0000A7340000}"/>
    <cellStyle name="Обычный 5 123" xfId="3055" xr:uid="{00000000-0005-0000-0000-0000A8340000}"/>
    <cellStyle name="Обычный 5 123 10" xfId="51119" xr:uid="{00000000-0005-0000-0000-0000A9340000}"/>
    <cellStyle name="Обычный 5 123 2" xfId="8398" xr:uid="{00000000-0005-0000-0000-0000AA340000}"/>
    <cellStyle name="Обычный 5 123 2 2" xfId="56460" xr:uid="{00000000-0005-0000-0000-0000AB340000}"/>
    <cellStyle name="Обычный 5 123 3" xfId="13739" xr:uid="{00000000-0005-0000-0000-0000AC340000}"/>
    <cellStyle name="Обычный 5 123 4" xfId="19079" xr:uid="{00000000-0005-0000-0000-0000AD340000}"/>
    <cellStyle name="Обычный 5 123 5" xfId="24419" xr:uid="{00000000-0005-0000-0000-0000AE340000}"/>
    <cellStyle name="Обычный 5 123 6" xfId="29759" xr:uid="{00000000-0005-0000-0000-0000AF340000}"/>
    <cellStyle name="Обычный 5 123 7" xfId="35099" xr:uid="{00000000-0005-0000-0000-0000B0340000}"/>
    <cellStyle name="Обычный 5 123 8" xfId="40439" xr:uid="{00000000-0005-0000-0000-0000B1340000}"/>
    <cellStyle name="Обычный 5 123 9" xfId="45779" xr:uid="{00000000-0005-0000-0000-0000B2340000}"/>
    <cellStyle name="Обычный 5 124" xfId="3087" xr:uid="{00000000-0005-0000-0000-0000B3340000}"/>
    <cellStyle name="Обычный 5 124 10" xfId="51151" xr:uid="{00000000-0005-0000-0000-0000B4340000}"/>
    <cellStyle name="Обычный 5 124 2" xfId="8430" xr:uid="{00000000-0005-0000-0000-0000B5340000}"/>
    <cellStyle name="Обычный 5 124 2 2" xfId="56492" xr:uid="{00000000-0005-0000-0000-0000B6340000}"/>
    <cellStyle name="Обычный 5 124 3" xfId="13771" xr:uid="{00000000-0005-0000-0000-0000B7340000}"/>
    <cellStyle name="Обычный 5 124 4" xfId="19111" xr:uid="{00000000-0005-0000-0000-0000B8340000}"/>
    <cellStyle name="Обычный 5 124 5" xfId="24451" xr:uid="{00000000-0005-0000-0000-0000B9340000}"/>
    <cellStyle name="Обычный 5 124 6" xfId="29791" xr:uid="{00000000-0005-0000-0000-0000BA340000}"/>
    <cellStyle name="Обычный 5 124 7" xfId="35131" xr:uid="{00000000-0005-0000-0000-0000BB340000}"/>
    <cellStyle name="Обычный 5 124 8" xfId="40471" xr:uid="{00000000-0005-0000-0000-0000BC340000}"/>
    <cellStyle name="Обычный 5 124 9" xfId="45811" xr:uid="{00000000-0005-0000-0000-0000BD340000}"/>
    <cellStyle name="Обычный 5 125" xfId="3120" xr:uid="{00000000-0005-0000-0000-0000BE340000}"/>
    <cellStyle name="Обычный 5 125 10" xfId="51183" xr:uid="{00000000-0005-0000-0000-0000BF340000}"/>
    <cellStyle name="Обычный 5 125 2" xfId="8463" xr:uid="{00000000-0005-0000-0000-0000C0340000}"/>
    <cellStyle name="Обычный 5 125 2 2" xfId="56524" xr:uid="{00000000-0005-0000-0000-0000C1340000}"/>
    <cellStyle name="Обычный 5 125 3" xfId="13803" xr:uid="{00000000-0005-0000-0000-0000C2340000}"/>
    <cellStyle name="Обычный 5 125 4" xfId="19143" xr:uid="{00000000-0005-0000-0000-0000C3340000}"/>
    <cellStyle name="Обычный 5 125 5" xfId="24483" xr:uid="{00000000-0005-0000-0000-0000C4340000}"/>
    <cellStyle name="Обычный 5 125 6" xfId="29823" xr:uid="{00000000-0005-0000-0000-0000C5340000}"/>
    <cellStyle name="Обычный 5 125 7" xfId="35163" xr:uid="{00000000-0005-0000-0000-0000C6340000}"/>
    <cellStyle name="Обычный 5 125 8" xfId="40503" xr:uid="{00000000-0005-0000-0000-0000C7340000}"/>
    <cellStyle name="Обычный 5 125 9" xfId="45843" xr:uid="{00000000-0005-0000-0000-0000C8340000}"/>
    <cellStyle name="Обычный 5 126" xfId="3152" xr:uid="{00000000-0005-0000-0000-0000C9340000}"/>
    <cellStyle name="Обычный 5 126 10" xfId="51215" xr:uid="{00000000-0005-0000-0000-0000CA340000}"/>
    <cellStyle name="Обычный 5 126 2" xfId="8495" xr:uid="{00000000-0005-0000-0000-0000CB340000}"/>
    <cellStyle name="Обычный 5 126 2 2" xfId="56556" xr:uid="{00000000-0005-0000-0000-0000CC340000}"/>
    <cellStyle name="Обычный 5 126 3" xfId="13835" xr:uid="{00000000-0005-0000-0000-0000CD340000}"/>
    <cellStyle name="Обычный 5 126 4" xfId="19175" xr:uid="{00000000-0005-0000-0000-0000CE340000}"/>
    <cellStyle name="Обычный 5 126 5" xfId="24515" xr:uid="{00000000-0005-0000-0000-0000CF340000}"/>
    <cellStyle name="Обычный 5 126 6" xfId="29855" xr:uid="{00000000-0005-0000-0000-0000D0340000}"/>
    <cellStyle name="Обычный 5 126 7" xfId="35195" xr:uid="{00000000-0005-0000-0000-0000D1340000}"/>
    <cellStyle name="Обычный 5 126 8" xfId="40535" xr:uid="{00000000-0005-0000-0000-0000D2340000}"/>
    <cellStyle name="Обычный 5 126 9" xfId="45875" xr:uid="{00000000-0005-0000-0000-0000D3340000}"/>
    <cellStyle name="Обычный 5 127" xfId="3184" xr:uid="{00000000-0005-0000-0000-0000D4340000}"/>
    <cellStyle name="Обычный 5 127 10" xfId="51247" xr:uid="{00000000-0005-0000-0000-0000D5340000}"/>
    <cellStyle name="Обычный 5 127 2" xfId="8527" xr:uid="{00000000-0005-0000-0000-0000D6340000}"/>
    <cellStyle name="Обычный 5 127 2 2" xfId="56588" xr:uid="{00000000-0005-0000-0000-0000D7340000}"/>
    <cellStyle name="Обычный 5 127 3" xfId="13867" xr:uid="{00000000-0005-0000-0000-0000D8340000}"/>
    <cellStyle name="Обычный 5 127 4" xfId="19207" xr:uid="{00000000-0005-0000-0000-0000D9340000}"/>
    <cellStyle name="Обычный 5 127 5" xfId="24547" xr:uid="{00000000-0005-0000-0000-0000DA340000}"/>
    <cellStyle name="Обычный 5 127 6" xfId="29887" xr:uid="{00000000-0005-0000-0000-0000DB340000}"/>
    <cellStyle name="Обычный 5 127 7" xfId="35227" xr:uid="{00000000-0005-0000-0000-0000DC340000}"/>
    <cellStyle name="Обычный 5 127 8" xfId="40567" xr:uid="{00000000-0005-0000-0000-0000DD340000}"/>
    <cellStyle name="Обычный 5 127 9" xfId="45907" xr:uid="{00000000-0005-0000-0000-0000DE340000}"/>
    <cellStyle name="Обычный 5 128" xfId="3216" xr:uid="{00000000-0005-0000-0000-0000DF340000}"/>
    <cellStyle name="Обычный 5 128 10" xfId="51279" xr:uid="{00000000-0005-0000-0000-0000E0340000}"/>
    <cellStyle name="Обычный 5 128 2" xfId="8559" xr:uid="{00000000-0005-0000-0000-0000E1340000}"/>
    <cellStyle name="Обычный 5 128 2 2" xfId="56620" xr:uid="{00000000-0005-0000-0000-0000E2340000}"/>
    <cellStyle name="Обычный 5 128 3" xfId="13899" xr:uid="{00000000-0005-0000-0000-0000E3340000}"/>
    <cellStyle name="Обычный 5 128 4" xfId="19239" xr:uid="{00000000-0005-0000-0000-0000E4340000}"/>
    <cellStyle name="Обычный 5 128 5" xfId="24579" xr:uid="{00000000-0005-0000-0000-0000E5340000}"/>
    <cellStyle name="Обычный 5 128 6" xfId="29919" xr:uid="{00000000-0005-0000-0000-0000E6340000}"/>
    <cellStyle name="Обычный 5 128 7" xfId="35259" xr:uid="{00000000-0005-0000-0000-0000E7340000}"/>
    <cellStyle name="Обычный 5 128 8" xfId="40599" xr:uid="{00000000-0005-0000-0000-0000E8340000}"/>
    <cellStyle name="Обычный 5 128 9" xfId="45939" xr:uid="{00000000-0005-0000-0000-0000E9340000}"/>
    <cellStyle name="Обычный 5 129" xfId="3248" xr:uid="{00000000-0005-0000-0000-0000EA340000}"/>
    <cellStyle name="Обычный 5 129 10" xfId="51311" xr:uid="{00000000-0005-0000-0000-0000EB340000}"/>
    <cellStyle name="Обычный 5 129 2" xfId="8591" xr:uid="{00000000-0005-0000-0000-0000EC340000}"/>
    <cellStyle name="Обычный 5 129 2 2" xfId="56652" xr:uid="{00000000-0005-0000-0000-0000ED340000}"/>
    <cellStyle name="Обычный 5 129 3" xfId="13931" xr:uid="{00000000-0005-0000-0000-0000EE340000}"/>
    <cellStyle name="Обычный 5 129 4" xfId="19271" xr:uid="{00000000-0005-0000-0000-0000EF340000}"/>
    <cellStyle name="Обычный 5 129 5" xfId="24611" xr:uid="{00000000-0005-0000-0000-0000F0340000}"/>
    <cellStyle name="Обычный 5 129 6" xfId="29951" xr:uid="{00000000-0005-0000-0000-0000F1340000}"/>
    <cellStyle name="Обычный 5 129 7" xfId="35291" xr:uid="{00000000-0005-0000-0000-0000F2340000}"/>
    <cellStyle name="Обычный 5 129 8" xfId="40631" xr:uid="{00000000-0005-0000-0000-0000F3340000}"/>
    <cellStyle name="Обычный 5 129 9" xfId="45971" xr:uid="{00000000-0005-0000-0000-0000F4340000}"/>
    <cellStyle name="Обычный 5 13" xfId="144" xr:uid="{00000000-0005-0000-0000-0000F5340000}"/>
    <cellStyle name="Обычный 5 13 10" xfId="42866" xr:uid="{00000000-0005-0000-0000-0000F6340000}"/>
    <cellStyle name="Обычный 5 13 11" xfId="48206" xr:uid="{00000000-0005-0000-0000-0000F7340000}"/>
    <cellStyle name="Обычный 5 13 2" xfId="611" xr:uid="{00000000-0005-0000-0000-0000F8340000}"/>
    <cellStyle name="Обычный 5 13 2 10" xfId="48673" xr:uid="{00000000-0005-0000-0000-0000F9340000}"/>
    <cellStyle name="Обычный 5 13 2 2" xfId="5952" xr:uid="{00000000-0005-0000-0000-0000FA340000}"/>
    <cellStyle name="Обычный 5 13 2 2 2" xfId="54014" xr:uid="{00000000-0005-0000-0000-0000FB340000}"/>
    <cellStyle name="Обычный 5 13 2 3" xfId="11293" xr:uid="{00000000-0005-0000-0000-0000FC340000}"/>
    <cellStyle name="Обычный 5 13 2 4" xfId="16633" xr:uid="{00000000-0005-0000-0000-0000FD340000}"/>
    <cellStyle name="Обычный 5 13 2 5" xfId="21973" xr:uid="{00000000-0005-0000-0000-0000FE340000}"/>
    <cellStyle name="Обычный 5 13 2 6" xfId="27313" xr:uid="{00000000-0005-0000-0000-0000FF340000}"/>
    <cellStyle name="Обычный 5 13 2 7" xfId="32653" xr:uid="{00000000-0005-0000-0000-000000350000}"/>
    <cellStyle name="Обычный 5 13 2 8" xfId="37993" xr:uid="{00000000-0005-0000-0000-000001350000}"/>
    <cellStyle name="Обычный 5 13 2 9" xfId="43333" xr:uid="{00000000-0005-0000-0000-000002350000}"/>
    <cellStyle name="Обычный 5 13 3" xfId="5485" xr:uid="{00000000-0005-0000-0000-000003350000}"/>
    <cellStyle name="Обычный 5 13 3 2" xfId="53547" xr:uid="{00000000-0005-0000-0000-000004350000}"/>
    <cellStyle name="Обычный 5 13 4" xfId="10826" xr:uid="{00000000-0005-0000-0000-000005350000}"/>
    <cellStyle name="Обычный 5 13 5" xfId="16166" xr:uid="{00000000-0005-0000-0000-000006350000}"/>
    <cellStyle name="Обычный 5 13 6" xfId="21506" xr:uid="{00000000-0005-0000-0000-000007350000}"/>
    <cellStyle name="Обычный 5 13 7" xfId="26846" xr:uid="{00000000-0005-0000-0000-000008350000}"/>
    <cellStyle name="Обычный 5 13 8" xfId="32186" xr:uid="{00000000-0005-0000-0000-000009350000}"/>
    <cellStyle name="Обычный 5 13 9" xfId="37526" xr:uid="{00000000-0005-0000-0000-00000A350000}"/>
    <cellStyle name="Обычный 5 130" xfId="3280" xr:uid="{00000000-0005-0000-0000-00000B350000}"/>
    <cellStyle name="Обычный 5 130 10" xfId="51343" xr:uid="{00000000-0005-0000-0000-00000C350000}"/>
    <cellStyle name="Обычный 5 130 2" xfId="8623" xr:uid="{00000000-0005-0000-0000-00000D350000}"/>
    <cellStyle name="Обычный 5 130 2 2" xfId="56684" xr:uid="{00000000-0005-0000-0000-00000E350000}"/>
    <cellStyle name="Обычный 5 130 3" xfId="13963" xr:uid="{00000000-0005-0000-0000-00000F350000}"/>
    <cellStyle name="Обычный 5 130 4" xfId="19303" xr:uid="{00000000-0005-0000-0000-000010350000}"/>
    <cellStyle name="Обычный 5 130 5" xfId="24643" xr:uid="{00000000-0005-0000-0000-000011350000}"/>
    <cellStyle name="Обычный 5 130 6" xfId="29983" xr:uid="{00000000-0005-0000-0000-000012350000}"/>
    <cellStyle name="Обычный 5 130 7" xfId="35323" xr:uid="{00000000-0005-0000-0000-000013350000}"/>
    <cellStyle name="Обычный 5 130 8" xfId="40663" xr:uid="{00000000-0005-0000-0000-000014350000}"/>
    <cellStyle name="Обычный 5 130 9" xfId="46003" xr:uid="{00000000-0005-0000-0000-000015350000}"/>
    <cellStyle name="Обычный 5 131" xfId="3312" xr:uid="{00000000-0005-0000-0000-000016350000}"/>
    <cellStyle name="Обычный 5 131 10" xfId="51375" xr:uid="{00000000-0005-0000-0000-000017350000}"/>
    <cellStyle name="Обычный 5 131 2" xfId="8655" xr:uid="{00000000-0005-0000-0000-000018350000}"/>
    <cellStyle name="Обычный 5 131 2 2" xfId="56716" xr:uid="{00000000-0005-0000-0000-000019350000}"/>
    <cellStyle name="Обычный 5 131 3" xfId="13995" xr:uid="{00000000-0005-0000-0000-00001A350000}"/>
    <cellStyle name="Обычный 5 131 4" xfId="19335" xr:uid="{00000000-0005-0000-0000-00001B350000}"/>
    <cellStyle name="Обычный 5 131 5" xfId="24675" xr:uid="{00000000-0005-0000-0000-00001C350000}"/>
    <cellStyle name="Обычный 5 131 6" xfId="30015" xr:uid="{00000000-0005-0000-0000-00001D350000}"/>
    <cellStyle name="Обычный 5 131 7" xfId="35355" xr:uid="{00000000-0005-0000-0000-00001E350000}"/>
    <cellStyle name="Обычный 5 131 8" xfId="40695" xr:uid="{00000000-0005-0000-0000-00001F350000}"/>
    <cellStyle name="Обычный 5 131 9" xfId="46035" xr:uid="{00000000-0005-0000-0000-000020350000}"/>
    <cellStyle name="Обычный 5 132" xfId="3344" xr:uid="{00000000-0005-0000-0000-000021350000}"/>
    <cellStyle name="Обычный 5 132 10" xfId="51407" xr:uid="{00000000-0005-0000-0000-000022350000}"/>
    <cellStyle name="Обычный 5 132 2" xfId="8687" xr:uid="{00000000-0005-0000-0000-000023350000}"/>
    <cellStyle name="Обычный 5 132 2 2" xfId="56748" xr:uid="{00000000-0005-0000-0000-000024350000}"/>
    <cellStyle name="Обычный 5 132 3" xfId="14027" xr:uid="{00000000-0005-0000-0000-000025350000}"/>
    <cellStyle name="Обычный 5 132 4" xfId="19367" xr:uid="{00000000-0005-0000-0000-000026350000}"/>
    <cellStyle name="Обычный 5 132 5" xfId="24707" xr:uid="{00000000-0005-0000-0000-000027350000}"/>
    <cellStyle name="Обычный 5 132 6" xfId="30047" xr:uid="{00000000-0005-0000-0000-000028350000}"/>
    <cellStyle name="Обычный 5 132 7" xfId="35387" xr:uid="{00000000-0005-0000-0000-000029350000}"/>
    <cellStyle name="Обычный 5 132 8" xfId="40727" xr:uid="{00000000-0005-0000-0000-00002A350000}"/>
    <cellStyle name="Обычный 5 132 9" xfId="46067" xr:uid="{00000000-0005-0000-0000-00002B350000}"/>
    <cellStyle name="Обычный 5 133" xfId="3376" xr:uid="{00000000-0005-0000-0000-00002C350000}"/>
    <cellStyle name="Обычный 5 133 10" xfId="51439" xr:uid="{00000000-0005-0000-0000-00002D350000}"/>
    <cellStyle name="Обычный 5 133 2" xfId="8719" xr:uid="{00000000-0005-0000-0000-00002E350000}"/>
    <cellStyle name="Обычный 5 133 2 2" xfId="56780" xr:uid="{00000000-0005-0000-0000-00002F350000}"/>
    <cellStyle name="Обычный 5 133 3" xfId="14059" xr:uid="{00000000-0005-0000-0000-000030350000}"/>
    <cellStyle name="Обычный 5 133 4" xfId="19399" xr:uid="{00000000-0005-0000-0000-000031350000}"/>
    <cellStyle name="Обычный 5 133 5" xfId="24739" xr:uid="{00000000-0005-0000-0000-000032350000}"/>
    <cellStyle name="Обычный 5 133 6" xfId="30079" xr:uid="{00000000-0005-0000-0000-000033350000}"/>
    <cellStyle name="Обычный 5 133 7" xfId="35419" xr:uid="{00000000-0005-0000-0000-000034350000}"/>
    <cellStyle name="Обычный 5 133 8" xfId="40759" xr:uid="{00000000-0005-0000-0000-000035350000}"/>
    <cellStyle name="Обычный 5 133 9" xfId="46099" xr:uid="{00000000-0005-0000-0000-000036350000}"/>
    <cellStyle name="Обычный 5 134" xfId="3408" xr:uid="{00000000-0005-0000-0000-000037350000}"/>
    <cellStyle name="Обычный 5 134 10" xfId="51471" xr:uid="{00000000-0005-0000-0000-000038350000}"/>
    <cellStyle name="Обычный 5 134 2" xfId="8751" xr:uid="{00000000-0005-0000-0000-000039350000}"/>
    <cellStyle name="Обычный 5 134 2 2" xfId="56812" xr:uid="{00000000-0005-0000-0000-00003A350000}"/>
    <cellStyle name="Обычный 5 134 3" xfId="14091" xr:uid="{00000000-0005-0000-0000-00003B350000}"/>
    <cellStyle name="Обычный 5 134 4" xfId="19431" xr:uid="{00000000-0005-0000-0000-00003C350000}"/>
    <cellStyle name="Обычный 5 134 5" xfId="24771" xr:uid="{00000000-0005-0000-0000-00003D350000}"/>
    <cellStyle name="Обычный 5 134 6" xfId="30111" xr:uid="{00000000-0005-0000-0000-00003E350000}"/>
    <cellStyle name="Обычный 5 134 7" xfId="35451" xr:uid="{00000000-0005-0000-0000-00003F350000}"/>
    <cellStyle name="Обычный 5 134 8" xfId="40791" xr:uid="{00000000-0005-0000-0000-000040350000}"/>
    <cellStyle name="Обычный 5 134 9" xfId="46131" xr:uid="{00000000-0005-0000-0000-000041350000}"/>
    <cellStyle name="Обычный 5 135" xfId="3440" xr:uid="{00000000-0005-0000-0000-000042350000}"/>
    <cellStyle name="Обычный 5 135 10" xfId="51503" xr:uid="{00000000-0005-0000-0000-000043350000}"/>
    <cellStyle name="Обычный 5 135 2" xfId="8783" xr:uid="{00000000-0005-0000-0000-000044350000}"/>
    <cellStyle name="Обычный 5 135 2 2" xfId="56844" xr:uid="{00000000-0005-0000-0000-000045350000}"/>
    <cellStyle name="Обычный 5 135 3" xfId="14123" xr:uid="{00000000-0005-0000-0000-000046350000}"/>
    <cellStyle name="Обычный 5 135 4" xfId="19463" xr:uid="{00000000-0005-0000-0000-000047350000}"/>
    <cellStyle name="Обычный 5 135 5" xfId="24803" xr:uid="{00000000-0005-0000-0000-000048350000}"/>
    <cellStyle name="Обычный 5 135 6" xfId="30143" xr:uid="{00000000-0005-0000-0000-000049350000}"/>
    <cellStyle name="Обычный 5 135 7" xfId="35483" xr:uid="{00000000-0005-0000-0000-00004A350000}"/>
    <cellStyle name="Обычный 5 135 8" xfId="40823" xr:uid="{00000000-0005-0000-0000-00004B350000}"/>
    <cellStyle name="Обычный 5 135 9" xfId="46163" xr:uid="{00000000-0005-0000-0000-00004C350000}"/>
    <cellStyle name="Обычный 5 136" xfId="3472" xr:uid="{00000000-0005-0000-0000-00004D350000}"/>
    <cellStyle name="Обычный 5 136 10" xfId="51535" xr:uid="{00000000-0005-0000-0000-00004E350000}"/>
    <cellStyle name="Обычный 5 136 2" xfId="8815" xr:uid="{00000000-0005-0000-0000-00004F350000}"/>
    <cellStyle name="Обычный 5 136 2 2" xfId="56876" xr:uid="{00000000-0005-0000-0000-000050350000}"/>
    <cellStyle name="Обычный 5 136 3" xfId="14155" xr:uid="{00000000-0005-0000-0000-000051350000}"/>
    <cellStyle name="Обычный 5 136 4" xfId="19495" xr:uid="{00000000-0005-0000-0000-000052350000}"/>
    <cellStyle name="Обычный 5 136 5" xfId="24835" xr:uid="{00000000-0005-0000-0000-000053350000}"/>
    <cellStyle name="Обычный 5 136 6" xfId="30175" xr:uid="{00000000-0005-0000-0000-000054350000}"/>
    <cellStyle name="Обычный 5 136 7" xfId="35515" xr:uid="{00000000-0005-0000-0000-000055350000}"/>
    <cellStyle name="Обычный 5 136 8" xfId="40855" xr:uid="{00000000-0005-0000-0000-000056350000}"/>
    <cellStyle name="Обычный 5 136 9" xfId="46195" xr:uid="{00000000-0005-0000-0000-000057350000}"/>
    <cellStyle name="Обычный 5 137" xfId="3504" xr:uid="{00000000-0005-0000-0000-000058350000}"/>
    <cellStyle name="Обычный 5 137 10" xfId="51567" xr:uid="{00000000-0005-0000-0000-000059350000}"/>
    <cellStyle name="Обычный 5 137 2" xfId="8847" xr:uid="{00000000-0005-0000-0000-00005A350000}"/>
    <cellStyle name="Обычный 5 137 2 2" xfId="56908" xr:uid="{00000000-0005-0000-0000-00005B350000}"/>
    <cellStyle name="Обычный 5 137 3" xfId="14187" xr:uid="{00000000-0005-0000-0000-00005C350000}"/>
    <cellStyle name="Обычный 5 137 4" xfId="19527" xr:uid="{00000000-0005-0000-0000-00005D350000}"/>
    <cellStyle name="Обычный 5 137 5" xfId="24867" xr:uid="{00000000-0005-0000-0000-00005E350000}"/>
    <cellStyle name="Обычный 5 137 6" xfId="30207" xr:uid="{00000000-0005-0000-0000-00005F350000}"/>
    <cellStyle name="Обычный 5 137 7" xfId="35547" xr:uid="{00000000-0005-0000-0000-000060350000}"/>
    <cellStyle name="Обычный 5 137 8" xfId="40887" xr:uid="{00000000-0005-0000-0000-000061350000}"/>
    <cellStyle name="Обычный 5 137 9" xfId="46227" xr:uid="{00000000-0005-0000-0000-000062350000}"/>
    <cellStyle name="Обычный 5 138" xfId="3536" xr:uid="{00000000-0005-0000-0000-000063350000}"/>
    <cellStyle name="Обычный 5 138 10" xfId="51599" xr:uid="{00000000-0005-0000-0000-000064350000}"/>
    <cellStyle name="Обычный 5 138 2" xfId="8879" xr:uid="{00000000-0005-0000-0000-000065350000}"/>
    <cellStyle name="Обычный 5 138 2 2" xfId="56940" xr:uid="{00000000-0005-0000-0000-000066350000}"/>
    <cellStyle name="Обычный 5 138 3" xfId="14219" xr:uid="{00000000-0005-0000-0000-000067350000}"/>
    <cellStyle name="Обычный 5 138 4" xfId="19559" xr:uid="{00000000-0005-0000-0000-000068350000}"/>
    <cellStyle name="Обычный 5 138 5" xfId="24899" xr:uid="{00000000-0005-0000-0000-000069350000}"/>
    <cellStyle name="Обычный 5 138 6" xfId="30239" xr:uid="{00000000-0005-0000-0000-00006A350000}"/>
    <cellStyle name="Обычный 5 138 7" xfId="35579" xr:uid="{00000000-0005-0000-0000-00006B350000}"/>
    <cellStyle name="Обычный 5 138 8" xfId="40919" xr:uid="{00000000-0005-0000-0000-00006C350000}"/>
    <cellStyle name="Обычный 5 138 9" xfId="46259" xr:uid="{00000000-0005-0000-0000-00006D350000}"/>
    <cellStyle name="Обычный 5 139" xfId="3568" xr:uid="{00000000-0005-0000-0000-00006E350000}"/>
    <cellStyle name="Обычный 5 139 10" xfId="51631" xr:uid="{00000000-0005-0000-0000-00006F350000}"/>
    <cellStyle name="Обычный 5 139 2" xfId="8911" xr:uid="{00000000-0005-0000-0000-000070350000}"/>
    <cellStyle name="Обычный 5 139 2 2" xfId="56972" xr:uid="{00000000-0005-0000-0000-000071350000}"/>
    <cellStyle name="Обычный 5 139 3" xfId="14251" xr:uid="{00000000-0005-0000-0000-000072350000}"/>
    <cellStyle name="Обычный 5 139 4" xfId="19591" xr:uid="{00000000-0005-0000-0000-000073350000}"/>
    <cellStyle name="Обычный 5 139 5" xfId="24931" xr:uid="{00000000-0005-0000-0000-000074350000}"/>
    <cellStyle name="Обычный 5 139 6" xfId="30271" xr:uid="{00000000-0005-0000-0000-000075350000}"/>
    <cellStyle name="Обычный 5 139 7" xfId="35611" xr:uid="{00000000-0005-0000-0000-000076350000}"/>
    <cellStyle name="Обычный 5 139 8" xfId="40951" xr:uid="{00000000-0005-0000-0000-000077350000}"/>
    <cellStyle name="Обычный 5 139 9" xfId="46291" xr:uid="{00000000-0005-0000-0000-000078350000}"/>
    <cellStyle name="Обычный 5 14" xfId="154" xr:uid="{00000000-0005-0000-0000-000079350000}"/>
    <cellStyle name="Обычный 5 14 10" xfId="42876" xr:uid="{00000000-0005-0000-0000-00007A350000}"/>
    <cellStyle name="Обычный 5 14 11" xfId="48216" xr:uid="{00000000-0005-0000-0000-00007B350000}"/>
    <cellStyle name="Обычный 5 14 2" xfId="621" xr:uid="{00000000-0005-0000-0000-00007C350000}"/>
    <cellStyle name="Обычный 5 14 2 10" xfId="48683" xr:uid="{00000000-0005-0000-0000-00007D350000}"/>
    <cellStyle name="Обычный 5 14 2 2" xfId="5962" xr:uid="{00000000-0005-0000-0000-00007E350000}"/>
    <cellStyle name="Обычный 5 14 2 2 2" xfId="54024" xr:uid="{00000000-0005-0000-0000-00007F350000}"/>
    <cellStyle name="Обычный 5 14 2 3" xfId="11303" xr:uid="{00000000-0005-0000-0000-000080350000}"/>
    <cellStyle name="Обычный 5 14 2 4" xfId="16643" xr:uid="{00000000-0005-0000-0000-000081350000}"/>
    <cellStyle name="Обычный 5 14 2 5" xfId="21983" xr:uid="{00000000-0005-0000-0000-000082350000}"/>
    <cellStyle name="Обычный 5 14 2 6" xfId="27323" xr:uid="{00000000-0005-0000-0000-000083350000}"/>
    <cellStyle name="Обычный 5 14 2 7" xfId="32663" xr:uid="{00000000-0005-0000-0000-000084350000}"/>
    <cellStyle name="Обычный 5 14 2 8" xfId="38003" xr:uid="{00000000-0005-0000-0000-000085350000}"/>
    <cellStyle name="Обычный 5 14 2 9" xfId="43343" xr:uid="{00000000-0005-0000-0000-000086350000}"/>
    <cellStyle name="Обычный 5 14 3" xfId="5495" xr:uid="{00000000-0005-0000-0000-000087350000}"/>
    <cellStyle name="Обычный 5 14 3 2" xfId="53557" xr:uid="{00000000-0005-0000-0000-000088350000}"/>
    <cellStyle name="Обычный 5 14 4" xfId="10836" xr:uid="{00000000-0005-0000-0000-000089350000}"/>
    <cellStyle name="Обычный 5 14 5" xfId="16176" xr:uid="{00000000-0005-0000-0000-00008A350000}"/>
    <cellStyle name="Обычный 5 14 6" xfId="21516" xr:uid="{00000000-0005-0000-0000-00008B350000}"/>
    <cellStyle name="Обычный 5 14 7" xfId="26856" xr:uid="{00000000-0005-0000-0000-00008C350000}"/>
    <cellStyle name="Обычный 5 14 8" xfId="32196" xr:uid="{00000000-0005-0000-0000-00008D350000}"/>
    <cellStyle name="Обычный 5 14 9" xfId="37536" xr:uid="{00000000-0005-0000-0000-00008E350000}"/>
    <cellStyle name="Обычный 5 140" xfId="3600" xr:uid="{00000000-0005-0000-0000-00008F350000}"/>
    <cellStyle name="Обычный 5 140 10" xfId="51663" xr:uid="{00000000-0005-0000-0000-000090350000}"/>
    <cellStyle name="Обычный 5 140 2" xfId="8943" xr:uid="{00000000-0005-0000-0000-000091350000}"/>
    <cellStyle name="Обычный 5 140 2 2" xfId="57004" xr:uid="{00000000-0005-0000-0000-000092350000}"/>
    <cellStyle name="Обычный 5 140 3" xfId="14283" xr:uid="{00000000-0005-0000-0000-000093350000}"/>
    <cellStyle name="Обычный 5 140 4" xfId="19623" xr:uid="{00000000-0005-0000-0000-000094350000}"/>
    <cellStyle name="Обычный 5 140 5" xfId="24963" xr:uid="{00000000-0005-0000-0000-000095350000}"/>
    <cellStyle name="Обычный 5 140 6" xfId="30303" xr:uid="{00000000-0005-0000-0000-000096350000}"/>
    <cellStyle name="Обычный 5 140 7" xfId="35643" xr:uid="{00000000-0005-0000-0000-000097350000}"/>
    <cellStyle name="Обычный 5 140 8" xfId="40983" xr:uid="{00000000-0005-0000-0000-000098350000}"/>
    <cellStyle name="Обычный 5 140 9" xfId="46323" xr:uid="{00000000-0005-0000-0000-000099350000}"/>
    <cellStyle name="Обычный 5 141" xfId="3632" xr:uid="{00000000-0005-0000-0000-00009A350000}"/>
    <cellStyle name="Обычный 5 141 10" xfId="51695" xr:uid="{00000000-0005-0000-0000-00009B350000}"/>
    <cellStyle name="Обычный 5 141 2" xfId="8975" xr:uid="{00000000-0005-0000-0000-00009C350000}"/>
    <cellStyle name="Обычный 5 141 2 2" xfId="57036" xr:uid="{00000000-0005-0000-0000-00009D350000}"/>
    <cellStyle name="Обычный 5 141 3" xfId="14315" xr:uid="{00000000-0005-0000-0000-00009E350000}"/>
    <cellStyle name="Обычный 5 141 4" xfId="19655" xr:uid="{00000000-0005-0000-0000-00009F350000}"/>
    <cellStyle name="Обычный 5 141 5" xfId="24995" xr:uid="{00000000-0005-0000-0000-0000A0350000}"/>
    <cellStyle name="Обычный 5 141 6" xfId="30335" xr:uid="{00000000-0005-0000-0000-0000A1350000}"/>
    <cellStyle name="Обычный 5 141 7" xfId="35675" xr:uid="{00000000-0005-0000-0000-0000A2350000}"/>
    <cellStyle name="Обычный 5 141 8" xfId="41015" xr:uid="{00000000-0005-0000-0000-0000A3350000}"/>
    <cellStyle name="Обычный 5 141 9" xfId="46355" xr:uid="{00000000-0005-0000-0000-0000A4350000}"/>
    <cellStyle name="Обычный 5 142" xfId="3664" xr:uid="{00000000-0005-0000-0000-0000A5350000}"/>
    <cellStyle name="Обычный 5 142 10" xfId="51727" xr:uid="{00000000-0005-0000-0000-0000A6350000}"/>
    <cellStyle name="Обычный 5 142 2" xfId="9007" xr:uid="{00000000-0005-0000-0000-0000A7350000}"/>
    <cellStyle name="Обычный 5 142 2 2" xfId="57068" xr:uid="{00000000-0005-0000-0000-0000A8350000}"/>
    <cellStyle name="Обычный 5 142 3" xfId="14347" xr:uid="{00000000-0005-0000-0000-0000A9350000}"/>
    <cellStyle name="Обычный 5 142 4" xfId="19687" xr:uid="{00000000-0005-0000-0000-0000AA350000}"/>
    <cellStyle name="Обычный 5 142 5" xfId="25027" xr:uid="{00000000-0005-0000-0000-0000AB350000}"/>
    <cellStyle name="Обычный 5 142 6" xfId="30367" xr:uid="{00000000-0005-0000-0000-0000AC350000}"/>
    <cellStyle name="Обычный 5 142 7" xfId="35707" xr:uid="{00000000-0005-0000-0000-0000AD350000}"/>
    <cellStyle name="Обычный 5 142 8" xfId="41047" xr:uid="{00000000-0005-0000-0000-0000AE350000}"/>
    <cellStyle name="Обычный 5 142 9" xfId="46387" xr:uid="{00000000-0005-0000-0000-0000AF350000}"/>
    <cellStyle name="Обычный 5 143" xfId="3696" xr:uid="{00000000-0005-0000-0000-0000B0350000}"/>
    <cellStyle name="Обычный 5 143 10" xfId="51759" xr:uid="{00000000-0005-0000-0000-0000B1350000}"/>
    <cellStyle name="Обычный 5 143 2" xfId="9039" xr:uid="{00000000-0005-0000-0000-0000B2350000}"/>
    <cellStyle name="Обычный 5 143 2 2" xfId="57100" xr:uid="{00000000-0005-0000-0000-0000B3350000}"/>
    <cellStyle name="Обычный 5 143 3" xfId="14379" xr:uid="{00000000-0005-0000-0000-0000B4350000}"/>
    <cellStyle name="Обычный 5 143 4" xfId="19719" xr:uid="{00000000-0005-0000-0000-0000B5350000}"/>
    <cellStyle name="Обычный 5 143 5" xfId="25059" xr:uid="{00000000-0005-0000-0000-0000B6350000}"/>
    <cellStyle name="Обычный 5 143 6" xfId="30399" xr:uid="{00000000-0005-0000-0000-0000B7350000}"/>
    <cellStyle name="Обычный 5 143 7" xfId="35739" xr:uid="{00000000-0005-0000-0000-0000B8350000}"/>
    <cellStyle name="Обычный 5 143 8" xfId="41079" xr:uid="{00000000-0005-0000-0000-0000B9350000}"/>
    <cellStyle name="Обычный 5 143 9" xfId="46419" xr:uid="{00000000-0005-0000-0000-0000BA350000}"/>
    <cellStyle name="Обычный 5 144" xfId="3728" xr:uid="{00000000-0005-0000-0000-0000BB350000}"/>
    <cellStyle name="Обычный 5 144 10" xfId="51791" xr:uid="{00000000-0005-0000-0000-0000BC350000}"/>
    <cellStyle name="Обычный 5 144 2" xfId="9071" xr:uid="{00000000-0005-0000-0000-0000BD350000}"/>
    <cellStyle name="Обычный 5 144 2 2" xfId="57132" xr:uid="{00000000-0005-0000-0000-0000BE350000}"/>
    <cellStyle name="Обычный 5 144 3" xfId="14411" xr:uid="{00000000-0005-0000-0000-0000BF350000}"/>
    <cellStyle name="Обычный 5 144 4" xfId="19751" xr:uid="{00000000-0005-0000-0000-0000C0350000}"/>
    <cellStyle name="Обычный 5 144 5" xfId="25091" xr:uid="{00000000-0005-0000-0000-0000C1350000}"/>
    <cellStyle name="Обычный 5 144 6" xfId="30431" xr:uid="{00000000-0005-0000-0000-0000C2350000}"/>
    <cellStyle name="Обычный 5 144 7" xfId="35771" xr:uid="{00000000-0005-0000-0000-0000C3350000}"/>
    <cellStyle name="Обычный 5 144 8" xfId="41111" xr:uid="{00000000-0005-0000-0000-0000C4350000}"/>
    <cellStyle name="Обычный 5 144 9" xfId="46451" xr:uid="{00000000-0005-0000-0000-0000C5350000}"/>
    <cellStyle name="Обычный 5 145" xfId="3760" xr:uid="{00000000-0005-0000-0000-0000C6350000}"/>
    <cellStyle name="Обычный 5 145 10" xfId="51823" xr:uid="{00000000-0005-0000-0000-0000C7350000}"/>
    <cellStyle name="Обычный 5 145 2" xfId="9103" xr:uid="{00000000-0005-0000-0000-0000C8350000}"/>
    <cellStyle name="Обычный 5 145 2 2" xfId="57164" xr:uid="{00000000-0005-0000-0000-0000C9350000}"/>
    <cellStyle name="Обычный 5 145 3" xfId="14443" xr:uid="{00000000-0005-0000-0000-0000CA350000}"/>
    <cellStyle name="Обычный 5 145 4" xfId="19783" xr:uid="{00000000-0005-0000-0000-0000CB350000}"/>
    <cellStyle name="Обычный 5 145 5" xfId="25123" xr:uid="{00000000-0005-0000-0000-0000CC350000}"/>
    <cellStyle name="Обычный 5 145 6" xfId="30463" xr:uid="{00000000-0005-0000-0000-0000CD350000}"/>
    <cellStyle name="Обычный 5 145 7" xfId="35803" xr:uid="{00000000-0005-0000-0000-0000CE350000}"/>
    <cellStyle name="Обычный 5 145 8" xfId="41143" xr:uid="{00000000-0005-0000-0000-0000CF350000}"/>
    <cellStyle name="Обычный 5 145 9" xfId="46483" xr:uid="{00000000-0005-0000-0000-0000D0350000}"/>
    <cellStyle name="Обычный 5 146" xfId="3792" xr:uid="{00000000-0005-0000-0000-0000D1350000}"/>
    <cellStyle name="Обычный 5 146 10" xfId="51855" xr:uid="{00000000-0005-0000-0000-0000D2350000}"/>
    <cellStyle name="Обычный 5 146 2" xfId="9135" xr:uid="{00000000-0005-0000-0000-0000D3350000}"/>
    <cellStyle name="Обычный 5 146 2 2" xfId="57196" xr:uid="{00000000-0005-0000-0000-0000D4350000}"/>
    <cellStyle name="Обычный 5 146 3" xfId="14475" xr:uid="{00000000-0005-0000-0000-0000D5350000}"/>
    <cellStyle name="Обычный 5 146 4" xfId="19815" xr:uid="{00000000-0005-0000-0000-0000D6350000}"/>
    <cellStyle name="Обычный 5 146 5" xfId="25155" xr:uid="{00000000-0005-0000-0000-0000D7350000}"/>
    <cellStyle name="Обычный 5 146 6" xfId="30495" xr:uid="{00000000-0005-0000-0000-0000D8350000}"/>
    <cellStyle name="Обычный 5 146 7" xfId="35835" xr:uid="{00000000-0005-0000-0000-0000D9350000}"/>
    <cellStyle name="Обычный 5 146 8" xfId="41175" xr:uid="{00000000-0005-0000-0000-0000DA350000}"/>
    <cellStyle name="Обычный 5 146 9" xfId="46515" xr:uid="{00000000-0005-0000-0000-0000DB350000}"/>
    <cellStyle name="Обычный 5 147" xfId="3824" xr:uid="{00000000-0005-0000-0000-0000DC350000}"/>
    <cellStyle name="Обычный 5 147 10" xfId="51887" xr:uid="{00000000-0005-0000-0000-0000DD350000}"/>
    <cellStyle name="Обычный 5 147 2" xfId="9167" xr:uid="{00000000-0005-0000-0000-0000DE350000}"/>
    <cellStyle name="Обычный 5 147 2 2" xfId="57228" xr:uid="{00000000-0005-0000-0000-0000DF350000}"/>
    <cellStyle name="Обычный 5 147 3" xfId="14507" xr:uid="{00000000-0005-0000-0000-0000E0350000}"/>
    <cellStyle name="Обычный 5 147 4" xfId="19847" xr:uid="{00000000-0005-0000-0000-0000E1350000}"/>
    <cellStyle name="Обычный 5 147 5" xfId="25187" xr:uid="{00000000-0005-0000-0000-0000E2350000}"/>
    <cellStyle name="Обычный 5 147 6" xfId="30527" xr:uid="{00000000-0005-0000-0000-0000E3350000}"/>
    <cellStyle name="Обычный 5 147 7" xfId="35867" xr:uid="{00000000-0005-0000-0000-0000E4350000}"/>
    <cellStyle name="Обычный 5 147 8" xfId="41207" xr:uid="{00000000-0005-0000-0000-0000E5350000}"/>
    <cellStyle name="Обычный 5 147 9" xfId="46547" xr:uid="{00000000-0005-0000-0000-0000E6350000}"/>
    <cellStyle name="Обычный 5 148" xfId="3856" xr:uid="{00000000-0005-0000-0000-0000E7350000}"/>
    <cellStyle name="Обычный 5 148 10" xfId="51919" xr:uid="{00000000-0005-0000-0000-0000E8350000}"/>
    <cellStyle name="Обычный 5 148 2" xfId="9199" xr:uid="{00000000-0005-0000-0000-0000E9350000}"/>
    <cellStyle name="Обычный 5 148 2 2" xfId="57260" xr:uid="{00000000-0005-0000-0000-0000EA350000}"/>
    <cellStyle name="Обычный 5 148 3" xfId="14539" xr:uid="{00000000-0005-0000-0000-0000EB350000}"/>
    <cellStyle name="Обычный 5 148 4" xfId="19879" xr:uid="{00000000-0005-0000-0000-0000EC350000}"/>
    <cellStyle name="Обычный 5 148 5" xfId="25219" xr:uid="{00000000-0005-0000-0000-0000ED350000}"/>
    <cellStyle name="Обычный 5 148 6" xfId="30559" xr:uid="{00000000-0005-0000-0000-0000EE350000}"/>
    <cellStyle name="Обычный 5 148 7" xfId="35899" xr:uid="{00000000-0005-0000-0000-0000EF350000}"/>
    <cellStyle name="Обычный 5 148 8" xfId="41239" xr:uid="{00000000-0005-0000-0000-0000F0350000}"/>
    <cellStyle name="Обычный 5 148 9" xfId="46579" xr:uid="{00000000-0005-0000-0000-0000F1350000}"/>
    <cellStyle name="Обычный 5 149" xfId="3888" xr:uid="{00000000-0005-0000-0000-0000F2350000}"/>
    <cellStyle name="Обычный 5 149 10" xfId="51951" xr:uid="{00000000-0005-0000-0000-0000F3350000}"/>
    <cellStyle name="Обычный 5 149 2" xfId="9231" xr:uid="{00000000-0005-0000-0000-0000F4350000}"/>
    <cellStyle name="Обычный 5 149 2 2" xfId="57292" xr:uid="{00000000-0005-0000-0000-0000F5350000}"/>
    <cellStyle name="Обычный 5 149 3" xfId="14571" xr:uid="{00000000-0005-0000-0000-0000F6350000}"/>
    <cellStyle name="Обычный 5 149 4" xfId="19911" xr:uid="{00000000-0005-0000-0000-0000F7350000}"/>
    <cellStyle name="Обычный 5 149 5" xfId="25251" xr:uid="{00000000-0005-0000-0000-0000F8350000}"/>
    <cellStyle name="Обычный 5 149 6" xfId="30591" xr:uid="{00000000-0005-0000-0000-0000F9350000}"/>
    <cellStyle name="Обычный 5 149 7" xfId="35931" xr:uid="{00000000-0005-0000-0000-0000FA350000}"/>
    <cellStyle name="Обычный 5 149 8" xfId="41271" xr:uid="{00000000-0005-0000-0000-0000FB350000}"/>
    <cellStyle name="Обычный 5 149 9" xfId="46611" xr:uid="{00000000-0005-0000-0000-0000FC350000}"/>
    <cellStyle name="Обычный 5 15" xfId="164" xr:uid="{00000000-0005-0000-0000-0000FD350000}"/>
    <cellStyle name="Обычный 5 15 10" xfId="42886" xr:uid="{00000000-0005-0000-0000-0000FE350000}"/>
    <cellStyle name="Обычный 5 15 11" xfId="48226" xr:uid="{00000000-0005-0000-0000-0000FF350000}"/>
    <cellStyle name="Обычный 5 15 2" xfId="631" xr:uid="{00000000-0005-0000-0000-000000360000}"/>
    <cellStyle name="Обычный 5 15 2 10" xfId="48693" xr:uid="{00000000-0005-0000-0000-000001360000}"/>
    <cellStyle name="Обычный 5 15 2 2" xfId="5972" xr:uid="{00000000-0005-0000-0000-000002360000}"/>
    <cellStyle name="Обычный 5 15 2 2 2" xfId="54034" xr:uid="{00000000-0005-0000-0000-000003360000}"/>
    <cellStyle name="Обычный 5 15 2 3" xfId="11313" xr:uid="{00000000-0005-0000-0000-000004360000}"/>
    <cellStyle name="Обычный 5 15 2 4" xfId="16653" xr:uid="{00000000-0005-0000-0000-000005360000}"/>
    <cellStyle name="Обычный 5 15 2 5" xfId="21993" xr:uid="{00000000-0005-0000-0000-000006360000}"/>
    <cellStyle name="Обычный 5 15 2 6" xfId="27333" xr:uid="{00000000-0005-0000-0000-000007360000}"/>
    <cellStyle name="Обычный 5 15 2 7" xfId="32673" xr:uid="{00000000-0005-0000-0000-000008360000}"/>
    <cellStyle name="Обычный 5 15 2 8" xfId="38013" xr:uid="{00000000-0005-0000-0000-000009360000}"/>
    <cellStyle name="Обычный 5 15 2 9" xfId="43353" xr:uid="{00000000-0005-0000-0000-00000A360000}"/>
    <cellStyle name="Обычный 5 15 3" xfId="5505" xr:uid="{00000000-0005-0000-0000-00000B360000}"/>
    <cellStyle name="Обычный 5 15 3 2" xfId="53567" xr:uid="{00000000-0005-0000-0000-00000C360000}"/>
    <cellStyle name="Обычный 5 15 4" xfId="10846" xr:uid="{00000000-0005-0000-0000-00000D360000}"/>
    <cellStyle name="Обычный 5 15 5" xfId="16186" xr:uid="{00000000-0005-0000-0000-00000E360000}"/>
    <cellStyle name="Обычный 5 15 6" xfId="21526" xr:uid="{00000000-0005-0000-0000-00000F360000}"/>
    <cellStyle name="Обычный 5 15 7" xfId="26866" xr:uid="{00000000-0005-0000-0000-000010360000}"/>
    <cellStyle name="Обычный 5 15 8" xfId="32206" xr:uid="{00000000-0005-0000-0000-000011360000}"/>
    <cellStyle name="Обычный 5 15 9" xfId="37546" xr:uid="{00000000-0005-0000-0000-000012360000}"/>
    <cellStyle name="Обычный 5 150" xfId="3920" xr:uid="{00000000-0005-0000-0000-000013360000}"/>
    <cellStyle name="Обычный 5 150 10" xfId="51983" xr:uid="{00000000-0005-0000-0000-000014360000}"/>
    <cellStyle name="Обычный 5 150 2" xfId="9263" xr:uid="{00000000-0005-0000-0000-000015360000}"/>
    <cellStyle name="Обычный 5 150 2 2" xfId="57324" xr:uid="{00000000-0005-0000-0000-000016360000}"/>
    <cellStyle name="Обычный 5 150 3" xfId="14603" xr:uid="{00000000-0005-0000-0000-000017360000}"/>
    <cellStyle name="Обычный 5 150 4" xfId="19943" xr:uid="{00000000-0005-0000-0000-000018360000}"/>
    <cellStyle name="Обычный 5 150 5" xfId="25283" xr:uid="{00000000-0005-0000-0000-000019360000}"/>
    <cellStyle name="Обычный 5 150 6" xfId="30623" xr:uid="{00000000-0005-0000-0000-00001A360000}"/>
    <cellStyle name="Обычный 5 150 7" xfId="35963" xr:uid="{00000000-0005-0000-0000-00001B360000}"/>
    <cellStyle name="Обычный 5 150 8" xfId="41303" xr:uid="{00000000-0005-0000-0000-00001C360000}"/>
    <cellStyle name="Обычный 5 150 9" xfId="46643" xr:uid="{00000000-0005-0000-0000-00001D360000}"/>
    <cellStyle name="Обычный 5 151" xfId="3952" xr:uid="{00000000-0005-0000-0000-00001E360000}"/>
    <cellStyle name="Обычный 5 151 10" xfId="52015" xr:uid="{00000000-0005-0000-0000-00001F360000}"/>
    <cellStyle name="Обычный 5 151 2" xfId="9295" xr:uid="{00000000-0005-0000-0000-000020360000}"/>
    <cellStyle name="Обычный 5 151 2 2" xfId="57356" xr:uid="{00000000-0005-0000-0000-000021360000}"/>
    <cellStyle name="Обычный 5 151 3" xfId="14635" xr:uid="{00000000-0005-0000-0000-000022360000}"/>
    <cellStyle name="Обычный 5 151 4" xfId="19975" xr:uid="{00000000-0005-0000-0000-000023360000}"/>
    <cellStyle name="Обычный 5 151 5" xfId="25315" xr:uid="{00000000-0005-0000-0000-000024360000}"/>
    <cellStyle name="Обычный 5 151 6" xfId="30655" xr:uid="{00000000-0005-0000-0000-000025360000}"/>
    <cellStyle name="Обычный 5 151 7" xfId="35995" xr:uid="{00000000-0005-0000-0000-000026360000}"/>
    <cellStyle name="Обычный 5 151 8" xfId="41335" xr:uid="{00000000-0005-0000-0000-000027360000}"/>
    <cellStyle name="Обычный 5 151 9" xfId="46675" xr:uid="{00000000-0005-0000-0000-000028360000}"/>
    <cellStyle name="Обычный 5 152" xfId="3984" xr:uid="{00000000-0005-0000-0000-000029360000}"/>
    <cellStyle name="Обычный 5 152 10" xfId="52047" xr:uid="{00000000-0005-0000-0000-00002A360000}"/>
    <cellStyle name="Обычный 5 152 2" xfId="9327" xr:uid="{00000000-0005-0000-0000-00002B360000}"/>
    <cellStyle name="Обычный 5 152 2 2" xfId="57388" xr:uid="{00000000-0005-0000-0000-00002C360000}"/>
    <cellStyle name="Обычный 5 152 3" xfId="14667" xr:uid="{00000000-0005-0000-0000-00002D360000}"/>
    <cellStyle name="Обычный 5 152 4" xfId="20007" xr:uid="{00000000-0005-0000-0000-00002E360000}"/>
    <cellStyle name="Обычный 5 152 5" xfId="25347" xr:uid="{00000000-0005-0000-0000-00002F360000}"/>
    <cellStyle name="Обычный 5 152 6" xfId="30687" xr:uid="{00000000-0005-0000-0000-000030360000}"/>
    <cellStyle name="Обычный 5 152 7" xfId="36027" xr:uid="{00000000-0005-0000-0000-000031360000}"/>
    <cellStyle name="Обычный 5 152 8" xfId="41367" xr:uid="{00000000-0005-0000-0000-000032360000}"/>
    <cellStyle name="Обычный 5 152 9" xfId="46707" xr:uid="{00000000-0005-0000-0000-000033360000}"/>
    <cellStyle name="Обычный 5 153" xfId="4016" xr:uid="{00000000-0005-0000-0000-000034360000}"/>
    <cellStyle name="Обычный 5 153 10" xfId="52079" xr:uid="{00000000-0005-0000-0000-000035360000}"/>
    <cellStyle name="Обычный 5 153 2" xfId="9359" xr:uid="{00000000-0005-0000-0000-000036360000}"/>
    <cellStyle name="Обычный 5 153 2 2" xfId="57420" xr:uid="{00000000-0005-0000-0000-000037360000}"/>
    <cellStyle name="Обычный 5 153 3" xfId="14699" xr:uid="{00000000-0005-0000-0000-000038360000}"/>
    <cellStyle name="Обычный 5 153 4" xfId="20039" xr:uid="{00000000-0005-0000-0000-000039360000}"/>
    <cellStyle name="Обычный 5 153 5" xfId="25379" xr:uid="{00000000-0005-0000-0000-00003A360000}"/>
    <cellStyle name="Обычный 5 153 6" xfId="30719" xr:uid="{00000000-0005-0000-0000-00003B360000}"/>
    <cellStyle name="Обычный 5 153 7" xfId="36059" xr:uid="{00000000-0005-0000-0000-00003C360000}"/>
    <cellStyle name="Обычный 5 153 8" xfId="41399" xr:uid="{00000000-0005-0000-0000-00003D360000}"/>
    <cellStyle name="Обычный 5 153 9" xfId="46739" xr:uid="{00000000-0005-0000-0000-00003E360000}"/>
    <cellStyle name="Обычный 5 154" xfId="4048" xr:uid="{00000000-0005-0000-0000-00003F360000}"/>
    <cellStyle name="Обычный 5 154 10" xfId="52111" xr:uid="{00000000-0005-0000-0000-000040360000}"/>
    <cellStyle name="Обычный 5 154 2" xfId="9391" xr:uid="{00000000-0005-0000-0000-000041360000}"/>
    <cellStyle name="Обычный 5 154 2 2" xfId="57452" xr:uid="{00000000-0005-0000-0000-000042360000}"/>
    <cellStyle name="Обычный 5 154 3" xfId="14731" xr:uid="{00000000-0005-0000-0000-000043360000}"/>
    <cellStyle name="Обычный 5 154 4" xfId="20071" xr:uid="{00000000-0005-0000-0000-000044360000}"/>
    <cellStyle name="Обычный 5 154 5" xfId="25411" xr:uid="{00000000-0005-0000-0000-000045360000}"/>
    <cellStyle name="Обычный 5 154 6" xfId="30751" xr:uid="{00000000-0005-0000-0000-000046360000}"/>
    <cellStyle name="Обычный 5 154 7" xfId="36091" xr:uid="{00000000-0005-0000-0000-000047360000}"/>
    <cellStyle name="Обычный 5 154 8" xfId="41431" xr:uid="{00000000-0005-0000-0000-000048360000}"/>
    <cellStyle name="Обычный 5 154 9" xfId="46771" xr:uid="{00000000-0005-0000-0000-000049360000}"/>
    <cellStyle name="Обычный 5 155" xfId="4080" xr:uid="{00000000-0005-0000-0000-00004A360000}"/>
    <cellStyle name="Обычный 5 155 10" xfId="52143" xr:uid="{00000000-0005-0000-0000-00004B360000}"/>
    <cellStyle name="Обычный 5 155 2" xfId="9423" xr:uid="{00000000-0005-0000-0000-00004C360000}"/>
    <cellStyle name="Обычный 5 155 2 2" xfId="57484" xr:uid="{00000000-0005-0000-0000-00004D360000}"/>
    <cellStyle name="Обычный 5 155 3" xfId="14763" xr:uid="{00000000-0005-0000-0000-00004E360000}"/>
    <cellStyle name="Обычный 5 155 4" xfId="20103" xr:uid="{00000000-0005-0000-0000-00004F360000}"/>
    <cellStyle name="Обычный 5 155 5" xfId="25443" xr:uid="{00000000-0005-0000-0000-000050360000}"/>
    <cellStyle name="Обычный 5 155 6" xfId="30783" xr:uid="{00000000-0005-0000-0000-000051360000}"/>
    <cellStyle name="Обычный 5 155 7" xfId="36123" xr:uid="{00000000-0005-0000-0000-000052360000}"/>
    <cellStyle name="Обычный 5 155 8" xfId="41463" xr:uid="{00000000-0005-0000-0000-000053360000}"/>
    <cellStyle name="Обычный 5 155 9" xfId="46803" xr:uid="{00000000-0005-0000-0000-000054360000}"/>
    <cellStyle name="Обычный 5 156" xfId="4112" xr:uid="{00000000-0005-0000-0000-000055360000}"/>
    <cellStyle name="Обычный 5 156 10" xfId="52175" xr:uid="{00000000-0005-0000-0000-000056360000}"/>
    <cellStyle name="Обычный 5 156 2" xfId="9455" xr:uid="{00000000-0005-0000-0000-000057360000}"/>
    <cellStyle name="Обычный 5 156 2 2" xfId="57516" xr:uid="{00000000-0005-0000-0000-000058360000}"/>
    <cellStyle name="Обычный 5 156 3" xfId="14795" xr:uid="{00000000-0005-0000-0000-000059360000}"/>
    <cellStyle name="Обычный 5 156 4" xfId="20135" xr:uid="{00000000-0005-0000-0000-00005A360000}"/>
    <cellStyle name="Обычный 5 156 5" xfId="25475" xr:uid="{00000000-0005-0000-0000-00005B360000}"/>
    <cellStyle name="Обычный 5 156 6" xfId="30815" xr:uid="{00000000-0005-0000-0000-00005C360000}"/>
    <cellStyle name="Обычный 5 156 7" xfId="36155" xr:uid="{00000000-0005-0000-0000-00005D360000}"/>
    <cellStyle name="Обычный 5 156 8" xfId="41495" xr:uid="{00000000-0005-0000-0000-00005E360000}"/>
    <cellStyle name="Обычный 5 156 9" xfId="46835" xr:uid="{00000000-0005-0000-0000-00005F360000}"/>
    <cellStyle name="Обычный 5 157" xfId="4144" xr:uid="{00000000-0005-0000-0000-000060360000}"/>
    <cellStyle name="Обычный 5 157 10" xfId="52207" xr:uid="{00000000-0005-0000-0000-000061360000}"/>
    <cellStyle name="Обычный 5 157 2" xfId="9487" xr:uid="{00000000-0005-0000-0000-000062360000}"/>
    <cellStyle name="Обычный 5 157 2 2" xfId="57548" xr:uid="{00000000-0005-0000-0000-000063360000}"/>
    <cellStyle name="Обычный 5 157 3" xfId="14827" xr:uid="{00000000-0005-0000-0000-000064360000}"/>
    <cellStyle name="Обычный 5 157 4" xfId="20167" xr:uid="{00000000-0005-0000-0000-000065360000}"/>
    <cellStyle name="Обычный 5 157 5" xfId="25507" xr:uid="{00000000-0005-0000-0000-000066360000}"/>
    <cellStyle name="Обычный 5 157 6" xfId="30847" xr:uid="{00000000-0005-0000-0000-000067360000}"/>
    <cellStyle name="Обычный 5 157 7" xfId="36187" xr:uid="{00000000-0005-0000-0000-000068360000}"/>
    <cellStyle name="Обычный 5 157 8" xfId="41527" xr:uid="{00000000-0005-0000-0000-000069360000}"/>
    <cellStyle name="Обычный 5 157 9" xfId="46867" xr:uid="{00000000-0005-0000-0000-00006A360000}"/>
    <cellStyle name="Обычный 5 158" xfId="4176" xr:uid="{00000000-0005-0000-0000-00006B360000}"/>
    <cellStyle name="Обычный 5 158 10" xfId="52239" xr:uid="{00000000-0005-0000-0000-00006C360000}"/>
    <cellStyle name="Обычный 5 158 2" xfId="9519" xr:uid="{00000000-0005-0000-0000-00006D360000}"/>
    <cellStyle name="Обычный 5 158 2 2" xfId="57580" xr:uid="{00000000-0005-0000-0000-00006E360000}"/>
    <cellStyle name="Обычный 5 158 3" xfId="14859" xr:uid="{00000000-0005-0000-0000-00006F360000}"/>
    <cellStyle name="Обычный 5 158 4" xfId="20199" xr:uid="{00000000-0005-0000-0000-000070360000}"/>
    <cellStyle name="Обычный 5 158 5" xfId="25539" xr:uid="{00000000-0005-0000-0000-000071360000}"/>
    <cellStyle name="Обычный 5 158 6" xfId="30879" xr:uid="{00000000-0005-0000-0000-000072360000}"/>
    <cellStyle name="Обычный 5 158 7" xfId="36219" xr:uid="{00000000-0005-0000-0000-000073360000}"/>
    <cellStyle name="Обычный 5 158 8" xfId="41559" xr:uid="{00000000-0005-0000-0000-000074360000}"/>
    <cellStyle name="Обычный 5 158 9" xfId="46899" xr:uid="{00000000-0005-0000-0000-000075360000}"/>
    <cellStyle name="Обычный 5 159" xfId="4208" xr:uid="{00000000-0005-0000-0000-000076360000}"/>
    <cellStyle name="Обычный 5 159 10" xfId="52271" xr:uid="{00000000-0005-0000-0000-000077360000}"/>
    <cellStyle name="Обычный 5 159 2" xfId="9551" xr:uid="{00000000-0005-0000-0000-000078360000}"/>
    <cellStyle name="Обычный 5 159 2 2" xfId="57612" xr:uid="{00000000-0005-0000-0000-000079360000}"/>
    <cellStyle name="Обычный 5 159 3" xfId="14891" xr:uid="{00000000-0005-0000-0000-00007A360000}"/>
    <cellStyle name="Обычный 5 159 4" xfId="20231" xr:uid="{00000000-0005-0000-0000-00007B360000}"/>
    <cellStyle name="Обычный 5 159 5" xfId="25571" xr:uid="{00000000-0005-0000-0000-00007C360000}"/>
    <cellStyle name="Обычный 5 159 6" xfId="30911" xr:uid="{00000000-0005-0000-0000-00007D360000}"/>
    <cellStyle name="Обычный 5 159 7" xfId="36251" xr:uid="{00000000-0005-0000-0000-00007E360000}"/>
    <cellStyle name="Обычный 5 159 8" xfId="41591" xr:uid="{00000000-0005-0000-0000-00007F360000}"/>
    <cellStyle name="Обычный 5 159 9" xfId="46931" xr:uid="{00000000-0005-0000-0000-000080360000}"/>
    <cellStyle name="Обычный 5 16" xfId="174" xr:uid="{00000000-0005-0000-0000-000081360000}"/>
    <cellStyle name="Обычный 5 16 10" xfId="42896" xr:uid="{00000000-0005-0000-0000-000082360000}"/>
    <cellStyle name="Обычный 5 16 11" xfId="48236" xr:uid="{00000000-0005-0000-0000-000083360000}"/>
    <cellStyle name="Обычный 5 16 2" xfId="641" xr:uid="{00000000-0005-0000-0000-000084360000}"/>
    <cellStyle name="Обычный 5 16 2 10" xfId="48703" xr:uid="{00000000-0005-0000-0000-000085360000}"/>
    <cellStyle name="Обычный 5 16 2 2" xfId="5982" xr:uid="{00000000-0005-0000-0000-000086360000}"/>
    <cellStyle name="Обычный 5 16 2 2 2" xfId="54044" xr:uid="{00000000-0005-0000-0000-000087360000}"/>
    <cellStyle name="Обычный 5 16 2 3" xfId="11323" xr:uid="{00000000-0005-0000-0000-000088360000}"/>
    <cellStyle name="Обычный 5 16 2 4" xfId="16663" xr:uid="{00000000-0005-0000-0000-000089360000}"/>
    <cellStyle name="Обычный 5 16 2 5" xfId="22003" xr:uid="{00000000-0005-0000-0000-00008A360000}"/>
    <cellStyle name="Обычный 5 16 2 6" xfId="27343" xr:uid="{00000000-0005-0000-0000-00008B360000}"/>
    <cellStyle name="Обычный 5 16 2 7" xfId="32683" xr:uid="{00000000-0005-0000-0000-00008C360000}"/>
    <cellStyle name="Обычный 5 16 2 8" xfId="38023" xr:uid="{00000000-0005-0000-0000-00008D360000}"/>
    <cellStyle name="Обычный 5 16 2 9" xfId="43363" xr:uid="{00000000-0005-0000-0000-00008E360000}"/>
    <cellStyle name="Обычный 5 16 3" xfId="5515" xr:uid="{00000000-0005-0000-0000-00008F360000}"/>
    <cellStyle name="Обычный 5 16 3 2" xfId="53577" xr:uid="{00000000-0005-0000-0000-000090360000}"/>
    <cellStyle name="Обычный 5 16 4" xfId="10856" xr:uid="{00000000-0005-0000-0000-000091360000}"/>
    <cellStyle name="Обычный 5 16 5" xfId="16196" xr:uid="{00000000-0005-0000-0000-000092360000}"/>
    <cellStyle name="Обычный 5 16 6" xfId="21536" xr:uid="{00000000-0005-0000-0000-000093360000}"/>
    <cellStyle name="Обычный 5 16 7" xfId="26876" xr:uid="{00000000-0005-0000-0000-000094360000}"/>
    <cellStyle name="Обычный 5 16 8" xfId="32216" xr:uid="{00000000-0005-0000-0000-000095360000}"/>
    <cellStyle name="Обычный 5 16 9" xfId="37556" xr:uid="{00000000-0005-0000-0000-000096360000}"/>
    <cellStyle name="Обычный 5 160" xfId="4240" xr:uid="{00000000-0005-0000-0000-000097360000}"/>
    <cellStyle name="Обычный 5 160 10" xfId="52303" xr:uid="{00000000-0005-0000-0000-000098360000}"/>
    <cellStyle name="Обычный 5 160 2" xfId="9583" xr:uid="{00000000-0005-0000-0000-000099360000}"/>
    <cellStyle name="Обычный 5 160 2 2" xfId="57644" xr:uid="{00000000-0005-0000-0000-00009A360000}"/>
    <cellStyle name="Обычный 5 160 3" xfId="14923" xr:uid="{00000000-0005-0000-0000-00009B360000}"/>
    <cellStyle name="Обычный 5 160 4" xfId="20263" xr:uid="{00000000-0005-0000-0000-00009C360000}"/>
    <cellStyle name="Обычный 5 160 5" xfId="25603" xr:uid="{00000000-0005-0000-0000-00009D360000}"/>
    <cellStyle name="Обычный 5 160 6" xfId="30943" xr:uid="{00000000-0005-0000-0000-00009E360000}"/>
    <cellStyle name="Обычный 5 160 7" xfId="36283" xr:uid="{00000000-0005-0000-0000-00009F360000}"/>
    <cellStyle name="Обычный 5 160 8" xfId="41623" xr:uid="{00000000-0005-0000-0000-0000A0360000}"/>
    <cellStyle name="Обычный 5 160 9" xfId="46963" xr:uid="{00000000-0005-0000-0000-0000A1360000}"/>
    <cellStyle name="Обычный 5 161" xfId="4272" xr:uid="{00000000-0005-0000-0000-0000A2360000}"/>
    <cellStyle name="Обычный 5 161 10" xfId="52335" xr:uid="{00000000-0005-0000-0000-0000A3360000}"/>
    <cellStyle name="Обычный 5 161 2" xfId="9615" xr:uid="{00000000-0005-0000-0000-0000A4360000}"/>
    <cellStyle name="Обычный 5 161 2 2" xfId="57676" xr:uid="{00000000-0005-0000-0000-0000A5360000}"/>
    <cellStyle name="Обычный 5 161 3" xfId="14955" xr:uid="{00000000-0005-0000-0000-0000A6360000}"/>
    <cellStyle name="Обычный 5 161 4" xfId="20295" xr:uid="{00000000-0005-0000-0000-0000A7360000}"/>
    <cellStyle name="Обычный 5 161 5" xfId="25635" xr:uid="{00000000-0005-0000-0000-0000A8360000}"/>
    <cellStyle name="Обычный 5 161 6" xfId="30975" xr:uid="{00000000-0005-0000-0000-0000A9360000}"/>
    <cellStyle name="Обычный 5 161 7" xfId="36315" xr:uid="{00000000-0005-0000-0000-0000AA360000}"/>
    <cellStyle name="Обычный 5 161 8" xfId="41655" xr:uid="{00000000-0005-0000-0000-0000AB360000}"/>
    <cellStyle name="Обычный 5 161 9" xfId="46995" xr:uid="{00000000-0005-0000-0000-0000AC360000}"/>
    <cellStyle name="Обычный 5 162" xfId="4304" xr:uid="{00000000-0005-0000-0000-0000AD360000}"/>
    <cellStyle name="Обычный 5 162 10" xfId="52367" xr:uid="{00000000-0005-0000-0000-0000AE360000}"/>
    <cellStyle name="Обычный 5 162 2" xfId="9647" xr:uid="{00000000-0005-0000-0000-0000AF360000}"/>
    <cellStyle name="Обычный 5 162 2 2" xfId="57708" xr:uid="{00000000-0005-0000-0000-0000B0360000}"/>
    <cellStyle name="Обычный 5 162 3" xfId="14987" xr:uid="{00000000-0005-0000-0000-0000B1360000}"/>
    <cellStyle name="Обычный 5 162 4" xfId="20327" xr:uid="{00000000-0005-0000-0000-0000B2360000}"/>
    <cellStyle name="Обычный 5 162 5" xfId="25667" xr:uid="{00000000-0005-0000-0000-0000B3360000}"/>
    <cellStyle name="Обычный 5 162 6" xfId="31007" xr:uid="{00000000-0005-0000-0000-0000B4360000}"/>
    <cellStyle name="Обычный 5 162 7" xfId="36347" xr:uid="{00000000-0005-0000-0000-0000B5360000}"/>
    <cellStyle name="Обычный 5 162 8" xfId="41687" xr:uid="{00000000-0005-0000-0000-0000B6360000}"/>
    <cellStyle name="Обычный 5 162 9" xfId="47027" xr:uid="{00000000-0005-0000-0000-0000B7360000}"/>
    <cellStyle name="Обычный 5 163" xfId="4336" xr:uid="{00000000-0005-0000-0000-0000B8360000}"/>
    <cellStyle name="Обычный 5 163 10" xfId="52399" xr:uid="{00000000-0005-0000-0000-0000B9360000}"/>
    <cellStyle name="Обычный 5 163 2" xfId="9679" xr:uid="{00000000-0005-0000-0000-0000BA360000}"/>
    <cellStyle name="Обычный 5 163 2 2" xfId="57740" xr:uid="{00000000-0005-0000-0000-0000BB360000}"/>
    <cellStyle name="Обычный 5 163 3" xfId="15019" xr:uid="{00000000-0005-0000-0000-0000BC360000}"/>
    <cellStyle name="Обычный 5 163 4" xfId="20359" xr:uid="{00000000-0005-0000-0000-0000BD360000}"/>
    <cellStyle name="Обычный 5 163 5" xfId="25699" xr:uid="{00000000-0005-0000-0000-0000BE360000}"/>
    <cellStyle name="Обычный 5 163 6" xfId="31039" xr:uid="{00000000-0005-0000-0000-0000BF360000}"/>
    <cellStyle name="Обычный 5 163 7" xfId="36379" xr:uid="{00000000-0005-0000-0000-0000C0360000}"/>
    <cellStyle name="Обычный 5 163 8" xfId="41719" xr:uid="{00000000-0005-0000-0000-0000C1360000}"/>
    <cellStyle name="Обычный 5 163 9" xfId="47059" xr:uid="{00000000-0005-0000-0000-0000C2360000}"/>
    <cellStyle name="Обычный 5 164" xfId="4368" xr:uid="{00000000-0005-0000-0000-0000C3360000}"/>
    <cellStyle name="Обычный 5 164 10" xfId="52431" xr:uid="{00000000-0005-0000-0000-0000C4360000}"/>
    <cellStyle name="Обычный 5 164 2" xfId="9711" xr:uid="{00000000-0005-0000-0000-0000C5360000}"/>
    <cellStyle name="Обычный 5 164 2 2" xfId="57772" xr:uid="{00000000-0005-0000-0000-0000C6360000}"/>
    <cellStyle name="Обычный 5 164 3" xfId="15051" xr:uid="{00000000-0005-0000-0000-0000C7360000}"/>
    <cellStyle name="Обычный 5 164 4" xfId="20391" xr:uid="{00000000-0005-0000-0000-0000C8360000}"/>
    <cellStyle name="Обычный 5 164 5" xfId="25731" xr:uid="{00000000-0005-0000-0000-0000C9360000}"/>
    <cellStyle name="Обычный 5 164 6" xfId="31071" xr:uid="{00000000-0005-0000-0000-0000CA360000}"/>
    <cellStyle name="Обычный 5 164 7" xfId="36411" xr:uid="{00000000-0005-0000-0000-0000CB360000}"/>
    <cellStyle name="Обычный 5 164 8" xfId="41751" xr:uid="{00000000-0005-0000-0000-0000CC360000}"/>
    <cellStyle name="Обычный 5 164 9" xfId="47091" xr:uid="{00000000-0005-0000-0000-0000CD360000}"/>
    <cellStyle name="Обычный 5 165" xfId="4400" xr:uid="{00000000-0005-0000-0000-0000CE360000}"/>
    <cellStyle name="Обычный 5 165 10" xfId="52463" xr:uid="{00000000-0005-0000-0000-0000CF360000}"/>
    <cellStyle name="Обычный 5 165 2" xfId="9743" xr:uid="{00000000-0005-0000-0000-0000D0360000}"/>
    <cellStyle name="Обычный 5 165 2 2" xfId="57804" xr:uid="{00000000-0005-0000-0000-0000D1360000}"/>
    <cellStyle name="Обычный 5 165 3" xfId="15083" xr:uid="{00000000-0005-0000-0000-0000D2360000}"/>
    <cellStyle name="Обычный 5 165 4" xfId="20423" xr:uid="{00000000-0005-0000-0000-0000D3360000}"/>
    <cellStyle name="Обычный 5 165 5" xfId="25763" xr:uid="{00000000-0005-0000-0000-0000D4360000}"/>
    <cellStyle name="Обычный 5 165 6" xfId="31103" xr:uid="{00000000-0005-0000-0000-0000D5360000}"/>
    <cellStyle name="Обычный 5 165 7" xfId="36443" xr:uid="{00000000-0005-0000-0000-0000D6360000}"/>
    <cellStyle name="Обычный 5 165 8" xfId="41783" xr:uid="{00000000-0005-0000-0000-0000D7360000}"/>
    <cellStyle name="Обычный 5 165 9" xfId="47123" xr:uid="{00000000-0005-0000-0000-0000D8360000}"/>
    <cellStyle name="Обычный 5 166" xfId="4432" xr:uid="{00000000-0005-0000-0000-0000D9360000}"/>
    <cellStyle name="Обычный 5 166 10" xfId="52495" xr:uid="{00000000-0005-0000-0000-0000DA360000}"/>
    <cellStyle name="Обычный 5 166 2" xfId="9775" xr:uid="{00000000-0005-0000-0000-0000DB360000}"/>
    <cellStyle name="Обычный 5 166 2 2" xfId="57836" xr:uid="{00000000-0005-0000-0000-0000DC360000}"/>
    <cellStyle name="Обычный 5 166 3" xfId="15115" xr:uid="{00000000-0005-0000-0000-0000DD360000}"/>
    <cellStyle name="Обычный 5 166 4" xfId="20455" xr:uid="{00000000-0005-0000-0000-0000DE360000}"/>
    <cellStyle name="Обычный 5 166 5" xfId="25795" xr:uid="{00000000-0005-0000-0000-0000DF360000}"/>
    <cellStyle name="Обычный 5 166 6" xfId="31135" xr:uid="{00000000-0005-0000-0000-0000E0360000}"/>
    <cellStyle name="Обычный 5 166 7" xfId="36475" xr:uid="{00000000-0005-0000-0000-0000E1360000}"/>
    <cellStyle name="Обычный 5 166 8" xfId="41815" xr:uid="{00000000-0005-0000-0000-0000E2360000}"/>
    <cellStyle name="Обычный 5 166 9" xfId="47155" xr:uid="{00000000-0005-0000-0000-0000E3360000}"/>
    <cellStyle name="Обычный 5 167" xfId="4464" xr:uid="{00000000-0005-0000-0000-0000E4360000}"/>
    <cellStyle name="Обычный 5 167 10" xfId="52527" xr:uid="{00000000-0005-0000-0000-0000E5360000}"/>
    <cellStyle name="Обычный 5 167 2" xfId="9807" xr:uid="{00000000-0005-0000-0000-0000E6360000}"/>
    <cellStyle name="Обычный 5 167 2 2" xfId="57868" xr:uid="{00000000-0005-0000-0000-0000E7360000}"/>
    <cellStyle name="Обычный 5 167 3" xfId="15147" xr:uid="{00000000-0005-0000-0000-0000E8360000}"/>
    <cellStyle name="Обычный 5 167 4" xfId="20487" xr:uid="{00000000-0005-0000-0000-0000E9360000}"/>
    <cellStyle name="Обычный 5 167 5" xfId="25827" xr:uid="{00000000-0005-0000-0000-0000EA360000}"/>
    <cellStyle name="Обычный 5 167 6" xfId="31167" xr:uid="{00000000-0005-0000-0000-0000EB360000}"/>
    <cellStyle name="Обычный 5 167 7" xfId="36507" xr:uid="{00000000-0005-0000-0000-0000EC360000}"/>
    <cellStyle name="Обычный 5 167 8" xfId="41847" xr:uid="{00000000-0005-0000-0000-0000ED360000}"/>
    <cellStyle name="Обычный 5 167 9" xfId="47187" xr:uid="{00000000-0005-0000-0000-0000EE360000}"/>
    <cellStyle name="Обычный 5 168" xfId="4496" xr:uid="{00000000-0005-0000-0000-0000EF360000}"/>
    <cellStyle name="Обычный 5 168 10" xfId="52559" xr:uid="{00000000-0005-0000-0000-0000F0360000}"/>
    <cellStyle name="Обычный 5 168 2" xfId="9839" xr:uid="{00000000-0005-0000-0000-0000F1360000}"/>
    <cellStyle name="Обычный 5 168 2 2" xfId="57900" xr:uid="{00000000-0005-0000-0000-0000F2360000}"/>
    <cellStyle name="Обычный 5 168 3" xfId="15179" xr:uid="{00000000-0005-0000-0000-0000F3360000}"/>
    <cellStyle name="Обычный 5 168 4" xfId="20519" xr:uid="{00000000-0005-0000-0000-0000F4360000}"/>
    <cellStyle name="Обычный 5 168 5" xfId="25859" xr:uid="{00000000-0005-0000-0000-0000F5360000}"/>
    <cellStyle name="Обычный 5 168 6" xfId="31199" xr:uid="{00000000-0005-0000-0000-0000F6360000}"/>
    <cellStyle name="Обычный 5 168 7" xfId="36539" xr:uid="{00000000-0005-0000-0000-0000F7360000}"/>
    <cellStyle name="Обычный 5 168 8" xfId="41879" xr:uid="{00000000-0005-0000-0000-0000F8360000}"/>
    <cellStyle name="Обычный 5 168 9" xfId="47219" xr:uid="{00000000-0005-0000-0000-0000F9360000}"/>
    <cellStyle name="Обычный 5 169" xfId="4528" xr:uid="{00000000-0005-0000-0000-0000FA360000}"/>
    <cellStyle name="Обычный 5 169 10" xfId="52591" xr:uid="{00000000-0005-0000-0000-0000FB360000}"/>
    <cellStyle name="Обычный 5 169 2" xfId="9871" xr:uid="{00000000-0005-0000-0000-0000FC360000}"/>
    <cellStyle name="Обычный 5 169 2 2" xfId="57932" xr:uid="{00000000-0005-0000-0000-0000FD360000}"/>
    <cellStyle name="Обычный 5 169 3" xfId="15211" xr:uid="{00000000-0005-0000-0000-0000FE360000}"/>
    <cellStyle name="Обычный 5 169 4" xfId="20551" xr:uid="{00000000-0005-0000-0000-0000FF360000}"/>
    <cellStyle name="Обычный 5 169 5" xfId="25891" xr:uid="{00000000-0005-0000-0000-000000370000}"/>
    <cellStyle name="Обычный 5 169 6" xfId="31231" xr:uid="{00000000-0005-0000-0000-000001370000}"/>
    <cellStyle name="Обычный 5 169 7" xfId="36571" xr:uid="{00000000-0005-0000-0000-000002370000}"/>
    <cellStyle name="Обычный 5 169 8" xfId="41911" xr:uid="{00000000-0005-0000-0000-000003370000}"/>
    <cellStyle name="Обычный 5 169 9" xfId="47251" xr:uid="{00000000-0005-0000-0000-000004370000}"/>
    <cellStyle name="Обычный 5 17" xfId="184" xr:uid="{00000000-0005-0000-0000-000005370000}"/>
    <cellStyle name="Обычный 5 17 10" xfId="42906" xr:uid="{00000000-0005-0000-0000-000006370000}"/>
    <cellStyle name="Обычный 5 17 11" xfId="48246" xr:uid="{00000000-0005-0000-0000-000007370000}"/>
    <cellStyle name="Обычный 5 17 2" xfId="651" xr:uid="{00000000-0005-0000-0000-000008370000}"/>
    <cellStyle name="Обычный 5 17 2 10" xfId="48713" xr:uid="{00000000-0005-0000-0000-000009370000}"/>
    <cellStyle name="Обычный 5 17 2 2" xfId="5992" xr:uid="{00000000-0005-0000-0000-00000A370000}"/>
    <cellStyle name="Обычный 5 17 2 2 2" xfId="54054" xr:uid="{00000000-0005-0000-0000-00000B370000}"/>
    <cellStyle name="Обычный 5 17 2 3" xfId="11333" xr:uid="{00000000-0005-0000-0000-00000C370000}"/>
    <cellStyle name="Обычный 5 17 2 4" xfId="16673" xr:uid="{00000000-0005-0000-0000-00000D370000}"/>
    <cellStyle name="Обычный 5 17 2 5" xfId="22013" xr:uid="{00000000-0005-0000-0000-00000E370000}"/>
    <cellStyle name="Обычный 5 17 2 6" xfId="27353" xr:uid="{00000000-0005-0000-0000-00000F370000}"/>
    <cellStyle name="Обычный 5 17 2 7" xfId="32693" xr:uid="{00000000-0005-0000-0000-000010370000}"/>
    <cellStyle name="Обычный 5 17 2 8" xfId="38033" xr:uid="{00000000-0005-0000-0000-000011370000}"/>
    <cellStyle name="Обычный 5 17 2 9" xfId="43373" xr:uid="{00000000-0005-0000-0000-000012370000}"/>
    <cellStyle name="Обычный 5 17 3" xfId="5525" xr:uid="{00000000-0005-0000-0000-000013370000}"/>
    <cellStyle name="Обычный 5 17 3 2" xfId="53587" xr:uid="{00000000-0005-0000-0000-000014370000}"/>
    <cellStyle name="Обычный 5 17 4" xfId="10866" xr:uid="{00000000-0005-0000-0000-000015370000}"/>
    <cellStyle name="Обычный 5 17 5" xfId="16206" xr:uid="{00000000-0005-0000-0000-000016370000}"/>
    <cellStyle name="Обычный 5 17 6" xfId="21546" xr:uid="{00000000-0005-0000-0000-000017370000}"/>
    <cellStyle name="Обычный 5 17 7" xfId="26886" xr:uid="{00000000-0005-0000-0000-000018370000}"/>
    <cellStyle name="Обычный 5 17 8" xfId="32226" xr:uid="{00000000-0005-0000-0000-000019370000}"/>
    <cellStyle name="Обычный 5 17 9" xfId="37566" xr:uid="{00000000-0005-0000-0000-00001A370000}"/>
    <cellStyle name="Обычный 5 170" xfId="4560" xr:uid="{00000000-0005-0000-0000-00001B370000}"/>
    <cellStyle name="Обычный 5 170 10" xfId="52623" xr:uid="{00000000-0005-0000-0000-00001C370000}"/>
    <cellStyle name="Обычный 5 170 2" xfId="9903" xr:uid="{00000000-0005-0000-0000-00001D370000}"/>
    <cellStyle name="Обычный 5 170 2 2" xfId="57964" xr:uid="{00000000-0005-0000-0000-00001E370000}"/>
    <cellStyle name="Обычный 5 170 3" xfId="15243" xr:uid="{00000000-0005-0000-0000-00001F370000}"/>
    <cellStyle name="Обычный 5 170 4" xfId="20583" xr:uid="{00000000-0005-0000-0000-000020370000}"/>
    <cellStyle name="Обычный 5 170 5" xfId="25923" xr:uid="{00000000-0005-0000-0000-000021370000}"/>
    <cellStyle name="Обычный 5 170 6" xfId="31263" xr:uid="{00000000-0005-0000-0000-000022370000}"/>
    <cellStyle name="Обычный 5 170 7" xfId="36603" xr:uid="{00000000-0005-0000-0000-000023370000}"/>
    <cellStyle name="Обычный 5 170 8" xfId="41943" xr:uid="{00000000-0005-0000-0000-000024370000}"/>
    <cellStyle name="Обычный 5 170 9" xfId="47283" xr:uid="{00000000-0005-0000-0000-000025370000}"/>
    <cellStyle name="Обычный 5 171" xfId="4592" xr:uid="{00000000-0005-0000-0000-000026370000}"/>
    <cellStyle name="Обычный 5 171 10" xfId="52655" xr:uid="{00000000-0005-0000-0000-000027370000}"/>
    <cellStyle name="Обычный 5 171 2" xfId="9935" xr:uid="{00000000-0005-0000-0000-000028370000}"/>
    <cellStyle name="Обычный 5 171 2 2" xfId="57996" xr:uid="{00000000-0005-0000-0000-000029370000}"/>
    <cellStyle name="Обычный 5 171 3" xfId="15275" xr:uid="{00000000-0005-0000-0000-00002A370000}"/>
    <cellStyle name="Обычный 5 171 4" xfId="20615" xr:uid="{00000000-0005-0000-0000-00002B370000}"/>
    <cellStyle name="Обычный 5 171 5" xfId="25955" xr:uid="{00000000-0005-0000-0000-00002C370000}"/>
    <cellStyle name="Обычный 5 171 6" xfId="31295" xr:uid="{00000000-0005-0000-0000-00002D370000}"/>
    <cellStyle name="Обычный 5 171 7" xfId="36635" xr:uid="{00000000-0005-0000-0000-00002E370000}"/>
    <cellStyle name="Обычный 5 171 8" xfId="41975" xr:uid="{00000000-0005-0000-0000-00002F370000}"/>
    <cellStyle name="Обычный 5 171 9" xfId="47315" xr:uid="{00000000-0005-0000-0000-000030370000}"/>
    <cellStyle name="Обычный 5 172" xfId="4624" xr:uid="{00000000-0005-0000-0000-000031370000}"/>
    <cellStyle name="Обычный 5 172 10" xfId="52687" xr:uid="{00000000-0005-0000-0000-000032370000}"/>
    <cellStyle name="Обычный 5 172 2" xfId="9967" xr:uid="{00000000-0005-0000-0000-000033370000}"/>
    <cellStyle name="Обычный 5 172 2 2" xfId="58028" xr:uid="{00000000-0005-0000-0000-000034370000}"/>
    <cellStyle name="Обычный 5 172 3" xfId="15307" xr:uid="{00000000-0005-0000-0000-000035370000}"/>
    <cellStyle name="Обычный 5 172 4" xfId="20647" xr:uid="{00000000-0005-0000-0000-000036370000}"/>
    <cellStyle name="Обычный 5 172 5" xfId="25987" xr:uid="{00000000-0005-0000-0000-000037370000}"/>
    <cellStyle name="Обычный 5 172 6" xfId="31327" xr:uid="{00000000-0005-0000-0000-000038370000}"/>
    <cellStyle name="Обычный 5 172 7" xfId="36667" xr:uid="{00000000-0005-0000-0000-000039370000}"/>
    <cellStyle name="Обычный 5 172 8" xfId="42007" xr:uid="{00000000-0005-0000-0000-00003A370000}"/>
    <cellStyle name="Обычный 5 172 9" xfId="47347" xr:uid="{00000000-0005-0000-0000-00003B370000}"/>
    <cellStyle name="Обычный 5 173" xfId="4656" xr:uid="{00000000-0005-0000-0000-00003C370000}"/>
    <cellStyle name="Обычный 5 173 10" xfId="52719" xr:uid="{00000000-0005-0000-0000-00003D370000}"/>
    <cellStyle name="Обычный 5 173 2" xfId="9999" xr:uid="{00000000-0005-0000-0000-00003E370000}"/>
    <cellStyle name="Обычный 5 173 2 2" xfId="58060" xr:uid="{00000000-0005-0000-0000-00003F370000}"/>
    <cellStyle name="Обычный 5 173 3" xfId="15339" xr:uid="{00000000-0005-0000-0000-000040370000}"/>
    <cellStyle name="Обычный 5 173 4" xfId="20679" xr:uid="{00000000-0005-0000-0000-000041370000}"/>
    <cellStyle name="Обычный 5 173 5" xfId="26019" xr:uid="{00000000-0005-0000-0000-000042370000}"/>
    <cellStyle name="Обычный 5 173 6" xfId="31359" xr:uid="{00000000-0005-0000-0000-000043370000}"/>
    <cellStyle name="Обычный 5 173 7" xfId="36699" xr:uid="{00000000-0005-0000-0000-000044370000}"/>
    <cellStyle name="Обычный 5 173 8" xfId="42039" xr:uid="{00000000-0005-0000-0000-000045370000}"/>
    <cellStyle name="Обычный 5 173 9" xfId="47379" xr:uid="{00000000-0005-0000-0000-000046370000}"/>
    <cellStyle name="Обычный 5 174" xfId="4688" xr:uid="{00000000-0005-0000-0000-000047370000}"/>
    <cellStyle name="Обычный 5 174 10" xfId="52751" xr:uid="{00000000-0005-0000-0000-000048370000}"/>
    <cellStyle name="Обычный 5 174 2" xfId="10031" xr:uid="{00000000-0005-0000-0000-000049370000}"/>
    <cellStyle name="Обычный 5 174 2 2" xfId="58092" xr:uid="{00000000-0005-0000-0000-00004A370000}"/>
    <cellStyle name="Обычный 5 174 3" xfId="15371" xr:uid="{00000000-0005-0000-0000-00004B370000}"/>
    <cellStyle name="Обычный 5 174 4" xfId="20711" xr:uid="{00000000-0005-0000-0000-00004C370000}"/>
    <cellStyle name="Обычный 5 174 5" xfId="26051" xr:uid="{00000000-0005-0000-0000-00004D370000}"/>
    <cellStyle name="Обычный 5 174 6" xfId="31391" xr:uid="{00000000-0005-0000-0000-00004E370000}"/>
    <cellStyle name="Обычный 5 174 7" xfId="36731" xr:uid="{00000000-0005-0000-0000-00004F370000}"/>
    <cellStyle name="Обычный 5 174 8" xfId="42071" xr:uid="{00000000-0005-0000-0000-000050370000}"/>
    <cellStyle name="Обычный 5 174 9" xfId="47411" xr:uid="{00000000-0005-0000-0000-000051370000}"/>
    <cellStyle name="Обычный 5 175" xfId="4722" xr:uid="{00000000-0005-0000-0000-000052370000}"/>
    <cellStyle name="Обычный 5 175 10" xfId="52785" xr:uid="{00000000-0005-0000-0000-000053370000}"/>
    <cellStyle name="Обычный 5 175 2" xfId="10065" xr:uid="{00000000-0005-0000-0000-000054370000}"/>
    <cellStyle name="Обычный 5 175 2 2" xfId="58126" xr:uid="{00000000-0005-0000-0000-000055370000}"/>
    <cellStyle name="Обычный 5 175 3" xfId="15405" xr:uid="{00000000-0005-0000-0000-000056370000}"/>
    <cellStyle name="Обычный 5 175 4" xfId="20745" xr:uid="{00000000-0005-0000-0000-000057370000}"/>
    <cellStyle name="Обычный 5 175 5" xfId="26085" xr:uid="{00000000-0005-0000-0000-000058370000}"/>
    <cellStyle name="Обычный 5 175 6" xfId="31425" xr:uid="{00000000-0005-0000-0000-000059370000}"/>
    <cellStyle name="Обычный 5 175 7" xfId="36765" xr:uid="{00000000-0005-0000-0000-00005A370000}"/>
    <cellStyle name="Обычный 5 175 8" xfId="42105" xr:uid="{00000000-0005-0000-0000-00005B370000}"/>
    <cellStyle name="Обычный 5 175 9" xfId="47445" xr:uid="{00000000-0005-0000-0000-00005C370000}"/>
    <cellStyle name="Обычный 5 176" xfId="4754" xr:uid="{00000000-0005-0000-0000-00005D370000}"/>
    <cellStyle name="Обычный 5 176 10" xfId="52817" xr:uid="{00000000-0005-0000-0000-00005E370000}"/>
    <cellStyle name="Обычный 5 176 2" xfId="10097" xr:uid="{00000000-0005-0000-0000-00005F370000}"/>
    <cellStyle name="Обычный 5 176 2 2" xfId="58158" xr:uid="{00000000-0005-0000-0000-000060370000}"/>
    <cellStyle name="Обычный 5 176 3" xfId="15437" xr:uid="{00000000-0005-0000-0000-000061370000}"/>
    <cellStyle name="Обычный 5 176 4" xfId="20777" xr:uid="{00000000-0005-0000-0000-000062370000}"/>
    <cellStyle name="Обычный 5 176 5" xfId="26117" xr:uid="{00000000-0005-0000-0000-000063370000}"/>
    <cellStyle name="Обычный 5 176 6" xfId="31457" xr:uid="{00000000-0005-0000-0000-000064370000}"/>
    <cellStyle name="Обычный 5 176 7" xfId="36797" xr:uid="{00000000-0005-0000-0000-000065370000}"/>
    <cellStyle name="Обычный 5 176 8" xfId="42137" xr:uid="{00000000-0005-0000-0000-000066370000}"/>
    <cellStyle name="Обычный 5 176 9" xfId="47477" xr:uid="{00000000-0005-0000-0000-000067370000}"/>
    <cellStyle name="Обычный 5 177" xfId="4786" xr:uid="{00000000-0005-0000-0000-000068370000}"/>
    <cellStyle name="Обычный 5 177 10" xfId="52849" xr:uid="{00000000-0005-0000-0000-000069370000}"/>
    <cellStyle name="Обычный 5 177 2" xfId="10129" xr:uid="{00000000-0005-0000-0000-00006A370000}"/>
    <cellStyle name="Обычный 5 177 2 2" xfId="58190" xr:uid="{00000000-0005-0000-0000-00006B370000}"/>
    <cellStyle name="Обычный 5 177 3" xfId="15469" xr:uid="{00000000-0005-0000-0000-00006C370000}"/>
    <cellStyle name="Обычный 5 177 4" xfId="20809" xr:uid="{00000000-0005-0000-0000-00006D370000}"/>
    <cellStyle name="Обычный 5 177 5" xfId="26149" xr:uid="{00000000-0005-0000-0000-00006E370000}"/>
    <cellStyle name="Обычный 5 177 6" xfId="31489" xr:uid="{00000000-0005-0000-0000-00006F370000}"/>
    <cellStyle name="Обычный 5 177 7" xfId="36829" xr:uid="{00000000-0005-0000-0000-000070370000}"/>
    <cellStyle name="Обычный 5 177 8" xfId="42169" xr:uid="{00000000-0005-0000-0000-000071370000}"/>
    <cellStyle name="Обычный 5 177 9" xfId="47509" xr:uid="{00000000-0005-0000-0000-000072370000}"/>
    <cellStyle name="Обычный 5 178" xfId="4818" xr:uid="{00000000-0005-0000-0000-000073370000}"/>
    <cellStyle name="Обычный 5 178 10" xfId="52881" xr:uid="{00000000-0005-0000-0000-000074370000}"/>
    <cellStyle name="Обычный 5 178 2" xfId="10161" xr:uid="{00000000-0005-0000-0000-000075370000}"/>
    <cellStyle name="Обычный 5 178 2 2" xfId="58222" xr:uid="{00000000-0005-0000-0000-000076370000}"/>
    <cellStyle name="Обычный 5 178 3" xfId="15501" xr:uid="{00000000-0005-0000-0000-000077370000}"/>
    <cellStyle name="Обычный 5 178 4" xfId="20841" xr:uid="{00000000-0005-0000-0000-000078370000}"/>
    <cellStyle name="Обычный 5 178 5" xfId="26181" xr:uid="{00000000-0005-0000-0000-000079370000}"/>
    <cellStyle name="Обычный 5 178 6" xfId="31521" xr:uid="{00000000-0005-0000-0000-00007A370000}"/>
    <cellStyle name="Обычный 5 178 7" xfId="36861" xr:uid="{00000000-0005-0000-0000-00007B370000}"/>
    <cellStyle name="Обычный 5 178 8" xfId="42201" xr:uid="{00000000-0005-0000-0000-00007C370000}"/>
    <cellStyle name="Обычный 5 178 9" xfId="47541" xr:uid="{00000000-0005-0000-0000-00007D370000}"/>
    <cellStyle name="Обычный 5 179" xfId="4850" xr:uid="{00000000-0005-0000-0000-00007E370000}"/>
    <cellStyle name="Обычный 5 179 10" xfId="52913" xr:uid="{00000000-0005-0000-0000-00007F370000}"/>
    <cellStyle name="Обычный 5 179 2" xfId="10193" xr:uid="{00000000-0005-0000-0000-000080370000}"/>
    <cellStyle name="Обычный 5 179 2 2" xfId="58254" xr:uid="{00000000-0005-0000-0000-000081370000}"/>
    <cellStyle name="Обычный 5 179 3" xfId="15533" xr:uid="{00000000-0005-0000-0000-000082370000}"/>
    <cellStyle name="Обычный 5 179 4" xfId="20873" xr:uid="{00000000-0005-0000-0000-000083370000}"/>
    <cellStyle name="Обычный 5 179 5" xfId="26213" xr:uid="{00000000-0005-0000-0000-000084370000}"/>
    <cellStyle name="Обычный 5 179 6" xfId="31553" xr:uid="{00000000-0005-0000-0000-000085370000}"/>
    <cellStyle name="Обычный 5 179 7" xfId="36893" xr:uid="{00000000-0005-0000-0000-000086370000}"/>
    <cellStyle name="Обычный 5 179 8" xfId="42233" xr:uid="{00000000-0005-0000-0000-000087370000}"/>
    <cellStyle name="Обычный 5 179 9" xfId="47573" xr:uid="{00000000-0005-0000-0000-000088370000}"/>
    <cellStyle name="Обычный 5 18" xfId="194" xr:uid="{00000000-0005-0000-0000-000089370000}"/>
    <cellStyle name="Обычный 5 18 10" xfId="42916" xr:uid="{00000000-0005-0000-0000-00008A370000}"/>
    <cellStyle name="Обычный 5 18 11" xfId="48256" xr:uid="{00000000-0005-0000-0000-00008B370000}"/>
    <cellStyle name="Обычный 5 18 2" xfId="661" xr:uid="{00000000-0005-0000-0000-00008C370000}"/>
    <cellStyle name="Обычный 5 18 2 10" xfId="48723" xr:uid="{00000000-0005-0000-0000-00008D370000}"/>
    <cellStyle name="Обычный 5 18 2 2" xfId="6002" xr:uid="{00000000-0005-0000-0000-00008E370000}"/>
    <cellStyle name="Обычный 5 18 2 2 2" xfId="54064" xr:uid="{00000000-0005-0000-0000-00008F370000}"/>
    <cellStyle name="Обычный 5 18 2 3" xfId="11343" xr:uid="{00000000-0005-0000-0000-000090370000}"/>
    <cellStyle name="Обычный 5 18 2 4" xfId="16683" xr:uid="{00000000-0005-0000-0000-000091370000}"/>
    <cellStyle name="Обычный 5 18 2 5" xfId="22023" xr:uid="{00000000-0005-0000-0000-000092370000}"/>
    <cellStyle name="Обычный 5 18 2 6" xfId="27363" xr:uid="{00000000-0005-0000-0000-000093370000}"/>
    <cellStyle name="Обычный 5 18 2 7" xfId="32703" xr:uid="{00000000-0005-0000-0000-000094370000}"/>
    <cellStyle name="Обычный 5 18 2 8" xfId="38043" xr:uid="{00000000-0005-0000-0000-000095370000}"/>
    <cellStyle name="Обычный 5 18 2 9" xfId="43383" xr:uid="{00000000-0005-0000-0000-000096370000}"/>
    <cellStyle name="Обычный 5 18 3" xfId="5535" xr:uid="{00000000-0005-0000-0000-000097370000}"/>
    <cellStyle name="Обычный 5 18 3 2" xfId="53597" xr:uid="{00000000-0005-0000-0000-000098370000}"/>
    <cellStyle name="Обычный 5 18 4" xfId="10876" xr:uid="{00000000-0005-0000-0000-000099370000}"/>
    <cellStyle name="Обычный 5 18 5" xfId="16216" xr:uid="{00000000-0005-0000-0000-00009A370000}"/>
    <cellStyle name="Обычный 5 18 6" xfId="21556" xr:uid="{00000000-0005-0000-0000-00009B370000}"/>
    <cellStyle name="Обычный 5 18 7" xfId="26896" xr:uid="{00000000-0005-0000-0000-00009C370000}"/>
    <cellStyle name="Обычный 5 18 8" xfId="32236" xr:uid="{00000000-0005-0000-0000-00009D370000}"/>
    <cellStyle name="Обычный 5 18 9" xfId="37576" xr:uid="{00000000-0005-0000-0000-00009E370000}"/>
    <cellStyle name="Обычный 5 180" xfId="4882" xr:uid="{00000000-0005-0000-0000-00009F370000}"/>
    <cellStyle name="Обычный 5 180 10" xfId="52945" xr:uid="{00000000-0005-0000-0000-0000A0370000}"/>
    <cellStyle name="Обычный 5 180 2" xfId="10225" xr:uid="{00000000-0005-0000-0000-0000A1370000}"/>
    <cellStyle name="Обычный 5 180 2 2" xfId="58286" xr:uid="{00000000-0005-0000-0000-0000A2370000}"/>
    <cellStyle name="Обычный 5 180 3" xfId="15565" xr:uid="{00000000-0005-0000-0000-0000A3370000}"/>
    <cellStyle name="Обычный 5 180 4" xfId="20905" xr:uid="{00000000-0005-0000-0000-0000A4370000}"/>
    <cellStyle name="Обычный 5 180 5" xfId="26245" xr:uid="{00000000-0005-0000-0000-0000A5370000}"/>
    <cellStyle name="Обычный 5 180 6" xfId="31585" xr:uid="{00000000-0005-0000-0000-0000A6370000}"/>
    <cellStyle name="Обычный 5 180 7" xfId="36925" xr:uid="{00000000-0005-0000-0000-0000A7370000}"/>
    <cellStyle name="Обычный 5 180 8" xfId="42265" xr:uid="{00000000-0005-0000-0000-0000A8370000}"/>
    <cellStyle name="Обычный 5 180 9" xfId="47605" xr:uid="{00000000-0005-0000-0000-0000A9370000}"/>
    <cellStyle name="Обычный 5 181" xfId="4914" xr:uid="{00000000-0005-0000-0000-0000AA370000}"/>
    <cellStyle name="Обычный 5 181 10" xfId="52977" xr:uid="{00000000-0005-0000-0000-0000AB370000}"/>
    <cellStyle name="Обычный 5 181 2" xfId="10257" xr:uid="{00000000-0005-0000-0000-0000AC370000}"/>
    <cellStyle name="Обычный 5 181 2 2" xfId="58318" xr:uid="{00000000-0005-0000-0000-0000AD370000}"/>
    <cellStyle name="Обычный 5 181 3" xfId="15597" xr:uid="{00000000-0005-0000-0000-0000AE370000}"/>
    <cellStyle name="Обычный 5 181 4" xfId="20937" xr:uid="{00000000-0005-0000-0000-0000AF370000}"/>
    <cellStyle name="Обычный 5 181 5" xfId="26277" xr:uid="{00000000-0005-0000-0000-0000B0370000}"/>
    <cellStyle name="Обычный 5 181 6" xfId="31617" xr:uid="{00000000-0005-0000-0000-0000B1370000}"/>
    <cellStyle name="Обычный 5 181 7" xfId="36957" xr:uid="{00000000-0005-0000-0000-0000B2370000}"/>
    <cellStyle name="Обычный 5 181 8" xfId="42297" xr:uid="{00000000-0005-0000-0000-0000B3370000}"/>
    <cellStyle name="Обычный 5 181 9" xfId="47637" xr:uid="{00000000-0005-0000-0000-0000B4370000}"/>
    <cellStyle name="Обычный 5 182" xfId="4946" xr:uid="{00000000-0005-0000-0000-0000B5370000}"/>
    <cellStyle name="Обычный 5 182 10" xfId="53009" xr:uid="{00000000-0005-0000-0000-0000B6370000}"/>
    <cellStyle name="Обычный 5 182 2" xfId="10289" xr:uid="{00000000-0005-0000-0000-0000B7370000}"/>
    <cellStyle name="Обычный 5 182 2 2" xfId="58350" xr:uid="{00000000-0005-0000-0000-0000B8370000}"/>
    <cellStyle name="Обычный 5 182 3" xfId="15629" xr:uid="{00000000-0005-0000-0000-0000B9370000}"/>
    <cellStyle name="Обычный 5 182 4" xfId="20969" xr:uid="{00000000-0005-0000-0000-0000BA370000}"/>
    <cellStyle name="Обычный 5 182 5" xfId="26309" xr:uid="{00000000-0005-0000-0000-0000BB370000}"/>
    <cellStyle name="Обычный 5 182 6" xfId="31649" xr:uid="{00000000-0005-0000-0000-0000BC370000}"/>
    <cellStyle name="Обычный 5 182 7" xfId="36989" xr:uid="{00000000-0005-0000-0000-0000BD370000}"/>
    <cellStyle name="Обычный 5 182 8" xfId="42329" xr:uid="{00000000-0005-0000-0000-0000BE370000}"/>
    <cellStyle name="Обычный 5 182 9" xfId="47669" xr:uid="{00000000-0005-0000-0000-0000BF370000}"/>
    <cellStyle name="Обычный 5 183" xfId="4978" xr:uid="{00000000-0005-0000-0000-0000C0370000}"/>
    <cellStyle name="Обычный 5 183 10" xfId="53041" xr:uid="{00000000-0005-0000-0000-0000C1370000}"/>
    <cellStyle name="Обычный 5 183 2" xfId="10321" xr:uid="{00000000-0005-0000-0000-0000C2370000}"/>
    <cellStyle name="Обычный 5 183 2 2" xfId="58382" xr:uid="{00000000-0005-0000-0000-0000C3370000}"/>
    <cellStyle name="Обычный 5 183 3" xfId="15661" xr:uid="{00000000-0005-0000-0000-0000C4370000}"/>
    <cellStyle name="Обычный 5 183 4" xfId="21001" xr:uid="{00000000-0005-0000-0000-0000C5370000}"/>
    <cellStyle name="Обычный 5 183 5" xfId="26341" xr:uid="{00000000-0005-0000-0000-0000C6370000}"/>
    <cellStyle name="Обычный 5 183 6" xfId="31681" xr:uid="{00000000-0005-0000-0000-0000C7370000}"/>
    <cellStyle name="Обычный 5 183 7" xfId="37021" xr:uid="{00000000-0005-0000-0000-0000C8370000}"/>
    <cellStyle name="Обычный 5 183 8" xfId="42361" xr:uid="{00000000-0005-0000-0000-0000C9370000}"/>
    <cellStyle name="Обычный 5 183 9" xfId="47701" xr:uid="{00000000-0005-0000-0000-0000CA370000}"/>
    <cellStyle name="Обычный 5 184" xfId="5010" xr:uid="{00000000-0005-0000-0000-0000CB370000}"/>
    <cellStyle name="Обычный 5 184 10" xfId="53073" xr:uid="{00000000-0005-0000-0000-0000CC370000}"/>
    <cellStyle name="Обычный 5 184 2" xfId="10353" xr:uid="{00000000-0005-0000-0000-0000CD370000}"/>
    <cellStyle name="Обычный 5 184 2 2" xfId="58414" xr:uid="{00000000-0005-0000-0000-0000CE370000}"/>
    <cellStyle name="Обычный 5 184 3" xfId="15693" xr:uid="{00000000-0005-0000-0000-0000CF370000}"/>
    <cellStyle name="Обычный 5 184 4" xfId="21033" xr:uid="{00000000-0005-0000-0000-0000D0370000}"/>
    <cellStyle name="Обычный 5 184 5" xfId="26373" xr:uid="{00000000-0005-0000-0000-0000D1370000}"/>
    <cellStyle name="Обычный 5 184 6" xfId="31713" xr:uid="{00000000-0005-0000-0000-0000D2370000}"/>
    <cellStyle name="Обычный 5 184 7" xfId="37053" xr:uid="{00000000-0005-0000-0000-0000D3370000}"/>
    <cellStyle name="Обычный 5 184 8" xfId="42393" xr:uid="{00000000-0005-0000-0000-0000D4370000}"/>
    <cellStyle name="Обычный 5 184 9" xfId="47733" xr:uid="{00000000-0005-0000-0000-0000D5370000}"/>
    <cellStyle name="Обычный 5 185" xfId="5042" xr:uid="{00000000-0005-0000-0000-0000D6370000}"/>
    <cellStyle name="Обычный 5 185 10" xfId="53105" xr:uid="{00000000-0005-0000-0000-0000D7370000}"/>
    <cellStyle name="Обычный 5 185 2" xfId="10385" xr:uid="{00000000-0005-0000-0000-0000D8370000}"/>
    <cellStyle name="Обычный 5 185 2 2" xfId="58446" xr:uid="{00000000-0005-0000-0000-0000D9370000}"/>
    <cellStyle name="Обычный 5 185 3" xfId="15725" xr:uid="{00000000-0005-0000-0000-0000DA370000}"/>
    <cellStyle name="Обычный 5 185 4" xfId="21065" xr:uid="{00000000-0005-0000-0000-0000DB370000}"/>
    <cellStyle name="Обычный 5 185 5" xfId="26405" xr:uid="{00000000-0005-0000-0000-0000DC370000}"/>
    <cellStyle name="Обычный 5 185 6" xfId="31745" xr:uid="{00000000-0005-0000-0000-0000DD370000}"/>
    <cellStyle name="Обычный 5 185 7" xfId="37085" xr:uid="{00000000-0005-0000-0000-0000DE370000}"/>
    <cellStyle name="Обычный 5 185 8" xfId="42425" xr:uid="{00000000-0005-0000-0000-0000DF370000}"/>
    <cellStyle name="Обычный 5 185 9" xfId="47765" xr:uid="{00000000-0005-0000-0000-0000E0370000}"/>
    <cellStyle name="Обычный 5 186" xfId="5074" xr:uid="{00000000-0005-0000-0000-0000E1370000}"/>
    <cellStyle name="Обычный 5 186 10" xfId="53137" xr:uid="{00000000-0005-0000-0000-0000E2370000}"/>
    <cellStyle name="Обычный 5 186 2" xfId="10417" xr:uid="{00000000-0005-0000-0000-0000E3370000}"/>
    <cellStyle name="Обычный 5 186 2 2" xfId="58478" xr:uid="{00000000-0005-0000-0000-0000E4370000}"/>
    <cellStyle name="Обычный 5 186 3" xfId="15757" xr:uid="{00000000-0005-0000-0000-0000E5370000}"/>
    <cellStyle name="Обычный 5 186 4" xfId="21097" xr:uid="{00000000-0005-0000-0000-0000E6370000}"/>
    <cellStyle name="Обычный 5 186 5" xfId="26437" xr:uid="{00000000-0005-0000-0000-0000E7370000}"/>
    <cellStyle name="Обычный 5 186 6" xfId="31777" xr:uid="{00000000-0005-0000-0000-0000E8370000}"/>
    <cellStyle name="Обычный 5 186 7" xfId="37117" xr:uid="{00000000-0005-0000-0000-0000E9370000}"/>
    <cellStyle name="Обычный 5 186 8" xfId="42457" xr:uid="{00000000-0005-0000-0000-0000EA370000}"/>
    <cellStyle name="Обычный 5 186 9" xfId="47797" xr:uid="{00000000-0005-0000-0000-0000EB370000}"/>
    <cellStyle name="Обычный 5 187" xfId="5106" xr:uid="{00000000-0005-0000-0000-0000EC370000}"/>
    <cellStyle name="Обычный 5 187 10" xfId="53169" xr:uid="{00000000-0005-0000-0000-0000ED370000}"/>
    <cellStyle name="Обычный 5 187 2" xfId="10449" xr:uid="{00000000-0005-0000-0000-0000EE370000}"/>
    <cellStyle name="Обычный 5 187 2 2" xfId="58510" xr:uid="{00000000-0005-0000-0000-0000EF370000}"/>
    <cellStyle name="Обычный 5 187 3" xfId="15789" xr:uid="{00000000-0005-0000-0000-0000F0370000}"/>
    <cellStyle name="Обычный 5 187 4" xfId="21129" xr:uid="{00000000-0005-0000-0000-0000F1370000}"/>
    <cellStyle name="Обычный 5 187 5" xfId="26469" xr:uid="{00000000-0005-0000-0000-0000F2370000}"/>
    <cellStyle name="Обычный 5 187 6" xfId="31809" xr:uid="{00000000-0005-0000-0000-0000F3370000}"/>
    <cellStyle name="Обычный 5 187 7" xfId="37149" xr:uid="{00000000-0005-0000-0000-0000F4370000}"/>
    <cellStyle name="Обычный 5 187 8" xfId="42489" xr:uid="{00000000-0005-0000-0000-0000F5370000}"/>
    <cellStyle name="Обычный 5 187 9" xfId="47829" xr:uid="{00000000-0005-0000-0000-0000F6370000}"/>
    <cellStyle name="Обычный 5 188" xfId="5138" xr:uid="{00000000-0005-0000-0000-0000F7370000}"/>
    <cellStyle name="Обычный 5 188 10" xfId="53201" xr:uid="{00000000-0005-0000-0000-0000F8370000}"/>
    <cellStyle name="Обычный 5 188 2" xfId="10481" xr:uid="{00000000-0005-0000-0000-0000F9370000}"/>
    <cellStyle name="Обычный 5 188 2 2" xfId="58542" xr:uid="{00000000-0005-0000-0000-0000FA370000}"/>
    <cellStyle name="Обычный 5 188 3" xfId="15821" xr:uid="{00000000-0005-0000-0000-0000FB370000}"/>
    <cellStyle name="Обычный 5 188 4" xfId="21161" xr:uid="{00000000-0005-0000-0000-0000FC370000}"/>
    <cellStyle name="Обычный 5 188 5" xfId="26501" xr:uid="{00000000-0005-0000-0000-0000FD370000}"/>
    <cellStyle name="Обычный 5 188 6" xfId="31841" xr:uid="{00000000-0005-0000-0000-0000FE370000}"/>
    <cellStyle name="Обычный 5 188 7" xfId="37181" xr:uid="{00000000-0005-0000-0000-0000FF370000}"/>
    <cellStyle name="Обычный 5 188 8" xfId="42521" xr:uid="{00000000-0005-0000-0000-000000380000}"/>
    <cellStyle name="Обычный 5 188 9" xfId="47861" xr:uid="{00000000-0005-0000-0000-000001380000}"/>
    <cellStyle name="Обычный 5 189" xfId="5170" xr:uid="{00000000-0005-0000-0000-000002380000}"/>
    <cellStyle name="Обычный 5 189 10" xfId="53233" xr:uid="{00000000-0005-0000-0000-000003380000}"/>
    <cellStyle name="Обычный 5 189 2" xfId="10513" xr:uid="{00000000-0005-0000-0000-000004380000}"/>
    <cellStyle name="Обычный 5 189 2 2" xfId="58574" xr:uid="{00000000-0005-0000-0000-000005380000}"/>
    <cellStyle name="Обычный 5 189 3" xfId="15853" xr:uid="{00000000-0005-0000-0000-000006380000}"/>
    <cellStyle name="Обычный 5 189 4" xfId="21193" xr:uid="{00000000-0005-0000-0000-000007380000}"/>
    <cellStyle name="Обычный 5 189 5" xfId="26533" xr:uid="{00000000-0005-0000-0000-000008380000}"/>
    <cellStyle name="Обычный 5 189 6" xfId="31873" xr:uid="{00000000-0005-0000-0000-000009380000}"/>
    <cellStyle name="Обычный 5 189 7" xfId="37213" xr:uid="{00000000-0005-0000-0000-00000A380000}"/>
    <cellStyle name="Обычный 5 189 8" xfId="42553" xr:uid="{00000000-0005-0000-0000-00000B380000}"/>
    <cellStyle name="Обычный 5 189 9" xfId="47893" xr:uid="{00000000-0005-0000-0000-00000C380000}"/>
    <cellStyle name="Обычный 5 19" xfId="204" xr:uid="{00000000-0005-0000-0000-00000D380000}"/>
    <cellStyle name="Обычный 5 19 10" xfId="42926" xr:uid="{00000000-0005-0000-0000-00000E380000}"/>
    <cellStyle name="Обычный 5 19 11" xfId="48266" xr:uid="{00000000-0005-0000-0000-00000F380000}"/>
    <cellStyle name="Обычный 5 19 2" xfId="671" xr:uid="{00000000-0005-0000-0000-000010380000}"/>
    <cellStyle name="Обычный 5 19 2 10" xfId="48733" xr:uid="{00000000-0005-0000-0000-000011380000}"/>
    <cellStyle name="Обычный 5 19 2 2" xfId="6012" xr:uid="{00000000-0005-0000-0000-000012380000}"/>
    <cellStyle name="Обычный 5 19 2 2 2" xfId="54074" xr:uid="{00000000-0005-0000-0000-000013380000}"/>
    <cellStyle name="Обычный 5 19 2 3" xfId="11353" xr:uid="{00000000-0005-0000-0000-000014380000}"/>
    <cellStyle name="Обычный 5 19 2 4" xfId="16693" xr:uid="{00000000-0005-0000-0000-000015380000}"/>
    <cellStyle name="Обычный 5 19 2 5" xfId="22033" xr:uid="{00000000-0005-0000-0000-000016380000}"/>
    <cellStyle name="Обычный 5 19 2 6" xfId="27373" xr:uid="{00000000-0005-0000-0000-000017380000}"/>
    <cellStyle name="Обычный 5 19 2 7" xfId="32713" xr:uid="{00000000-0005-0000-0000-000018380000}"/>
    <cellStyle name="Обычный 5 19 2 8" xfId="38053" xr:uid="{00000000-0005-0000-0000-000019380000}"/>
    <cellStyle name="Обычный 5 19 2 9" xfId="43393" xr:uid="{00000000-0005-0000-0000-00001A380000}"/>
    <cellStyle name="Обычный 5 19 3" xfId="5545" xr:uid="{00000000-0005-0000-0000-00001B380000}"/>
    <cellStyle name="Обычный 5 19 3 2" xfId="53607" xr:uid="{00000000-0005-0000-0000-00001C380000}"/>
    <cellStyle name="Обычный 5 19 4" xfId="10886" xr:uid="{00000000-0005-0000-0000-00001D380000}"/>
    <cellStyle name="Обычный 5 19 5" xfId="16226" xr:uid="{00000000-0005-0000-0000-00001E380000}"/>
    <cellStyle name="Обычный 5 19 6" xfId="21566" xr:uid="{00000000-0005-0000-0000-00001F380000}"/>
    <cellStyle name="Обычный 5 19 7" xfId="26906" xr:uid="{00000000-0005-0000-0000-000020380000}"/>
    <cellStyle name="Обычный 5 19 8" xfId="32246" xr:uid="{00000000-0005-0000-0000-000021380000}"/>
    <cellStyle name="Обычный 5 19 9" xfId="37586" xr:uid="{00000000-0005-0000-0000-000022380000}"/>
    <cellStyle name="Обычный 5 190" xfId="5202" xr:uid="{00000000-0005-0000-0000-000023380000}"/>
    <cellStyle name="Обычный 5 190 10" xfId="53265" xr:uid="{00000000-0005-0000-0000-000024380000}"/>
    <cellStyle name="Обычный 5 190 2" xfId="10545" xr:uid="{00000000-0005-0000-0000-000025380000}"/>
    <cellStyle name="Обычный 5 190 2 2" xfId="58606" xr:uid="{00000000-0005-0000-0000-000026380000}"/>
    <cellStyle name="Обычный 5 190 3" xfId="15885" xr:uid="{00000000-0005-0000-0000-000027380000}"/>
    <cellStyle name="Обычный 5 190 4" xfId="21225" xr:uid="{00000000-0005-0000-0000-000028380000}"/>
    <cellStyle name="Обычный 5 190 5" xfId="26565" xr:uid="{00000000-0005-0000-0000-000029380000}"/>
    <cellStyle name="Обычный 5 190 6" xfId="31905" xr:uid="{00000000-0005-0000-0000-00002A380000}"/>
    <cellStyle name="Обычный 5 190 7" xfId="37245" xr:uid="{00000000-0005-0000-0000-00002B380000}"/>
    <cellStyle name="Обычный 5 190 8" xfId="42585" xr:uid="{00000000-0005-0000-0000-00002C380000}"/>
    <cellStyle name="Обычный 5 190 9" xfId="47925" xr:uid="{00000000-0005-0000-0000-00002D380000}"/>
    <cellStyle name="Обычный 5 191" xfId="5234" xr:uid="{00000000-0005-0000-0000-00002E380000}"/>
    <cellStyle name="Обычный 5 191 10" xfId="53297" xr:uid="{00000000-0005-0000-0000-00002F380000}"/>
    <cellStyle name="Обычный 5 191 2" xfId="10577" xr:uid="{00000000-0005-0000-0000-000030380000}"/>
    <cellStyle name="Обычный 5 191 2 2" xfId="58638" xr:uid="{00000000-0005-0000-0000-000031380000}"/>
    <cellStyle name="Обычный 5 191 3" xfId="15917" xr:uid="{00000000-0005-0000-0000-000032380000}"/>
    <cellStyle name="Обычный 5 191 4" xfId="21257" xr:uid="{00000000-0005-0000-0000-000033380000}"/>
    <cellStyle name="Обычный 5 191 5" xfId="26597" xr:uid="{00000000-0005-0000-0000-000034380000}"/>
    <cellStyle name="Обычный 5 191 6" xfId="31937" xr:uid="{00000000-0005-0000-0000-000035380000}"/>
    <cellStyle name="Обычный 5 191 7" xfId="37277" xr:uid="{00000000-0005-0000-0000-000036380000}"/>
    <cellStyle name="Обычный 5 191 8" xfId="42617" xr:uid="{00000000-0005-0000-0000-000037380000}"/>
    <cellStyle name="Обычный 5 191 9" xfId="47957" xr:uid="{00000000-0005-0000-0000-000038380000}"/>
    <cellStyle name="Обычный 5 192" xfId="5266" xr:uid="{00000000-0005-0000-0000-000039380000}"/>
    <cellStyle name="Обычный 5 192 10" xfId="53329" xr:uid="{00000000-0005-0000-0000-00003A380000}"/>
    <cellStyle name="Обычный 5 192 2" xfId="10609" xr:uid="{00000000-0005-0000-0000-00003B380000}"/>
    <cellStyle name="Обычный 5 192 2 2" xfId="58670" xr:uid="{00000000-0005-0000-0000-00003C380000}"/>
    <cellStyle name="Обычный 5 192 3" xfId="15949" xr:uid="{00000000-0005-0000-0000-00003D380000}"/>
    <cellStyle name="Обычный 5 192 4" xfId="21289" xr:uid="{00000000-0005-0000-0000-00003E380000}"/>
    <cellStyle name="Обычный 5 192 5" xfId="26629" xr:uid="{00000000-0005-0000-0000-00003F380000}"/>
    <cellStyle name="Обычный 5 192 6" xfId="31969" xr:uid="{00000000-0005-0000-0000-000040380000}"/>
    <cellStyle name="Обычный 5 192 7" xfId="37309" xr:uid="{00000000-0005-0000-0000-000041380000}"/>
    <cellStyle name="Обычный 5 192 8" xfId="42649" xr:uid="{00000000-0005-0000-0000-000042380000}"/>
    <cellStyle name="Обычный 5 192 9" xfId="47989" xr:uid="{00000000-0005-0000-0000-000043380000}"/>
    <cellStyle name="Обычный 5 193" xfId="5298" xr:uid="{00000000-0005-0000-0000-000044380000}"/>
    <cellStyle name="Обычный 5 193 10" xfId="53361" xr:uid="{00000000-0005-0000-0000-000045380000}"/>
    <cellStyle name="Обычный 5 193 2" xfId="10641" xr:uid="{00000000-0005-0000-0000-000046380000}"/>
    <cellStyle name="Обычный 5 193 2 2" xfId="58702" xr:uid="{00000000-0005-0000-0000-000047380000}"/>
    <cellStyle name="Обычный 5 193 3" xfId="15981" xr:uid="{00000000-0005-0000-0000-000048380000}"/>
    <cellStyle name="Обычный 5 193 4" xfId="21321" xr:uid="{00000000-0005-0000-0000-000049380000}"/>
    <cellStyle name="Обычный 5 193 5" xfId="26661" xr:uid="{00000000-0005-0000-0000-00004A380000}"/>
    <cellStyle name="Обычный 5 193 6" xfId="32001" xr:uid="{00000000-0005-0000-0000-00004B380000}"/>
    <cellStyle name="Обычный 5 193 7" xfId="37341" xr:uid="{00000000-0005-0000-0000-00004C380000}"/>
    <cellStyle name="Обычный 5 193 8" xfId="42681" xr:uid="{00000000-0005-0000-0000-00004D380000}"/>
    <cellStyle name="Обычный 5 193 9" xfId="48021" xr:uid="{00000000-0005-0000-0000-00004E380000}"/>
    <cellStyle name="Обычный 5 194" xfId="5330" xr:uid="{00000000-0005-0000-0000-00004F380000}"/>
    <cellStyle name="Обычный 5 194 10" xfId="53393" xr:uid="{00000000-0005-0000-0000-000050380000}"/>
    <cellStyle name="Обычный 5 194 2" xfId="10673" xr:uid="{00000000-0005-0000-0000-000051380000}"/>
    <cellStyle name="Обычный 5 194 2 2" xfId="58734" xr:uid="{00000000-0005-0000-0000-000052380000}"/>
    <cellStyle name="Обычный 5 194 3" xfId="16013" xr:uid="{00000000-0005-0000-0000-000053380000}"/>
    <cellStyle name="Обычный 5 194 4" xfId="21353" xr:uid="{00000000-0005-0000-0000-000054380000}"/>
    <cellStyle name="Обычный 5 194 5" xfId="26693" xr:uid="{00000000-0005-0000-0000-000055380000}"/>
    <cellStyle name="Обычный 5 194 6" xfId="32033" xr:uid="{00000000-0005-0000-0000-000056380000}"/>
    <cellStyle name="Обычный 5 194 7" xfId="37373" xr:uid="{00000000-0005-0000-0000-000057380000}"/>
    <cellStyle name="Обычный 5 194 8" xfId="42713" xr:uid="{00000000-0005-0000-0000-000058380000}"/>
    <cellStyle name="Обычный 5 194 9" xfId="48053" xr:uid="{00000000-0005-0000-0000-000059380000}"/>
    <cellStyle name="Обычный 5 195" xfId="5362" xr:uid="{00000000-0005-0000-0000-00005A380000}"/>
    <cellStyle name="Обычный 5 195 10" xfId="53425" xr:uid="{00000000-0005-0000-0000-00005B380000}"/>
    <cellStyle name="Обычный 5 195 2" xfId="10705" xr:uid="{00000000-0005-0000-0000-00005C380000}"/>
    <cellStyle name="Обычный 5 195 2 2" xfId="58766" xr:uid="{00000000-0005-0000-0000-00005D380000}"/>
    <cellStyle name="Обычный 5 195 3" xfId="16045" xr:uid="{00000000-0005-0000-0000-00005E380000}"/>
    <cellStyle name="Обычный 5 195 4" xfId="21385" xr:uid="{00000000-0005-0000-0000-00005F380000}"/>
    <cellStyle name="Обычный 5 195 5" xfId="26725" xr:uid="{00000000-0005-0000-0000-000060380000}"/>
    <cellStyle name="Обычный 5 195 6" xfId="32065" xr:uid="{00000000-0005-0000-0000-000061380000}"/>
    <cellStyle name="Обычный 5 195 7" xfId="37405" xr:uid="{00000000-0005-0000-0000-000062380000}"/>
    <cellStyle name="Обычный 5 195 8" xfId="42745" xr:uid="{00000000-0005-0000-0000-000063380000}"/>
    <cellStyle name="Обычный 5 195 9" xfId="48085" xr:uid="{00000000-0005-0000-0000-000064380000}"/>
    <cellStyle name="Обычный 5 196" xfId="5401" xr:uid="{00000000-0005-0000-0000-000065380000}"/>
    <cellStyle name="Обычный 5 196 2" xfId="53463" xr:uid="{00000000-0005-0000-0000-000066380000}"/>
    <cellStyle name="Обычный 5 197" xfId="10742" xr:uid="{00000000-0005-0000-0000-000067380000}"/>
    <cellStyle name="Обычный 5 198" xfId="16082" xr:uid="{00000000-0005-0000-0000-000068380000}"/>
    <cellStyle name="Обычный 5 199" xfId="21422" xr:uid="{00000000-0005-0000-0000-000069380000}"/>
    <cellStyle name="Обычный 5 2" xfId="74" xr:uid="{00000000-0005-0000-0000-00006A380000}"/>
    <cellStyle name="Обычный 5 2 10" xfId="178" xr:uid="{00000000-0005-0000-0000-00006B380000}"/>
    <cellStyle name="Обычный 5 2 10 10" xfId="42900" xr:uid="{00000000-0005-0000-0000-00006C380000}"/>
    <cellStyle name="Обычный 5 2 10 11" xfId="48240" xr:uid="{00000000-0005-0000-0000-00006D380000}"/>
    <cellStyle name="Обычный 5 2 10 2" xfId="645" xr:uid="{00000000-0005-0000-0000-00006E380000}"/>
    <cellStyle name="Обычный 5 2 10 2 10" xfId="48707" xr:uid="{00000000-0005-0000-0000-00006F380000}"/>
    <cellStyle name="Обычный 5 2 10 2 2" xfId="5986" xr:uid="{00000000-0005-0000-0000-000070380000}"/>
    <cellStyle name="Обычный 5 2 10 2 2 2" xfId="54048" xr:uid="{00000000-0005-0000-0000-000071380000}"/>
    <cellStyle name="Обычный 5 2 10 2 3" xfId="11327" xr:uid="{00000000-0005-0000-0000-000072380000}"/>
    <cellStyle name="Обычный 5 2 10 2 4" xfId="16667" xr:uid="{00000000-0005-0000-0000-000073380000}"/>
    <cellStyle name="Обычный 5 2 10 2 5" xfId="22007" xr:uid="{00000000-0005-0000-0000-000074380000}"/>
    <cellStyle name="Обычный 5 2 10 2 6" xfId="27347" xr:uid="{00000000-0005-0000-0000-000075380000}"/>
    <cellStyle name="Обычный 5 2 10 2 7" xfId="32687" xr:uid="{00000000-0005-0000-0000-000076380000}"/>
    <cellStyle name="Обычный 5 2 10 2 8" xfId="38027" xr:uid="{00000000-0005-0000-0000-000077380000}"/>
    <cellStyle name="Обычный 5 2 10 2 9" xfId="43367" xr:uid="{00000000-0005-0000-0000-000078380000}"/>
    <cellStyle name="Обычный 5 2 10 3" xfId="5519" xr:uid="{00000000-0005-0000-0000-000079380000}"/>
    <cellStyle name="Обычный 5 2 10 3 2" xfId="53581" xr:uid="{00000000-0005-0000-0000-00007A380000}"/>
    <cellStyle name="Обычный 5 2 10 4" xfId="10860" xr:uid="{00000000-0005-0000-0000-00007B380000}"/>
    <cellStyle name="Обычный 5 2 10 5" xfId="16200" xr:uid="{00000000-0005-0000-0000-00007C380000}"/>
    <cellStyle name="Обычный 5 2 10 6" xfId="21540" xr:uid="{00000000-0005-0000-0000-00007D380000}"/>
    <cellStyle name="Обычный 5 2 10 7" xfId="26880" xr:uid="{00000000-0005-0000-0000-00007E380000}"/>
    <cellStyle name="Обычный 5 2 10 8" xfId="32220" xr:uid="{00000000-0005-0000-0000-00007F380000}"/>
    <cellStyle name="Обычный 5 2 10 9" xfId="37560" xr:uid="{00000000-0005-0000-0000-000080380000}"/>
    <cellStyle name="Обычный 5 2 100" xfId="2511" xr:uid="{00000000-0005-0000-0000-000081380000}"/>
    <cellStyle name="Обычный 5 2 100 10" xfId="50575" xr:uid="{00000000-0005-0000-0000-000082380000}"/>
    <cellStyle name="Обычный 5 2 100 2" xfId="7854" xr:uid="{00000000-0005-0000-0000-000083380000}"/>
    <cellStyle name="Обычный 5 2 100 2 2" xfId="55916" xr:uid="{00000000-0005-0000-0000-000084380000}"/>
    <cellStyle name="Обычный 5 2 100 3" xfId="13195" xr:uid="{00000000-0005-0000-0000-000085380000}"/>
    <cellStyle name="Обычный 5 2 100 4" xfId="18535" xr:uid="{00000000-0005-0000-0000-000086380000}"/>
    <cellStyle name="Обычный 5 2 100 5" xfId="23875" xr:uid="{00000000-0005-0000-0000-000087380000}"/>
    <cellStyle name="Обычный 5 2 100 6" xfId="29215" xr:uid="{00000000-0005-0000-0000-000088380000}"/>
    <cellStyle name="Обычный 5 2 100 7" xfId="34555" xr:uid="{00000000-0005-0000-0000-000089380000}"/>
    <cellStyle name="Обычный 5 2 100 8" xfId="39895" xr:uid="{00000000-0005-0000-0000-00008A380000}"/>
    <cellStyle name="Обычный 5 2 100 9" xfId="45235" xr:uid="{00000000-0005-0000-0000-00008B380000}"/>
    <cellStyle name="Обычный 5 2 101" xfId="2545" xr:uid="{00000000-0005-0000-0000-00008C380000}"/>
    <cellStyle name="Обычный 5 2 101 10" xfId="50609" xr:uid="{00000000-0005-0000-0000-00008D380000}"/>
    <cellStyle name="Обычный 5 2 101 2" xfId="7888" xr:uid="{00000000-0005-0000-0000-00008E380000}"/>
    <cellStyle name="Обычный 5 2 101 2 2" xfId="55950" xr:uid="{00000000-0005-0000-0000-00008F380000}"/>
    <cellStyle name="Обычный 5 2 101 3" xfId="13229" xr:uid="{00000000-0005-0000-0000-000090380000}"/>
    <cellStyle name="Обычный 5 2 101 4" xfId="18569" xr:uid="{00000000-0005-0000-0000-000091380000}"/>
    <cellStyle name="Обычный 5 2 101 5" xfId="23909" xr:uid="{00000000-0005-0000-0000-000092380000}"/>
    <cellStyle name="Обычный 5 2 101 6" xfId="29249" xr:uid="{00000000-0005-0000-0000-000093380000}"/>
    <cellStyle name="Обычный 5 2 101 7" xfId="34589" xr:uid="{00000000-0005-0000-0000-000094380000}"/>
    <cellStyle name="Обычный 5 2 101 8" xfId="39929" xr:uid="{00000000-0005-0000-0000-000095380000}"/>
    <cellStyle name="Обычный 5 2 101 9" xfId="45269" xr:uid="{00000000-0005-0000-0000-000096380000}"/>
    <cellStyle name="Обычный 5 2 102" xfId="2577" xr:uid="{00000000-0005-0000-0000-000097380000}"/>
    <cellStyle name="Обычный 5 2 102 10" xfId="50641" xr:uid="{00000000-0005-0000-0000-000098380000}"/>
    <cellStyle name="Обычный 5 2 102 2" xfId="7920" xr:uid="{00000000-0005-0000-0000-000099380000}"/>
    <cellStyle name="Обычный 5 2 102 2 2" xfId="55982" xr:uid="{00000000-0005-0000-0000-00009A380000}"/>
    <cellStyle name="Обычный 5 2 102 3" xfId="13261" xr:uid="{00000000-0005-0000-0000-00009B380000}"/>
    <cellStyle name="Обычный 5 2 102 4" xfId="18601" xr:uid="{00000000-0005-0000-0000-00009C380000}"/>
    <cellStyle name="Обычный 5 2 102 5" xfId="23941" xr:uid="{00000000-0005-0000-0000-00009D380000}"/>
    <cellStyle name="Обычный 5 2 102 6" xfId="29281" xr:uid="{00000000-0005-0000-0000-00009E380000}"/>
    <cellStyle name="Обычный 5 2 102 7" xfId="34621" xr:uid="{00000000-0005-0000-0000-00009F380000}"/>
    <cellStyle name="Обычный 5 2 102 8" xfId="39961" xr:uid="{00000000-0005-0000-0000-0000A0380000}"/>
    <cellStyle name="Обычный 5 2 102 9" xfId="45301" xr:uid="{00000000-0005-0000-0000-0000A1380000}"/>
    <cellStyle name="Обычный 5 2 103" xfId="2609" xr:uid="{00000000-0005-0000-0000-0000A2380000}"/>
    <cellStyle name="Обычный 5 2 103 10" xfId="50673" xr:uid="{00000000-0005-0000-0000-0000A3380000}"/>
    <cellStyle name="Обычный 5 2 103 2" xfId="7952" xr:uid="{00000000-0005-0000-0000-0000A4380000}"/>
    <cellStyle name="Обычный 5 2 103 2 2" xfId="56014" xr:uid="{00000000-0005-0000-0000-0000A5380000}"/>
    <cellStyle name="Обычный 5 2 103 3" xfId="13293" xr:uid="{00000000-0005-0000-0000-0000A6380000}"/>
    <cellStyle name="Обычный 5 2 103 4" xfId="18633" xr:uid="{00000000-0005-0000-0000-0000A7380000}"/>
    <cellStyle name="Обычный 5 2 103 5" xfId="23973" xr:uid="{00000000-0005-0000-0000-0000A8380000}"/>
    <cellStyle name="Обычный 5 2 103 6" xfId="29313" xr:uid="{00000000-0005-0000-0000-0000A9380000}"/>
    <cellStyle name="Обычный 5 2 103 7" xfId="34653" xr:uid="{00000000-0005-0000-0000-0000AA380000}"/>
    <cellStyle name="Обычный 5 2 103 8" xfId="39993" xr:uid="{00000000-0005-0000-0000-0000AB380000}"/>
    <cellStyle name="Обычный 5 2 103 9" xfId="45333" xr:uid="{00000000-0005-0000-0000-0000AC380000}"/>
    <cellStyle name="Обычный 5 2 104" xfId="2641" xr:uid="{00000000-0005-0000-0000-0000AD380000}"/>
    <cellStyle name="Обычный 5 2 104 10" xfId="50705" xr:uid="{00000000-0005-0000-0000-0000AE380000}"/>
    <cellStyle name="Обычный 5 2 104 2" xfId="7984" xr:uid="{00000000-0005-0000-0000-0000AF380000}"/>
    <cellStyle name="Обычный 5 2 104 2 2" xfId="56046" xr:uid="{00000000-0005-0000-0000-0000B0380000}"/>
    <cellStyle name="Обычный 5 2 104 3" xfId="13325" xr:uid="{00000000-0005-0000-0000-0000B1380000}"/>
    <cellStyle name="Обычный 5 2 104 4" xfId="18665" xr:uid="{00000000-0005-0000-0000-0000B2380000}"/>
    <cellStyle name="Обычный 5 2 104 5" xfId="24005" xr:uid="{00000000-0005-0000-0000-0000B3380000}"/>
    <cellStyle name="Обычный 5 2 104 6" xfId="29345" xr:uid="{00000000-0005-0000-0000-0000B4380000}"/>
    <cellStyle name="Обычный 5 2 104 7" xfId="34685" xr:uid="{00000000-0005-0000-0000-0000B5380000}"/>
    <cellStyle name="Обычный 5 2 104 8" xfId="40025" xr:uid="{00000000-0005-0000-0000-0000B6380000}"/>
    <cellStyle name="Обычный 5 2 104 9" xfId="45365" xr:uid="{00000000-0005-0000-0000-0000B7380000}"/>
    <cellStyle name="Обычный 5 2 105" xfId="2673" xr:uid="{00000000-0005-0000-0000-0000B8380000}"/>
    <cellStyle name="Обычный 5 2 105 10" xfId="50737" xr:uid="{00000000-0005-0000-0000-0000B9380000}"/>
    <cellStyle name="Обычный 5 2 105 2" xfId="8016" xr:uid="{00000000-0005-0000-0000-0000BA380000}"/>
    <cellStyle name="Обычный 5 2 105 2 2" xfId="56078" xr:uid="{00000000-0005-0000-0000-0000BB380000}"/>
    <cellStyle name="Обычный 5 2 105 3" xfId="13357" xr:uid="{00000000-0005-0000-0000-0000BC380000}"/>
    <cellStyle name="Обычный 5 2 105 4" xfId="18697" xr:uid="{00000000-0005-0000-0000-0000BD380000}"/>
    <cellStyle name="Обычный 5 2 105 5" xfId="24037" xr:uid="{00000000-0005-0000-0000-0000BE380000}"/>
    <cellStyle name="Обычный 5 2 105 6" xfId="29377" xr:uid="{00000000-0005-0000-0000-0000BF380000}"/>
    <cellStyle name="Обычный 5 2 105 7" xfId="34717" xr:uid="{00000000-0005-0000-0000-0000C0380000}"/>
    <cellStyle name="Обычный 5 2 105 8" xfId="40057" xr:uid="{00000000-0005-0000-0000-0000C1380000}"/>
    <cellStyle name="Обычный 5 2 105 9" xfId="45397" xr:uid="{00000000-0005-0000-0000-0000C2380000}"/>
    <cellStyle name="Обычный 5 2 106" xfId="2705" xr:uid="{00000000-0005-0000-0000-0000C3380000}"/>
    <cellStyle name="Обычный 5 2 106 10" xfId="50769" xr:uid="{00000000-0005-0000-0000-0000C4380000}"/>
    <cellStyle name="Обычный 5 2 106 2" xfId="8048" xr:uid="{00000000-0005-0000-0000-0000C5380000}"/>
    <cellStyle name="Обычный 5 2 106 2 2" xfId="56110" xr:uid="{00000000-0005-0000-0000-0000C6380000}"/>
    <cellStyle name="Обычный 5 2 106 3" xfId="13389" xr:uid="{00000000-0005-0000-0000-0000C7380000}"/>
    <cellStyle name="Обычный 5 2 106 4" xfId="18729" xr:uid="{00000000-0005-0000-0000-0000C8380000}"/>
    <cellStyle name="Обычный 5 2 106 5" xfId="24069" xr:uid="{00000000-0005-0000-0000-0000C9380000}"/>
    <cellStyle name="Обычный 5 2 106 6" xfId="29409" xr:uid="{00000000-0005-0000-0000-0000CA380000}"/>
    <cellStyle name="Обычный 5 2 106 7" xfId="34749" xr:uid="{00000000-0005-0000-0000-0000CB380000}"/>
    <cellStyle name="Обычный 5 2 106 8" xfId="40089" xr:uid="{00000000-0005-0000-0000-0000CC380000}"/>
    <cellStyle name="Обычный 5 2 106 9" xfId="45429" xr:uid="{00000000-0005-0000-0000-0000CD380000}"/>
    <cellStyle name="Обычный 5 2 107" xfId="2737" xr:uid="{00000000-0005-0000-0000-0000CE380000}"/>
    <cellStyle name="Обычный 5 2 107 10" xfId="50801" xr:uid="{00000000-0005-0000-0000-0000CF380000}"/>
    <cellStyle name="Обычный 5 2 107 2" xfId="8080" xr:uid="{00000000-0005-0000-0000-0000D0380000}"/>
    <cellStyle name="Обычный 5 2 107 2 2" xfId="56142" xr:uid="{00000000-0005-0000-0000-0000D1380000}"/>
    <cellStyle name="Обычный 5 2 107 3" xfId="13421" xr:uid="{00000000-0005-0000-0000-0000D2380000}"/>
    <cellStyle name="Обычный 5 2 107 4" xfId="18761" xr:uid="{00000000-0005-0000-0000-0000D3380000}"/>
    <cellStyle name="Обычный 5 2 107 5" xfId="24101" xr:uid="{00000000-0005-0000-0000-0000D4380000}"/>
    <cellStyle name="Обычный 5 2 107 6" xfId="29441" xr:uid="{00000000-0005-0000-0000-0000D5380000}"/>
    <cellStyle name="Обычный 5 2 107 7" xfId="34781" xr:uid="{00000000-0005-0000-0000-0000D6380000}"/>
    <cellStyle name="Обычный 5 2 107 8" xfId="40121" xr:uid="{00000000-0005-0000-0000-0000D7380000}"/>
    <cellStyle name="Обычный 5 2 107 9" xfId="45461" xr:uid="{00000000-0005-0000-0000-0000D8380000}"/>
    <cellStyle name="Обычный 5 2 108" xfId="2771" xr:uid="{00000000-0005-0000-0000-0000D9380000}"/>
    <cellStyle name="Обычный 5 2 108 10" xfId="50835" xr:uid="{00000000-0005-0000-0000-0000DA380000}"/>
    <cellStyle name="Обычный 5 2 108 2" xfId="8114" xr:uid="{00000000-0005-0000-0000-0000DB380000}"/>
    <cellStyle name="Обычный 5 2 108 2 2" xfId="56176" xr:uid="{00000000-0005-0000-0000-0000DC380000}"/>
    <cellStyle name="Обычный 5 2 108 3" xfId="13455" xr:uid="{00000000-0005-0000-0000-0000DD380000}"/>
    <cellStyle name="Обычный 5 2 108 4" xfId="18795" xr:uid="{00000000-0005-0000-0000-0000DE380000}"/>
    <cellStyle name="Обычный 5 2 108 5" xfId="24135" xr:uid="{00000000-0005-0000-0000-0000DF380000}"/>
    <cellStyle name="Обычный 5 2 108 6" xfId="29475" xr:uid="{00000000-0005-0000-0000-0000E0380000}"/>
    <cellStyle name="Обычный 5 2 108 7" xfId="34815" xr:uid="{00000000-0005-0000-0000-0000E1380000}"/>
    <cellStyle name="Обычный 5 2 108 8" xfId="40155" xr:uid="{00000000-0005-0000-0000-0000E2380000}"/>
    <cellStyle name="Обычный 5 2 108 9" xfId="45495" xr:uid="{00000000-0005-0000-0000-0000E3380000}"/>
    <cellStyle name="Обычный 5 2 109" xfId="2803" xr:uid="{00000000-0005-0000-0000-0000E4380000}"/>
    <cellStyle name="Обычный 5 2 109 10" xfId="50867" xr:uid="{00000000-0005-0000-0000-0000E5380000}"/>
    <cellStyle name="Обычный 5 2 109 2" xfId="8146" xr:uid="{00000000-0005-0000-0000-0000E6380000}"/>
    <cellStyle name="Обычный 5 2 109 2 2" xfId="56208" xr:uid="{00000000-0005-0000-0000-0000E7380000}"/>
    <cellStyle name="Обычный 5 2 109 3" xfId="13487" xr:uid="{00000000-0005-0000-0000-0000E8380000}"/>
    <cellStyle name="Обычный 5 2 109 4" xfId="18827" xr:uid="{00000000-0005-0000-0000-0000E9380000}"/>
    <cellStyle name="Обычный 5 2 109 5" xfId="24167" xr:uid="{00000000-0005-0000-0000-0000EA380000}"/>
    <cellStyle name="Обычный 5 2 109 6" xfId="29507" xr:uid="{00000000-0005-0000-0000-0000EB380000}"/>
    <cellStyle name="Обычный 5 2 109 7" xfId="34847" xr:uid="{00000000-0005-0000-0000-0000EC380000}"/>
    <cellStyle name="Обычный 5 2 109 8" xfId="40187" xr:uid="{00000000-0005-0000-0000-0000ED380000}"/>
    <cellStyle name="Обычный 5 2 109 9" xfId="45527" xr:uid="{00000000-0005-0000-0000-0000EE380000}"/>
    <cellStyle name="Обычный 5 2 11" xfId="188" xr:uid="{00000000-0005-0000-0000-0000EF380000}"/>
    <cellStyle name="Обычный 5 2 11 10" xfId="42910" xr:uid="{00000000-0005-0000-0000-0000F0380000}"/>
    <cellStyle name="Обычный 5 2 11 11" xfId="48250" xr:uid="{00000000-0005-0000-0000-0000F1380000}"/>
    <cellStyle name="Обычный 5 2 11 2" xfId="655" xr:uid="{00000000-0005-0000-0000-0000F2380000}"/>
    <cellStyle name="Обычный 5 2 11 2 10" xfId="48717" xr:uid="{00000000-0005-0000-0000-0000F3380000}"/>
    <cellStyle name="Обычный 5 2 11 2 2" xfId="5996" xr:uid="{00000000-0005-0000-0000-0000F4380000}"/>
    <cellStyle name="Обычный 5 2 11 2 2 2" xfId="54058" xr:uid="{00000000-0005-0000-0000-0000F5380000}"/>
    <cellStyle name="Обычный 5 2 11 2 3" xfId="11337" xr:uid="{00000000-0005-0000-0000-0000F6380000}"/>
    <cellStyle name="Обычный 5 2 11 2 4" xfId="16677" xr:uid="{00000000-0005-0000-0000-0000F7380000}"/>
    <cellStyle name="Обычный 5 2 11 2 5" xfId="22017" xr:uid="{00000000-0005-0000-0000-0000F8380000}"/>
    <cellStyle name="Обычный 5 2 11 2 6" xfId="27357" xr:uid="{00000000-0005-0000-0000-0000F9380000}"/>
    <cellStyle name="Обычный 5 2 11 2 7" xfId="32697" xr:uid="{00000000-0005-0000-0000-0000FA380000}"/>
    <cellStyle name="Обычный 5 2 11 2 8" xfId="38037" xr:uid="{00000000-0005-0000-0000-0000FB380000}"/>
    <cellStyle name="Обычный 5 2 11 2 9" xfId="43377" xr:uid="{00000000-0005-0000-0000-0000FC380000}"/>
    <cellStyle name="Обычный 5 2 11 3" xfId="5529" xr:uid="{00000000-0005-0000-0000-0000FD380000}"/>
    <cellStyle name="Обычный 5 2 11 3 2" xfId="53591" xr:uid="{00000000-0005-0000-0000-0000FE380000}"/>
    <cellStyle name="Обычный 5 2 11 4" xfId="10870" xr:uid="{00000000-0005-0000-0000-0000FF380000}"/>
    <cellStyle name="Обычный 5 2 11 5" xfId="16210" xr:uid="{00000000-0005-0000-0000-000000390000}"/>
    <cellStyle name="Обычный 5 2 11 6" xfId="21550" xr:uid="{00000000-0005-0000-0000-000001390000}"/>
    <cellStyle name="Обычный 5 2 11 7" xfId="26890" xr:uid="{00000000-0005-0000-0000-000002390000}"/>
    <cellStyle name="Обычный 5 2 11 8" xfId="32230" xr:uid="{00000000-0005-0000-0000-000003390000}"/>
    <cellStyle name="Обычный 5 2 11 9" xfId="37570" xr:uid="{00000000-0005-0000-0000-000004390000}"/>
    <cellStyle name="Обычный 5 2 110" xfId="2835" xr:uid="{00000000-0005-0000-0000-000005390000}"/>
    <cellStyle name="Обычный 5 2 110 10" xfId="50899" xr:uid="{00000000-0005-0000-0000-000006390000}"/>
    <cellStyle name="Обычный 5 2 110 2" xfId="8178" xr:uid="{00000000-0005-0000-0000-000007390000}"/>
    <cellStyle name="Обычный 5 2 110 2 2" xfId="56240" xr:uid="{00000000-0005-0000-0000-000008390000}"/>
    <cellStyle name="Обычный 5 2 110 3" xfId="13519" xr:uid="{00000000-0005-0000-0000-000009390000}"/>
    <cellStyle name="Обычный 5 2 110 4" xfId="18859" xr:uid="{00000000-0005-0000-0000-00000A390000}"/>
    <cellStyle name="Обычный 5 2 110 5" xfId="24199" xr:uid="{00000000-0005-0000-0000-00000B390000}"/>
    <cellStyle name="Обычный 5 2 110 6" xfId="29539" xr:uid="{00000000-0005-0000-0000-00000C390000}"/>
    <cellStyle name="Обычный 5 2 110 7" xfId="34879" xr:uid="{00000000-0005-0000-0000-00000D390000}"/>
    <cellStyle name="Обычный 5 2 110 8" xfId="40219" xr:uid="{00000000-0005-0000-0000-00000E390000}"/>
    <cellStyle name="Обычный 5 2 110 9" xfId="45559" xr:uid="{00000000-0005-0000-0000-00000F390000}"/>
    <cellStyle name="Обычный 5 2 111" xfId="2867" xr:uid="{00000000-0005-0000-0000-000010390000}"/>
    <cellStyle name="Обычный 5 2 111 10" xfId="50931" xr:uid="{00000000-0005-0000-0000-000011390000}"/>
    <cellStyle name="Обычный 5 2 111 2" xfId="8210" xr:uid="{00000000-0005-0000-0000-000012390000}"/>
    <cellStyle name="Обычный 5 2 111 2 2" xfId="56272" xr:uid="{00000000-0005-0000-0000-000013390000}"/>
    <cellStyle name="Обычный 5 2 111 3" xfId="13551" xr:uid="{00000000-0005-0000-0000-000014390000}"/>
    <cellStyle name="Обычный 5 2 111 4" xfId="18891" xr:uid="{00000000-0005-0000-0000-000015390000}"/>
    <cellStyle name="Обычный 5 2 111 5" xfId="24231" xr:uid="{00000000-0005-0000-0000-000016390000}"/>
    <cellStyle name="Обычный 5 2 111 6" xfId="29571" xr:uid="{00000000-0005-0000-0000-000017390000}"/>
    <cellStyle name="Обычный 5 2 111 7" xfId="34911" xr:uid="{00000000-0005-0000-0000-000018390000}"/>
    <cellStyle name="Обычный 5 2 111 8" xfId="40251" xr:uid="{00000000-0005-0000-0000-000019390000}"/>
    <cellStyle name="Обычный 5 2 111 9" xfId="45591" xr:uid="{00000000-0005-0000-0000-00001A390000}"/>
    <cellStyle name="Обычный 5 2 112" xfId="2899" xr:uid="{00000000-0005-0000-0000-00001B390000}"/>
    <cellStyle name="Обычный 5 2 112 10" xfId="50963" xr:uid="{00000000-0005-0000-0000-00001C390000}"/>
    <cellStyle name="Обычный 5 2 112 2" xfId="8242" xr:uid="{00000000-0005-0000-0000-00001D390000}"/>
    <cellStyle name="Обычный 5 2 112 2 2" xfId="56304" xr:uid="{00000000-0005-0000-0000-00001E390000}"/>
    <cellStyle name="Обычный 5 2 112 3" xfId="13583" xr:uid="{00000000-0005-0000-0000-00001F390000}"/>
    <cellStyle name="Обычный 5 2 112 4" xfId="18923" xr:uid="{00000000-0005-0000-0000-000020390000}"/>
    <cellStyle name="Обычный 5 2 112 5" xfId="24263" xr:uid="{00000000-0005-0000-0000-000021390000}"/>
    <cellStyle name="Обычный 5 2 112 6" xfId="29603" xr:uid="{00000000-0005-0000-0000-000022390000}"/>
    <cellStyle name="Обычный 5 2 112 7" xfId="34943" xr:uid="{00000000-0005-0000-0000-000023390000}"/>
    <cellStyle name="Обычный 5 2 112 8" xfId="40283" xr:uid="{00000000-0005-0000-0000-000024390000}"/>
    <cellStyle name="Обычный 5 2 112 9" xfId="45623" xr:uid="{00000000-0005-0000-0000-000025390000}"/>
    <cellStyle name="Обычный 5 2 113" xfId="2931" xr:uid="{00000000-0005-0000-0000-000026390000}"/>
    <cellStyle name="Обычный 5 2 113 10" xfId="50995" xr:uid="{00000000-0005-0000-0000-000027390000}"/>
    <cellStyle name="Обычный 5 2 113 2" xfId="8274" xr:uid="{00000000-0005-0000-0000-000028390000}"/>
    <cellStyle name="Обычный 5 2 113 2 2" xfId="56336" xr:uid="{00000000-0005-0000-0000-000029390000}"/>
    <cellStyle name="Обычный 5 2 113 3" xfId="13615" xr:uid="{00000000-0005-0000-0000-00002A390000}"/>
    <cellStyle name="Обычный 5 2 113 4" xfId="18955" xr:uid="{00000000-0005-0000-0000-00002B390000}"/>
    <cellStyle name="Обычный 5 2 113 5" xfId="24295" xr:uid="{00000000-0005-0000-0000-00002C390000}"/>
    <cellStyle name="Обычный 5 2 113 6" xfId="29635" xr:uid="{00000000-0005-0000-0000-00002D390000}"/>
    <cellStyle name="Обычный 5 2 113 7" xfId="34975" xr:uid="{00000000-0005-0000-0000-00002E390000}"/>
    <cellStyle name="Обычный 5 2 113 8" xfId="40315" xr:uid="{00000000-0005-0000-0000-00002F390000}"/>
    <cellStyle name="Обычный 5 2 113 9" xfId="45655" xr:uid="{00000000-0005-0000-0000-000030390000}"/>
    <cellStyle name="Обычный 5 2 114" xfId="2963" xr:uid="{00000000-0005-0000-0000-000031390000}"/>
    <cellStyle name="Обычный 5 2 114 10" xfId="51027" xr:uid="{00000000-0005-0000-0000-000032390000}"/>
    <cellStyle name="Обычный 5 2 114 2" xfId="8306" xr:uid="{00000000-0005-0000-0000-000033390000}"/>
    <cellStyle name="Обычный 5 2 114 2 2" xfId="56368" xr:uid="{00000000-0005-0000-0000-000034390000}"/>
    <cellStyle name="Обычный 5 2 114 3" xfId="13647" xr:uid="{00000000-0005-0000-0000-000035390000}"/>
    <cellStyle name="Обычный 5 2 114 4" xfId="18987" xr:uid="{00000000-0005-0000-0000-000036390000}"/>
    <cellStyle name="Обычный 5 2 114 5" xfId="24327" xr:uid="{00000000-0005-0000-0000-000037390000}"/>
    <cellStyle name="Обычный 5 2 114 6" xfId="29667" xr:uid="{00000000-0005-0000-0000-000038390000}"/>
    <cellStyle name="Обычный 5 2 114 7" xfId="35007" xr:uid="{00000000-0005-0000-0000-000039390000}"/>
    <cellStyle name="Обычный 5 2 114 8" xfId="40347" xr:uid="{00000000-0005-0000-0000-00003A390000}"/>
    <cellStyle name="Обычный 5 2 114 9" xfId="45687" xr:uid="{00000000-0005-0000-0000-00003B390000}"/>
    <cellStyle name="Обычный 5 2 115" xfId="2995" xr:uid="{00000000-0005-0000-0000-00003C390000}"/>
    <cellStyle name="Обычный 5 2 115 10" xfId="51059" xr:uid="{00000000-0005-0000-0000-00003D390000}"/>
    <cellStyle name="Обычный 5 2 115 2" xfId="8338" xr:uid="{00000000-0005-0000-0000-00003E390000}"/>
    <cellStyle name="Обычный 5 2 115 2 2" xfId="56400" xr:uid="{00000000-0005-0000-0000-00003F390000}"/>
    <cellStyle name="Обычный 5 2 115 3" xfId="13679" xr:uid="{00000000-0005-0000-0000-000040390000}"/>
    <cellStyle name="Обычный 5 2 115 4" xfId="19019" xr:uid="{00000000-0005-0000-0000-000041390000}"/>
    <cellStyle name="Обычный 5 2 115 5" xfId="24359" xr:uid="{00000000-0005-0000-0000-000042390000}"/>
    <cellStyle name="Обычный 5 2 115 6" xfId="29699" xr:uid="{00000000-0005-0000-0000-000043390000}"/>
    <cellStyle name="Обычный 5 2 115 7" xfId="35039" xr:uid="{00000000-0005-0000-0000-000044390000}"/>
    <cellStyle name="Обычный 5 2 115 8" xfId="40379" xr:uid="{00000000-0005-0000-0000-000045390000}"/>
    <cellStyle name="Обычный 5 2 115 9" xfId="45719" xr:uid="{00000000-0005-0000-0000-000046390000}"/>
    <cellStyle name="Обычный 5 2 116" xfId="3027" xr:uid="{00000000-0005-0000-0000-000047390000}"/>
    <cellStyle name="Обычный 5 2 116 10" xfId="51091" xr:uid="{00000000-0005-0000-0000-000048390000}"/>
    <cellStyle name="Обычный 5 2 116 2" xfId="8370" xr:uid="{00000000-0005-0000-0000-000049390000}"/>
    <cellStyle name="Обычный 5 2 116 2 2" xfId="56432" xr:uid="{00000000-0005-0000-0000-00004A390000}"/>
    <cellStyle name="Обычный 5 2 116 3" xfId="13711" xr:uid="{00000000-0005-0000-0000-00004B390000}"/>
    <cellStyle name="Обычный 5 2 116 4" xfId="19051" xr:uid="{00000000-0005-0000-0000-00004C390000}"/>
    <cellStyle name="Обычный 5 2 116 5" xfId="24391" xr:uid="{00000000-0005-0000-0000-00004D390000}"/>
    <cellStyle name="Обычный 5 2 116 6" xfId="29731" xr:uid="{00000000-0005-0000-0000-00004E390000}"/>
    <cellStyle name="Обычный 5 2 116 7" xfId="35071" xr:uid="{00000000-0005-0000-0000-00004F390000}"/>
    <cellStyle name="Обычный 5 2 116 8" xfId="40411" xr:uid="{00000000-0005-0000-0000-000050390000}"/>
    <cellStyle name="Обычный 5 2 116 9" xfId="45751" xr:uid="{00000000-0005-0000-0000-000051390000}"/>
    <cellStyle name="Обычный 5 2 117" xfId="3059" xr:uid="{00000000-0005-0000-0000-000052390000}"/>
    <cellStyle name="Обычный 5 2 117 10" xfId="51123" xr:uid="{00000000-0005-0000-0000-000053390000}"/>
    <cellStyle name="Обычный 5 2 117 2" xfId="8402" xr:uid="{00000000-0005-0000-0000-000054390000}"/>
    <cellStyle name="Обычный 5 2 117 2 2" xfId="56464" xr:uid="{00000000-0005-0000-0000-000055390000}"/>
    <cellStyle name="Обычный 5 2 117 3" xfId="13743" xr:uid="{00000000-0005-0000-0000-000056390000}"/>
    <cellStyle name="Обычный 5 2 117 4" xfId="19083" xr:uid="{00000000-0005-0000-0000-000057390000}"/>
    <cellStyle name="Обычный 5 2 117 5" xfId="24423" xr:uid="{00000000-0005-0000-0000-000058390000}"/>
    <cellStyle name="Обычный 5 2 117 6" xfId="29763" xr:uid="{00000000-0005-0000-0000-000059390000}"/>
    <cellStyle name="Обычный 5 2 117 7" xfId="35103" xr:uid="{00000000-0005-0000-0000-00005A390000}"/>
    <cellStyle name="Обычный 5 2 117 8" xfId="40443" xr:uid="{00000000-0005-0000-0000-00005B390000}"/>
    <cellStyle name="Обычный 5 2 117 9" xfId="45783" xr:uid="{00000000-0005-0000-0000-00005C390000}"/>
    <cellStyle name="Обычный 5 2 118" xfId="3091" xr:uid="{00000000-0005-0000-0000-00005D390000}"/>
    <cellStyle name="Обычный 5 2 118 10" xfId="51155" xr:uid="{00000000-0005-0000-0000-00005E390000}"/>
    <cellStyle name="Обычный 5 2 118 2" xfId="8434" xr:uid="{00000000-0005-0000-0000-00005F390000}"/>
    <cellStyle name="Обычный 5 2 118 2 2" xfId="56496" xr:uid="{00000000-0005-0000-0000-000060390000}"/>
    <cellStyle name="Обычный 5 2 118 3" xfId="13775" xr:uid="{00000000-0005-0000-0000-000061390000}"/>
    <cellStyle name="Обычный 5 2 118 4" xfId="19115" xr:uid="{00000000-0005-0000-0000-000062390000}"/>
    <cellStyle name="Обычный 5 2 118 5" xfId="24455" xr:uid="{00000000-0005-0000-0000-000063390000}"/>
    <cellStyle name="Обычный 5 2 118 6" xfId="29795" xr:uid="{00000000-0005-0000-0000-000064390000}"/>
    <cellStyle name="Обычный 5 2 118 7" xfId="35135" xr:uid="{00000000-0005-0000-0000-000065390000}"/>
    <cellStyle name="Обычный 5 2 118 8" xfId="40475" xr:uid="{00000000-0005-0000-0000-000066390000}"/>
    <cellStyle name="Обычный 5 2 118 9" xfId="45815" xr:uid="{00000000-0005-0000-0000-000067390000}"/>
    <cellStyle name="Обычный 5 2 119" xfId="3124" xr:uid="{00000000-0005-0000-0000-000068390000}"/>
    <cellStyle name="Обычный 5 2 119 10" xfId="51187" xr:uid="{00000000-0005-0000-0000-000069390000}"/>
    <cellStyle name="Обычный 5 2 119 2" xfId="8467" xr:uid="{00000000-0005-0000-0000-00006A390000}"/>
    <cellStyle name="Обычный 5 2 119 2 2" xfId="56528" xr:uid="{00000000-0005-0000-0000-00006B390000}"/>
    <cellStyle name="Обычный 5 2 119 3" xfId="13807" xr:uid="{00000000-0005-0000-0000-00006C390000}"/>
    <cellStyle name="Обычный 5 2 119 4" xfId="19147" xr:uid="{00000000-0005-0000-0000-00006D390000}"/>
    <cellStyle name="Обычный 5 2 119 5" xfId="24487" xr:uid="{00000000-0005-0000-0000-00006E390000}"/>
    <cellStyle name="Обычный 5 2 119 6" xfId="29827" xr:uid="{00000000-0005-0000-0000-00006F390000}"/>
    <cellStyle name="Обычный 5 2 119 7" xfId="35167" xr:uid="{00000000-0005-0000-0000-000070390000}"/>
    <cellStyle name="Обычный 5 2 119 8" xfId="40507" xr:uid="{00000000-0005-0000-0000-000071390000}"/>
    <cellStyle name="Обычный 5 2 119 9" xfId="45847" xr:uid="{00000000-0005-0000-0000-000072390000}"/>
    <cellStyle name="Обычный 5 2 12" xfId="198" xr:uid="{00000000-0005-0000-0000-000073390000}"/>
    <cellStyle name="Обычный 5 2 12 10" xfId="42920" xr:uid="{00000000-0005-0000-0000-000074390000}"/>
    <cellStyle name="Обычный 5 2 12 11" xfId="48260" xr:uid="{00000000-0005-0000-0000-000075390000}"/>
    <cellStyle name="Обычный 5 2 12 2" xfId="665" xr:uid="{00000000-0005-0000-0000-000076390000}"/>
    <cellStyle name="Обычный 5 2 12 2 10" xfId="48727" xr:uid="{00000000-0005-0000-0000-000077390000}"/>
    <cellStyle name="Обычный 5 2 12 2 2" xfId="6006" xr:uid="{00000000-0005-0000-0000-000078390000}"/>
    <cellStyle name="Обычный 5 2 12 2 2 2" xfId="54068" xr:uid="{00000000-0005-0000-0000-000079390000}"/>
    <cellStyle name="Обычный 5 2 12 2 3" xfId="11347" xr:uid="{00000000-0005-0000-0000-00007A390000}"/>
    <cellStyle name="Обычный 5 2 12 2 4" xfId="16687" xr:uid="{00000000-0005-0000-0000-00007B390000}"/>
    <cellStyle name="Обычный 5 2 12 2 5" xfId="22027" xr:uid="{00000000-0005-0000-0000-00007C390000}"/>
    <cellStyle name="Обычный 5 2 12 2 6" xfId="27367" xr:uid="{00000000-0005-0000-0000-00007D390000}"/>
    <cellStyle name="Обычный 5 2 12 2 7" xfId="32707" xr:uid="{00000000-0005-0000-0000-00007E390000}"/>
    <cellStyle name="Обычный 5 2 12 2 8" xfId="38047" xr:uid="{00000000-0005-0000-0000-00007F390000}"/>
    <cellStyle name="Обычный 5 2 12 2 9" xfId="43387" xr:uid="{00000000-0005-0000-0000-000080390000}"/>
    <cellStyle name="Обычный 5 2 12 3" xfId="5539" xr:uid="{00000000-0005-0000-0000-000081390000}"/>
    <cellStyle name="Обычный 5 2 12 3 2" xfId="53601" xr:uid="{00000000-0005-0000-0000-000082390000}"/>
    <cellStyle name="Обычный 5 2 12 4" xfId="10880" xr:uid="{00000000-0005-0000-0000-000083390000}"/>
    <cellStyle name="Обычный 5 2 12 5" xfId="16220" xr:uid="{00000000-0005-0000-0000-000084390000}"/>
    <cellStyle name="Обычный 5 2 12 6" xfId="21560" xr:uid="{00000000-0005-0000-0000-000085390000}"/>
    <cellStyle name="Обычный 5 2 12 7" xfId="26900" xr:uid="{00000000-0005-0000-0000-000086390000}"/>
    <cellStyle name="Обычный 5 2 12 8" xfId="32240" xr:uid="{00000000-0005-0000-0000-000087390000}"/>
    <cellStyle name="Обычный 5 2 12 9" xfId="37580" xr:uid="{00000000-0005-0000-0000-000088390000}"/>
    <cellStyle name="Обычный 5 2 120" xfId="3156" xr:uid="{00000000-0005-0000-0000-000089390000}"/>
    <cellStyle name="Обычный 5 2 120 10" xfId="51219" xr:uid="{00000000-0005-0000-0000-00008A390000}"/>
    <cellStyle name="Обычный 5 2 120 2" xfId="8499" xr:uid="{00000000-0005-0000-0000-00008B390000}"/>
    <cellStyle name="Обычный 5 2 120 2 2" xfId="56560" xr:uid="{00000000-0005-0000-0000-00008C390000}"/>
    <cellStyle name="Обычный 5 2 120 3" xfId="13839" xr:uid="{00000000-0005-0000-0000-00008D390000}"/>
    <cellStyle name="Обычный 5 2 120 4" xfId="19179" xr:uid="{00000000-0005-0000-0000-00008E390000}"/>
    <cellStyle name="Обычный 5 2 120 5" xfId="24519" xr:uid="{00000000-0005-0000-0000-00008F390000}"/>
    <cellStyle name="Обычный 5 2 120 6" xfId="29859" xr:uid="{00000000-0005-0000-0000-000090390000}"/>
    <cellStyle name="Обычный 5 2 120 7" xfId="35199" xr:uid="{00000000-0005-0000-0000-000091390000}"/>
    <cellStyle name="Обычный 5 2 120 8" xfId="40539" xr:uid="{00000000-0005-0000-0000-000092390000}"/>
    <cellStyle name="Обычный 5 2 120 9" xfId="45879" xr:uid="{00000000-0005-0000-0000-000093390000}"/>
    <cellStyle name="Обычный 5 2 121" xfId="3188" xr:uid="{00000000-0005-0000-0000-000094390000}"/>
    <cellStyle name="Обычный 5 2 121 10" xfId="51251" xr:uid="{00000000-0005-0000-0000-000095390000}"/>
    <cellStyle name="Обычный 5 2 121 2" xfId="8531" xr:uid="{00000000-0005-0000-0000-000096390000}"/>
    <cellStyle name="Обычный 5 2 121 2 2" xfId="56592" xr:uid="{00000000-0005-0000-0000-000097390000}"/>
    <cellStyle name="Обычный 5 2 121 3" xfId="13871" xr:uid="{00000000-0005-0000-0000-000098390000}"/>
    <cellStyle name="Обычный 5 2 121 4" xfId="19211" xr:uid="{00000000-0005-0000-0000-000099390000}"/>
    <cellStyle name="Обычный 5 2 121 5" xfId="24551" xr:uid="{00000000-0005-0000-0000-00009A390000}"/>
    <cellStyle name="Обычный 5 2 121 6" xfId="29891" xr:uid="{00000000-0005-0000-0000-00009B390000}"/>
    <cellStyle name="Обычный 5 2 121 7" xfId="35231" xr:uid="{00000000-0005-0000-0000-00009C390000}"/>
    <cellStyle name="Обычный 5 2 121 8" xfId="40571" xr:uid="{00000000-0005-0000-0000-00009D390000}"/>
    <cellStyle name="Обычный 5 2 121 9" xfId="45911" xr:uid="{00000000-0005-0000-0000-00009E390000}"/>
    <cellStyle name="Обычный 5 2 122" xfId="3220" xr:uid="{00000000-0005-0000-0000-00009F390000}"/>
    <cellStyle name="Обычный 5 2 122 10" xfId="51283" xr:uid="{00000000-0005-0000-0000-0000A0390000}"/>
    <cellStyle name="Обычный 5 2 122 2" xfId="8563" xr:uid="{00000000-0005-0000-0000-0000A1390000}"/>
    <cellStyle name="Обычный 5 2 122 2 2" xfId="56624" xr:uid="{00000000-0005-0000-0000-0000A2390000}"/>
    <cellStyle name="Обычный 5 2 122 3" xfId="13903" xr:uid="{00000000-0005-0000-0000-0000A3390000}"/>
    <cellStyle name="Обычный 5 2 122 4" xfId="19243" xr:uid="{00000000-0005-0000-0000-0000A4390000}"/>
    <cellStyle name="Обычный 5 2 122 5" xfId="24583" xr:uid="{00000000-0005-0000-0000-0000A5390000}"/>
    <cellStyle name="Обычный 5 2 122 6" xfId="29923" xr:uid="{00000000-0005-0000-0000-0000A6390000}"/>
    <cellStyle name="Обычный 5 2 122 7" xfId="35263" xr:uid="{00000000-0005-0000-0000-0000A7390000}"/>
    <cellStyle name="Обычный 5 2 122 8" xfId="40603" xr:uid="{00000000-0005-0000-0000-0000A8390000}"/>
    <cellStyle name="Обычный 5 2 122 9" xfId="45943" xr:uid="{00000000-0005-0000-0000-0000A9390000}"/>
    <cellStyle name="Обычный 5 2 123" xfId="3252" xr:uid="{00000000-0005-0000-0000-0000AA390000}"/>
    <cellStyle name="Обычный 5 2 123 10" xfId="51315" xr:uid="{00000000-0005-0000-0000-0000AB390000}"/>
    <cellStyle name="Обычный 5 2 123 2" xfId="8595" xr:uid="{00000000-0005-0000-0000-0000AC390000}"/>
    <cellStyle name="Обычный 5 2 123 2 2" xfId="56656" xr:uid="{00000000-0005-0000-0000-0000AD390000}"/>
    <cellStyle name="Обычный 5 2 123 3" xfId="13935" xr:uid="{00000000-0005-0000-0000-0000AE390000}"/>
    <cellStyle name="Обычный 5 2 123 4" xfId="19275" xr:uid="{00000000-0005-0000-0000-0000AF390000}"/>
    <cellStyle name="Обычный 5 2 123 5" xfId="24615" xr:uid="{00000000-0005-0000-0000-0000B0390000}"/>
    <cellStyle name="Обычный 5 2 123 6" xfId="29955" xr:uid="{00000000-0005-0000-0000-0000B1390000}"/>
    <cellStyle name="Обычный 5 2 123 7" xfId="35295" xr:uid="{00000000-0005-0000-0000-0000B2390000}"/>
    <cellStyle name="Обычный 5 2 123 8" xfId="40635" xr:uid="{00000000-0005-0000-0000-0000B3390000}"/>
    <cellStyle name="Обычный 5 2 123 9" xfId="45975" xr:uid="{00000000-0005-0000-0000-0000B4390000}"/>
    <cellStyle name="Обычный 5 2 124" xfId="3284" xr:uid="{00000000-0005-0000-0000-0000B5390000}"/>
    <cellStyle name="Обычный 5 2 124 10" xfId="51347" xr:uid="{00000000-0005-0000-0000-0000B6390000}"/>
    <cellStyle name="Обычный 5 2 124 2" xfId="8627" xr:uid="{00000000-0005-0000-0000-0000B7390000}"/>
    <cellStyle name="Обычный 5 2 124 2 2" xfId="56688" xr:uid="{00000000-0005-0000-0000-0000B8390000}"/>
    <cellStyle name="Обычный 5 2 124 3" xfId="13967" xr:uid="{00000000-0005-0000-0000-0000B9390000}"/>
    <cellStyle name="Обычный 5 2 124 4" xfId="19307" xr:uid="{00000000-0005-0000-0000-0000BA390000}"/>
    <cellStyle name="Обычный 5 2 124 5" xfId="24647" xr:uid="{00000000-0005-0000-0000-0000BB390000}"/>
    <cellStyle name="Обычный 5 2 124 6" xfId="29987" xr:uid="{00000000-0005-0000-0000-0000BC390000}"/>
    <cellStyle name="Обычный 5 2 124 7" xfId="35327" xr:uid="{00000000-0005-0000-0000-0000BD390000}"/>
    <cellStyle name="Обычный 5 2 124 8" xfId="40667" xr:uid="{00000000-0005-0000-0000-0000BE390000}"/>
    <cellStyle name="Обычный 5 2 124 9" xfId="46007" xr:uid="{00000000-0005-0000-0000-0000BF390000}"/>
    <cellStyle name="Обычный 5 2 125" xfId="3316" xr:uid="{00000000-0005-0000-0000-0000C0390000}"/>
    <cellStyle name="Обычный 5 2 125 10" xfId="51379" xr:uid="{00000000-0005-0000-0000-0000C1390000}"/>
    <cellStyle name="Обычный 5 2 125 2" xfId="8659" xr:uid="{00000000-0005-0000-0000-0000C2390000}"/>
    <cellStyle name="Обычный 5 2 125 2 2" xfId="56720" xr:uid="{00000000-0005-0000-0000-0000C3390000}"/>
    <cellStyle name="Обычный 5 2 125 3" xfId="13999" xr:uid="{00000000-0005-0000-0000-0000C4390000}"/>
    <cellStyle name="Обычный 5 2 125 4" xfId="19339" xr:uid="{00000000-0005-0000-0000-0000C5390000}"/>
    <cellStyle name="Обычный 5 2 125 5" xfId="24679" xr:uid="{00000000-0005-0000-0000-0000C6390000}"/>
    <cellStyle name="Обычный 5 2 125 6" xfId="30019" xr:uid="{00000000-0005-0000-0000-0000C7390000}"/>
    <cellStyle name="Обычный 5 2 125 7" xfId="35359" xr:uid="{00000000-0005-0000-0000-0000C8390000}"/>
    <cellStyle name="Обычный 5 2 125 8" xfId="40699" xr:uid="{00000000-0005-0000-0000-0000C9390000}"/>
    <cellStyle name="Обычный 5 2 125 9" xfId="46039" xr:uid="{00000000-0005-0000-0000-0000CA390000}"/>
    <cellStyle name="Обычный 5 2 126" xfId="3348" xr:uid="{00000000-0005-0000-0000-0000CB390000}"/>
    <cellStyle name="Обычный 5 2 126 10" xfId="51411" xr:uid="{00000000-0005-0000-0000-0000CC390000}"/>
    <cellStyle name="Обычный 5 2 126 2" xfId="8691" xr:uid="{00000000-0005-0000-0000-0000CD390000}"/>
    <cellStyle name="Обычный 5 2 126 2 2" xfId="56752" xr:uid="{00000000-0005-0000-0000-0000CE390000}"/>
    <cellStyle name="Обычный 5 2 126 3" xfId="14031" xr:uid="{00000000-0005-0000-0000-0000CF390000}"/>
    <cellStyle name="Обычный 5 2 126 4" xfId="19371" xr:uid="{00000000-0005-0000-0000-0000D0390000}"/>
    <cellStyle name="Обычный 5 2 126 5" xfId="24711" xr:uid="{00000000-0005-0000-0000-0000D1390000}"/>
    <cellStyle name="Обычный 5 2 126 6" xfId="30051" xr:uid="{00000000-0005-0000-0000-0000D2390000}"/>
    <cellStyle name="Обычный 5 2 126 7" xfId="35391" xr:uid="{00000000-0005-0000-0000-0000D3390000}"/>
    <cellStyle name="Обычный 5 2 126 8" xfId="40731" xr:uid="{00000000-0005-0000-0000-0000D4390000}"/>
    <cellStyle name="Обычный 5 2 126 9" xfId="46071" xr:uid="{00000000-0005-0000-0000-0000D5390000}"/>
    <cellStyle name="Обычный 5 2 127" xfId="3380" xr:uid="{00000000-0005-0000-0000-0000D6390000}"/>
    <cellStyle name="Обычный 5 2 127 10" xfId="51443" xr:uid="{00000000-0005-0000-0000-0000D7390000}"/>
    <cellStyle name="Обычный 5 2 127 2" xfId="8723" xr:uid="{00000000-0005-0000-0000-0000D8390000}"/>
    <cellStyle name="Обычный 5 2 127 2 2" xfId="56784" xr:uid="{00000000-0005-0000-0000-0000D9390000}"/>
    <cellStyle name="Обычный 5 2 127 3" xfId="14063" xr:uid="{00000000-0005-0000-0000-0000DA390000}"/>
    <cellStyle name="Обычный 5 2 127 4" xfId="19403" xr:uid="{00000000-0005-0000-0000-0000DB390000}"/>
    <cellStyle name="Обычный 5 2 127 5" xfId="24743" xr:uid="{00000000-0005-0000-0000-0000DC390000}"/>
    <cellStyle name="Обычный 5 2 127 6" xfId="30083" xr:uid="{00000000-0005-0000-0000-0000DD390000}"/>
    <cellStyle name="Обычный 5 2 127 7" xfId="35423" xr:uid="{00000000-0005-0000-0000-0000DE390000}"/>
    <cellStyle name="Обычный 5 2 127 8" xfId="40763" xr:uid="{00000000-0005-0000-0000-0000DF390000}"/>
    <cellStyle name="Обычный 5 2 127 9" xfId="46103" xr:uid="{00000000-0005-0000-0000-0000E0390000}"/>
    <cellStyle name="Обычный 5 2 128" xfId="3412" xr:uid="{00000000-0005-0000-0000-0000E1390000}"/>
    <cellStyle name="Обычный 5 2 128 10" xfId="51475" xr:uid="{00000000-0005-0000-0000-0000E2390000}"/>
    <cellStyle name="Обычный 5 2 128 2" xfId="8755" xr:uid="{00000000-0005-0000-0000-0000E3390000}"/>
    <cellStyle name="Обычный 5 2 128 2 2" xfId="56816" xr:uid="{00000000-0005-0000-0000-0000E4390000}"/>
    <cellStyle name="Обычный 5 2 128 3" xfId="14095" xr:uid="{00000000-0005-0000-0000-0000E5390000}"/>
    <cellStyle name="Обычный 5 2 128 4" xfId="19435" xr:uid="{00000000-0005-0000-0000-0000E6390000}"/>
    <cellStyle name="Обычный 5 2 128 5" xfId="24775" xr:uid="{00000000-0005-0000-0000-0000E7390000}"/>
    <cellStyle name="Обычный 5 2 128 6" xfId="30115" xr:uid="{00000000-0005-0000-0000-0000E8390000}"/>
    <cellStyle name="Обычный 5 2 128 7" xfId="35455" xr:uid="{00000000-0005-0000-0000-0000E9390000}"/>
    <cellStyle name="Обычный 5 2 128 8" xfId="40795" xr:uid="{00000000-0005-0000-0000-0000EA390000}"/>
    <cellStyle name="Обычный 5 2 128 9" xfId="46135" xr:uid="{00000000-0005-0000-0000-0000EB390000}"/>
    <cellStyle name="Обычный 5 2 129" xfId="3444" xr:uid="{00000000-0005-0000-0000-0000EC390000}"/>
    <cellStyle name="Обычный 5 2 129 10" xfId="51507" xr:uid="{00000000-0005-0000-0000-0000ED390000}"/>
    <cellStyle name="Обычный 5 2 129 2" xfId="8787" xr:uid="{00000000-0005-0000-0000-0000EE390000}"/>
    <cellStyle name="Обычный 5 2 129 2 2" xfId="56848" xr:uid="{00000000-0005-0000-0000-0000EF390000}"/>
    <cellStyle name="Обычный 5 2 129 3" xfId="14127" xr:uid="{00000000-0005-0000-0000-0000F0390000}"/>
    <cellStyle name="Обычный 5 2 129 4" xfId="19467" xr:uid="{00000000-0005-0000-0000-0000F1390000}"/>
    <cellStyle name="Обычный 5 2 129 5" xfId="24807" xr:uid="{00000000-0005-0000-0000-0000F2390000}"/>
    <cellStyle name="Обычный 5 2 129 6" xfId="30147" xr:uid="{00000000-0005-0000-0000-0000F3390000}"/>
    <cellStyle name="Обычный 5 2 129 7" xfId="35487" xr:uid="{00000000-0005-0000-0000-0000F4390000}"/>
    <cellStyle name="Обычный 5 2 129 8" xfId="40827" xr:uid="{00000000-0005-0000-0000-0000F5390000}"/>
    <cellStyle name="Обычный 5 2 129 9" xfId="46167" xr:uid="{00000000-0005-0000-0000-0000F6390000}"/>
    <cellStyle name="Обычный 5 2 13" xfId="208" xr:uid="{00000000-0005-0000-0000-0000F7390000}"/>
    <cellStyle name="Обычный 5 2 13 10" xfId="42930" xr:uid="{00000000-0005-0000-0000-0000F8390000}"/>
    <cellStyle name="Обычный 5 2 13 11" xfId="48270" xr:uid="{00000000-0005-0000-0000-0000F9390000}"/>
    <cellStyle name="Обычный 5 2 13 2" xfId="675" xr:uid="{00000000-0005-0000-0000-0000FA390000}"/>
    <cellStyle name="Обычный 5 2 13 2 10" xfId="48737" xr:uid="{00000000-0005-0000-0000-0000FB390000}"/>
    <cellStyle name="Обычный 5 2 13 2 2" xfId="6016" xr:uid="{00000000-0005-0000-0000-0000FC390000}"/>
    <cellStyle name="Обычный 5 2 13 2 2 2" xfId="54078" xr:uid="{00000000-0005-0000-0000-0000FD390000}"/>
    <cellStyle name="Обычный 5 2 13 2 3" xfId="11357" xr:uid="{00000000-0005-0000-0000-0000FE390000}"/>
    <cellStyle name="Обычный 5 2 13 2 4" xfId="16697" xr:uid="{00000000-0005-0000-0000-0000FF390000}"/>
    <cellStyle name="Обычный 5 2 13 2 5" xfId="22037" xr:uid="{00000000-0005-0000-0000-0000003A0000}"/>
    <cellStyle name="Обычный 5 2 13 2 6" xfId="27377" xr:uid="{00000000-0005-0000-0000-0000013A0000}"/>
    <cellStyle name="Обычный 5 2 13 2 7" xfId="32717" xr:uid="{00000000-0005-0000-0000-0000023A0000}"/>
    <cellStyle name="Обычный 5 2 13 2 8" xfId="38057" xr:uid="{00000000-0005-0000-0000-0000033A0000}"/>
    <cellStyle name="Обычный 5 2 13 2 9" xfId="43397" xr:uid="{00000000-0005-0000-0000-0000043A0000}"/>
    <cellStyle name="Обычный 5 2 13 3" xfId="5549" xr:uid="{00000000-0005-0000-0000-0000053A0000}"/>
    <cellStyle name="Обычный 5 2 13 3 2" xfId="53611" xr:uid="{00000000-0005-0000-0000-0000063A0000}"/>
    <cellStyle name="Обычный 5 2 13 4" xfId="10890" xr:uid="{00000000-0005-0000-0000-0000073A0000}"/>
    <cellStyle name="Обычный 5 2 13 5" xfId="16230" xr:uid="{00000000-0005-0000-0000-0000083A0000}"/>
    <cellStyle name="Обычный 5 2 13 6" xfId="21570" xr:uid="{00000000-0005-0000-0000-0000093A0000}"/>
    <cellStyle name="Обычный 5 2 13 7" xfId="26910" xr:uid="{00000000-0005-0000-0000-00000A3A0000}"/>
    <cellStyle name="Обычный 5 2 13 8" xfId="32250" xr:uid="{00000000-0005-0000-0000-00000B3A0000}"/>
    <cellStyle name="Обычный 5 2 13 9" xfId="37590" xr:uid="{00000000-0005-0000-0000-00000C3A0000}"/>
    <cellStyle name="Обычный 5 2 130" xfId="3476" xr:uid="{00000000-0005-0000-0000-00000D3A0000}"/>
    <cellStyle name="Обычный 5 2 130 10" xfId="51539" xr:uid="{00000000-0005-0000-0000-00000E3A0000}"/>
    <cellStyle name="Обычный 5 2 130 2" xfId="8819" xr:uid="{00000000-0005-0000-0000-00000F3A0000}"/>
    <cellStyle name="Обычный 5 2 130 2 2" xfId="56880" xr:uid="{00000000-0005-0000-0000-0000103A0000}"/>
    <cellStyle name="Обычный 5 2 130 3" xfId="14159" xr:uid="{00000000-0005-0000-0000-0000113A0000}"/>
    <cellStyle name="Обычный 5 2 130 4" xfId="19499" xr:uid="{00000000-0005-0000-0000-0000123A0000}"/>
    <cellStyle name="Обычный 5 2 130 5" xfId="24839" xr:uid="{00000000-0005-0000-0000-0000133A0000}"/>
    <cellStyle name="Обычный 5 2 130 6" xfId="30179" xr:uid="{00000000-0005-0000-0000-0000143A0000}"/>
    <cellStyle name="Обычный 5 2 130 7" xfId="35519" xr:uid="{00000000-0005-0000-0000-0000153A0000}"/>
    <cellStyle name="Обычный 5 2 130 8" xfId="40859" xr:uid="{00000000-0005-0000-0000-0000163A0000}"/>
    <cellStyle name="Обычный 5 2 130 9" xfId="46199" xr:uid="{00000000-0005-0000-0000-0000173A0000}"/>
    <cellStyle name="Обычный 5 2 131" xfId="3508" xr:uid="{00000000-0005-0000-0000-0000183A0000}"/>
    <cellStyle name="Обычный 5 2 131 10" xfId="51571" xr:uid="{00000000-0005-0000-0000-0000193A0000}"/>
    <cellStyle name="Обычный 5 2 131 2" xfId="8851" xr:uid="{00000000-0005-0000-0000-00001A3A0000}"/>
    <cellStyle name="Обычный 5 2 131 2 2" xfId="56912" xr:uid="{00000000-0005-0000-0000-00001B3A0000}"/>
    <cellStyle name="Обычный 5 2 131 3" xfId="14191" xr:uid="{00000000-0005-0000-0000-00001C3A0000}"/>
    <cellStyle name="Обычный 5 2 131 4" xfId="19531" xr:uid="{00000000-0005-0000-0000-00001D3A0000}"/>
    <cellStyle name="Обычный 5 2 131 5" xfId="24871" xr:uid="{00000000-0005-0000-0000-00001E3A0000}"/>
    <cellStyle name="Обычный 5 2 131 6" xfId="30211" xr:uid="{00000000-0005-0000-0000-00001F3A0000}"/>
    <cellStyle name="Обычный 5 2 131 7" xfId="35551" xr:uid="{00000000-0005-0000-0000-0000203A0000}"/>
    <cellStyle name="Обычный 5 2 131 8" xfId="40891" xr:uid="{00000000-0005-0000-0000-0000213A0000}"/>
    <cellStyle name="Обычный 5 2 131 9" xfId="46231" xr:uid="{00000000-0005-0000-0000-0000223A0000}"/>
    <cellStyle name="Обычный 5 2 132" xfId="3540" xr:uid="{00000000-0005-0000-0000-0000233A0000}"/>
    <cellStyle name="Обычный 5 2 132 10" xfId="51603" xr:uid="{00000000-0005-0000-0000-0000243A0000}"/>
    <cellStyle name="Обычный 5 2 132 2" xfId="8883" xr:uid="{00000000-0005-0000-0000-0000253A0000}"/>
    <cellStyle name="Обычный 5 2 132 2 2" xfId="56944" xr:uid="{00000000-0005-0000-0000-0000263A0000}"/>
    <cellStyle name="Обычный 5 2 132 3" xfId="14223" xr:uid="{00000000-0005-0000-0000-0000273A0000}"/>
    <cellStyle name="Обычный 5 2 132 4" xfId="19563" xr:uid="{00000000-0005-0000-0000-0000283A0000}"/>
    <cellStyle name="Обычный 5 2 132 5" xfId="24903" xr:uid="{00000000-0005-0000-0000-0000293A0000}"/>
    <cellStyle name="Обычный 5 2 132 6" xfId="30243" xr:uid="{00000000-0005-0000-0000-00002A3A0000}"/>
    <cellStyle name="Обычный 5 2 132 7" xfId="35583" xr:uid="{00000000-0005-0000-0000-00002B3A0000}"/>
    <cellStyle name="Обычный 5 2 132 8" xfId="40923" xr:uid="{00000000-0005-0000-0000-00002C3A0000}"/>
    <cellStyle name="Обычный 5 2 132 9" xfId="46263" xr:uid="{00000000-0005-0000-0000-00002D3A0000}"/>
    <cellStyle name="Обычный 5 2 133" xfId="3572" xr:uid="{00000000-0005-0000-0000-00002E3A0000}"/>
    <cellStyle name="Обычный 5 2 133 10" xfId="51635" xr:uid="{00000000-0005-0000-0000-00002F3A0000}"/>
    <cellStyle name="Обычный 5 2 133 2" xfId="8915" xr:uid="{00000000-0005-0000-0000-0000303A0000}"/>
    <cellStyle name="Обычный 5 2 133 2 2" xfId="56976" xr:uid="{00000000-0005-0000-0000-0000313A0000}"/>
    <cellStyle name="Обычный 5 2 133 3" xfId="14255" xr:uid="{00000000-0005-0000-0000-0000323A0000}"/>
    <cellStyle name="Обычный 5 2 133 4" xfId="19595" xr:uid="{00000000-0005-0000-0000-0000333A0000}"/>
    <cellStyle name="Обычный 5 2 133 5" xfId="24935" xr:uid="{00000000-0005-0000-0000-0000343A0000}"/>
    <cellStyle name="Обычный 5 2 133 6" xfId="30275" xr:uid="{00000000-0005-0000-0000-0000353A0000}"/>
    <cellStyle name="Обычный 5 2 133 7" xfId="35615" xr:uid="{00000000-0005-0000-0000-0000363A0000}"/>
    <cellStyle name="Обычный 5 2 133 8" xfId="40955" xr:uid="{00000000-0005-0000-0000-0000373A0000}"/>
    <cellStyle name="Обычный 5 2 133 9" xfId="46295" xr:uid="{00000000-0005-0000-0000-0000383A0000}"/>
    <cellStyle name="Обычный 5 2 134" xfId="3604" xr:uid="{00000000-0005-0000-0000-0000393A0000}"/>
    <cellStyle name="Обычный 5 2 134 10" xfId="51667" xr:uid="{00000000-0005-0000-0000-00003A3A0000}"/>
    <cellStyle name="Обычный 5 2 134 2" xfId="8947" xr:uid="{00000000-0005-0000-0000-00003B3A0000}"/>
    <cellStyle name="Обычный 5 2 134 2 2" xfId="57008" xr:uid="{00000000-0005-0000-0000-00003C3A0000}"/>
    <cellStyle name="Обычный 5 2 134 3" xfId="14287" xr:uid="{00000000-0005-0000-0000-00003D3A0000}"/>
    <cellStyle name="Обычный 5 2 134 4" xfId="19627" xr:uid="{00000000-0005-0000-0000-00003E3A0000}"/>
    <cellStyle name="Обычный 5 2 134 5" xfId="24967" xr:uid="{00000000-0005-0000-0000-00003F3A0000}"/>
    <cellStyle name="Обычный 5 2 134 6" xfId="30307" xr:uid="{00000000-0005-0000-0000-0000403A0000}"/>
    <cellStyle name="Обычный 5 2 134 7" xfId="35647" xr:uid="{00000000-0005-0000-0000-0000413A0000}"/>
    <cellStyle name="Обычный 5 2 134 8" xfId="40987" xr:uid="{00000000-0005-0000-0000-0000423A0000}"/>
    <cellStyle name="Обычный 5 2 134 9" xfId="46327" xr:uid="{00000000-0005-0000-0000-0000433A0000}"/>
    <cellStyle name="Обычный 5 2 135" xfId="3636" xr:uid="{00000000-0005-0000-0000-0000443A0000}"/>
    <cellStyle name="Обычный 5 2 135 10" xfId="51699" xr:uid="{00000000-0005-0000-0000-0000453A0000}"/>
    <cellStyle name="Обычный 5 2 135 2" xfId="8979" xr:uid="{00000000-0005-0000-0000-0000463A0000}"/>
    <cellStyle name="Обычный 5 2 135 2 2" xfId="57040" xr:uid="{00000000-0005-0000-0000-0000473A0000}"/>
    <cellStyle name="Обычный 5 2 135 3" xfId="14319" xr:uid="{00000000-0005-0000-0000-0000483A0000}"/>
    <cellStyle name="Обычный 5 2 135 4" xfId="19659" xr:uid="{00000000-0005-0000-0000-0000493A0000}"/>
    <cellStyle name="Обычный 5 2 135 5" xfId="24999" xr:uid="{00000000-0005-0000-0000-00004A3A0000}"/>
    <cellStyle name="Обычный 5 2 135 6" xfId="30339" xr:uid="{00000000-0005-0000-0000-00004B3A0000}"/>
    <cellStyle name="Обычный 5 2 135 7" xfId="35679" xr:uid="{00000000-0005-0000-0000-00004C3A0000}"/>
    <cellStyle name="Обычный 5 2 135 8" xfId="41019" xr:uid="{00000000-0005-0000-0000-00004D3A0000}"/>
    <cellStyle name="Обычный 5 2 135 9" xfId="46359" xr:uid="{00000000-0005-0000-0000-00004E3A0000}"/>
    <cellStyle name="Обычный 5 2 136" xfId="3668" xr:uid="{00000000-0005-0000-0000-00004F3A0000}"/>
    <cellStyle name="Обычный 5 2 136 10" xfId="51731" xr:uid="{00000000-0005-0000-0000-0000503A0000}"/>
    <cellStyle name="Обычный 5 2 136 2" xfId="9011" xr:uid="{00000000-0005-0000-0000-0000513A0000}"/>
    <cellStyle name="Обычный 5 2 136 2 2" xfId="57072" xr:uid="{00000000-0005-0000-0000-0000523A0000}"/>
    <cellStyle name="Обычный 5 2 136 3" xfId="14351" xr:uid="{00000000-0005-0000-0000-0000533A0000}"/>
    <cellStyle name="Обычный 5 2 136 4" xfId="19691" xr:uid="{00000000-0005-0000-0000-0000543A0000}"/>
    <cellStyle name="Обычный 5 2 136 5" xfId="25031" xr:uid="{00000000-0005-0000-0000-0000553A0000}"/>
    <cellStyle name="Обычный 5 2 136 6" xfId="30371" xr:uid="{00000000-0005-0000-0000-0000563A0000}"/>
    <cellStyle name="Обычный 5 2 136 7" xfId="35711" xr:uid="{00000000-0005-0000-0000-0000573A0000}"/>
    <cellStyle name="Обычный 5 2 136 8" xfId="41051" xr:uid="{00000000-0005-0000-0000-0000583A0000}"/>
    <cellStyle name="Обычный 5 2 136 9" xfId="46391" xr:uid="{00000000-0005-0000-0000-0000593A0000}"/>
    <cellStyle name="Обычный 5 2 137" xfId="3700" xr:uid="{00000000-0005-0000-0000-00005A3A0000}"/>
    <cellStyle name="Обычный 5 2 137 10" xfId="51763" xr:uid="{00000000-0005-0000-0000-00005B3A0000}"/>
    <cellStyle name="Обычный 5 2 137 2" xfId="9043" xr:uid="{00000000-0005-0000-0000-00005C3A0000}"/>
    <cellStyle name="Обычный 5 2 137 2 2" xfId="57104" xr:uid="{00000000-0005-0000-0000-00005D3A0000}"/>
    <cellStyle name="Обычный 5 2 137 3" xfId="14383" xr:uid="{00000000-0005-0000-0000-00005E3A0000}"/>
    <cellStyle name="Обычный 5 2 137 4" xfId="19723" xr:uid="{00000000-0005-0000-0000-00005F3A0000}"/>
    <cellStyle name="Обычный 5 2 137 5" xfId="25063" xr:uid="{00000000-0005-0000-0000-0000603A0000}"/>
    <cellStyle name="Обычный 5 2 137 6" xfId="30403" xr:uid="{00000000-0005-0000-0000-0000613A0000}"/>
    <cellStyle name="Обычный 5 2 137 7" xfId="35743" xr:uid="{00000000-0005-0000-0000-0000623A0000}"/>
    <cellStyle name="Обычный 5 2 137 8" xfId="41083" xr:uid="{00000000-0005-0000-0000-0000633A0000}"/>
    <cellStyle name="Обычный 5 2 137 9" xfId="46423" xr:uid="{00000000-0005-0000-0000-0000643A0000}"/>
    <cellStyle name="Обычный 5 2 138" xfId="3732" xr:uid="{00000000-0005-0000-0000-0000653A0000}"/>
    <cellStyle name="Обычный 5 2 138 10" xfId="51795" xr:uid="{00000000-0005-0000-0000-0000663A0000}"/>
    <cellStyle name="Обычный 5 2 138 2" xfId="9075" xr:uid="{00000000-0005-0000-0000-0000673A0000}"/>
    <cellStyle name="Обычный 5 2 138 2 2" xfId="57136" xr:uid="{00000000-0005-0000-0000-0000683A0000}"/>
    <cellStyle name="Обычный 5 2 138 3" xfId="14415" xr:uid="{00000000-0005-0000-0000-0000693A0000}"/>
    <cellStyle name="Обычный 5 2 138 4" xfId="19755" xr:uid="{00000000-0005-0000-0000-00006A3A0000}"/>
    <cellStyle name="Обычный 5 2 138 5" xfId="25095" xr:uid="{00000000-0005-0000-0000-00006B3A0000}"/>
    <cellStyle name="Обычный 5 2 138 6" xfId="30435" xr:uid="{00000000-0005-0000-0000-00006C3A0000}"/>
    <cellStyle name="Обычный 5 2 138 7" xfId="35775" xr:uid="{00000000-0005-0000-0000-00006D3A0000}"/>
    <cellStyle name="Обычный 5 2 138 8" xfId="41115" xr:uid="{00000000-0005-0000-0000-00006E3A0000}"/>
    <cellStyle name="Обычный 5 2 138 9" xfId="46455" xr:uid="{00000000-0005-0000-0000-00006F3A0000}"/>
    <cellStyle name="Обычный 5 2 139" xfId="3764" xr:uid="{00000000-0005-0000-0000-0000703A0000}"/>
    <cellStyle name="Обычный 5 2 139 10" xfId="51827" xr:uid="{00000000-0005-0000-0000-0000713A0000}"/>
    <cellStyle name="Обычный 5 2 139 2" xfId="9107" xr:uid="{00000000-0005-0000-0000-0000723A0000}"/>
    <cellStyle name="Обычный 5 2 139 2 2" xfId="57168" xr:uid="{00000000-0005-0000-0000-0000733A0000}"/>
    <cellStyle name="Обычный 5 2 139 3" xfId="14447" xr:uid="{00000000-0005-0000-0000-0000743A0000}"/>
    <cellStyle name="Обычный 5 2 139 4" xfId="19787" xr:uid="{00000000-0005-0000-0000-0000753A0000}"/>
    <cellStyle name="Обычный 5 2 139 5" xfId="25127" xr:uid="{00000000-0005-0000-0000-0000763A0000}"/>
    <cellStyle name="Обычный 5 2 139 6" xfId="30467" xr:uid="{00000000-0005-0000-0000-0000773A0000}"/>
    <cellStyle name="Обычный 5 2 139 7" xfId="35807" xr:uid="{00000000-0005-0000-0000-0000783A0000}"/>
    <cellStyle name="Обычный 5 2 139 8" xfId="41147" xr:uid="{00000000-0005-0000-0000-0000793A0000}"/>
    <cellStyle name="Обычный 5 2 139 9" xfId="46487" xr:uid="{00000000-0005-0000-0000-00007A3A0000}"/>
    <cellStyle name="Обычный 5 2 14" xfId="218" xr:uid="{00000000-0005-0000-0000-00007B3A0000}"/>
    <cellStyle name="Обычный 5 2 14 10" xfId="42940" xr:uid="{00000000-0005-0000-0000-00007C3A0000}"/>
    <cellStyle name="Обычный 5 2 14 11" xfId="48280" xr:uid="{00000000-0005-0000-0000-00007D3A0000}"/>
    <cellStyle name="Обычный 5 2 14 2" xfId="685" xr:uid="{00000000-0005-0000-0000-00007E3A0000}"/>
    <cellStyle name="Обычный 5 2 14 2 10" xfId="48747" xr:uid="{00000000-0005-0000-0000-00007F3A0000}"/>
    <cellStyle name="Обычный 5 2 14 2 2" xfId="6026" xr:uid="{00000000-0005-0000-0000-0000803A0000}"/>
    <cellStyle name="Обычный 5 2 14 2 2 2" xfId="54088" xr:uid="{00000000-0005-0000-0000-0000813A0000}"/>
    <cellStyle name="Обычный 5 2 14 2 3" xfId="11367" xr:uid="{00000000-0005-0000-0000-0000823A0000}"/>
    <cellStyle name="Обычный 5 2 14 2 4" xfId="16707" xr:uid="{00000000-0005-0000-0000-0000833A0000}"/>
    <cellStyle name="Обычный 5 2 14 2 5" xfId="22047" xr:uid="{00000000-0005-0000-0000-0000843A0000}"/>
    <cellStyle name="Обычный 5 2 14 2 6" xfId="27387" xr:uid="{00000000-0005-0000-0000-0000853A0000}"/>
    <cellStyle name="Обычный 5 2 14 2 7" xfId="32727" xr:uid="{00000000-0005-0000-0000-0000863A0000}"/>
    <cellStyle name="Обычный 5 2 14 2 8" xfId="38067" xr:uid="{00000000-0005-0000-0000-0000873A0000}"/>
    <cellStyle name="Обычный 5 2 14 2 9" xfId="43407" xr:uid="{00000000-0005-0000-0000-0000883A0000}"/>
    <cellStyle name="Обычный 5 2 14 3" xfId="5559" xr:uid="{00000000-0005-0000-0000-0000893A0000}"/>
    <cellStyle name="Обычный 5 2 14 3 2" xfId="53621" xr:uid="{00000000-0005-0000-0000-00008A3A0000}"/>
    <cellStyle name="Обычный 5 2 14 4" xfId="10900" xr:uid="{00000000-0005-0000-0000-00008B3A0000}"/>
    <cellStyle name="Обычный 5 2 14 5" xfId="16240" xr:uid="{00000000-0005-0000-0000-00008C3A0000}"/>
    <cellStyle name="Обычный 5 2 14 6" xfId="21580" xr:uid="{00000000-0005-0000-0000-00008D3A0000}"/>
    <cellStyle name="Обычный 5 2 14 7" xfId="26920" xr:uid="{00000000-0005-0000-0000-00008E3A0000}"/>
    <cellStyle name="Обычный 5 2 14 8" xfId="32260" xr:uid="{00000000-0005-0000-0000-00008F3A0000}"/>
    <cellStyle name="Обычный 5 2 14 9" xfId="37600" xr:uid="{00000000-0005-0000-0000-0000903A0000}"/>
    <cellStyle name="Обычный 5 2 140" xfId="3796" xr:uid="{00000000-0005-0000-0000-0000913A0000}"/>
    <cellStyle name="Обычный 5 2 140 10" xfId="51859" xr:uid="{00000000-0005-0000-0000-0000923A0000}"/>
    <cellStyle name="Обычный 5 2 140 2" xfId="9139" xr:uid="{00000000-0005-0000-0000-0000933A0000}"/>
    <cellStyle name="Обычный 5 2 140 2 2" xfId="57200" xr:uid="{00000000-0005-0000-0000-0000943A0000}"/>
    <cellStyle name="Обычный 5 2 140 3" xfId="14479" xr:uid="{00000000-0005-0000-0000-0000953A0000}"/>
    <cellStyle name="Обычный 5 2 140 4" xfId="19819" xr:uid="{00000000-0005-0000-0000-0000963A0000}"/>
    <cellStyle name="Обычный 5 2 140 5" xfId="25159" xr:uid="{00000000-0005-0000-0000-0000973A0000}"/>
    <cellStyle name="Обычный 5 2 140 6" xfId="30499" xr:uid="{00000000-0005-0000-0000-0000983A0000}"/>
    <cellStyle name="Обычный 5 2 140 7" xfId="35839" xr:uid="{00000000-0005-0000-0000-0000993A0000}"/>
    <cellStyle name="Обычный 5 2 140 8" xfId="41179" xr:uid="{00000000-0005-0000-0000-00009A3A0000}"/>
    <cellStyle name="Обычный 5 2 140 9" xfId="46519" xr:uid="{00000000-0005-0000-0000-00009B3A0000}"/>
    <cellStyle name="Обычный 5 2 141" xfId="3828" xr:uid="{00000000-0005-0000-0000-00009C3A0000}"/>
    <cellStyle name="Обычный 5 2 141 10" xfId="51891" xr:uid="{00000000-0005-0000-0000-00009D3A0000}"/>
    <cellStyle name="Обычный 5 2 141 2" xfId="9171" xr:uid="{00000000-0005-0000-0000-00009E3A0000}"/>
    <cellStyle name="Обычный 5 2 141 2 2" xfId="57232" xr:uid="{00000000-0005-0000-0000-00009F3A0000}"/>
    <cellStyle name="Обычный 5 2 141 3" xfId="14511" xr:uid="{00000000-0005-0000-0000-0000A03A0000}"/>
    <cellStyle name="Обычный 5 2 141 4" xfId="19851" xr:uid="{00000000-0005-0000-0000-0000A13A0000}"/>
    <cellStyle name="Обычный 5 2 141 5" xfId="25191" xr:uid="{00000000-0005-0000-0000-0000A23A0000}"/>
    <cellStyle name="Обычный 5 2 141 6" xfId="30531" xr:uid="{00000000-0005-0000-0000-0000A33A0000}"/>
    <cellStyle name="Обычный 5 2 141 7" xfId="35871" xr:uid="{00000000-0005-0000-0000-0000A43A0000}"/>
    <cellStyle name="Обычный 5 2 141 8" xfId="41211" xr:uid="{00000000-0005-0000-0000-0000A53A0000}"/>
    <cellStyle name="Обычный 5 2 141 9" xfId="46551" xr:uid="{00000000-0005-0000-0000-0000A63A0000}"/>
    <cellStyle name="Обычный 5 2 142" xfId="3860" xr:uid="{00000000-0005-0000-0000-0000A73A0000}"/>
    <cellStyle name="Обычный 5 2 142 10" xfId="51923" xr:uid="{00000000-0005-0000-0000-0000A83A0000}"/>
    <cellStyle name="Обычный 5 2 142 2" xfId="9203" xr:uid="{00000000-0005-0000-0000-0000A93A0000}"/>
    <cellStyle name="Обычный 5 2 142 2 2" xfId="57264" xr:uid="{00000000-0005-0000-0000-0000AA3A0000}"/>
    <cellStyle name="Обычный 5 2 142 3" xfId="14543" xr:uid="{00000000-0005-0000-0000-0000AB3A0000}"/>
    <cellStyle name="Обычный 5 2 142 4" xfId="19883" xr:uid="{00000000-0005-0000-0000-0000AC3A0000}"/>
    <cellStyle name="Обычный 5 2 142 5" xfId="25223" xr:uid="{00000000-0005-0000-0000-0000AD3A0000}"/>
    <cellStyle name="Обычный 5 2 142 6" xfId="30563" xr:uid="{00000000-0005-0000-0000-0000AE3A0000}"/>
    <cellStyle name="Обычный 5 2 142 7" xfId="35903" xr:uid="{00000000-0005-0000-0000-0000AF3A0000}"/>
    <cellStyle name="Обычный 5 2 142 8" xfId="41243" xr:uid="{00000000-0005-0000-0000-0000B03A0000}"/>
    <cellStyle name="Обычный 5 2 142 9" xfId="46583" xr:uid="{00000000-0005-0000-0000-0000B13A0000}"/>
    <cellStyle name="Обычный 5 2 143" xfId="3892" xr:uid="{00000000-0005-0000-0000-0000B23A0000}"/>
    <cellStyle name="Обычный 5 2 143 10" xfId="51955" xr:uid="{00000000-0005-0000-0000-0000B33A0000}"/>
    <cellStyle name="Обычный 5 2 143 2" xfId="9235" xr:uid="{00000000-0005-0000-0000-0000B43A0000}"/>
    <cellStyle name="Обычный 5 2 143 2 2" xfId="57296" xr:uid="{00000000-0005-0000-0000-0000B53A0000}"/>
    <cellStyle name="Обычный 5 2 143 3" xfId="14575" xr:uid="{00000000-0005-0000-0000-0000B63A0000}"/>
    <cellStyle name="Обычный 5 2 143 4" xfId="19915" xr:uid="{00000000-0005-0000-0000-0000B73A0000}"/>
    <cellStyle name="Обычный 5 2 143 5" xfId="25255" xr:uid="{00000000-0005-0000-0000-0000B83A0000}"/>
    <cellStyle name="Обычный 5 2 143 6" xfId="30595" xr:uid="{00000000-0005-0000-0000-0000B93A0000}"/>
    <cellStyle name="Обычный 5 2 143 7" xfId="35935" xr:uid="{00000000-0005-0000-0000-0000BA3A0000}"/>
    <cellStyle name="Обычный 5 2 143 8" xfId="41275" xr:uid="{00000000-0005-0000-0000-0000BB3A0000}"/>
    <cellStyle name="Обычный 5 2 143 9" xfId="46615" xr:uid="{00000000-0005-0000-0000-0000BC3A0000}"/>
    <cellStyle name="Обычный 5 2 144" xfId="3924" xr:uid="{00000000-0005-0000-0000-0000BD3A0000}"/>
    <cellStyle name="Обычный 5 2 144 10" xfId="51987" xr:uid="{00000000-0005-0000-0000-0000BE3A0000}"/>
    <cellStyle name="Обычный 5 2 144 2" xfId="9267" xr:uid="{00000000-0005-0000-0000-0000BF3A0000}"/>
    <cellStyle name="Обычный 5 2 144 2 2" xfId="57328" xr:uid="{00000000-0005-0000-0000-0000C03A0000}"/>
    <cellStyle name="Обычный 5 2 144 3" xfId="14607" xr:uid="{00000000-0005-0000-0000-0000C13A0000}"/>
    <cellStyle name="Обычный 5 2 144 4" xfId="19947" xr:uid="{00000000-0005-0000-0000-0000C23A0000}"/>
    <cellStyle name="Обычный 5 2 144 5" xfId="25287" xr:uid="{00000000-0005-0000-0000-0000C33A0000}"/>
    <cellStyle name="Обычный 5 2 144 6" xfId="30627" xr:uid="{00000000-0005-0000-0000-0000C43A0000}"/>
    <cellStyle name="Обычный 5 2 144 7" xfId="35967" xr:uid="{00000000-0005-0000-0000-0000C53A0000}"/>
    <cellStyle name="Обычный 5 2 144 8" xfId="41307" xr:uid="{00000000-0005-0000-0000-0000C63A0000}"/>
    <cellStyle name="Обычный 5 2 144 9" xfId="46647" xr:uid="{00000000-0005-0000-0000-0000C73A0000}"/>
    <cellStyle name="Обычный 5 2 145" xfId="3956" xr:uid="{00000000-0005-0000-0000-0000C83A0000}"/>
    <cellStyle name="Обычный 5 2 145 10" xfId="52019" xr:uid="{00000000-0005-0000-0000-0000C93A0000}"/>
    <cellStyle name="Обычный 5 2 145 2" xfId="9299" xr:uid="{00000000-0005-0000-0000-0000CA3A0000}"/>
    <cellStyle name="Обычный 5 2 145 2 2" xfId="57360" xr:uid="{00000000-0005-0000-0000-0000CB3A0000}"/>
    <cellStyle name="Обычный 5 2 145 3" xfId="14639" xr:uid="{00000000-0005-0000-0000-0000CC3A0000}"/>
    <cellStyle name="Обычный 5 2 145 4" xfId="19979" xr:uid="{00000000-0005-0000-0000-0000CD3A0000}"/>
    <cellStyle name="Обычный 5 2 145 5" xfId="25319" xr:uid="{00000000-0005-0000-0000-0000CE3A0000}"/>
    <cellStyle name="Обычный 5 2 145 6" xfId="30659" xr:uid="{00000000-0005-0000-0000-0000CF3A0000}"/>
    <cellStyle name="Обычный 5 2 145 7" xfId="35999" xr:uid="{00000000-0005-0000-0000-0000D03A0000}"/>
    <cellStyle name="Обычный 5 2 145 8" xfId="41339" xr:uid="{00000000-0005-0000-0000-0000D13A0000}"/>
    <cellStyle name="Обычный 5 2 145 9" xfId="46679" xr:uid="{00000000-0005-0000-0000-0000D23A0000}"/>
    <cellStyle name="Обычный 5 2 146" xfId="3988" xr:uid="{00000000-0005-0000-0000-0000D33A0000}"/>
    <cellStyle name="Обычный 5 2 146 10" xfId="52051" xr:uid="{00000000-0005-0000-0000-0000D43A0000}"/>
    <cellStyle name="Обычный 5 2 146 2" xfId="9331" xr:uid="{00000000-0005-0000-0000-0000D53A0000}"/>
    <cellStyle name="Обычный 5 2 146 2 2" xfId="57392" xr:uid="{00000000-0005-0000-0000-0000D63A0000}"/>
    <cellStyle name="Обычный 5 2 146 3" xfId="14671" xr:uid="{00000000-0005-0000-0000-0000D73A0000}"/>
    <cellStyle name="Обычный 5 2 146 4" xfId="20011" xr:uid="{00000000-0005-0000-0000-0000D83A0000}"/>
    <cellStyle name="Обычный 5 2 146 5" xfId="25351" xr:uid="{00000000-0005-0000-0000-0000D93A0000}"/>
    <cellStyle name="Обычный 5 2 146 6" xfId="30691" xr:uid="{00000000-0005-0000-0000-0000DA3A0000}"/>
    <cellStyle name="Обычный 5 2 146 7" xfId="36031" xr:uid="{00000000-0005-0000-0000-0000DB3A0000}"/>
    <cellStyle name="Обычный 5 2 146 8" xfId="41371" xr:uid="{00000000-0005-0000-0000-0000DC3A0000}"/>
    <cellStyle name="Обычный 5 2 146 9" xfId="46711" xr:uid="{00000000-0005-0000-0000-0000DD3A0000}"/>
    <cellStyle name="Обычный 5 2 147" xfId="4020" xr:uid="{00000000-0005-0000-0000-0000DE3A0000}"/>
    <cellStyle name="Обычный 5 2 147 10" xfId="52083" xr:uid="{00000000-0005-0000-0000-0000DF3A0000}"/>
    <cellStyle name="Обычный 5 2 147 2" xfId="9363" xr:uid="{00000000-0005-0000-0000-0000E03A0000}"/>
    <cellStyle name="Обычный 5 2 147 2 2" xfId="57424" xr:uid="{00000000-0005-0000-0000-0000E13A0000}"/>
    <cellStyle name="Обычный 5 2 147 3" xfId="14703" xr:uid="{00000000-0005-0000-0000-0000E23A0000}"/>
    <cellStyle name="Обычный 5 2 147 4" xfId="20043" xr:uid="{00000000-0005-0000-0000-0000E33A0000}"/>
    <cellStyle name="Обычный 5 2 147 5" xfId="25383" xr:uid="{00000000-0005-0000-0000-0000E43A0000}"/>
    <cellStyle name="Обычный 5 2 147 6" xfId="30723" xr:uid="{00000000-0005-0000-0000-0000E53A0000}"/>
    <cellStyle name="Обычный 5 2 147 7" xfId="36063" xr:uid="{00000000-0005-0000-0000-0000E63A0000}"/>
    <cellStyle name="Обычный 5 2 147 8" xfId="41403" xr:uid="{00000000-0005-0000-0000-0000E73A0000}"/>
    <cellStyle name="Обычный 5 2 147 9" xfId="46743" xr:uid="{00000000-0005-0000-0000-0000E83A0000}"/>
    <cellStyle name="Обычный 5 2 148" xfId="4052" xr:uid="{00000000-0005-0000-0000-0000E93A0000}"/>
    <cellStyle name="Обычный 5 2 148 10" xfId="52115" xr:uid="{00000000-0005-0000-0000-0000EA3A0000}"/>
    <cellStyle name="Обычный 5 2 148 2" xfId="9395" xr:uid="{00000000-0005-0000-0000-0000EB3A0000}"/>
    <cellStyle name="Обычный 5 2 148 2 2" xfId="57456" xr:uid="{00000000-0005-0000-0000-0000EC3A0000}"/>
    <cellStyle name="Обычный 5 2 148 3" xfId="14735" xr:uid="{00000000-0005-0000-0000-0000ED3A0000}"/>
    <cellStyle name="Обычный 5 2 148 4" xfId="20075" xr:uid="{00000000-0005-0000-0000-0000EE3A0000}"/>
    <cellStyle name="Обычный 5 2 148 5" xfId="25415" xr:uid="{00000000-0005-0000-0000-0000EF3A0000}"/>
    <cellStyle name="Обычный 5 2 148 6" xfId="30755" xr:uid="{00000000-0005-0000-0000-0000F03A0000}"/>
    <cellStyle name="Обычный 5 2 148 7" xfId="36095" xr:uid="{00000000-0005-0000-0000-0000F13A0000}"/>
    <cellStyle name="Обычный 5 2 148 8" xfId="41435" xr:uid="{00000000-0005-0000-0000-0000F23A0000}"/>
    <cellStyle name="Обычный 5 2 148 9" xfId="46775" xr:uid="{00000000-0005-0000-0000-0000F33A0000}"/>
    <cellStyle name="Обычный 5 2 149" xfId="4084" xr:uid="{00000000-0005-0000-0000-0000F43A0000}"/>
    <cellStyle name="Обычный 5 2 149 10" xfId="52147" xr:uid="{00000000-0005-0000-0000-0000F53A0000}"/>
    <cellStyle name="Обычный 5 2 149 2" xfId="9427" xr:uid="{00000000-0005-0000-0000-0000F63A0000}"/>
    <cellStyle name="Обычный 5 2 149 2 2" xfId="57488" xr:uid="{00000000-0005-0000-0000-0000F73A0000}"/>
    <cellStyle name="Обычный 5 2 149 3" xfId="14767" xr:uid="{00000000-0005-0000-0000-0000F83A0000}"/>
    <cellStyle name="Обычный 5 2 149 4" xfId="20107" xr:uid="{00000000-0005-0000-0000-0000F93A0000}"/>
    <cellStyle name="Обычный 5 2 149 5" xfId="25447" xr:uid="{00000000-0005-0000-0000-0000FA3A0000}"/>
    <cellStyle name="Обычный 5 2 149 6" xfId="30787" xr:uid="{00000000-0005-0000-0000-0000FB3A0000}"/>
    <cellStyle name="Обычный 5 2 149 7" xfId="36127" xr:uid="{00000000-0005-0000-0000-0000FC3A0000}"/>
    <cellStyle name="Обычный 5 2 149 8" xfId="41467" xr:uid="{00000000-0005-0000-0000-0000FD3A0000}"/>
    <cellStyle name="Обычный 5 2 149 9" xfId="46807" xr:uid="{00000000-0005-0000-0000-0000FE3A0000}"/>
    <cellStyle name="Обычный 5 2 15" xfId="228" xr:uid="{00000000-0005-0000-0000-0000FF3A0000}"/>
    <cellStyle name="Обычный 5 2 15 10" xfId="42950" xr:uid="{00000000-0005-0000-0000-0000003B0000}"/>
    <cellStyle name="Обычный 5 2 15 11" xfId="48290" xr:uid="{00000000-0005-0000-0000-0000013B0000}"/>
    <cellStyle name="Обычный 5 2 15 2" xfId="695" xr:uid="{00000000-0005-0000-0000-0000023B0000}"/>
    <cellStyle name="Обычный 5 2 15 2 10" xfId="48757" xr:uid="{00000000-0005-0000-0000-0000033B0000}"/>
    <cellStyle name="Обычный 5 2 15 2 2" xfId="6036" xr:uid="{00000000-0005-0000-0000-0000043B0000}"/>
    <cellStyle name="Обычный 5 2 15 2 2 2" xfId="54098" xr:uid="{00000000-0005-0000-0000-0000053B0000}"/>
    <cellStyle name="Обычный 5 2 15 2 3" xfId="11377" xr:uid="{00000000-0005-0000-0000-0000063B0000}"/>
    <cellStyle name="Обычный 5 2 15 2 4" xfId="16717" xr:uid="{00000000-0005-0000-0000-0000073B0000}"/>
    <cellStyle name="Обычный 5 2 15 2 5" xfId="22057" xr:uid="{00000000-0005-0000-0000-0000083B0000}"/>
    <cellStyle name="Обычный 5 2 15 2 6" xfId="27397" xr:uid="{00000000-0005-0000-0000-0000093B0000}"/>
    <cellStyle name="Обычный 5 2 15 2 7" xfId="32737" xr:uid="{00000000-0005-0000-0000-00000A3B0000}"/>
    <cellStyle name="Обычный 5 2 15 2 8" xfId="38077" xr:uid="{00000000-0005-0000-0000-00000B3B0000}"/>
    <cellStyle name="Обычный 5 2 15 2 9" xfId="43417" xr:uid="{00000000-0005-0000-0000-00000C3B0000}"/>
    <cellStyle name="Обычный 5 2 15 3" xfId="5569" xr:uid="{00000000-0005-0000-0000-00000D3B0000}"/>
    <cellStyle name="Обычный 5 2 15 3 2" xfId="53631" xr:uid="{00000000-0005-0000-0000-00000E3B0000}"/>
    <cellStyle name="Обычный 5 2 15 4" xfId="10910" xr:uid="{00000000-0005-0000-0000-00000F3B0000}"/>
    <cellStyle name="Обычный 5 2 15 5" xfId="16250" xr:uid="{00000000-0005-0000-0000-0000103B0000}"/>
    <cellStyle name="Обычный 5 2 15 6" xfId="21590" xr:uid="{00000000-0005-0000-0000-0000113B0000}"/>
    <cellStyle name="Обычный 5 2 15 7" xfId="26930" xr:uid="{00000000-0005-0000-0000-0000123B0000}"/>
    <cellStyle name="Обычный 5 2 15 8" xfId="32270" xr:uid="{00000000-0005-0000-0000-0000133B0000}"/>
    <cellStyle name="Обычный 5 2 15 9" xfId="37610" xr:uid="{00000000-0005-0000-0000-0000143B0000}"/>
    <cellStyle name="Обычный 5 2 150" xfId="4116" xr:uid="{00000000-0005-0000-0000-0000153B0000}"/>
    <cellStyle name="Обычный 5 2 150 10" xfId="52179" xr:uid="{00000000-0005-0000-0000-0000163B0000}"/>
    <cellStyle name="Обычный 5 2 150 2" xfId="9459" xr:uid="{00000000-0005-0000-0000-0000173B0000}"/>
    <cellStyle name="Обычный 5 2 150 2 2" xfId="57520" xr:uid="{00000000-0005-0000-0000-0000183B0000}"/>
    <cellStyle name="Обычный 5 2 150 3" xfId="14799" xr:uid="{00000000-0005-0000-0000-0000193B0000}"/>
    <cellStyle name="Обычный 5 2 150 4" xfId="20139" xr:uid="{00000000-0005-0000-0000-00001A3B0000}"/>
    <cellStyle name="Обычный 5 2 150 5" xfId="25479" xr:uid="{00000000-0005-0000-0000-00001B3B0000}"/>
    <cellStyle name="Обычный 5 2 150 6" xfId="30819" xr:uid="{00000000-0005-0000-0000-00001C3B0000}"/>
    <cellStyle name="Обычный 5 2 150 7" xfId="36159" xr:uid="{00000000-0005-0000-0000-00001D3B0000}"/>
    <cellStyle name="Обычный 5 2 150 8" xfId="41499" xr:uid="{00000000-0005-0000-0000-00001E3B0000}"/>
    <cellStyle name="Обычный 5 2 150 9" xfId="46839" xr:uid="{00000000-0005-0000-0000-00001F3B0000}"/>
    <cellStyle name="Обычный 5 2 151" xfId="4148" xr:uid="{00000000-0005-0000-0000-0000203B0000}"/>
    <cellStyle name="Обычный 5 2 151 10" xfId="52211" xr:uid="{00000000-0005-0000-0000-0000213B0000}"/>
    <cellStyle name="Обычный 5 2 151 2" xfId="9491" xr:uid="{00000000-0005-0000-0000-0000223B0000}"/>
    <cellStyle name="Обычный 5 2 151 2 2" xfId="57552" xr:uid="{00000000-0005-0000-0000-0000233B0000}"/>
    <cellStyle name="Обычный 5 2 151 3" xfId="14831" xr:uid="{00000000-0005-0000-0000-0000243B0000}"/>
    <cellStyle name="Обычный 5 2 151 4" xfId="20171" xr:uid="{00000000-0005-0000-0000-0000253B0000}"/>
    <cellStyle name="Обычный 5 2 151 5" xfId="25511" xr:uid="{00000000-0005-0000-0000-0000263B0000}"/>
    <cellStyle name="Обычный 5 2 151 6" xfId="30851" xr:uid="{00000000-0005-0000-0000-0000273B0000}"/>
    <cellStyle name="Обычный 5 2 151 7" xfId="36191" xr:uid="{00000000-0005-0000-0000-0000283B0000}"/>
    <cellStyle name="Обычный 5 2 151 8" xfId="41531" xr:uid="{00000000-0005-0000-0000-0000293B0000}"/>
    <cellStyle name="Обычный 5 2 151 9" xfId="46871" xr:uid="{00000000-0005-0000-0000-00002A3B0000}"/>
    <cellStyle name="Обычный 5 2 152" xfId="4180" xr:uid="{00000000-0005-0000-0000-00002B3B0000}"/>
    <cellStyle name="Обычный 5 2 152 10" xfId="52243" xr:uid="{00000000-0005-0000-0000-00002C3B0000}"/>
    <cellStyle name="Обычный 5 2 152 2" xfId="9523" xr:uid="{00000000-0005-0000-0000-00002D3B0000}"/>
    <cellStyle name="Обычный 5 2 152 2 2" xfId="57584" xr:uid="{00000000-0005-0000-0000-00002E3B0000}"/>
    <cellStyle name="Обычный 5 2 152 3" xfId="14863" xr:uid="{00000000-0005-0000-0000-00002F3B0000}"/>
    <cellStyle name="Обычный 5 2 152 4" xfId="20203" xr:uid="{00000000-0005-0000-0000-0000303B0000}"/>
    <cellStyle name="Обычный 5 2 152 5" xfId="25543" xr:uid="{00000000-0005-0000-0000-0000313B0000}"/>
    <cellStyle name="Обычный 5 2 152 6" xfId="30883" xr:uid="{00000000-0005-0000-0000-0000323B0000}"/>
    <cellStyle name="Обычный 5 2 152 7" xfId="36223" xr:uid="{00000000-0005-0000-0000-0000333B0000}"/>
    <cellStyle name="Обычный 5 2 152 8" xfId="41563" xr:uid="{00000000-0005-0000-0000-0000343B0000}"/>
    <cellStyle name="Обычный 5 2 152 9" xfId="46903" xr:uid="{00000000-0005-0000-0000-0000353B0000}"/>
    <cellStyle name="Обычный 5 2 153" xfId="4212" xr:uid="{00000000-0005-0000-0000-0000363B0000}"/>
    <cellStyle name="Обычный 5 2 153 10" xfId="52275" xr:uid="{00000000-0005-0000-0000-0000373B0000}"/>
    <cellStyle name="Обычный 5 2 153 2" xfId="9555" xr:uid="{00000000-0005-0000-0000-0000383B0000}"/>
    <cellStyle name="Обычный 5 2 153 2 2" xfId="57616" xr:uid="{00000000-0005-0000-0000-0000393B0000}"/>
    <cellStyle name="Обычный 5 2 153 3" xfId="14895" xr:uid="{00000000-0005-0000-0000-00003A3B0000}"/>
    <cellStyle name="Обычный 5 2 153 4" xfId="20235" xr:uid="{00000000-0005-0000-0000-00003B3B0000}"/>
    <cellStyle name="Обычный 5 2 153 5" xfId="25575" xr:uid="{00000000-0005-0000-0000-00003C3B0000}"/>
    <cellStyle name="Обычный 5 2 153 6" xfId="30915" xr:uid="{00000000-0005-0000-0000-00003D3B0000}"/>
    <cellStyle name="Обычный 5 2 153 7" xfId="36255" xr:uid="{00000000-0005-0000-0000-00003E3B0000}"/>
    <cellStyle name="Обычный 5 2 153 8" xfId="41595" xr:uid="{00000000-0005-0000-0000-00003F3B0000}"/>
    <cellStyle name="Обычный 5 2 153 9" xfId="46935" xr:uid="{00000000-0005-0000-0000-0000403B0000}"/>
    <cellStyle name="Обычный 5 2 154" xfId="4244" xr:uid="{00000000-0005-0000-0000-0000413B0000}"/>
    <cellStyle name="Обычный 5 2 154 10" xfId="52307" xr:uid="{00000000-0005-0000-0000-0000423B0000}"/>
    <cellStyle name="Обычный 5 2 154 2" xfId="9587" xr:uid="{00000000-0005-0000-0000-0000433B0000}"/>
    <cellStyle name="Обычный 5 2 154 2 2" xfId="57648" xr:uid="{00000000-0005-0000-0000-0000443B0000}"/>
    <cellStyle name="Обычный 5 2 154 3" xfId="14927" xr:uid="{00000000-0005-0000-0000-0000453B0000}"/>
    <cellStyle name="Обычный 5 2 154 4" xfId="20267" xr:uid="{00000000-0005-0000-0000-0000463B0000}"/>
    <cellStyle name="Обычный 5 2 154 5" xfId="25607" xr:uid="{00000000-0005-0000-0000-0000473B0000}"/>
    <cellStyle name="Обычный 5 2 154 6" xfId="30947" xr:uid="{00000000-0005-0000-0000-0000483B0000}"/>
    <cellStyle name="Обычный 5 2 154 7" xfId="36287" xr:uid="{00000000-0005-0000-0000-0000493B0000}"/>
    <cellStyle name="Обычный 5 2 154 8" xfId="41627" xr:uid="{00000000-0005-0000-0000-00004A3B0000}"/>
    <cellStyle name="Обычный 5 2 154 9" xfId="46967" xr:uid="{00000000-0005-0000-0000-00004B3B0000}"/>
    <cellStyle name="Обычный 5 2 155" xfId="4276" xr:uid="{00000000-0005-0000-0000-00004C3B0000}"/>
    <cellStyle name="Обычный 5 2 155 10" xfId="52339" xr:uid="{00000000-0005-0000-0000-00004D3B0000}"/>
    <cellStyle name="Обычный 5 2 155 2" xfId="9619" xr:uid="{00000000-0005-0000-0000-00004E3B0000}"/>
    <cellStyle name="Обычный 5 2 155 2 2" xfId="57680" xr:uid="{00000000-0005-0000-0000-00004F3B0000}"/>
    <cellStyle name="Обычный 5 2 155 3" xfId="14959" xr:uid="{00000000-0005-0000-0000-0000503B0000}"/>
    <cellStyle name="Обычный 5 2 155 4" xfId="20299" xr:uid="{00000000-0005-0000-0000-0000513B0000}"/>
    <cellStyle name="Обычный 5 2 155 5" xfId="25639" xr:uid="{00000000-0005-0000-0000-0000523B0000}"/>
    <cellStyle name="Обычный 5 2 155 6" xfId="30979" xr:uid="{00000000-0005-0000-0000-0000533B0000}"/>
    <cellStyle name="Обычный 5 2 155 7" xfId="36319" xr:uid="{00000000-0005-0000-0000-0000543B0000}"/>
    <cellStyle name="Обычный 5 2 155 8" xfId="41659" xr:uid="{00000000-0005-0000-0000-0000553B0000}"/>
    <cellStyle name="Обычный 5 2 155 9" xfId="46999" xr:uid="{00000000-0005-0000-0000-0000563B0000}"/>
    <cellStyle name="Обычный 5 2 156" xfId="4308" xr:uid="{00000000-0005-0000-0000-0000573B0000}"/>
    <cellStyle name="Обычный 5 2 156 10" xfId="52371" xr:uid="{00000000-0005-0000-0000-0000583B0000}"/>
    <cellStyle name="Обычный 5 2 156 2" xfId="9651" xr:uid="{00000000-0005-0000-0000-0000593B0000}"/>
    <cellStyle name="Обычный 5 2 156 2 2" xfId="57712" xr:uid="{00000000-0005-0000-0000-00005A3B0000}"/>
    <cellStyle name="Обычный 5 2 156 3" xfId="14991" xr:uid="{00000000-0005-0000-0000-00005B3B0000}"/>
    <cellStyle name="Обычный 5 2 156 4" xfId="20331" xr:uid="{00000000-0005-0000-0000-00005C3B0000}"/>
    <cellStyle name="Обычный 5 2 156 5" xfId="25671" xr:uid="{00000000-0005-0000-0000-00005D3B0000}"/>
    <cellStyle name="Обычный 5 2 156 6" xfId="31011" xr:uid="{00000000-0005-0000-0000-00005E3B0000}"/>
    <cellStyle name="Обычный 5 2 156 7" xfId="36351" xr:uid="{00000000-0005-0000-0000-00005F3B0000}"/>
    <cellStyle name="Обычный 5 2 156 8" xfId="41691" xr:uid="{00000000-0005-0000-0000-0000603B0000}"/>
    <cellStyle name="Обычный 5 2 156 9" xfId="47031" xr:uid="{00000000-0005-0000-0000-0000613B0000}"/>
    <cellStyle name="Обычный 5 2 157" xfId="4340" xr:uid="{00000000-0005-0000-0000-0000623B0000}"/>
    <cellStyle name="Обычный 5 2 157 10" xfId="52403" xr:uid="{00000000-0005-0000-0000-0000633B0000}"/>
    <cellStyle name="Обычный 5 2 157 2" xfId="9683" xr:uid="{00000000-0005-0000-0000-0000643B0000}"/>
    <cellStyle name="Обычный 5 2 157 2 2" xfId="57744" xr:uid="{00000000-0005-0000-0000-0000653B0000}"/>
    <cellStyle name="Обычный 5 2 157 3" xfId="15023" xr:uid="{00000000-0005-0000-0000-0000663B0000}"/>
    <cellStyle name="Обычный 5 2 157 4" xfId="20363" xr:uid="{00000000-0005-0000-0000-0000673B0000}"/>
    <cellStyle name="Обычный 5 2 157 5" xfId="25703" xr:uid="{00000000-0005-0000-0000-0000683B0000}"/>
    <cellStyle name="Обычный 5 2 157 6" xfId="31043" xr:uid="{00000000-0005-0000-0000-0000693B0000}"/>
    <cellStyle name="Обычный 5 2 157 7" xfId="36383" xr:uid="{00000000-0005-0000-0000-00006A3B0000}"/>
    <cellStyle name="Обычный 5 2 157 8" xfId="41723" xr:uid="{00000000-0005-0000-0000-00006B3B0000}"/>
    <cellStyle name="Обычный 5 2 157 9" xfId="47063" xr:uid="{00000000-0005-0000-0000-00006C3B0000}"/>
    <cellStyle name="Обычный 5 2 158" xfId="4372" xr:uid="{00000000-0005-0000-0000-00006D3B0000}"/>
    <cellStyle name="Обычный 5 2 158 10" xfId="52435" xr:uid="{00000000-0005-0000-0000-00006E3B0000}"/>
    <cellStyle name="Обычный 5 2 158 2" xfId="9715" xr:uid="{00000000-0005-0000-0000-00006F3B0000}"/>
    <cellStyle name="Обычный 5 2 158 2 2" xfId="57776" xr:uid="{00000000-0005-0000-0000-0000703B0000}"/>
    <cellStyle name="Обычный 5 2 158 3" xfId="15055" xr:uid="{00000000-0005-0000-0000-0000713B0000}"/>
    <cellStyle name="Обычный 5 2 158 4" xfId="20395" xr:uid="{00000000-0005-0000-0000-0000723B0000}"/>
    <cellStyle name="Обычный 5 2 158 5" xfId="25735" xr:uid="{00000000-0005-0000-0000-0000733B0000}"/>
    <cellStyle name="Обычный 5 2 158 6" xfId="31075" xr:uid="{00000000-0005-0000-0000-0000743B0000}"/>
    <cellStyle name="Обычный 5 2 158 7" xfId="36415" xr:uid="{00000000-0005-0000-0000-0000753B0000}"/>
    <cellStyle name="Обычный 5 2 158 8" xfId="41755" xr:uid="{00000000-0005-0000-0000-0000763B0000}"/>
    <cellStyle name="Обычный 5 2 158 9" xfId="47095" xr:uid="{00000000-0005-0000-0000-0000773B0000}"/>
    <cellStyle name="Обычный 5 2 159" xfId="4404" xr:uid="{00000000-0005-0000-0000-0000783B0000}"/>
    <cellStyle name="Обычный 5 2 159 10" xfId="52467" xr:uid="{00000000-0005-0000-0000-0000793B0000}"/>
    <cellStyle name="Обычный 5 2 159 2" xfId="9747" xr:uid="{00000000-0005-0000-0000-00007A3B0000}"/>
    <cellStyle name="Обычный 5 2 159 2 2" xfId="57808" xr:uid="{00000000-0005-0000-0000-00007B3B0000}"/>
    <cellStyle name="Обычный 5 2 159 3" xfId="15087" xr:uid="{00000000-0005-0000-0000-00007C3B0000}"/>
    <cellStyle name="Обычный 5 2 159 4" xfId="20427" xr:uid="{00000000-0005-0000-0000-00007D3B0000}"/>
    <cellStyle name="Обычный 5 2 159 5" xfId="25767" xr:uid="{00000000-0005-0000-0000-00007E3B0000}"/>
    <cellStyle name="Обычный 5 2 159 6" xfId="31107" xr:uid="{00000000-0005-0000-0000-00007F3B0000}"/>
    <cellStyle name="Обычный 5 2 159 7" xfId="36447" xr:uid="{00000000-0005-0000-0000-0000803B0000}"/>
    <cellStyle name="Обычный 5 2 159 8" xfId="41787" xr:uid="{00000000-0005-0000-0000-0000813B0000}"/>
    <cellStyle name="Обычный 5 2 159 9" xfId="47127" xr:uid="{00000000-0005-0000-0000-0000823B0000}"/>
    <cellStyle name="Обычный 5 2 16" xfId="238" xr:uid="{00000000-0005-0000-0000-0000833B0000}"/>
    <cellStyle name="Обычный 5 2 16 10" xfId="42960" xr:uid="{00000000-0005-0000-0000-0000843B0000}"/>
    <cellStyle name="Обычный 5 2 16 11" xfId="48300" xr:uid="{00000000-0005-0000-0000-0000853B0000}"/>
    <cellStyle name="Обычный 5 2 16 2" xfId="705" xr:uid="{00000000-0005-0000-0000-0000863B0000}"/>
    <cellStyle name="Обычный 5 2 16 2 10" xfId="48767" xr:uid="{00000000-0005-0000-0000-0000873B0000}"/>
    <cellStyle name="Обычный 5 2 16 2 2" xfId="6046" xr:uid="{00000000-0005-0000-0000-0000883B0000}"/>
    <cellStyle name="Обычный 5 2 16 2 2 2" xfId="54108" xr:uid="{00000000-0005-0000-0000-0000893B0000}"/>
    <cellStyle name="Обычный 5 2 16 2 3" xfId="11387" xr:uid="{00000000-0005-0000-0000-00008A3B0000}"/>
    <cellStyle name="Обычный 5 2 16 2 4" xfId="16727" xr:uid="{00000000-0005-0000-0000-00008B3B0000}"/>
    <cellStyle name="Обычный 5 2 16 2 5" xfId="22067" xr:uid="{00000000-0005-0000-0000-00008C3B0000}"/>
    <cellStyle name="Обычный 5 2 16 2 6" xfId="27407" xr:uid="{00000000-0005-0000-0000-00008D3B0000}"/>
    <cellStyle name="Обычный 5 2 16 2 7" xfId="32747" xr:uid="{00000000-0005-0000-0000-00008E3B0000}"/>
    <cellStyle name="Обычный 5 2 16 2 8" xfId="38087" xr:uid="{00000000-0005-0000-0000-00008F3B0000}"/>
    <cellStyle name="Обычный 5 2 16 2 9" xfId="43427" xr:uid="{00000000-0005-0000-0000-0000903B0000}"/>
    <cellStyle name="Обычный 5 2 16 3" xfId="5579" xr:uid="{00000000-0005-0000-0000-0000913B0000}"/>
    <cellStyle name="Обычный 5 2 16 3 2" xfId="53641" xr:uid="{00000000-0005-0000-0000-0000923B0000}"/>
    <cellStyle name="Обычный 5 2 16 4" xfId="10920" xr:uid="{00000000-0005-0000-0000-0000933B0000}"/>
    <cellStyle name="Обычный 5 2 16 5" xfId="16260" xr:uid="{00000000-0005-0000-0000-0000943B0000}"/>
    <cellStyle name="Обычный 5 2 16 6" xfId="21600" xr:uid="{00000000-0005-0000-0000-0000953B0000}"/>
    <cellStyle name="Обычный 5 2 16 7" xfId="26940" xr:uid="{00000000-0005-0000-0000-0000963B0000}"/>
    <cellStyle name="Обычный 5 2 16 8" xfId="32280" xr:uid="{00000000-0005-0000-0000-0000973B0000}"/>
    <cellStyle name="Обычный 5 2 16 9" xfId="37620" xr:uid="{00000000-0005-0000-0000-0000983B0000}"/>
    <cellStyle name="Обычный 5 2 160" xfId="4436" xr:uid="{00000000-0005-0000-0000-0000993B0000}"/>
    <cellStyle name="Обычный 5 2 160 10" xfId="52499" xr:uid="{00000000-0005-0000-0000-00009A3B0000}"/>
    <cellStyle name="Обычный 5 2 160 2" xfId="9779" xr:uid="{00000000-0005-0000-0000-00009B3B0000}"/>
    <cellStyle name="Обычный 5 2 160 2 2" xfId="57840" xr:uid="{00000000-0005-0000-0000-00009C3B0000}"/>
    <cellStyle name="Обычный 5 2 160 3" xfId="15119" xr:uid="{00000000-0005-0000-0000-00009D3B0000}"/>
    <cellStyle name="Обычный 5 2 160 4" xfId="20459" xr:uid="{00000000-0005-0000-0000-00009E3B0000}"/>
    <cellStyle name="Обычный 5 2 160 5" xfId="25799" xr:uid="{00000000-0005-0000-0000-00009F3B0000}"/>
    <cellStyle name="Обычный 5 2 160 6" xfId="31139" xr:uid="{00000000-0005-0000-0000-0000A03B0000}"/>
    <cellStyle name="Обычный 5 2 160 7" xfId="36479" xr:uid="{00000000-0005-0000-0000-0000A13B0000}"/>
    <cellStyle name="Обычный 5 2 160 8" xfId="41819" xr:uid="{00000000-0005-0000-0000-0000A23B0000}"/>
    <cellStyle name="Обычный 5 2 160 9" xfId="47159" xr:uid="{00000000-0005-0000-0000-0000A33B0000}"/>
    <cellStyle name="Обычный 5 2 161" xfId="4468" xr:uid="{00000000-0005-0000-0000-0000A43B0000}"/>
    <cellStyle name="Обычный 5 2 161 10" xfId="52531" xr:uid="{00000000-0005-0000-0000-0000A53B0000}"/>
    <cellStyle name="Обычный 5 2 161 2" xfId="9811" xr:uid="{00000000-0005-0000-0000-0000A63B0000}"/>
    <cellStyle name="Обычный 5 2 161 2 2" xfId="57872" xr:uid="{00000000-0005-0000-0000-0000A73B0000}"/>
    <cellStyle name="Обычный 5 2 161 3" xfId="15151" xr:uid="{00000000-0005-0000-0000-0000A83B0000}"/>
    <cellStyle name="Обычный 5 2 161 4" xfId="20491" xr:uid="{00000000-0005-0000-0000-0000A93B0000}"/>
    <cellStyle name="Обычный 5 2 161 5" xfId="25831" xr:uid="{00000000-0005-0000-0000-0000AA3B0000}"/>
    <cellStyle name="Обычный 5 2 161 6" xfId="31171" xr:uid="{00000000-0005-0000-0000-0000AB3B0000}"/>
    <cellStyle name="Обычный 5 2 161 7" xfId="36511" xr:uid="{00000000-0005-0000-0000-0000AC3B0000}"/>
    <cellStyle name="Обычный 5 2 161 8" xfId="41851" xr:uid="{00000000-0005-0000-0000-0000AD3B0000}"/>
    <cellStyle name="Обычный 5 2 161 9" xfId="47191" xr:uid="{00000000-0005-0000-0000-0000AE3B0000}"/>
    <cellStyle name="Обычный 5 2 162" xfId="4500" xr:uid="{00000000-0005-0000-0000-0000AF3B0000}"/>
    <cellStyle name="Обычный 5 2 162 10" xfId="52563" xr:uid="{00000000-0005-0000-0000-0000B03B0000}"/>
    <cellStyle name="Обычный 5 2 162 2" xfId="9843" xr:uid="{00000000-0005-0000-0000-0000B13B0000}"/>
    <cellStyle name="Обычный 5 2 162 2 2" xfId="57904" xr:uid="{00000000-0005-0000-0000-0000B23B0000}"/>
    <cellStyle name="Обычный 5 2 162 3" xfId="15183" xr:uid="{00000000-0005-0000-0000-0000B33B0000}"/>
    <cellStyle name="Обычный 5 2 162 4" xfId="20523" xr:uid="{00000000-0005-0000-0000-0000B43B0000}"/>
    <cellStyle name="Обычный 5 2 162 5" xfId="25863" xr:uid="{00000000-0005-0000-0000-0000B53B0000}"/>
    <cellStyle name="Обычный 5 2 162 6" xfId="31203" xr:uid="{00000000-0005-0000-0000-0000B63B0000}"/>
    <cellStyle name="Обычный 5 2 162 7" xfId="36543" xr:uid="{00000000-0005-0000-0000-0000B73B0000}"/>
    <cellStyle name="Обычный 5 2 162 8" xfId="41883" xr:uid="{00000000-0005-0000-0000-0000B83B0000}"/>
    <cellStyle name="Обычный 5 2 162 9" xfId="47223" xr:uid="{00000000-0005-0000-0000-0000B93B0000}"/>
    <cellStyle name="Обычный 5 2 163" xfId="4532" xr:uid="{00000000-0005-0000-0000-0000BA3B0000}"/>
    <cellStyle name="Обычный 5 2 163 10" xfId="52595" xr:uid="{00000000-0005-0000-0000-0000BB3B0000}"/>
    <cellStyle name="Обычный 5 2 163 2" xfId="9875" xr:uid="{00000000-0005-0000-0000-0000BC3B0000}"/>
    <cellStyle name="Обычный 5 2 163 2 2" xfId="57936" xr:uid="{00000000-0005-0000-0000-0000BD3B0000}"/>
    <cellStyle name="Обычный 5 2 163 3" xfId="15215" xr:uid="{00000000-0005-0000-0000-0000BE3B0000}"/>
    <cellStyle name="Обычный 5 2 163 4" xfId="20555" xr:uid="{00000000-0005-0000-0000-0000BF3B0000}"/>
    <cellStyle name="Обычный 5 2 163 5" xfId="25895" xr:uid="{00000000-0005-0000-0000-0000C03B0000}"/>
    <cellStyle name="Обычный 5 2 163 6" xfId="31235" xr:uid="{00000000-0005-0000-0000-0000C13B0000}"/>
    <cellStyle name="Обычный 5 2 163 7" xfId="36575" xr:uid="{00000000-0005-0000-0000-0000C23B0000}"/>
    <cellStyle name="Обычный 5 2 163 8" xfId="41915" xr:uid="{00000000-0005-0000-0000-0000C33B0000}"/>
    <cellStyle name="Обычный 5 2 163 9" xfId="47255" xr:uid="{00000000-0005-0000-0000-0000C43B0000}"/>
    <cellStyle name="Обычный 5 2 164" xfId="4564" xr:uid="{00000000-0005-0000-0000-0000C53B0000}"/>
    <cellStyle name="Обычный 5 2 164 10" xfId="52627" xr:uid="{00000000-0005-0000-0000-0000C63B0000}"/>
    <cellStyle name="Обычный 5 2 164 2" xfId="9907" xr:uid="{00000000-0005-0000-0000-0000C73B0000}"/>
    <cellStyle name="Обычный 5 2 164 2 2" xfId="57968" xr:uid="{00000000-0005-0000-0000-0000C83B0000}"/>
    <cellStyle name="Обычный 5 2 164 3" xfId="15247" xr:uid="{00000000-0005-0000-0000-0000C93B0000}"/>
    <cellStyle name="Обычный 5 2 164 4" xfId="20587" xr:uid="{00000000-0005-0000-0000-0000CA3B0000}"/>
    <cellStyle name="Обычный 5 2 164 5" xfId="25927" xr:uid="{00000000-0005-0000-0000-0000CB3B0000}"/>
    <cellStyle name="Обычный 5 2 164 6" xfId="31267" xr:uid="{00000000-0005-0000-0000-0000CC3B0000}"/>
    <cellStyle name="Обычный 5 2 164 7" xfId="36607" xr:uid="{00000000-0005-0000-0000-0000CD3B0000}"/>
    <cellStyle name="Обычный 5 2 164 8" xfId="41947" xr:uid="{00000000-0005-0000-0000-0000CE3B0000}"/>
    <cellStyle name="Обычный 5 2 164 9" xfId="47287" xr:uid="{00000000-0005-0000-0000-0000CF3B0000}"/>
    <cellStyle name="Обычный 5 2 165" xfId="4596" xr:uid="{00000000-0005-0000-0000-0000D03B0000}"/>
    <cellStyle name="Обычный 5 2 165 10" xfId="52659" xr:uid="{00000000-0005-0000-0000-0000D13B0000}"/>
    <cellStyle name="Обычный 5 2 165 2" xfId="9939" xr:uid="{00000000-0005-0000-0000-0000D23B0000}"/>
    <cellStyle name="Обычный 5 2 165 2 2" xfId="58000" xr:uid="{00000000-0005-0000-0000-0000D33B0000}"/>
    <cellStyle name="Обычный 5 2 165 3" xfId="15279" xr:uid="{00000000-0005-0000-0000-0000D43B0000}"/>
    <cellStyle name="Обычный 5 2 165 4" xfId="20619" xr:uid="{00000000-0005-0000-0000-0000D53B0000}"/>
    <cellStyle name="Обычный 5 2 165 5" xfId="25959" xr:uid="{00000000-0005-0000-0000-0000D63B0000}"/>
    <cellStyle name="Обычный 5 2 165 6" xfId="31299" xr:uid="{00000000-0005-0000-0000-0000D73B0000}"/>
    <cellStyle name="Обычный 5 2 165 7" xfId="36639" xr:uid="{00000000-0005-0000-0000-0000D83B0000}"/>
    <cellStyle name="Обычный 5 2 165 8" xfId="41979" xr:uid="{00000000-0005-0000-0000-0000D93B0000}"/>
    <cellStyle name="Обычный 5 2 165 9" xfId="47319" xr:uid="{00000000-0005-0000-0000-0000DA3B0000}"/>
    <cellStyle name="Обычный 5 2 166" xfId="4628" xr:uid="{00000000-0005-0000-0000-0000DB3B0000}"/>
    <cellStyle name="Обычный 5 2 166 10" xfId="52691" xr:uid="{00000000-0005-0000-0000-0000DC3B0000}"/>
    <cellStyle name="Обычный 5 2 166 2" xfId="9971" xr:uid="{00000000-0005-0000-0000-0000DD3B0000}"/>
    <cellStyle name="Обычный 5 2 166 2 2" xfId="58032" xr:uid="{00000000-0005-0000-0000-0000DE3B0000}"/>
    <cellStyle name="Обычный 5 2 166 3" xfId="15311" xr:uid="{00000000-0005-0000-0000-0000DF3B0000}"/>
    <cellStyle name="Обычный 5 2 166 4" xfId="20651" xr:uid="{00000000-0005-0000-0000-0000E03B0000}"/>
    <cellStyle name="Обычный 5 2 166 5" xfId="25991" xr:uid="{00000000-0005-0000-0000-0000E13B0000}"/>
    <cellStyle name="Обычный 5 2 166 6" xfId="31331" xr:uid="{00000000-0005-0000-0000-0000E23B0000}"/>
    <cellStyle name="Обычный 5 2 166 7" xfId="36671" xr:uid="{00000000-0005-0000-0000-0000E33B0000}"/>
    <cellStyle name="Обычный 5 2 166 8" xfId="42011" xr:uid="{00000000-0005-0000-0000-0000E43B0000}"/>
    <cellStyle name="Обычный 5 2 166 9" xfId="47351" xr:uid="{00000000-0005-0000-0000-0000E53B0000}"/>
    <cellStyle name="Обычный 5 2 167" xfId="4660" xr:uid="{00000000-0005-0000-0000-0000E63B0000}"/>
    <cellStyle name="Обычный 5 2 167 10" xfId="52723" xr:uid="{00000000-0005-0000-0000-0000E73B0000}"/>
    <cellStyle name="Обычный 5 2 167 2" xfId="10003" xr:uid="{00000000-0005-0000-0000-0000E83B0000}"/>
    <cellStyle name="Обычный 5 2 167 2 2" xfId="58064" xr:uid="{00000000-0005-0000-0000-0000E93B0000}"/>
    <cellStyle name="Обычный 5 2 167 3" xfId="15343" xr:uid="{00000000-0005-0000-0000-0000EA3B0000}"/>
    <cellStyle name="Обычный 5 2 167 4" xfId="20683" xr:uid="{00000000-0005-0000-0000-0000EB3B0000}"/>
    <cellStyle name="Обычный 5 2 167 5" xfId="26023" xr:uid="{00000000-0005-0000-0000-0000EC3B0000}"/>
    <cellStyle name="Обычный 5 2 167 6" xfId="31363" xr:uid="{00000000-0005-0000-0000-0000ED3B0000}"/>
    <cellStyle name="Обычный 5 2 167 7" xfId="36703" xr:uid="{00000000-0005-0000-0000-0000EE3B0000}"/>
    <cellStyle name="Обычный 5 2 167 8" xfId="42043" xr:uid="{00000000-0005-0000-0000-0000EF3B0000}"/>
    <cellStyle name="Обычный 5 2 167 9" xfId="47383" xr:uid="{00000000-0005-0000-0000-0000F03B0000}"/>
    <cellStyle name="Обычный 5 2 168" xfId="4692" xr:uid="{00000000-0005-0000-0000-0000F13B0000}"/>
    <cellStyle name="Обычный 5 2 168 10" xfId="52755" xr:uid="{00000000-0005-0000-0000-0000F23B0000}"/>
    <cellStyle name="Обычный 5 2 168 2" xfId="10035" xr:uid="{00000000-0005-0000-0000-0000F33B0000}"/>
    <cellStyle name="Обычный 5 2 168 2 2" xfId="58096" xr:uid="{00000000-0005-0000-0000-0000F43B0000}"/>
    <cellStyle name="Обычный 5 2 168 3" xfId="15375" xr:uid="{00000000-0005-0000-0000-0000F53B0000}"/>
    <cellStyle name="Обычный 5 2 168 4" xfId="20715" xr:uid="{00000000-0005-0000-0000-0000F63B0000}"/>
    <cellStyle name="Обычный 5 2 168 5" xfId="26055" xr:uid="{00000000-0005-0000-0000-0000F73B0000}"/>
    <cellStyle name="Обычный 5 2 168 6" xfId="31395" xr:uid="{00000000-0005-0000-0000-0000F83B0000}"/>
    <cellStyle name="Обычный 5 2 168 7" xfId="36735" xr:uid="{00000000-0005-0000-0000-0000F93B0000}"/>
    <cellStyle name="Обычный 5 2 168 8" xfId="42075" xr:uid="{00000000-0005-0000-0000-0000FA3B0000}"/>
    <cellStyle name="Обычный 5 2 168 9" xfId="47415" xr:uid="{00000000-0005-0000-0000-0000FB3B0000}"/>
    <cellStyle name="Обычный 5 2 169" xfId="4726" xr:uid="{00000000-0005-0000-0000-0000FC3B0000}"/>
    <cellStyle name="Обычный 5 2 169 10" xfId="52789" xr:uid="{00000000-0005-0000-0000-0000FD3B0000}"/>
    <cellStyle name="Обычный 5 2 169 2" xfId="10069" xr:uid="{00000000-0005-0000-0000-0000FE3B0000}"/>
    <cellStyle name="Обычный 5 2 169 2 2" xfId="58130" xr:uid="{00000000-0005-0000-0000-0000FF3B0000}"/>
    <cellStyle name="Обычный 5 2 169 3" xfId="15409" xr:uid="{00000000-0005-0000-0000-0000003C0000}"/>
    <cellStyle name="Обычный 5 2 169 4" xfId="20749" xr:uid="{00000000-0005-0000-0000-0000013C0000}"/>
    <cellStyle name="Обычный 5 2 169 5" xfId="26089" xr:uid="{00000000-0005-0000-0000-0000023C0000}"/>
    <cellStyle name="Обычный 5 2 169 6" xfId="31429" xr:uid="{00000000-0005-0000-0000-0000033C0000}"/>
    <cellStyle name="Обычный 5 2 169 7" xfId="36769" xr:uid="{00000000-0005-0000-0000-0000043C0000}"/>
    <cellStyle name="Обычный 5 2 169 8" xfId="42109" xr:uid="{00000000-0005-0000-0000-0000053C0000}"/>
    <cellStyle name="Обычный 5 2 169 9" xfId="47449" xr:uid="{00000000-0005-0000-0000-0000063C0000}"/>
    <cellStyle name="Обычный 5 2 17" xfId="248" xr:uid="{00000000-0005-0000-0000-0000073C0000}"/>
    <cellStyle name="Обычный 5 2 17 10" xfId="42970" xr:uid="{00000000-0005-0000-0000-0000083C0000}"/>
    <cellStyle name="Обычный 5 2 17 11" xfId="48310" xr:uid="{00000000-0005-0000-0000-0000093C0000}"/>
    <cellStyle name="Обычный 5 2 17 2" xfId="715" xr:uid="{00000000-0005-0000-0000-00000A3C0000}"/>
    <cellStyle name="Обычный 5 2 17 2 10" xfId="48777" xr:uid="{00000000-0005-0000-0000-00000B3C0000}"/>
    <cellStyle name="Обычный 5 2 17 2 2" xfId="6056" xr:uid="{00000000-0005-0000-0000-00000C3C0000}"/>
    <cellStyle name="Обычный 5 2 17 2 2 2" xfId="54118" xr:uid="{00000000-0005-0000-0000-00000D3C0000}"/>
    <cellStyle name="Обычный 5 2 17 2 3" xfId="11397" xr:uid="{00000000-0005-0000-0000-00000E3C0000}"/>
    <cellStyle name="Обычный 5 2 17 2 4" xfId="16737" xr:uid="{00000000-0005-0000-0000-00000F3C0000}"/>
    <cellStyle name="Обычный 5 2 17 2 5" xfId="22077" xr:uid="{00000000-0005-0000-0000-0000103C0000}"/>
    <cellStyle name="Обычный 5 2 17 2 6" xfId="27417" xr:uid="{00000000-0005-0000-0000-0000113C0000}"/>
    <cellStyle name="Обычный 5 2 17 2 7" xfId="32757" xr:uid="{00000000-0005-0000-0000-0000123C0000}"/>
    <cellStyle name="Обычный 5 2 17 2 8" xfId="38097" xr:uid="{00000000-0005-0000-0000-0000133C0000}"/>
    <cellStyle name="Обычный 5 2 17 2 9" xfId="43437" xr:uid="{00000000-0005-0000-0000-0000143C0000}"/>
    <cellStyle name="Обычный 5 2 17 3" xfId="5589" xr:uid="{00000000-0005-0000-0000-0000153C0000}"/>
    <cellStyle name="Обычный 5 2 17 3 2" xfId="53651" xr:uid="{00000000-0005-0000-0000-0000163C0000}"/>
    <cellStyle name="Обычный 5 2 17 4" xfId="10930" xr:uid="{00000000-0005-0000-0000-0000173C0000}"/>
    <cellStyle name="Обычный 5 2 17 5" xfId="16270" xr:uid="{00000000-0005-0000-0000-0000183C0000}"/>
    <cellStyle name="Обычный 5 2 17 6" xfId="21610" xr:uid="{00000000-0005-0000-0000-0000193C0000}"/>
    <cellStyle name="Обычный 5 2 17 7" xfId="26950" xr:uid="{00000000-0005-0000-0000-00001A3C0000}"/>
    <cellStyle name="Обычный 5 2 17 8" xfId="32290" xr:uid="{00000000-0005-0000-0000-00001B3C0000}"/>
    <cellStyle name="Обычный 5 2 17 9" xfId="37630" xr:uid="{00000000-0005-0000-0000-00001C3C0000}"/>
    <cellStyle name="Обычный 5 2 170" xfId="4758" xr:uid="{00000000-0005-0000-0000-00001D3C0000}"/>
    <cellStyle name="Обычный 5 2 170 10" xfId="52821" xr:uid="{00000000-0005-0000-0000-00001E3C0000}"/>
    <cellStyle name="Обычный 5 2 170 2" xfId="10101" xr:uid="{00000000-0005-0000-0000-00001F3C0000}"/>
    <cellStyle name="Обычный 5 2 170 2 2" xfId="58162" xr:uid="{00000000-0005-0000-0000-0000203C0000}"/>
    <cellStyle name="Обычный 5 2 170 3" xfId="15441" xr:uid="{00000000-0005-0000-0000-0000213C0000}"/>
    <cellStyle name="Обычный 5 2 170 4" xfId="20781" xr:uid="{00000000-0005-0000-0000-0000223C0000}"/>
    <cellStyle name="Обычный 5 2 170 5" xfId="26121" xr:uid="{00000000-0005-0000-0000-0000233C0000}"/>
    <cellStyle name="Обычный 5 2 170 6" xfId="31461" xr:uid="{00000000-0005-0000-0000-0000243C0000}"/>
    <cellStyle name="Обычный 5 2 170 7" xfId="36801" xr:uid="{00000000-0005-0000-0000-0000253C0000}"/>
    <cellStyle name="Обычный 5 2 170 8" xfId="42141" xr:uid="{00000000-0005-0000-0000-0000263C0000}"/>
    <cellStyle name="Обычный 5 2 170 9" xfId="47481" xr:uid="{00000000-0005-0000-0000-0000273C0000}"/>
    <cellStyle name="Обычный 5 2 171" xfId="4790" xr:uid="{00000000-0005-0000-0000-0000283C0000}"/>
    <cellStyle name="Обычный 5 2 171 10" xfId="52853" xr:uid="{00000000-0005-0000-0000-0000293C0000}"/>
    <cellStyle name="Обычный 5 2 171 2" xfId="10133" xr:uid="{00000000-0005-0000-0000-00002A3C0000}"/>
    <cellStyle name="Обычный 5 2 171 2 2" xfId="58194" xr:uid="{00000000-0005-0000-0000-00002B3C0000}"/>
    <cellStyle name="Обычный 5 2 171 3" xfId="15473" xr:uid="{00000000-0005-0000-0000-00002C3C0000}"/>
    <cellStyle name="Обычный 5 2 171 4" xfId="20813" xr:uid="{00000000-0005-0000-0000-00002D3C0000}"/>
    <cellStyle name="Обычный 5 2 171 5" xfId="26153" xr:uid="{00000000-0005-0000-0000-00002E3C0000}"/>
    <cellStyle name="Обычный 5 2 171 6" xfId="31493" xr:uid="{00000000-0005-0000-0000-00002F3C0000}"/>
    <cellStyle name="Обычный 5 2 171 7" xfId="36833" xr:uid="{00000000-0005-0000-0000-0000303C0000}"/>
    <cellStyle name="Обычный 5 2 171 8" xfId="42173" xr:uid="{00000000-0005-0000-0000-0000313C0000}"/>
    <cellStyle name="Обычный 5 2 171 9" xfId="47513" xr:uid="{00000000-0005-0000-0000-0000323C0000}"/>
    <cellStyle name="Обычный 5 2 172" xfId="4822" xr:uid="{00000000-0005-0000-0000-0000333C0000}"/>
    <cellStyle name="Обычный 5 2 172 10" xfId="52885" xr:uid="{00000000-0005-0000-0000-0000343C0000}"/>
    <cellStyle name="Обычный 5 2 172 2" xfId="10165" xr:uid="{00000000-0005-0000-0000-0000353C0000}"/>
    <cellStyle name="Обычный 5 2 172 2 2" xfId="58226" xr:uid="{00000000-0005-0000-0000-0000363C0000}"/>
    <cellStyle name="Обычный 5 2 172 3" xfId="15505" xr:uid="{00000000-0005-0000-0000-0000373C0000}"/>
    <cellStyle name="Обычный 5 2 172 4" xfId="20845" xr:uid="{00000000-0005-0000-0000-0000383C0000}"/>
    <cellStyle name="Обычный 5 2 172 5" xfId="26185" xr:uid="{00000000-0005-0000-0000-0000393C0000}"/>
    <cellStyle name="Обычный 5 2 172 6" xfId="31525" xr:uid="{00000000-0005-0000-0000-00003A3C0000}"/>
    <cellStyle name="Обычный 5 2 172 7" xfId="36865" xr:uid="{00000000-0005-0000-0000-00003B3C0000}"/>
    <cellStyle name="Обычный 5 2 172 8" xfId="42205" xr:uid="{00000000-0005-0000-0000-00003C3C0000}"/>
    <cellStyle name="Обычный 5 2 172 9" xfId="47545" xr:uid="{00000000-0005-0000-0000-00003D3C0000}"/>
    <cellStyle name="Обычный 5 2 173" xfId="4854" xr:uid="{00000000-0005-0000-0000-00003E3C0000}"/>
    <cellStyle name="Обычный 5 2 173 10" xfId="52917" xr:uid="{00000000-0005-0000-0000-00003F3C0000}"/>
    <cellStyle name="Обычный 5 2 173 2" xfId="10197" xr:uid="{00000000-0005-0000-0000-0000403C0000}"/>
    <cellStyle name="Обычный 5 2 173 2 2" xfId="58258" xr:uid="{00000000-0005-0000-0000-0000413C0000}"/>
    <cellStyle name="Обычный 5 2 173 3" xfId="15537" xr:uid="{00000000-0005-0000-0000-0000423C0000}"/>
    <cellStyle name="Обычный 5 2 173 4" xfId="20877" xr:uid="{00000000-0005-0000-0000-0000433C0000}"/>
    <cellStyle name="Обычный 5 2 173 5" xfId="26217" xr:uid="{00000000-0005-0000-0000-0000443C0000}"/>
    <cellStyle name="Обычный 5 2 173 6" xfId="31557" xr:uid="{00000000-0005-0000-0000-0000453C0000}"/>
    <cellStyle name="Обычный 5 2 173 7" xfId="36897" xr:uid="{00000000-0005-0000-0000-0000463C0000}"/>
    <cellStyle name="Обычный 5 2 173 8" xfId="42237" xr:uid="{00000000-0005-0000-0000-0000473C0000}"/>
    <cellStyle name="Обычный 5 2 173 9" xfId="47577" xr:uid="{00000000-0005-0000-0000-0000483C0000}"/>
    <cellStyle name="Обычный 5 2 174" xfId="4886" xr:uid="{00000000-0005-0000-0000-0000493C0000}"/>
    <cellStyle name="Обычный 5 2 174 10" xfId="52949" xr:uid="{00000000-0005-0000-0000-00004A3C0000}"/>
    <cellStyle name="Обычный 5 2 174 2" xfId="10229" xr:uid="{00000000-0005-0000-0000-00004B3C0000}"/>
    <cellStyle name="Обычный 5 2 174 2 2" xfId="58290" xr:uid="{00000000-0005-0000-0000-00004C3C0000}"/>
    <cellStyle name="Обычный 5 2 174 3" xfId="15569" xr:uid="{00000000-0005-0000-0000-00004D3C0000}"/>
    <cellStyle name="Обычный 5 2 174 4" xfId="20909" xr:uid="{00000000-0005-0000-0000-00004E3C0000}"/>
    <cellStyle name="Обычный 5 2 174 5" xfId="26249" xr:uid="{00000000-0005-0000-0000-00004F3C0000}"/>
    <cellStyle name="Обычный 5 2 174 6" xfId="31589" xr:uid="{00000000-0005-0000-0000-0000503C0000}"/>
    <cellStyle name="Обычный 5 2 174 7" xfId="36929" xr:uid="{00000000-0005-0000-0000-0000513C0000}"/>
    <cellStyle name="Обычный 5 2 174 8" xfId="42269" xr:uid="{00000000-0005-0000-0000-0000523C0000}"/>
    <cellStyle name="Обычный 5 2 174 9" xfId="47609" xr:uid="{00000000-0005-0000-0000-0000533C0000}"/>
    <cellStyle name="Обычный 5 2 175" xfId="4918" xr:uid="{00000000-0005-0000-0000-0000543C0000}"/>
    <cellStyle name="Обычный 5 2 175 10" xfId="52981" xr:uid="{00000000-0005-0000-0000-0000553C0000}"/>
    <cellStyle name="Обычный 5 2 175 2" xfId="10261" xr:uid="{00000000-0005-0000-0000-0000563C0000}"/>
    <cellStyle name="Обычный 5 2 175 2 2" xfId="58322" xr:uid="{00000000-0005-0000-0000-0000573C0000}"/>
    <cellStyle name="Обычный 5 2 175 3" xfId="15601" xr:uid="{00000000-0005-0000-0000-0000583C0000}"/>
    <cellStyle name="Обычный 5 2 175 4" xfId="20941" xr:uid="{00000000-0005-0000-0000-0000593C0000}"/>
    <cellStyle name="Обычный 5 2 175 5" xfId="26281" xr:uid="{00000000-0005-0000-0000-00005A3C0000}"/>
    <cellStyle name="Обычный 5 2 175 6" xfId="31621" xr:uid="{00000000-0005-0000-0000-00005B3C0000}"/>
    <cellStyle name="Обычный 5 2 175 7" xfId="36961" xr:uid="{00000000-0005-0000-0000-00005C3C0000}"/>
    <cellStyle name="Обычный 5 2 175 8" xfId="42301" xr:uid="{00000000-0005-0000-0000-00005D3C0000}"/>
    <cellStyle name="Обычный 5 2 175 9" xfId="47641" xr:uid="{00000000-0005-0000-0000-00005E3C0000}"/>
    <cellStyle name="Обычный 5 2 176" xfId="4950" xr:uid="{00000000-0005-0000-0000-00005F3C0000}"/>
    <cellStyle name="Обычный 5 2 176 10" xfId="53013" xr:uid="{00000000-0005-0000-0000-0000603C0000}"/>
    <cellStyle name="Обычный 5 2 176 2" xfId="10293" xr:uid="{00000000-0005-0000-0000-0000613C0000}"/>
    <cellStyle name="Обычный 5 2 176 2 2" xfId="58354" xr:uid="{00000000-0005-0000-0000-0000623C0000}"/>
    <cellStyle name="Обычный 5 2 176 3" xfId="15633" xr:uid="{00000000-0005-0000-0000-0000633C0000}"/>
    <cellStyle name="Обычный 5 2 176 4" xfId="20973" xr:uid="{00000000-0005-0000-0000-0000643C0000}"/>
    <cellStyle name="Обычный 5 2 176 5" xfId="26313" xr:uid="{00000000-0005-0000-0000-0000653C0000}"/>
    <cellStyle name="Обычный 5 2 176 6" xfId="31653" xr:uid="{00000000-0005-0000-0000-0000663C0000}"/>
    <cellStyle name="Обычный 5 2 176 7" xfId="36993" xr:uid="{00000000-0005-0000-0000-0000673C0000}"/>
    <cellStyle name="Обычный 5 2 176 8" xfId="42333" xr:uid="{00000000-0005-0000-0000-0000683C0000}"/>
    <cellStyle name="Обычный 5 2 176 9" xfId="47673" xr:uid="{00000000-0005-0000-0000-0000693C0000}"/>
    <cellStyle name="Обычный 5 2 177" xfId="4982" xr:uid="{00000000-0005-0000-0000-00006A3C0000}"/>
    <cellStyle name="Обычный 5 2 177 10" xfId="53045" xr:uid="{00000000-0005-0000-0000-00006B3C0000}"/>
    <cellStyle name="Обычный 5 2 177 2" xfId="10325" xr:uid="{00000000-0005-0000-0000-00006C3C0000}"/>
    <cellStyle name="Обычный 5 2 177 2 2" xfId="58386" xr:uid="{00000000-0005-0000-0000-00006D3C0000}"/>
    <cellStyle name="Обычный 5 2 177 3" xfId="15665" xr:uid="{00000000-0005-0000-0000-00006E3C0000}"/>
    <cellStyle name="Обычный 5 2 177 4" xfId="21005" xr:uid="{00000000-0005-0000-0000-00006F3C0000}"/>
    <cellStyle name="Обычный 5 2 177 5" xfId="26345" xr:uid="{00000000-0005-0000-0000-0000703C0000}"/>
    <cellStyle name="Обычный 5 2 177 6" xfId="31685" xr:uid="{00000000-0005-0000-0000-0000713C0000}"/>
    <cellStyle name="Обычный 5 2 177 7" xfId="37025" xr:uid="{00000000-0005-0000-0000-0000723C0000}"/>
    <cellStyle name="Обычный 5 2 177 8" xfId="42365" xr:uid="{00000000-0005-0000-0000-0000733C0000}"/>
    <cellStyle name="Обычный 5 2 177 9" xfId="47705" xr:uid="{00000000-0005-0000-0000-0000743C0000}"/>
    <cellStyle name="Обычный 5 2 178" xfId="5014" xr:uid="{00000000-0005-0000-0000-0000753C0000}"/>
    <cellStyle name="Обычный 5 2 178 10" xfId="53077" xr:uid="{00000000-0005-0000-0000-0000763C0000}"/>
    <cellStyle name="Обычный 5 2 178 2" xfId="10357" xr:uid="{00000000-0005-0000-0000-0000773C0000}"/>
    <cellStyle name="Обычный 5 2 178 2 2" xfId="58418" xr:uid="{00000000-0005-0000-0000-0000783C0000}"/>
    <cellStyle name="Обычный 5 2 178 3" xfId="15697" xr:uid="{00000000-0005-0000-0000-0000793C0000}"/>
    <cellStyle name="Обычный 5 2 178 4" xfId="21037" xr:uid="{00000000-0005-0000-0000-00007A3C0000}"/>
    <cellStyle name="Обычный 5 2 178 5" xfId="26377" xr:uid="{00000000-0005-0000-0000-00007B3C0000}"/>
    <cellStyle name="Обычный 5 2 178 6" xfId="31717" xr:uid="{00000000-0005-0000-0000-00007C3C0000}"/>
    <cellStyle name="Обычный 5 2 178 7" xfId="37057" xr:uid="{00000000-0005-0000-0000-00007D3C0000}"/>
    <cellStyle name="Обычный 5 2 178 8" xfId="42397" xr:uid="{00000000-0005-0000-0000-00007E3C0000}"/>
    <cellStyle name="Обычный 5 2 178 9" xfId="47737" xr:uid="{00000000-0005-0000-0000-00007F3C0000}"/>
    <cellStyle name="Обычный 5 2 179" xfId="5046" xr:uid="{00000000-0005-0000-0000-0000803C0000}"/>
    <cellStyle name="Обычный 5 2 179 10" xfId="53109" xr:uid="{00000000-0005-0000-0000-0000813C0000}"/>
    <cellStyle name="Обычный 5 2 179 2" xfId="10389" xr:uid="{00000000-0005-0000-0000-0000823C0000}"/>
    <cellStyle name="Обычный 5 2 179 2 2" xfId="58450" xr:uid="{00000000-0005-0000-0000-0000833C0000}"/>
    <cellStyle name="Обычный 5 2 179 3" xfId="15729" xr:uid="{00000000-0005-0000-0000-0000843C0000}"/>
    <cellStyle name="Обычный 5 2 179 4" xfId="21069" xr:uid="{00000000-0005-0000-0000-0000853C0000}"/>
    <cellStyle name="Обычный 5 2 179 5" xfId="26409" xr:uid="{00000000-0005-0000-0000-0000863C0000}"/>
    <cellStyle name="Обычный 5 2 179 6" xfId="31749" xr:uid="{00000000-0005-0000-0000-0000873C0000}"/>
    <cellStyle name="Обычный 5 2 179 7" xfId="37089" xr:uid="{00000000-0005-0000-0000-0000883C0000}"/>
    <cellStyle name="Обычный 5 2 179 8" xfId="42429" xr:uid="{00000000-0005-0000-0000-0000893C0000}"/>
    <cellStyle name="Обычный 5 2 179 9" xfId="47769" xr:uid="{00000000-0005-0000-0000-00008A3C0000}"/>
    <cellStyle name="Обычный 5 2 18" xfId="258" xr:uid="{00000000-0005-0000-0000-00008B3C0000}"/>
    <cellStyle name="Обычный 5 2 18 10" xfId="42980" xr:uid="{00000000-0005-0000-0000-00008C3C0000}"/>
    <cellStyle name="Обычный 5 2 18 11" xfId="48320" xr:uid="{00000000-0005-0000-0000-00008D3C0000}"/>
    <cellStyle name="Обычный 5 2 18 2" xfId="725" xr:uid="{00000000-0005-0000-0000-00008E3C0000}"/>
    <cellStyle name="Обычный 5 2 18 2 10" xfId="48787" xr:uid="{00000000-0005-0000-0000-00008F3C0000}"/>
    <cellStyle name="Обычный 5 2 18 2 2" xfId="6066" xr:uid="{00000000-0005-0000-0000-0000903C0000}"/>
    <cellStyle name="Обычный 5 2 18 2 2 2" xfId="54128" xr:uid="{00000000-0005-0000-0000-0000913C0000}"/>
    <cellStyle name="Обычный 5 2 18 2 3" xfId="11407" xr:uid="{00000000-0005-0000-0000-0000923C0000}"/>
    <cellStyle name="Обычный 5 2 18 2 4" xfId="16747" xr:uid="{00000000-0005-0000-0000-0000933C0000}"/>
    <cellStyle name="Обычный 5 2 18 2 5" xfId="22087" xr:uid="{00000000-0005-0000-0000-0000943C0000}"/>
    <cellStyle name="Обычный 5 2 18 2 6" xfId="27427" xr:uid="{00000000-0005-0000-0000-0000953C0000}"/>
    <cellStyle name="Обычный 5 2 18 2 7" xfId="32767" xr:uid="{00000000-0005-0000-0000-0000963C0000}"/>
    <cellStyle name="Обычный 5 2 18 2 8" xfId="38107" xr:uid="{00000000-0005-0000-0000-0000973C0000}"/>
    <cellStyle name="Обычный 5 2 18 2 9" xfId="43447" xr:uid="{00000000-0005-0000-0000-0000983C0000}"/>
    <cellStyle name="Обычный 5 2 18 3" xfId="5599" xr:uid="{00000000-0005-0000-0000-0000993C0000}"/>
    <cellStyle name="Обычный 5 2 18 3 2" xfId="53661" xr:uid="{00000000-0005-0000-0000-00009A3C0000}"/>
    <cellStyle name="Обычный 5 2 18 4" xfId="10940" xr:uid="{00000000-0005-0000-0000-00009B3C0000}"/>
    <cellStyle name="Обычный 5 2 18 5" xfId="16280" xr:uid="{00000000-0005-0000-0000-00009C3C0000}"/>
    <cellStyle name="Обычный 5 2 18 6" xfId="21620" xr:uid="{00000000-0005-0000-0000-00009D3C0000}"/>
    <cellStyle name="Обычный 5 2 18 7" xfId="26960" xr:uid="{00000000-0005-0000-0000-00009E3C0000}"/>
    <cellStyle name="Обычный 5 2 18 8" xfId="32300" xr:uid="{00000000-0005-0000-0000-00009F3C0000}"/>
    <cellStyle name="Обычный 5 2 18 9" xfId="37640" xr:uid="{00000000-0005-0000-0000-0000A03C0000}"/>
    <cellStyle name="Обычный 5 2 180" xfId="5078" xr:uid="{00000000-0005-0000-0000-0000A13C0000}"/>
    <cellStyle name="Обычный 5 2 180 10" xfId="53141" xr:uid="{00000000-0005-0000-0000-0000A23C0000}"/>
    <cellStyle name="Обычный 5 2 180 2" xfId="10421" xr:uid="{00000000-0005-0000-0000-0000A33C0000}"/>
    <cellStyle name="Обычный 5 2 180 2 2" xfId="58482" xr:uid="{00000000-0005-0000-0000-0000A43C0000}"/>
    <cellStyle name="Обычный 5 2 180 3" xfId="15761" xr:uid="{00000000-0005-0000-0000-0000A53C0000}"/>
    <cellStyle name="Обычный 5 2 180 4" xfId="21101" xr:uid="{00000000-0005-0000-0000-0000A63C0000}"/>
    <cellStyle name="Обычный 5 2 180 5" xfId="26441" xr:uid="{00000000-0005-0000-0000-0000A73C0000}"/>
    <cellStyle name="Обычный 5 2 180 6" xfId="31781" xr:uid="{00000000-0005-0000-0000-0000A83C0000}"/>
    <cellStyle name="Обычный 5 2 180 7" xfId="37121" xr:uid="{00000000-0005-0000-0000-0000A93C0000}"/>
    <cellStyle name="Обычный 5 2 180 8" xfId="42461" xr:uid="{00000000-0005-0000-0000-0000AA3C0000}"/>
    <cellStyle name="Обычный 5 2 180 9" xfId="47801" xr:uid="{00000000-0005-0000-0000-0000AB3C0000}"/>
    <cellStyle name="Обычный 5 2 181" xfId="5110" xr:uid="{00000000-0005-0000-0000-0000AC3C0000}"/>
    <cellStyle name="Обычный 5 2 181 10" xfId="53173" xr:uid="{00000000-0005-0000-0000-0000AD3C0000}"/>
    <cellStyle name="Обычный 5 2 181 2" xfId="10453" xr:uid="{00000000-0005-0000-0000-0000AE3C0000}"/>
    <cellStyle name="Обычный 5 2 181 2 2" xfId="58514" xr:uid="{00000000-0005-0000-0000-0000AF3C0000}"/>
    <cellStyle name="Обычный 5 2 181 3" xfId="15793" xr:uid="{00000000-0005-0000-0000-0000B03C0000}"/>
    <cellStyle name="Обычный 5 2 181 4" xfId="21133" xr:uid="{00000000-0005-0000-0000-0000B13C0000}"/>
    <cellStyle name="Обычный 5 2 181 5" xfId="26473" xr:uid="{00000000-0005-0000-0000-0000B23C0000}"/>
    <cellStyle name="Обычный 5 2 181 6" xfId="31813" xr:uid="{00000000-0005-0000-0000-0000B33C0000}"/>
    <cellStyle name="Обычный 5 2 181 7" xfId="37153" xr:uid="{00000000-0005-0000-0000-0000B43C0000}"/>
    <cellStyle name="Обычный 5 2 181 8" xfId="42493" xr:uid="{00000000-0005-0000-0000-0000B53C0000}"/>
    <cellStyle name="Обычный 5 2 181 9" xfId="47833" xr:uid="{00000000-0005-0000-0000-0000B63C0000}"/>
    <cellStyle name="Обычный 5 2 182" xfId="5142" xr:uid="{00000000-0005-0000-0000-0000B73C0000}"/>
    <cellStyle name="Обычный 5 2 182 10" xfId="53205" xr:uid="{00000000-0005-0000-0000-0000B83C0000}"/>
    <cellStyle name="Обычный 5 2 182 2" xfId="10485" xr:uid="{00000000-0005-0000-0000-0000B93C0000}"/>
    <cellStyle name="Обычный 5 2 182 2 2" xfId="58546" xr:uid="{00000000-0005-0000-0000-0000BA3C0000}"/>
    <cellStyle name="Обычный 5 2 182 3" xfId="15825" xr:uid="{00000000-0005-0000-0000-0000BB3C0000}"/>
    <cellStyle name="Обычный 5 2 182 4" xfId="21165" xr:uid="{00000000-0005-0000-0000-0000BC3C0000}"/>
    <cellStyle name="Обычный 5 2 182 5" xfId="26505" xr:uid="{00000000-0005-0000-0000-0000BD3C0000}"/>
    <cellStyle name="Обычный 5 2 182 6" xfId="31845" xr:uid="{00000000-0005-0000-0000-0000BE3C0000}"/>
    <cellStyle name="Обычный 5 2 182 7" xfId="37185" xr:uid="{00000000-0005-0000-0000-0000BF3C0000}"/>
    <cellStyle name="Обычный 5 2 182 8" xfId="42525" xr:uid="{00000000-0005-0000-0000-0000C03C0000}"/>
    <cellStyle name="Обычный 5 2 182 9" xfId="47865" xr:uid="{00000000-0005-0000-0000-0000C13C0000}"/>
    <cellStyle name="Обычный 5 2 183" xfId="5174" xr:uid="{00000000-0005-0000-0000-0000C23C0000}"/>
    <cellStyle name="Обычный 5 2 183 10" xfId="53237" xr:uid="{00000000-0005-0000-0000-0000C33C0000}"/>
    <cellStyle name="Обычный 5 2 183 2" xfId="10517" xr:uid="{00000000-0005-0000-0000-0000C43C0000}"/>
    <cellStyle name="Обычный 5 2 183 2 2" xfId="58578" xr:uid="{00000000-0005-0000-0000-0000C53C0000}"/>
    <cellStyle name="Обычный 5 2 183 3" xfId="15857" xr:uid="{00000000-0005-0000-0000-0000C63C0000}"/>
    <cellStyle name="Обычный 5 2 183 4" xfId="21197" xr:uid="{00000000-0005-0000-0000-0000C73C0000}"/>
    <cellStyle name="Обычный 5 2 183 5" xfId="26537" xr:uid="{00000000-0005-0000-0000-0000C83C0000}"/>
    <cellStyle name="Обычный 5 2 183 6" xfId="31877" xr:uid="{00000000-0005-0000-0000-0000C93C0000}"/>
    <cellStyle name="Обычный 5 2 183 7" xfId="37217" xr:uid="{00000000-0005-0000-0000-0000CA3C0000}"/>
    <cellStyle name="Обычный 5 2 183 8" xfId="42557" xr:uid="{00000000-0005-0000-0000-0000CB3C0000}"/>
    <cellStyle name="Обычный 5 2 183 9" xfId="47897" xr:uid="{00000000-0005-0000-0000-0000CC3C0000}"/>
    <cellStyle name="Обычный 5 2 184" xfId="5206" xr:uid="{00000000-0005-0000-0000-0000CD3C0000}"/>
    <cellStyle name="Обычный 5 2 184 10" xfId="53269" xr:uid="{00000000-0005-0000-0000-0000CE3C0000}"/>
    <cellStyle name="Обычный 5 2 184 2" xfId="10549" xr:uid="{00000000-0005-0000-0000-0000CF3C0000}"/>
    <cellStyle name="Обычный 5 2 184 2 2" xfId="58610" xr:uid="{00000000-0005-0000-0000-0000D03C0000}"/>
    <cellStyle name="Обычный 5 2 184 3" xfId="15889" xr:uid="{00000000-0005-0000-0000-0000D13C0000}"/>
    <cellStyle name="Обычный 5 2 184 4" xfId="21229" xr:uid="{00000000-0005-0000-0000-0000D23C0000}"/>
    <cellStyle name="Обычный 5 2 184 5" xfId="26569" xr:uid="{00000000-0005-0000-0000-0000D33C0000}"/>
    <cellStyle name="Обычный 5 2 184 6" xfId="31909" xr:uid="{00000000-0005-0000-0000-0000D43C0000}"/>
    <cellStyle name="Обычный 5 2 184 7" xfId="37249" xr:uid="{00000000-0005-0000-0000-0000D53C0000}"/>
    <cellStyle name="Обычный 5 2 184 8" xfId="42589" xr:uid="{00000000-0005-0000-0000-0000D63C0000}"/>
    <cellStyle name="Обычный 5 2 184 9" xfId="47929" xr:uid="{00000000-0005-0000-0000-0000D73C0000}"/>
    <cellStyle name="Обычный 5 2 185" xfId="5238" xr:uid="{00000000-0005-0000-0000-0000D83C0000}"/>
    <cellStyle name="Обычный 5 2 185 10" xfId="53301" xr:uid="{00000000-0005-0000-0000-0000D93C0000}"/>
    <cellStyle name="Обычный 5 2 185 2" xfId="10581" xr:uid="{00000000-0005-0000-0000-0000DA3C0000}"/>
    <cellStyle name="Обычный 5 2 185 2 2" xfId="58642" xr:uid="{00000000-0005-0000-0000-0000DB3C0000}"/>
    <cellStyle name="Обычный 5 2 185 3" xfId="15921" xr:uid="{00000000-0005-0000-0000-0000DC3C0000}"/>
    <cellStyle name="Обычный 5 2 185 4" xfId="21261" xr:uid="{00000000-0005-0000-0000-0000DD3C0000}"/>
    <cellStyle name="Обычный 5 2 185 5" xfId="26601" xr:uid="{00000000-0005-0000-0000-0000DE3C0000}"/>
    <cellStyle name="Обычный 5 2 185 6" xfId="31941" xr:uid="{00000000-0005-0000-0000-0000DF3C0000}"/>
    <cellStyle name="Обычный 5 2 185 7" xfId="37281" xr:uid="{00000000-0005-0000-0000-0000E03C0000}"/>
    <cellStyle name="Обычный 5 2 185 8" xfId="42621" xr:uid="{00000000-0005-0000-0000-0000E13C0000}"/>
    <cellStyle name="Обычный 5 2 185 9" xfId="47961" xr:uid="{00000000-0005-0000-0000-0000E23C0000}"/>
    <cellStyle name="Обычный 5 2 186" xfId="5270" xr:uid="{00000000-0005-0000-0000-0000E33C0000}"/>
    <cellStyle name="Обычный 5 2 186 10" xfId="53333" xr:uid="{00000000-0005-0000-0000-0000E43C0000}"/>
    <cellStyle name="Обычный 5 2 186 2" xfId="10613" xr:uid="{00000000-0005-0000-0000-0000E53C0000}"/>
    <cellStyle name="Обычный 5 2 186 2 2" xfId="58674" xr:uid="{00000000-0005-0000-0000-0000E63C0000}"/>
    <cellStyle name="Обычный 5 2 186 3" xfId="15953" xr:uid="{00000000-0005-0000-0000-0000E73C0000}"/>
    <cellStyle name="Обычный 5 2 186 4" xfId="21293" xr:uid="{00000000-0005-0000-0000-0000E83C0000}"/>
    <cellStyle name="Обычный 5 2 186 5" xfId="26633" xr:uid="{00000000-0005-0000-0000-0000E93C0000}"/>
    <cellStyle name="Обычный 5 2 186 6" xfId="31973" xr:uid="{00000000-0005-0000-0000-0000EA3C0000}"/>
    <cellStyle name="Обычный 5 2 186 7" xfId="37313" xr:uid="{00000000-0005-0000-0000-0000EB3C0000}"/>
    <cellStyle name="Обычный 5 2 186 8" xfId="42653" xr:uid="{00000000-0005-0000-0000-0000EC3C0000}"/>
    <cellStyle name="Обычный 5 2 186 9" xfId="47993" xr:uid="{00000000-0005-0000-0000-0000ED3C0000}"/>
    <cellStyle name="Обычный 5 2 187" xfId="5302" xr:uid="{00000000-0005-0000-0000-0000EE3C0000}"/>
    <cellStyle name="Обычный 5 2 187 10" xfId="53365" xr:uid="{00000000-0005-0000-0000-0000EF3C0000}"/>
    <cellStyle name="Обычный 5 2 187 2" xfId="10645" xr:uid="{00000000-0005-0000-0000-0000F03C0000}"/>
    <cellStyle name="Обычный 5 2 187 2 2" xfId="58706" xr:uid="{00000000-0005-0000-0000-0000F13C0000}"/>
    <cellStyle name="Обычный 5 2 187 3" xfId="15985" xr:uid="{00000000-0005-0000-0000-0000F23C0000}"/>
    <cellStyle name="Обычный 5 2 187 4" xfId="21325" xr:uid="{00000000-0005-0000-0000-0000F33C0000}"/>
    <cellStyle name="Обычный 5 2 187 5" xfId="26665" xr:uid="{00000000-0005-0000-0000-0000F43C0000}"/>
    <cellStyle name="Обычный 5 2 187 6" xfId="32005" xr:uid="{00000000-0005-0000-0000-0000F53C0000}"/>
    <cellStyle name="Обычный 5 2 187 7" xfId="37345" xr:uid="{00000000-0005-0000-0000-0000F63C0000}"/>
    <cellStyle name="Обычный 5 2 187 8" xfId="42685" xr:uid="{00000000-0005-0000-0000-0000F73C0000}"/>
    <cellStyle name="Обычный 5 2 187 9" xfId="48025" xr:uid="{00000000-0005-0000-0000-0000F83C0000}"/>
    <cellStyle name="Обычный 5 2 188" xfId="5334" xr:uid="{00000000-0005-0000-0000-0000F93C0000}"/>
    <cellStyle name="Обычный 5 2 188 10" xfId="53397" xr:uid="{00000000-0005-0000-0000-0000FA3C0000}"/>
    <cellStyle name="Обычный 5 2 188 2" xfId="10677" xr:uid="{00000000-0005-0000-0000-0000FB3C0000}"/>
    <cellStyle name="Обычный 5 2 188 2 2" xfId="58738" xr:uid="{00000000-0005-0000-0000-0000FC3C0000}"/>
    <cellStyle name="Обычный 5 2 188 3" xfId="16017" xr:uid="{00000000-0005-0000-0000-0000FD3C0000}"/>
    <cellStyle name="Обычный 5 2 188 4" xfId="21357" xr:uid="{00000000-0005-0000-0000-0000FE3C0000}"/>
    <cellStyle name="Обычный 5 2 188 5" xfId="26697" xr:uid="{00000000-0005-0000-0000-0000FF3C0000}"/>
    <cellStyle name="Обычный 5 2 188 6" xfId="32037" xr:uid="{00000000-0005-0000-0000-0000003D0000}"/>
    <cellStyle name="Обычный 5 2 188 7" xfId="37377" xr:uid="{00000000-0005-0000-0000-0000013D0000}"/>
    <cellStyle name="Обычный 5 2 188 8" xfId="42717" xr:uid="{00000000-0005-0000-0000-0000023D0000}"/>
    <cellStyle name="Обычный 5 2 188 9" xfId="48057" xr:uid="{00000000-0005-0000-0000-0000033D0000}"/>
    <cellStyle name="Обычный 5 2 189" xfId="5366" xr:uid="{00000000-0005-0000-0000-0000043D0000}"/>
    <cellStyle name="Обычный 5 2 189 10" xfId="53429" xr:uid="{00000000-0005-0000-0000-0000053D0000}"/>
    <cellStyle name="Обычный 5 2 189 2" xfId="10709" xr:uid="{00000000-0005-0000-0000-0000063D0000}"/>
    <cellStyle name="Обычный 5 2 189 2 2" xfId="58770" xr:uid="{00000000-0005-0000-0000-0000073D0000}"/>
    <cellStyle name="Обычный 5 2 189 3" xfId="16049" xr:uid="{00000000-0005-0000-0000-0000083D0000}"/>
    <cellStyle name="Обычный 5 2 189 4" xfId="21389" xr:uid="{00000000-0005-0000-0000-0000093D0000}"/>
    <cellStyle name="Обычный 5 2 189 5" xfId="26729" xr:uid="{00000000-0005-0000-0000-00000A3D0000}"/>
    <cellStyle name="Обычный 5 2 189 6" xfId="32069" xr:uid="{00000000-0005-0000-0000-00000B3D0000}"/>
    <cellStyle name="Обычный 5 2 189 7" xfId="37409" xr:uid="{00000000-0005-0000-0000-00000C3D0000}"/>
    <cellStyle name="Обычный 5 2 189 8" xfId="42749" xr:uid="{00000000-0005-0000-0000-00000D3D0000}"/>
    <cellStyle name="Обычный 5 2 189 9" xfId="48089" xr:uid="{00000000-0005-0000-0000-00000E3D0000}"/>
    <cellStyle name="Обычный 5 2 19" xfId="268" xr:uid="{00000000-0005-0000-0000-00000F3D0000}"/>
    <cellStyle name="Обычный 5 2 19 10" xfId="42990" xr:uid="{00000000-0005-0000-0000-0000103D0000}"/>
    <cellStyle name="Обычный 5 2 19 11" xfId="48330" xr:uid="{00000000-0005-0000-0000-0000113D0000}"/>
    <cellStyle name="Обычный 5 2 19 2" xfId="735" xr:uid="{00000000-0005-0000-0000-0000123D0000}"/>
    <cellStyle name="Обычный 5 2 19 2 10" xfId="48797" xr:uid="{00000000-0005-0000-0000-0000133D0000}"/>
    <cellStyle name="Обычный 5 2 19 2 2" xfId="6076" xr:uid="{00000000-0005-0000-0000-0000143D0000}"/>
    <cellStyle name="Обычный 5 2 19 2 2 2" xfId="54138" xr:uid="{00000000-0005-0000-0000-0000153D0000}"/>
    <cellStyle name="Обычный 5 2 19 2 3" xfId="11417" xr:uid="{00000000-0005-0000-0000-0000163D0000}"/>
    <cellStyle name="Обычный 5 2 19 2 4" xfId="16757" xr:uid="{00000000-0005-0000-0000-0000173D0000}"/>
    <cellStyle name="Обычный 5 2 19 2 5" xfId="22097" xr:uid="{00000000-0005-0000-0000-0000183D0000}"/>
    <cellStyle name="Обычный 5 2 19 2 6" xfId="27437" xr:uid="{00000000-0005-0000-0000-0000193D0000}"/>
    <cellStyle name="Обычный 5 2 19 2 7" xfId="32777" xr:uid="{00000000-0005-0000-0000-00001A3D0000}"/>
    <cellStyle name="Обычный 5 2 19 2 8" xfId="38117" xr:uid="{00000000-0005-0000-0000-00001B3D0000}"/>
    <cellStyle name="Обычный 5 2 19 2 9" xfId="43457" xr:uid="{00000000-0005-0000-0000-00001C3D0000}"/>
    <cellStyle name="Обычный 5 2 19 3" xfId="5609" xr:uid="{00000000-0005-0000-0000-00001D3D0000}"/>
    <cellStyle name="Обычный 5 2 19 3 2" xfId="53671" xr:uid="{00000000-0005-0000-0000-00001E3D0000}"/>
    <cellStyle name="Обычный 5 2 19 4" xfId="10950" xr:uid="{00000000-0005-0000-0000-00001F3D0000}"/>
    <cellStyle name="Обычный 5 2 19 5" xfId="16290" xr:uid="{00000000-0005-0000-0000-0000203D0000}"/>
    <cellStyle name="Обычный 5 2 19 6" xfId="21630" xr:uid="{00000000-0005-0000-0000-0000213D0000}"/>
    <cellStyle name="Обычный 5 2 19 7" xfId="26970" xr:uid="{00000000-0005-0000-0000-0000223D0000}"/>
    <cellStyle name="Обычный 5 2 19 8" xfId="32310" xr:uid="{00000000-0005-0000-0000-0000233D0000}"/>
    <cellStyle name="Обычный 5 2 19 9" xfId="37650" xr:uid="{00000000-0005-0000-0000-0000243D0000}"/>
    <cellStyle name="Обычный 5 2 190" xfId="5415" xr:uid="{00000000-0005-0000-0000-0000253D0000}"/>
    <cellStyle name="Обычный 5 2 190 2" xfId="53477" xr:uid="{00000000-0005-0000-0000-0000263D0000}"/>
    <cellStyle name="Обычный 5 2 191" xfId="10756" xr:uid="{00000000-0005-0000-0000-0000273D0000}"/>
    <cellStyle name="Обычный 5 2 192" xfId="16096" xr:uid="{00000000-0005-0000-0000-0000283D0000}"/>
    <cellStyle name="Обычный 5 2 193" xfId="21436" xr:uid="{00000000-0005-0000-0000-0000293D0000}"/>
    <cellStyle name="Обычный 5 2 194" xfId="26776" xr:uid="{00000000-0005-0000-0000-00002A3D0000}"/>
    <cellStyle name="Обычный 5 2 195" xfId="32116" xr:uid="{00000000-0005-0000-0000-00002B3D0000}"/>
    <cellStyle name="Обычный 5 2 196" xfId="37456" xr:uid="{00000000-0005-0000-0000-00002C3D0000}"/>
    <cellStyle name="Обычный 5 2 197" xfId="42796" xr:uid="{00000000-0005-0000-0000-00002D3D0000}"/>
    <cellStyle name="Обычный 5 2 198" xfId="48136" xr:uid="{00000000-0005-0000-0000-00002E3D0000}"/>
    <cellStyle name="Обычный 5 2 2" xfId="102" xr:uid="{00000000-0005-0000-0000-00002F3D0000}"/>
    <cellStyle name="Обычный 5 2 2 10" xfId="1182" xr:uid="{00000000-0005-0000-0000-0000303D0000}"/>
    <cellStyle name="Обычный 5 2 2 10 10" xfId="49245" xr:uid="{00000000-0005-0000-0000-0000313D0000}"/>
    <cellStyle name="Обычный 5 2 2 10 2" xfId="6524" xr:uid="{00000000-0005-0000-0000-0000323D0000}"/>
    <cellStyle name="Обычный 5 2 2 10 2 2" xfId="54586" xr:uid="{00000000-0005-0000-0000-0000333D0000}"/>
    <cellStyle name="Обычный 5 2 2 10 3" xfId="11865" xr:uid="{00000000-0005-0000-0000-0000343D0000}"/>
    <cellStyle name="Обычный 5 2 2 10 4" xfId="17205" xr:uid="{00000000-0005-0000-0000-0000353D0000}"/>
    <cellStyle name="Обычный 5 2 2 10 5" xfId="22545" xr:uid="{00000000-0005-0000-0000-0000363D0000}"/>
    <cellStyle name="Обычный 5 2 2 10 6" xfId="27885" xr:uid="{00000000-0005-0000-0000-0000373D0000}"/>
    <cellStyle name="Обычный 5 2 2 10 7" xfId="33225" xr:uid="{00000000-0005-0000-0000-0000383D0000}"/>
    <cellStyle name="Обычный 5 2 2 10 8" xfId="38565" xr:uid="{00000000-0005-0000-0000-0000393D0000}"/>
    <cellStyle name="Обычный 5 2 2 10 9" xfId="43905" xr:uid="{00000000-0005-0000-0000-00003A3D0000}"/>
    <cellStyle name="Обычный 5 2 2 100" xfId="3840" xr:uid="{00000000-0005-0000-0000-00003B3D0000}"/>
    <cellStyle name="Обычный 5 2 2 100 10" xfId="51903" xr:uid="{00000000-0005-0000-0000-00003C3D0000}"/>
    <cellStyle name="Обычный 5 2 2 100 2" xfId="9183" xr:uid="{00000000-0005-0000-0000-00003D3D0000}"/>
    <cellStyle name="Обычный 5 2 2 100 2 2" xfId="57244" xr:uid="{00000000-0005-0000-0000-00003E3D0000}"/>
    <cellStyle name="Обычный 5 2 2 100 3" xfId="14523" xr:uid="{00000000-0005-0000-0000-00003F3D0000}"/>
    <cellStyle name="Обычный 5 2 2 100 4" xfId="19863" xr:uid="{00000000-0005-0000-0000-0000403D0000}"/>
    <cellStyle name="Обычный 5 2 2 100 5" xfId="25203" xr:uid="{00000000-0005-0000-0000-0000413D0000}"/>
    <cellStyle name="Обычный 5 2 2 100 6" xfId="30543" xr:uid="{00000000-0005-0000-0000-0000423D0000}"/>
    <cellStyle name="Обычный 5 2 2 100 7" xfId="35883" xr:uid="{00000000-0005-0000-0000-0000433D0000}"/>
    <cellStyle name="Обычный 5 2 2 100 8" xfId="41223" xr:uid="{00000000-0005-0000-0000-0000443D0000}"/>
    <cellStyle name="Обычный 5 2 2 100 9" xfId="46563" xr:uid="{00000000-0005-0000-0000-0000453D0000}"/>
    <cellStyle name="Обычный 5 2 2 101" xfId="3872" xr:uid="{00000000-0005-0000-0000-0000463D0000}"/>
    <cellStyle name="Обычный 5 2 2 101 10" xfId="51935" xr:uid="{00000000-0005-0000-0000-0000473D0000}"/>
    <cellStyle name="Обычный 5 2 2 101 2" xfId="9215" xr:uid="{00000000-0005-0000-0000-0000483D0000}"/>
    <cellStyle name="Обычный 5 2 2 101 2 2" xfId="57276" xr:uid="{00000000-0005-0000-0000-0000493D0000}"/>
    <cellStyle name="Обычный 5 2 2 101 3" xfId="14555" xr:uid="{00000000-0005-0000-0000-00004A3D0000}"/>
    <cellStyle name="Обычный 5 2 2 101 4" xfId="19895" xr:uid="{00000000-0005-0000-0000-00004B3D0000}"/>
    <cellStyle name="Обычный 5 2 2 101 5" xfId="25235" xr:uid="{00000000-0005-0000-0000-00004C3D0000}"/>
    <cellStyle name="Обычный 5 2 2 101 6" xfId="30575" xr:uid="{00000000-0005-0000-0000-00004D3D0000}"/>
    <cellStyle name="Обычный 5 2 2 101 7" xfId="35915" xr:uid="{00000000-0005-0000-0000-00004E3D0000}"/>
    <cellStyle name="Обычный 5 2 2 101 8" xfId="41255" xr:uid="{00000000-0005-0000-0000-00004F3D0000}"/>
    <cellStyle name="Обычный 5 2 2 101 9" xfId="46595" xr:uid="{00000000-0005-0000-0000-0000503D0000}"/>
    <cellStyle name="Обычный 5 2 2 102" xfId="3904" xr:uid="{00000000-0005-0000-0000-0000513D0000}"/>
    <cellStyle name="Обычный 5 2 2 102 10" xfId="51967" xr:uid="{00000000-0005-0000-0000-0000523D0000}"/>
    <cellStyle name="Обычный 5 2 2 102 2" xfId="9247" xr:uid="{00000000-0005-0000-0000-0000533D0000}"/>
    <cellStyle name="Обычный 5 2 2 102 2 2" xfId="57308" xr:uid="{00000000-0005-0000-0000-0000543D0000}"/>
    <cellStyle name="Обычный 5 2 2 102 3" xfId="14587" xr:uid="{00000000-0005-0000-0000-0000553D0000}"/>
    <cellStyle name="Обычный 5 2 2 102 4" xfId="19927" xr:uid="{00000000-0005-0000-0000-0000563D0000}"/>
    <cellStyle name="Обычный 5 2 2 102 5" xfId="25267" xr:uid="{00000000-0005-0000-0000-0000573D0000}"/>
    <cellStyle name="Обычный 5 2 2 102 6" xfId="30607" xr:uid="{00000000-0005-0000-0000-0000583D0000}"/>
    <cellStyle name="Обычный 5 2 2 102 7" xfId="35947" xr:uid="{00000000-0005-0000-0000-0000593D0000}"/>
    <cellStyle name="Обычный 5 2 2 102 8" xfId="41287" xr:uid="{00000000-0005-0000-0000-00005A3D0000}"/>
    <cellStyle name="Обычный 5 2 2 102 9" xfId="46627" xr:uid="{00000000-0005-0000-0000-00005B3D0000}"/>
    <cellStyle name="Обычный 5 2 2 103" xfId="3936" xr:uid="{00000000-0005-0000-0000-00005C3D0000}"/>
    <cellStyle name="Обычный 5 2 2 103 10" xfId="51999" xr:uid="{00000000-0005-0000-0000-00005D3D0000}"/>
    <cellStyle name="Обычный 5 2 2 103 2" xfId="9279" xr:uid="{00000000-0005-0000-0000-00005E3D0000}"/>
    <cellStyle name="Обычный 5 2 2 103 2 2" xfId="57340" xr:uid="{00000000-0005-0000-0000-00005F3D0000}"/>
    <cellStyle name="Обычный 5 2 2 103 3" xfId="14619" xr:uid="{00000000-0005-0000-0000-0000603D0000}"/>
    <cellStyle name="Обычный 5 2 2 103 4" xfId="19959" xr:uid="{00000000-0005-0000-0000-0000613D0000}"/>
    <cellStyle name="Обычный 5 2 2 103 5" xfId="25299" xr:uid="{00000000-0005-0000-0000-0000623D0000}"/>
    <cellStyle name="Обычный 5 2 2 103 6" xfId="30639" xr:uid="{00000000-0005-0000-0000-0000633D0000}"/>
    <cellStyle name="Обычный 5 2 2 103 7" xfId="35979" xr:uid="{00000000-0005-0000-0000-0000643D0000}"/>
    <cellStyle name="Обычный 5 2 2 103 8" xfId="41319" xr:uid="{00000000-0005-0000-0000-0000653D0000}"/>
    <cellStyle name="Обычный 5 2 2 103 9" xfId="46659" xr:uid="{00000000-0005-0000-0000-0000663D0000}"/>
    <cellStyle name="Обычный 5 2 2 104" xfId="3968" xr:uid="{00000000-0005-0000-0000-0000673D0000}"/>
    <cellStyle name="Обычный 5 2 2 104 10" xfId="52031" xr:uid="{00000000-0005-0000-0000-0000683D0000}"/>
    <cellStyle name="Обычный 5 2 2 104 2" xfId="9311" xr:uid="{00000000-0005-0000-0000-0000693D0000}"/>
    <cellStyle name="Обычный 5 2 2 104 2 2" xfId="57372" xr:uid="{00000000-0005-0000-0000-00006A3D0000}"/>
    <cellStyle name="Обычный 5 2 2 104 3" xfId="14651" xr:uid="{00000000-0005-0000-0000-00006B3D0000}"/>
    <cellStyle name="Обычный 5 2 2 104 4" xfId="19991" xr:uid="{00000000-0005-0000-0000-00006C3D0000}"/>
    <cellStyle name="Обычный 5 2 2 104 5" xfId="25331" xr:uid="{00000000-0005-0000-0000-00006D3D0000}"/>
    <cellStyle name="Обычный 5 2 2 104 6" xfId="30671" xr:uid="{00000000-0005-0000-0000-00006E3D0000}"/>
    <cellStyle name="Обычный 5 2 2 104 7" xfId="36011" xr:uid="{00000000-0005-0000-0000-00006F3D0000}"/>
    <cellStyle name="Обычный 5 2 2 104 8" xfId="41351" xr:uid="{00000000-0005-0000-0000-0000703D0000}"/>
    <cellStyle name="Обычный 5 2 2 104 9" xfId="46691" xr:uid="{00000000-0005-0000-0000-0000713D0000}"/>
    <cellStyle name="Обычный 5 2 2 105" xfId="4000" xr:uid="{00000000-0005-0000-0000-0000723D0000}"/>
    <cellStyle name="Обычный 5 2 2 105 10" xfId="52063" xr:uid="{00000000-0005-0000-0000-0000733D0000}"/>
    <cellStyle name="Обычный 5 2 2 105 2" xfId="9343" xr:uid="{00000000-0005-0000-0000-0000743D0000}"/>
    <cellStyle name="Обычный 5 2 2 105 2 2" xfId="57404" xr:uid="{00000000-0005-0000-0000-0000753D0000}"/>
    <cellStyle name="Обычный 5 2 2 105 3" xfId="14683" xr:uid="{00000000-0005-0000-0000-0000763D0000}"/>
    <cellStyle name="Обычный 5 2 2 105 4" xfId="20023" xr:uid="{00000000-0005-0000-0000-0000773D0000}"/>
    <cellStyle name="Обычный 5 2 2 105 5" xfId="25363" xr:uid="{00000000-0005-0000-0000-0000783D0000}"/>
    <cellStyle name="Обычный 5 2 2 105 6" xfId="30703" xr:uid="{00000000-0005-0000-0000-0000793D0000}"/>
    <cellStyle name="Обычный 5 2 2 105 7" xfId="36043" xr:uid="{00000000-0005-0000-0000-00007A3D0000}"/>
    <cellStyle name="Обычный 5 2 2 105 8" xfId="41383" xr:uid="{00000000-0005-0000-0000-00007B3D0000}"/>
    <cellStyle name="Обычный 5 2 2 105 9" xfId="46723" xr:uid="{00000000-0005-0000-0000-00007C3D0000}"/>
    <cellStyle name="Обычный 5 2 2 106" xfId="4032" xr:uid="{00000000-0005-0000-0000-00007D3D0000}"/>
    <cellStyle name="Обычный 5 2 2 106 10" xfId="52095" xr:uid="{00000000-0005-0000-0000-00007E3D0000}"/>
    <cellStyle name="Обычный 5 2 2 106 2" xfId="9375" xr:uid="{00000000-0005-0000-0000-00007F3D0000}"/>
    <cellStyle name="Обычный 5 2 2 106 2 2" xfId="57436" xr:uid="{00000000-0005-0000-0000-0000803D0000}"/>
    <cellStyle name="Обычный 5 2 2 106 3" xfId="14715" xr:uid="{00000000-0005-0000-0000-0000813D0000}"/>
    <cellStyle name="Обычный 5 2 2 106 4" xfId="20055" xr:uid="{00000000-0005-0000-0000-0000823D0000}"/>
    <cellStyle name="Обычный 5 2 2 106 5" xfId="25395" xr:uid="{00000000-0005-0000-0000-0000833D0000}"/>
    <cellStyle name="Обычный 5 2 2 106 6" xfId="30735" xr:uid="{00000000-0005-0000-0000-0000843D0000}"/>
    <cellStyle name="Обычный 5 2 2 106 7" xfId="36075" xr:uid="{00000000-0005-0000-0000-0000853D0000}"/>
    <cellStyle name="Обычный 5 2 2 106 8" xfId="41415" xr:uid="{00000000-0005-0000-0000-0000863D0000}"/>
    <cellStyle name="Обычный 5 2 2 106 9" xfId="46755" xr:uid="{00000000-0005-0000-0000-0000873D0000}"/>
    <cellStyle name="Обычный 5 2 2 107" xfId="4064" xr:uid="{00000000-0005-0000-0000-0000883D0000}"/>
    <cellStyle name="Обычный 5 2 2 107 10" xfId="52127" xr:uid="{00000000-0005-0000-0000-0000893D0000}"/>
    <cellStyle name="Обычный 5 2 2 107 2" xfId="9407" xr:uid="{00000000-0005-0000-0000-00008A3D0000}"/>
    <cellStyle name="Обычный 5 2 2 107 2 2" xfId="57468" xr:uid="{00000000-0005-0000-0000-00008B3D0000}"/>
    <cellStyle name="Обычный 5 2 2 107 3" xfId="14747" xr:uid="{00000000-0005-0000-0000-00008C3D0000}"/>
    <cellStyle name="Обычный 5 2 2 107 4" xfId="20087" xr:uid="{00000000-0005-0000-0000-00008D3D0000}"/>
    <cellStyle name="Обычный 5 2 2 107 5" xfId="25427" xr:uid="{00000000-0005-0000-0000-00008E3D0000}"/>
    <cellStyle name="Обычный 5 2 2 107 6" xfId="30767" xr:uid="{00000000-0005-0000-0000-00008F3D0000}"/>
    <cellStyle name="Обычный 5 2 2 107 7" xfId="36107" xr:uid="{00000000-0005-0000-0000-0000903D0000}"/>
    <cellStyle name="Обычный 5 2 2 107 8" xfId="41447" xr:uid="{00000000-0005-0000-0000-0000913D0000}"/>
    <cellStyle name="Обычный 5 2 2 107 9" xfId="46787" xr:uid="{00000000-0005-0000-0000-0000923D0000}"/>
    <cellStyle name="Обычный 5 2 2 108" xfId="4096" xr:uid="{00000000-0005-0000-0000-0000933D0000}"/>
    <cellStyle name="Обычный 5 2 2 108 10" xfId="52159" xr:uid="{00000000-0005-0000-0000-0000943D0000}"/>
    <cellStyle name="Обычный 5 2 2 108 2" xfId="9439" xr:uid="{00000000-0005-0000-0000-0000953D0000}"/>
    <cellStyle name="Обычный 5 2 2 108 2 2" xfId="57500" xr:uid="{00000000-0005-0000-0000-0000963D0000}"/>
    <cellStyle name="Обычный 5 2 2 108 3" xfId="14779" xr:uid="{00000000-0005-0000-0000-0000973D0000}"/>
    <cellStyle name="Обычный 5 2 2 108 4" xfId="20119" xr:uid="{00000000-0005-0000-0000-0000983D0000}"/>
    <cellStyle name="Обычный 5 2 2 108 5" xfId="25459" xr:uid="{00000000-0005-0000-0000-0000993D0000}"/>
    <cellStyle name="Обычный 5 2 2 108 6" xfId="30799" xr:uid="{00000000-0005-0000-0000-00009A3D0000}"/>
    <cellStyle name="Обычный 5 2 2 108 7" xfId="36139" xr:uid="{00000000-0005-0000-0000-00009B3D0000}"/>
    <cellStyle name="Обычный 5 2 2 108 8" xfId="41479" xr:uid="{00000000-0005-0000-0000-00009C3D0000}"/>
    <cellStyle name="Обычный 5 2 2 108 9" xfId="46819" xr:uid="{00000000-0005-0000-0000-00009D3D0000}"/>
    <cellStyle name="Обычный 5 2 2 109" xfId="4128" xr:uid="{00000000-0005-0000-0000-00009E3D0000}"/>
    <cellStyle name="Обычный 5 2 2 109 10" xfId="52191" xr:uid="{00000000-0005-0000-0000-00009F3D0000}"/>
    <cellStyle name="Обычный 5 2 2 109 2" xfId="9471" xr:uid="{00000000-0005-0000-0000-0000A03D0000}"/>
    <cellStyle name="Обычный 5 2 2 109 2 2" xfId="57532" xr:uid="{00000000-0005-0000-0000-0000A13D0000}"/>
    <cellStyle name="Обычный 5 2 2 109 3" xfId="14811" xr:uid="{00000000-0005-0000-0000-0000A23D0000}"/>
    <cellStyle name="Обычный 5 2 2 109 4" xfId="20151" xr:uid="{00000000-0005-0000-0000-0000A33D0000}"/>
    <cellStyle name="Обычный 5 2 2 109 5" xfId="25491" xr:uid="{00000000-0005-0000-0000-0000A43D0000}"/>
    <cellStyle name="Обычный 5 2 2 109 6" xfId="30831" xr:uid="{00000000-0005-0000-0000-0000A53D0000}"/>
    <cellStyle name="Обычный 5 2 2 109 7" xfId="36171" xr:uid="{00000000-0005-0000-0000-0000A63D0000}"/>
    <cellStyle name="Обычный 5 2 2 109 8" xfId="41511" xr:uid="{00000000-0005-0000-0000-0000A73D0000}"/>
    <cellStyle name="Обычный 5 2 2 109 9" xfId="46851" xr:uid="{00000000-0005-0000-0000-0000A83D0000}"/>
    <cellStyle name="Обычный 5 2 2 11" xfId="1208" xr:uid="{00000000-0005-0000-0000-0000A93D0000}"/>
    <cellStyle name="Обычный 5 2 2 11 10" xfId="49271" xr:uid="{00000000-0005-0000-0000-0000AA3D0000}"/>
    <cellStyle name="Обычный 5 2 2 11 2" xfId="6550" xr:uid="{00000000-0005-0000-0000-0000AB3D0000}"/>
    <cellStyle name="Обычный 5 2 2 11 2 2" xfId="54612" xr:uid="{00000000-0005-0000-0000-0000AC3D0000}"/>
    <cellStyle name="Обычный 5 2 2 11 3" xfId="11891" xr:uid="{00000000-0005-0000-0000-0000AD3D0000}"/>
    <cellStyle name="Обычный 5 2 2 11 4" xfId="17231" xr:uid="{00000000-0005-0000-0000-0000AE3D0000}"/>
    <cellStyle name="Обычный 5 2 2 11 5" xfId="22571" xr:uid="{00000000-0005-0000-0000-0000AF3D0000}"/>
    <cellStyle name="Обычный 5 2 2 11 6" xfId="27911" xr:uid="{00000000-0005-0000-0000-0000B03D0000}"/>
    <cellStyle name="Обычный 5 2 2 11 7" xfId="33251" xr:uid="{00000000-0005-0000-0000-0000B13D0000}"/>
    <cellStyle name="Обычный 5 2 2 11 8" xfId="38591" xr:uid="{00000000-0005-0000-0000-0000B23D0000}"/>
    <cellStyle name="Обычный 5 2 2 11 9" xfId="43931" xr:uid="{00000000-0005-0000-0000-0000B33D0000}"/>
    <cellStyle name="Обычный 5 2 2 110" xfId="4160" xr:uid="{00000000-0005-0000-0000-0000B43D0000}"/>
    <cellStyle name="Обычный 5 2 2 110 10" xfId="52223" xr:uid="{00000000-0005-0000-0000-0000B53D0000}"/>
    <cellStyle name="Обычный 5 2 2 110 2" xfId="9503" xr:uid="{00000000-0005-0000-0000-0000B63D0000}"/>
    <cellStyle name="Обычный 5 2 2 110 2 2" xfId="57564" xr:uid="{00000000-0005-0000-0000-0000B73D0000}"/>
    <cellStyle name="Обычный 5 2 2 110 3" xfId="14843" xr:uid="{00000000-0005-0000-0000-0000B83D0000}"/>
    <cellStyle name="Обычный 5 2 2 110 4" xfId="20183" xr:uid="{00000000-0005-0000-0000-0000B93D0000}"/>
    <cellStyle name="Обычный 5 2 2 110 5" xfId="25523" xr:uid="{00000000-0005-0000-0000-0000BA3D0000}"/>
    <cellStyle name="Обычный 5 2 2 110 6" xfId="30863" xr:uid="{00000000-0005-0000-0000-0000BB3D0000}"/>
    <cellStyle name="Обычный 5 2 2 110 7" xfId="36203" xr:uid="{00000000-0005-0000-0000-0000BC3D0000}"/>
    <cellStyle name="Обычный 5 2 2 110 8" xfId="41543" xr:uid="{00000000-0005-0000-0000-0000BD3D0000}"/>
    <cellStyle name="Обычный 5 2 2 110 9" xfId="46883" xr:uid="{00000000-0005-0000-0000-0000BE3D0000}"/>
    <cellStyle name="Обычный 5 2 2 111" xfId="4192" xr:uid="{00000000-0005-0000-0000-0000BF3D0000}"/>
    <cellStyle name="Обычный 5 2 2 111 10" xfId="52255" xr:uid="{00000000-0005-0000-0000-0000C03D0000}"/>
    <cellStyle name="Обычный 5 2 2 111 2" xfId="9535" xr:uid="{00000000-0005-0000-0000-0000C13D0000}"/>
    <cellStyle name="Обычный 5 2 2 111 2 2" xfId="57596" xr:uid="{00000000-0005-0000-0000-0000C23D0000}"/>
    <cellStyle name="Обычный 5 2 2 111 3" xfId="14875" xr:uid="{00000000-0005-0000-0000-0000C33D0000}"/>
    <cellStyle name="Обычный 5 2 2 111 4" xfId="20215" xr:uid="{00000000-0005-0000-0000-0000C43D0000}"/>
    <cellStyle name="Обычный 5 2 2 111 5" xfId="25555" xr:uid="{00000000-0005-0000-0000-0000C53D0000}"/>
    <cellStyle name="Обычный 5 2 2 111 6" xfId="30895" xr:uid="{00000000-0005-0000-0000-0000C63D0000}"/>
    <cellStyle name="Обычный 5 2 2 111 7" xfId="36235" xr:uid="{00000000-0005-0000-0000-0000C73D0000}"/>
    <cellStyle name="Обычный 5 2 2 111 8" xfId="41575" xr:uid="{00000000-0005-0000-0000-0000C83D0000}"/>
    <cellStyle name="Обычный 5 2 2 111 9" xfId="46915" xr:uid="{00000000-0005-0000-0000-0000C93D0000}"/>
    <cellStyle name="Обычный 5 2 2 112" xfId="4224" xr:uid="{00000000-0005-0000-0000-0000CA3D0000}"/>
    <cellStyle name="Обычный 5 2 2 112 10" xfId="52287" xr:uid="{00000000-0005-0000-0000-0000CB3D0000}"/>
    <cellStyle name="Обычный 5 2 2 112 2" xfId="9567" xr:uid="{00000000-0005-0000-0000-0000CC3D0000}"/>
    <cellStyle name="Обычный 5 2 2 112 2 2" xfId="57628" xr:uid="{00000000-0005-0000-0000-0000CD3D0000}"/>
    <cellStyle name="Обычный 5 2 2 112 3" xfId="14907" xr:uid="{00000000-0005-0000-0000-0000CE3D0000}"/>
    <cellStyle name="Обычный 5 2 2 112 4" xfId="20247" xr:uid="{00000000-0005-0000-0000-0000CF3D0000}"/>
    <cellStyle name="Обычный 5 2 2 112 5" xfId="25587" xr:uid="{00000000-0005-0000-0000-0000D03D0000}"/>
    <cellStyle name="Обычный 5 2 2 112 6" xfId="30927" xr:uid="{00000000-0005-0000-0000-0000D13D0000}"/>
    <cellStyle name="Обычный 5 2 2 112 7" xfId="36267" xr:uid="{00000000-0005-0000-0000-0000D23D0000}"/>
    <cellStyle name="Обычный 5 2 2 112 8" xfId="41607" xr:uid="{00000000-0005-0000-0000-0000D33D0000}"/>
    <cellStyle name="Обычный 5 2 2 112 9" xfId="46947" xr:uid="{00000000-0005-0000-0000-0000D43D0000}"/>
    <cellStyle name="Обычный 5 2 2 113" xfId="4256" xr:uid="{00000000-0005-0000-0000-0000D53D0000}"/>
    <cellStyle name="Обычный 5 2 2 113 10" xfId="52319" xr:uid="{00000000-0005-0000-0000-0000D63D0000}"/>
    <cellStyle name="Обычный 5 2 2 113 2" xfId="9599" xr:uid="{00000000-0005-0000-0000-0000D73D0000}"/>
    <cellStyle name="Обычный 5 2 2 113 2 2" xfId="57660" xr:uid="{00000000-0005-0000-0000-0000D83D0000}"/>
    <cellStyle name="Обычный 5 2 2 113 3" xfId="14939" xr:uid="{00000000-0005-0000-0000-0000D93D0000}"/>
    <cellStyle name="Обычный 5 2 2 113 4" xfId="20279" xr:uid="{00000000-0005-0000-0000-0000DA3D0000}"/>
    <cellStyle name="Обычный 5 2 2 113 5" xfId="25619" xr:uid="{00000000-0005-0000-0000-0000DB3D0000}"/>
    <cellStyle name="Обычный 5 2 2 113 6" xfId="30959" xr:uid="{00000000-0005-0000-0000-0000DC3D0000}"/>
    <cellStyle name="Обычный 5 2 2 113 7" xfId="36299" xr:uid="{00000000-0005-0000-0000-0000DD3D0000}"/>
    <cellStyle name="Обычный 5 2 2 113 8" xfId="41639" xr:uid="{00000000-0005-0000-0000-0000DE3D0000}"/>
    <cellStyle name="Обычный 5 2 2 113 9" xfId="46979" xr:uid="{00000000-0005-0000-0000-0000DF3D0000}"/>
    <cellStyle name="Обычный 5 2 2 114" xfId="4288" xr:uid="{00000000-0005-0000-0000-0000E03D0000}"/>
    <cellStyle name="Обычный 5 2 2 114 10" xfId="52351" xr:uid="{00000000-0005-0000-0000-0000E13D0000}"/>
    <cellStyle name="Обычный 5 2 2 114 2" xfId="9631" xr:uid="{00000000-0005-0000-0000-0000E23D0000}"/>
    <cellStyle name="Обычный 5 2 2 114 2 2" xfId="57692" xr:uid="{00000000-0005-0000-0000-0000E33D0000}"/>
    <cellStyle name="Обычный 5 2 2 114 3" xfId="14971" xr:uid="{00000000-0005-0000-0000-0000E43D0000}"/>
    <cellStyle name="Обычный 5 2 2 114 4" xfId="20311" xr:uid="{00000000-0005-0000-0000-0000E53D0000}"/>
    <cellStyle name="Обычный 5 2 2 114 5" xfId="25651" xr:uid="{00000000-0005-0000-0000-0000E63D0000}"/>
    <cellStyle name="Обычный 5 2 2 114 6" xfId="30991" xr:uid="{00000000-0005-0000-0000-0000E73D0000}"/>
    <cellStyle name="Обычный 5 2 2 114 7" xfId="36331" xr:uid="{00000000-0005-0000-0000-0000E83D0000}"/>
    <cellStyle name="Обычный 5 2 2 114 8" xfId="41671" xr:uid="{00000000-0005-0000-0000-0000E93D0000}"/>
    <cellStyle name="Обычный 5 2 2 114 9" xfId="47011" xr:uid="{00000000-0005-0000-0000-0000EA3D0000}"/>
    <cellStyle name="Обычный 5 2 2 115" xfId="4320" xr:uid="{00000000-0005-0000-0000-0000EB3D0000}"/>
    <cellStyle name="Обычный 5 2 2 115 10" xfId="52383" xr:uid="{00000000-0005-0000-0000-0000EC3D0000}"/>
    <cellStyle name="Обычный 5 2 2 115 2" xfId="9663" xr:uid="{00000000-0005-0000-0000-0000ED3D0000}"/>
    <cellStyle name="Обычный 5 2 2 115 2 2" xfId="57724" xr:uid="{00000000-0005-0000-0000-0000EE3D0000}"/>
    <cellStyle name="Обычный 5 2 2 115 3" xfId="15003" xr:uid="{00000000-0005-0000-0000-0000EF3D0000}"/>
    <cellStyle name="Обычный 5 2 2 115 4" xfId="20343" xr:uid="{00000000-0005-0000-0000-0000F03D0000}"/>
    <cellStyle name="Обычный 5 2 2 115 5" xfId="25683" xr:uid="{00000000-0005-0000-0000-0000F13D0000}"/>
    <cellStyle name="Обычный 5 2 2 115 6" xfId="31023" xr:uid="{00000000-0005-0000-0000-0000F23D0000}"/>
    <cellStyle name="Обычный 5 2 2 115 7" xfId="36363" xr:uid="{00000000-0005-0000-0000-0000F33D0000}"/>
    <cellStyle name="Обычный 5 2 2 115 8" xfId="41703" xr:uid="{00000000-0005-0000-0000-0000F43D0000}"/>
    <cellStyle name="Обычный 5 2 2 115 9" xfId="47043" xr:uid="{00000000-0005-0000-0000-0000F53D0000}"/>
    <cellStyle name="Обычный 5 2 2 116" xfId="4352" xr:uid="{00000000-0005-0000-0000-0000F63D0000}"/>
    <cellStyle name="Обычный 5 2 2 116 10" xfId="52415" xr:uid="{00000000-0005-0000-0000-0000F73D0000}"/>
    <cellStyle name="Обычный 5 2 2 116 2" xfId="9695" xr:uid="{00000000-0005-0000-0000-0000F83D0000}"/>
    <cellStyle name="Обычный 5 2 2 116 2 2" xfId="57756" xr:uid="{00000000-0005-0000-0000-0000F93D0000}"/>
    <cellStyle name="Обычный 5 2 2 116 3" xfId="15035" xr:uid="{00000000-0005-0000-0000-0000FA3D0000}"/>
    <cellStyle name="Обычный 5 2 2 116 4" xfId="20375" xr:uid="{00000000-0005-0000-0000-0000FB3D0000}"/>
    <cellStyle name="Обычный 5 2 2 116 5" xfId="25715" xr:uid="{00000000-0005-0000-0000-0000FC3D0000}"/>
    <cellStyle name="Обычный 5 2 2 116 6" xfId="31055" xr:uid="{00000000-0005-0000-0000-0000FD3D0000}"/>
    <cellStyle name="Обычный 5 2 2 116 7" xfId="36395" xr:uid="{00000000-0005-0000-0000-0000FE3D0000}"/>
    <cellStyle name="Обычный 5 2 2 116 8" xfId="41735" xr:uid="{00000000-0005-0000-0000-0000FF3D0000}"/>
    <cellStyle name="Обычный 5 2 2 116 9" xfId="47075" xr:uid="{00000000-0005-0000-0000-0000003E0000}"/>
    <cellStyle name="Обычный 5 2 2 117" xfId="4384" xr:uid="{00000000-0005-0000-0000-0000013E0000}"/>
    <cellStyle name="Обычный 5 2 2 117 10" xfId="52447" xr:uid="{00000000-0005-0000-0000-0000023E0000}"/>
    <cellStyle name="Обычный 5 2 2 117 2" xfId="9727" xr:uid="{00000000-0005-0000-0000-0000033E0000}"/>
    <cellStyle name="Обычный 5 2 2 117 2 2" xfId="57788" xr:uid="{00000000-0005-0000-0000-0000043E0000}"/>
    <cellStyle name="Обычный 5 2 2 117 3" xfId="15067" xr:uid="{00000000-0005-0000-0000-0000053E0000}"/>
    <cellStyle name="Обычный 5 2 2 117 4" xfId="20407" xr:uid="{00000000-0005-0000-0000-0000063E0000}"/>
    <cellStyle name="Обычный 5 2 2 117 5" xfId="25747" xr:uid="{00000000-0005-0000-0000-0000073E0000}"/>
    <cellStyle name="Обычный 5 2 2 117 6" xfId="31087" xr:uid="{00000000-0005-0000-0000-0000083E0000}"/>
    <cellStyle name="Обычный 5 2 2 117 7" xfId="36427" xr:uid="{00000000-0005-0000-0000-0000093E0000}"/>
    <cellStyle name="Обычный 5 2 2 117 8" xfId="41767" xr:uid="{00000000-0005-0000-0000-00000A3E0000}"/>
    <cellStyle name="Обычный 5 2 2 117 9" xfId="47107" xr:uid="{00000000-0005-0000-0000-00000B3E0000}"/>
    <cellStyle name="Обычный 5 2 2 118" xfId="4416" xr:uid="{00000000-0005-0000-0000-00000C3E0000}"/>
    <cellStyle name="Обычный 5 2 2 118 10" xfId="52479" xr:uid="{00000000-0005-0000-0000-00000D3E0000}"/>
    <cellStyle name="Обычный 5 2 2 118 2" xfId="9759" xr:uid="{00000000-0005-0000-0000-00000E3E0000}"/>
    <cellStyle name="Обычный 5 2 2 118 2 2" xfId="57820" xr:uid="{00000000-0005-0000-0000-00000F3E0000}"/>
    <cellStyle name="Обычный 5 2 2 118 3" xfId="15099" xr:uid="{00000000-0005-0000-0000-0000103E0000}"/>
    <cellStyle name="Обычный 5 2 2 118 4" xfId="20439" xr:uid="{00000000-0005-0000-0000-0000113E0000}"/>
    <cellStyle name="Обычный 5 2 2 118 5" xfId="25779" xr:uid="{00000000-0005-0000-0000-0000123E0000}"/>
    <cellStyle name="Обычный 5 2 2 118 6" xfId="31119" xr:uid="{00000000-0005-0000-0000-0000133E0000}"/>
    <cellStyle name="Обычный 5 2 2 118 7" xfId="36459" xr:uid="{00000000-0005-0000-0000-0000143E0000}"/>
    <cellStyle name="Обычный 5 2 2 118 8" xfId="41799" xr:uid="{00000000-0005-0000-0000-0000153E0000}"/>
    <cellStyle name="Обычный 5 2 2 118 9" xfId="47139" xr:uid="{00000000-0005-0000-0000-0000163E0000}"/>
    <cellStyle name="Обычный 5 2 2 119" xfId="4448" xr:uid="{00000000-0005-0000-0000-0000173E0000}"/>
    <cellStyle name="Обычный 5 2 2 119 10" xfId="52511" xr:uid="{00000000-0005-0000-0000-0000183E0000}"/>
    <cellStyle name="Обычный 5 2 2 119 2" xfId="9791" xr:uid="{00000000-0005-0000-0000-0000193E0000}"/>
    <cellStyle name="Обычный 5 2 2 119 2 2" xfId="57852" xr:uid="{00000000-0005-0000-0000-00001A3E0000}"/>
    <cellStyle name="Обычный 5 2 2 119 3" xfId="15131" xr:uid="{00000000-0005-0000-0000-00001B3E0000}"/>
    <cellStyle name="Обычный 5 2 2 119 4" xfId="20471" xr:uid="{00000000-0005-0000-0000-00001C3E0000}"/>
    <cellStyle name="Обычный 5 2 2 119 5" xfId="25811" xr:uid="{00000000-0005-0000-0000-00001D3E0000}"/>
    <cellStyle name="Обычный 5 2 2 119 6" xfId="31151" xr:uid="{00000000-0005-0000-0000-00001E3E0000}"/>
    <cellStyle name="Обычный 5 2 2 119 7" xfId="36491" xr:uid="{00000000-0005-0000-0000-00001F3E0000}"/>
    <cellStyle name="Обычный 5 2 2 119 8" xfId="41831" xr:uid="{00000000-0005-0000-0000-0000203E0000}"/>
    <cellStyle name="Обычный 5 2 2 119 9" xfId="47171" xr:uid="{00000000-0005-0000-0000-0000213E0000}"/>
    <cellStyle name="Обычный 5 2 2 12" xfId="1234" xr:uid="{00000000-0005-0000-0000-0000223E0000}"/>
    <cellStyle name="Обычный 5 2 2 12 10" xfId="49297" xr:uid="{00000000-0005-0000-0000-0000233E0000}"/>
    <cellStyle name="Обычный 5 2 2 12 2" xfId="6576" xr:uid="{00000000-0005-0000-0000-0000243E0000}"/>
    <cellStyle name="Обычный 5 2 2 12 2 2" xfId="54638" xr:uid="{00000000-0005-0000-0000-0000253E0000}"/>
    <cellStyle name="Обычный 5 2 2 12 3" xfId="11917" xr:uid="{00000000-0005-0000-0000-0000263E0000}"/>
    <cellStyle name="Обычный 5 2 2 12 4" xfId="17257" xr:uid="{00000000-0005-0000-0000-0000273E0000}"/>
    <cellStyle name="Обычный 5 2 2 12 5" xfId="22597" xr:uid="{00000000-0005-0000-0000-0000283E0000}"/>
    <cellStyle name="Обычный 5 2 2 12 6" xfId="27937" xr:uid="{00000000-0005-0000-0000-0000293E0000}"/>
    <cellStyle name="Обычный 5 2 2 12 7" xfId="33277" xr:uid="{00000000-0005-0000-0000-00002A3E0000}"/>
    <cellStyle name="Обычный 5 2 2 12 8" xfId="38617" xr:uid="{00000000-0005-0000-0000-00002B3E0000}"/>
    <cellStyle name="Обычный 5 2 2 12 9" xfId="43957" xr:uid="{00000000-0005-0000-0000-00002C3E0000}"/>
    <cellStyle name="Обычный 5 2 2 120" xfId="4480" xr:uid="{00000000-0005-0000-0000-00002D3E0000}"/>
    <cellStyle name="Обычный 5 2 2 120 10" xfId="52543" xr:uid="{00000000-0005-0000-0000-00002E3E0000}"/>
    <cellStyle name="Обычный 5 2 2 120 2" xfId="9823" xr:uid="{00000000-0005-0000-0000-00002F3E0000}"/>
    <cellStyle name="Обычный 5 2 2 120 2 2" xfId="57884" xr:uid="{00000000-0005-0000-0000-0000303E0000}"/>
    <cellStyle name="Обычный 5 2 2 120 3" xfId="15163" xr:uid="{00000000-0005-0000-0000-0000313E0000}"/>
    <cellStyle name="Обычный 5 2 2 120 4" xfId="20503" xr:uid="{00000000-0005-0000-0000-0000323E0000}"/>
    <cellStyle name="Обычный 5 2 2 120 5" xfId="25843" xr:uid="{00000000-0005-0000-0000-0000333E0000}"/>
    <cellStyle name="Обычный 5 2 2 120 6" xfId="31183" xr:uid="{00000000-0005-0000-0000-0000343E0000}"/>
    <cellStyle name="Обычный 5 2 2 120 7" xfId="36523" xr:uid="{00000000-0005-0000-0000-0000353E0000}"/>
    <cellStyle name="Обычный 5 2 2 120 8" xfId="41863" xr:uid="{00000000-0005-0000-0000-0000363E0000}"/>
    <cellStyle name="Обычный 5 2 2 120 9" xfId="47203" xr:uid="{00000000-0005-0000-0000-0000373E0000}"/>
    <cellStyle name="Обычный 5 2 2 121" xfId="4512" xr:uid="{00000000-0005-0000-0000-0000383E0000}"/>
    <cellStyle name="Обычный 5 2 2 121 10" xfId="52575" xr:uid="{00000000-0005-0000-0000-0000393E0000}"/>
    <cellStyle name="Обычный 5 2 2 121 2" xfId="9855" xr:uid="{00000000-0005-0000-0000-00003A3E0000}"/>
    <cellStyle name="Обычный 5 2 2 121 2 2" xfId="57916" xr:uid="{00000000-0005-0000-0000-00003B3E0000}"/>
    <cellStyle name="Обычный 5 2 2 121 3" xfId="15195" xr:uid="{00000000-0005-0000-0000-00003C3E0000}"/>
    <cellStyle name="Обычный 5 2 2 121 4" xfId="20535" xr:uid="{00000000-0005-0000-0000-00003D3E0000}"/>
    <cellStyle name="Обычный 5 2 2 121 5" xfId="25875" xr:uid="{00000000-0005-0000-0000-00003E3E0000}"/>
    <cellStyle name="Обычный 5 2 2 121 6" xfId="31215" xr:uid="{00000000-0005-0000-0000-00003F3E0000}"/>
    <cellStyle name="Обычный 5 2 2 121 7" xfId="36555" xr:uid="{00000000-0005-0000-0000-0000403E0000}"/>
    <cellStyle name="Обычный 5 2 2 121 8" xfId="41895" xr:uid="{00000000-0005-0000-0000-0000413E0000}"/>
    <cellStyle name="Обычный 5 2 2 121 9" xfId="47235" xr:uid="{00000000-0005-0000-0000-0000423E0000}"/>
    <cellStyle name="Обычный 5 2 2 122" xfId="4544" xr:uid="{00000000-0005-0000-0000-0000433E0000}"/>
    <cellStyle name="Обычный 5 2 2 122 10" xfId="52607" xr:uid="{00000000-0005-0000-0000-0000443E0000}"/>
    <cellStyle name="Обычный 5 2 2 122 2" xfId="9887" xr:uid="{00000000-0005-0000-0000-0000453E0000}"/>
    <cellStyle name="Обычный 5 2 2 122 2 2" xfId="57948" xr:uid="{00000000-0005-0000-0000-0000463E0000}"/>
    <cellStyle name="Обычный 5 2 2 122 3" xfId="15227" xr:uid="{00000000-0005-0000-0000-0000473E0000}"/>
    <cellStyle name="Обычный 5 2 2 122 4" xfId="20567" xr:uid="{00000000-0005-0000-0000-0000483E0000}"/>
    <cellStyle name="Обычный 5 2 2 122 5" xfId="25907" xr:uid="{00000000-0005-0000-0000-0000493E0000}"/>
    <cellStyle name="Обычный 5 2 2 122 6" xfId="31247" xr:uid="{00000000-0005-0000-0000-00004A3E0000}"/>
    <cellStyle name="Обычный 5 2 2 122 7" xfId="36587" xr:uid="{00000000-0005-0000-0000-00004B3E0000}"/>
    <cellStyle name="Обычный 5 2 2 122 8" xfId="41927" xr:uid="{00000000-0005-0000-0000-00004C3E0000}"/>
    <cellStyle name="Обычный 5 2 2 122 9" xfId="47267" xr:uid="{00000000-0005-0000-0000-00004D3E0000}"/>
    <cellStyle name="Обычный 5 2 2 123" xfId="4576" xr:uid="{00000000-0005-0000-0000-00004E3E0000}"/>
    <cellStyle name="Обычный 5 2 2 123 10" xfId="52639" xr:uid="{00000000-0005-0000-0000-00004F3E0000}"/>
    <cellStyle name="Обычный 5 2 2 123 2" xfId="9919" xr:uid="{00000000-0005-0000-0000-0000503E0000}"/>
    <cellStyle name="Обычный 5 2 2 123 2 2" xfId="57980" xr:uid="{00000000-0005-0000-0000-0000513E0000}"/>
    <cellStyle name="Обычный 5 2 2 123 3" xfId="15259" xr:uid="{00000000-0005-0000-0000-0000523E0000}"/>
    <cellStyle name="Обычный 5 2 2 123 4" xfId="20599" xr:uid="{00000000-0005-0000-0000-0000533E0000}"/>
    <cellStyle name="Обычный 5 2 2 123 5" xfId="25939" xr:uid="{00000000-0005-0000-0000-0000543E0000}"/>
    <cellStyle name="Обычный 5 2 2 123 6" xfId="31279" xr:uid="{00000000-0005-0000-0000-0000553E0000}"/>
    <cellStyle name="Обычный 5 2 2 123 7" xfId="36619" xr:uid="{00000000-0005-0000-0000-0000563E0000}"/>
    <cellStyle name="Обычный 5 2 2 123 8" xfId="41959" xr:uid="{00000000-0005-0000-0000-0000573E0000}"/>
    <cellStyle name="Обычный 5 2 2 123 9" xfId="47299" xr:uid="{00000000-0005-0000-0000-0000583E0000}"/>
    <cellStyle name="Обычный 5 2 2 124" xfId="4608" xr:uid="{00000000-0005-0000-0000-0000593E0000}"/>
    <cellStyle name="Обычный 5 2 2 124 10" xfId="52671" xr:uid="{00000000-0005-0000-0000-00005A3E0000}"/>
    <cellStyle name="Обычный 5 2 2 124 2" xfId="9951" xr:uid="{00000000-0005-0000-0000-00005B3E0000}"/>
    <cellStyle name="Обычный 5 2 2 124 2 2" xfId="58012" xr:uid="{00000000-0005-0000-0000-00005C3E0000}"/>
    <cellStyle name="Обычный 5 2 2 124 3" xfId="15291" xr:uid="{00000000-0005-0000-0000-00005D3E0000}"/>
    <cellStyle name="Обычный 5 2 2 124 4" xfId="20631" xr:uid="{00000000-0005-0000-0000-00005E3E0000}"/>
    <cellStyle name="Обычный 5 2 2 124 5" xfId="25971" xr:uid="{00000000-0005-0000-0000-00005F3E0000}"/>
    <cellStyle name="Обычный 5 2 2 124 6" xfId="31311" xr:uid="{00000000-0005-0000-0000-0000603E0000}"/>
    <cellStyle name="Обычный 5 2 2 124 7" xfId="36651" xr:uid="{00000000-0005-0000-0000-0000613E0000}"/>
    <cellStyle name="Обычный 5 2 2 124 8" xfId="41991" xr:uid="{00000000-0005-0000-0000-0000623E0000}"/>
    <cellStyle name="Обычный 5 2 2 124 9" xfId="47331" xr:uid="{00000000-0005-0000-0000-0000633E0000}"/>
    <cellStyle name="Обычный 5 2 2 125" xfId="4640" xr:uid="{00000000-0005-0000-0000-0000643E0000}"/>
    <cellStyle name="Обычный 5 2 2 125 10" xfId="52703" xr:uid="{00000000-0005-0000-0000-0000653E0000}"/>
    <cellStyle name="Обычный 5 2 2 125 2" xfId="9983" xr:uid="{00000000-0005-0000-0000-0000663E0000}"/>
    <cellStyle name="Обычный 5 2 2 125 2 2" xfId="58044" xr:uid="{00000000-0005-0000-0000-0000673E0000}"/>
    <cellStyle name="Обычный 5 2 2 125 3" xfId="15323" xr:uid="{00000000-0005-0000-0000-0000683E0000}"/>
    <cellStyle name="Обычный 5 2 2 125 4" xfId="20663" xr:uid="{00000000-0005-0000-0000-0000693E0000}"/>
    <cellStyle name="Обычный 5 2 2 125 5" xfId="26003" xr:uid="{00000000-0005-0000-0000-00006A3E0000}"/>
    <cellStyle name="Обычный 5 2 2 125 6" xfId="31343" xr:uid="{00000000-0005-0000-0000-00006B3E0000}"/>
    <cellStyle name="Обычный 5 2 2 125 7" xfId="36683" xr:uid="{00000000-0005-0000-0000-00006C3E0000}"/>
    <cellStyle name="Обычный 5 2 2 125 8" xfId="42023" xr:uid="{00000000-0005-0000-0000-00006D3E0000}"/>
    <cellStyle name="Обычный 5 2 2 125 9" xfId="47363" xr:uid="{00000000-0005-0000-0000-00006E3E0000}"/>
    <cellStyle name="Обычный 5 2 2 126" xfId="4672" xr:uid="{00000000-0005-0000-0000-00006F3E0000}"/>
    <cellStyle name="Обычный 5 2 2 126 10" xfId="52735" xr:uid="{00000000-0005-0000-0000-0000703E0000}"/>
    <cellStyle name="Обычный 5 2 2 126 2" xfId="10015" xr:uid="{00000000-0005-0000-0000-0000713E0000}"/>
    <cellStyle name="Обычный 5 2 2 126 2 2" xfId="58076" xr:uid="{00000000-0005-0000-0000-0000723E0000}"/>
    <cellStyle name="Обычный 5 2 2 126 3" xfId="15355" xr:uid="{00000000-0005-0000-0000-0000733E0000}"/>
    <cellStyle name="Обычный 5 2 2 126 4" xfId="20695" xr:uid="{00000000-0005-0000-0000-0000743E0000}"/>
    <cellStyle name="Обычный 5 2 2 126 5" xfId="26035" xr:uid="{00000000-0005-0000-0000-0000753E0000}"/>
    <cellStyle name="Обычный 5 2 2 126 6" xfId="31375" xr:uid="{00000000-0005-0000-0000-0000763E0000}"/>
    <cellStyle name="Обычный 5 2 2 126 7" xfId="36715" xr:uid="{00000000-0005-0000-0000-0000773E0000}"/>
    <cellStyle name="Обычный 5 2 2 126 8" xfId="42055" xr:uid="{00000000-0005-0000-0000-0000783E0000}"/>
    <cellStyle name="Обычный 5 2 2 126 9" xfId="47395" xr:uid="{00000000-0005-0000-0000-0000793E0000}"/>
    <cellStyle name="Обычный 5 2 2 127" xfId="4704" xr:uid="{00000000-0005-0000-0000-00007A3E0000}"/>
    <cellStyle name="Обычный 5 2 2 127 10" xfId="52767" xr:uid="{00000000-0005-0000-0000-00007B3E0000}"/>
    <cellStyle name="Обычный 5 2 2 127 2" xfId="10047" xr:uid="{00000000-0005-0000-0000-00007C3E0000}"/>
    <cellStyle name="Обычный 5 2 2 127 2 2" xfId="58108" xr:uid="{00000000-0005-0000-0000-00007D3E0000}"/>
    <cellStyle name="Обычный 5 2 2 127 3" xfId="15387" xr:uid="{00000000-0005-0000-0000-00007E3E0000}"/>
    <cellStyle name="Обычный 5 2 2 127 4" xfId="20727" xr:uid="{00000000-0005-0000-0000-00007F3E0000}"/>
    <cellStyle name="Обычный 5 2 2 127 5" xfId="26067" xr:uid="{00000000-0005-0000-0000-0000803E0000}"/>
    <cellStyle name="Обычный 5 2 2 127 6" xfId="31407" xr:uid="{00000000-0005-0000-0000-0000813E0000}"/>
    <cellStyle name="Обычный 5 2 2 127 7" xfId="36747" xr:uid="{00000000-0005-0000-0000-0000823E0000}"/>
    <cellStyle name="Обычный 5 2 2 127 8" xfId="42087" xr:uid="{00000000-0005-0000-0000-0000833E0000}"/>
    <cellStyle name="Обычный 5 2 2 127 9" xfId="47427" xr:uid="{00000000-0005-0000-0000-0000843E0000}"/>
    <cellStyle name="Обычный 5 2 2 128" xfId="4738" xr:uid="{00000000-0005-0000-0000-0000853E0000}"/>
    <cellStyle name="Обычный 5 2 2 128 10" xfId="52801" xr:uid="{00000000-0005-0000-0000-0000863E0000}"/>
    <cellStyle name="Обычный 5 2 2 128 2" xfId="10081" xr:uid="{00000000-0005-0000-0000-0000873E0000}"/>
    <cellStyle name="Обычный 5 2 2 128 2 2" xfId="58142" xr:uid="{00000000-0005-0000-0000-0000883E0000}"/>
    <cellStyle name="Обычный 5 2 2 128 3" xfId="15421" xr:uid="{00000000-0005-0000-0000-0000893E0000}"/>
    <cellStyle name="Обычный 5 2 2 128 4" xfId="20761" xr:uid="{00000000-0005-0000-0000-00008A3E0000}"/>
    <cellStyle name="Обычный 5 2 2 128 5" xfId="26101" xr:uid="{00000000-0005-0000-0000-00008B3E0000}"/>
    <cellStyle name="Обычный 5 2 2 128 6" xfId="31441" xr:uid="{00000000-0005-0000-0000-00008C3E0000}"/>
    <cellStyle name="Обычный 5 2 2 128 7" xfId="36781" xr:uid="{00000000-0005-0000-0000-00008D3E0000}"/>
    <cellStyle name="Обычный 5 2 2 128 8" xfId="42121" xr:uid="{00000000-0005-0000-0000-00008E3E0000}"/>
    <cellStyle name="Обычный 5 2 2 128 9" xfId="47461" xr:uid="{00000000-0005-0000-0000-00008F3E0000}"/>
    <cellStyle name="Обычный 5 2 2 129" xfId="4770" xr:uid="{00000000-0005-0000-0000-0000903E0000}"/>
    <cellStyle name="Обычный 5 2 2 129 10" xfId="52833" xr:uid="{00000000-0005-0000-0000-0000913E0000}"/>
    <cellStyle name="Обычный 5 2 2 129 2" xfId="10113" xr:uid="{00000000-0005-0000-0000-0000923E0000}"/>
    <cellStyle name="Обычный 5 2 2 129 2 2" xfId="58174" xr:uid="{00000000-0005-0000-0000-0000933E0000}"/>
    <cellStyle name="Обычный 5 2 2 129 3" xfId="15453" xr:uid="{00000000-0005-0000-0000-0000943E0000}"/>
    <cellStyle name="Обычный 5 2 2 129 4" xfId="20793" xr:uid="{00000000-0005-0000-0000-0000953E0000}"/>
    <cellStyle name="Обычный 5 2 2 129 5" xfId="26133" xr:uid="{00000000-0005-0000-0000-0000963E0000}"/>
    <cellStyle name="Обычный 5 2 2 129 6" xfId="31473" xr:uid="{00000000-0005-0000-0000-0000973E0000}"/>
    <cellStyle name="Обычный 5 2 2 129 7" xfId="36813" xr:uid="{00000000-0005-0000-0000-0000983E0000}"/>
    <cellStyle name="Обычный 5 2 2 129 8" xfId="42153" xr:uid="{00000000-0005-0000-0000-0000993E0000}"/>
    <cellStyle name="Обычный 5 2 2 129 9" xfId="47493" xr:uid="{00000000-0005-0000-0000-00009A3E0000}"/>
    <cellStyle name="Обычный 5 2 2 13" xfId="1260" xr:uid="{00000000-0005-0000-0000-00009B3E0000}"/>
    <cellStyle name="Обычный 5 2 2 13 10" xfId="49323" xr:uid="{00000000-0005-0000-0000-00009C3E0000}"/>
    <cellStyle name="Обычный 5 2 2 13 2" xfId="6602" xr:uid="{00000000-0005-0000-0000-00009D3E0000}"/>
    <cellStyle name="Обычный 5 2 2 13 2 2" xfId="54664" xr:uid="{00000000-0005-0000-0000-00009E3E0000}"/>
    <cellStyle name="Обычный 5 2 2 13 3" xfId="11943" xr:uid="{00000000-0005-0000-0000-00009F3E0000}"/>
    <cellStyle name="Обычный 5 2 2 13 4" xfId="17283" xr:uid="{00000000-0005-0000-0000-0000A03E0000}"/>
    <cellStyle name="Обычный 5 2 2 13 5" xfId="22623" xr:uid="{00000000-0005-0000-0000-0000A13E0000}"/>
    <cellStyle name="Обычный 5 2 2 13 6" xfId="27963" xr:uid="{00000000-0005-0000-0000-0000A23E0000}"/>
    <cellStyle name="Обычный 5 2 2 13 7" xfId="33303" xr:uid="{00000000-0005-0000-0000-0000A33E0000}"/>
    <cellStyle name="Обычный 5 2 2 13 8" xfId="38643" xr:uid="{00000000-0005-0000-0000-0000A43E0000}"/>
    <cellStyle name="Обычный 5 2 2 13 9" xfId="43983" xr:uid="{00000000-0005-0000-0000-0000A53E0000}"/>
    <cellStyle name="Обычный 5 2 2 130" xfId="4802" xr:uid="{00000000-0005-0000-0000-0000A63E0000}"/>
    <cellStyle name="Обычный 5 2 2 130 10" xfId="52865" xr:uid="{00000000-0005-0000-0000-0000A73E0000}"/>
    <cellStyle name="Обычный 5 2 2 130 2" xfId="10145" xr:uid="{00000000-0005-0000-0000-0000A83E0000}"/>
    <cellStyle name="Обычный 5 2 2 130 2 2" xfId="58206" xr:uid="{00000000-0005-0000-0000-0000A93E0000}"/>
    <cellStyle name="Обычный 5 2 2 130 3" xfId="15485" xr:uid="{00000000-0005-0000-0000-0000AA3E0000}"/>
    <cellStyle name="Обычный 5 2 2 130 4" xfId="20825" xr:uid="{00000000-0005-0000-0000-0000AB3E0000}"/>
    <cellStyle name="Обычный 5 2 2 130 5" xfId="26165" xr:uid="{00000000-0005-0000-0000-0000AC3E0000}"/>
    <cellStyle name="Обычный 5 2 2 130 6" xfId="31505" xr:uid="{00000000-0005-0000-0000-0000AD3E0000}"/>
    <cellStyle name="Обычный 5 2 2 130 7" xfId="36845" xr:uid="{00000000-0005-0000-0000-0000AE3E0000}"/>
    <cellStyle name="Обычный 5 2 2 130 8" xfId="42185" xr:uid="{00000000-0005-0000-0000-0000AF3E0000}"/>
    <cellStyle name="Обычный 5 2 2 130 9" xfId="47525" xr:uid="{00000000-0005-0000-0000-0000B03E0000}"/>
    <cellStyle name="Обычный 5 2 2 131" xfId="4834" xr:uid="{00000000-0005-0000-0000-0000B13E0000}"/>
    <cellStyle name="Обычный 5 2 2 131 10" xfId="52897" xr:uid="{00000000-0005-0000-0000-0000B23E0000}"/>
    <cellStyle name="Обычный 5 2 2 131 2" xfId="10177" xr:uid="{00000000-0005-0000-0000-0000B33E0000}"/>
    <cellStyle name="Обычный 5 2 2 131 2 2" xfId="58238" xr:uid="{00000000-0005-0000-0000-0000B43E0000}"/>
    <cellStyle name="Обычный 5 2 2 131 3" xfId="15517" xr:uid="{00000000-0005-0000-0000-0000B53E0000}"/>
    <cellStyle name="Обычный 5 2 2 131 4" xfId="20857" xr:uid="{00000000-0005-0000-0000-0000B63E0000}"/>
    <cellStyle name="Обычный 5 2 2 131 5" xfId="26197" xr:uid="{00000000-0005-0000-0000-0000B73E0000}"/>
    <cellStyle name="Обычный 5 2 2 131 6" xfId="31537" xr:uid="{00000000-0005-0000-0000-0000B83E0000}"/>
    <cellStyle name="Обычный 5 2 2 131 7" xfId="36877" xr:uid="{00000000-0005-0000-0000-0000B93E0000}"/>
    <cellStyle name="Обычный 5 2 2 131 8" xfId="42217" xr:uid="{00000000-0005-0000-0000-0000BA3E0000}"/>
    <cellStyle name="Обычный 5 2 2 131 9" xfId="47557" xr:uid="{00000000-0005-0000-0000-0000BB3E0000}"/>
    <cellStyle name="Обычный 5 2 2 132" xfId="4866" xr:uid="{00000000-0005-0000-0000-0000BC3E0000}"/>
    <cellStyle name="Обычный 5 2 2 132 10" xfId="52929" xr:uid="{00000000-0005-0000-0000-0000BD3E0000}"/>
    <cellStyle name="Обычный 5 2 2 132 2" xfId="10209" xr:uid="{00000000-0005-0000-0000-0000BE3E0000}"/>
    <cellStyle name="Обычный 5 2 2 132 2 2" xfId="58270" xr:uid="{00000000-0005-0000-0000-0000BF3E0000}"/>
    <cellStyle name="Обычный 5 2 2 132 3" xfId="15549" xr:uid="{00000000-0005-0000-0000-0000C03E0000}"/>
    <cellStyle name="Обычный 5 2 2 132 4" xfId="20889" xr:uid="{00000000-0005-0000-0000-0000C13E0000}"/>
    <cellStyle name="Обычный 5 2 2 132 5" xfId="26229" xr:uid="{00000000-0005-0000-0000-0000C23E0000}"/>
    <cellStyle name="Обычный 5 2 2 132 6" xfId="31569" xr:uid="{00000000-0005-0000-0000-0000C33E0000}"/>
    <cellStyle name="Обычный 5 2 2 132 7" xfId="36909" xr:uid="{00000000-0005-0000-0000-0000C43E0000}"/>
    <cellStyle name="Обычный 5 2 2 132 8" xfId="42249" xr:uid="{00000000-0005-0000-0000-0000C53E0000}"/>
    <cellStyle name="Обычный 5 2 2 132 9" xfId="47589" xr:uid="{00000000-0005-0000-0000-0000C63E0000}"/>
    <cellStyle name="Обычный 5 2 2 133" xfId="4898" xr:uid="{00000000-0005-0000-0000-0000C73E0000}"/>
    <cellStyle name="Обычный 5 2 2 133 10" xfId="52961" xr:uid="{00000000-0005-0000-0000-0000C83E0000}"/>
    <cellStyle name="Обычный 5 2 2 133 2" xfId="10241" xr:uid="{00000000-0005-0000-0000-0000C93E0000}"/>
    <cellStyle name="Обычный 5 2 2 133 2 2" xfId="58302" xr:uid="{00000000-0005-0000-0000-0000CA3E0000}"/>
    <cellStyle name="Обычный 5 2 2 133 3" xfId="15581" xr:uid="{00000000-0005-0000-0000-0000CB3E0000}"/>
    <cellStyle name="Обычный 5 2 2 133 4" xfId="20921" xr:uid="{00000000-0005-0000-0000-0000CC3E0000}"/>
    <cellStyle name="Обычный 5 2 2 133 5" xfId="26261" xr:uid="{00000000-0005-0000-0000-0000CD3E0000}"/>
    <cellStyle name="Обычный 5 2 2 133 6" xfId="31601" xr:uid="{00000000-0005-0000-0000-0000CE3E0000}"/>
    <cellStyle name="Обычный 5 2 2 133 7" xfId="36941" xr:uid="{00000000-0005-0000-0000-0000CF3E0000}"/>
    <cellStyle name="Обычный 5 2 2 133 8" xfId="42281" xr:uid="{00000000-0005-0000-0000-0000D03E0000}"/>
    <cellStyle name="Обычный 5 2 2 133 9" xfId="47621" xr:uid="{00000000-0005-0000-0000-0000D13E0000}"/>
    <cellStyle name="Обычный 5 2 2 134" xfId="4930" xr:uid="{00000000-0005-0000-0000-0000D23E0000}"/>
    <cellStyle name="Обычный 5 2 2 134 10" xfId="52993" xr:uid="{00000000-0005-0000-0000-0000D33E0000}"/>
    <cellStyle name="Обычный 5 2 2 134 2" xfId="10273" xr:uid="{00000000-0005-0000-0000-0000D43E0000}"/>
    <cellStyle name="Обычный 5 2 2 134 2 2" xfId="58334" xr:uid="{00000000-0005-0000-0000-0000D53E0000}"/>
    <cellStyle name="Обычный 5 2 2 134 3" xfId="15613" xr:uid="{00000000-0005-0000-0000-0000D63E0000}"/>
    <cellStyle name="Обычный 5 2 2 134 4" xfId="20953" xr:uid="{00000000-0005-0000-0000-0000D73E0000}"/>
    <cellStyle name="Обычный 5 2 2 134 5" xfId="26293" xr:uid="{00000000-0005-0000-0000-0000D83E0000}"/>
    <cellStyle name="Обычный 5 2 2 134 6" xfId="31633" xr:uid="{00000000-0005-0000-0000-0000D93E0000}"/>
    <cellStyle name="Обычный 5 2 2 134 7" xfId="36973" xr:uid="{00000000-0005-0000-0000-0000DA3E0000}"/>
    <cellStyle name="Обычный 5 2 2 134 8" xfId="42313" xr:uid="{00000000-0005-0000-0000-0000DB3E0000}"/>
    <cellStyle name="Обычный 5 2 2 134 9" xfId="47653" xr:uid="{00000000-0005-0000-0000-0000DC3E0000}"/>
    <cellStyle name="Обычный 5 2 2 135" xfId="4962" xr:uid="{00000000-0005-0000-0000-0000DD3E0000}"/>
    <cellStyle name="Обычный 5 2 2 135 10" xfId="53025" xr:uid="{00000000-0005-0000-0000-0000DE3E0000}"/>
    <cellStyle name="Обычный 5 2 2 135 2" xfId="10305" xr:uid="{00000000-0005-0000-0000-0000DF3E0000}"/>
    <cellStyle name="Обычный 5 2 2 135 2 2" xfId="58366" xr:uid="{00000000-0005-0000-0000-0000E03E0000}"/>
    <cellStyle name="Обычный 5 2 2 135 3" xfId="15645" xr:uid="{00000000-0005-0000-0000-0000E13E0000}"/>
    <cellStyle name="Обычный 5 2 2 135 4" xfId="20985" xr:uid="{00000000-0005-0000-0000-0000E23E0000}"/>
    <cellStyle name="Обычный 5 2 2 135 5" xfId="26325" xr:uid="{00000000-0005-0000-0000-0000E33E0000}"/>
    <cellStyle name="Обычный 5 2 2 135 6" xfId="31665" xr:uid="{00000000-0005-0000-0000-0000E43E0000}"/>
    <cellStyle name="Обычный 5 2 2 135 7" xfId="37005" xr:uid="{00000000-0005-0000-0000-0000E53E0000}"/>
    <cellStyle name="Обычный 5 2 2 135 8" xfId="42345" xr:uid="{00000000-0005-0000-0000-0000E63E0000}"/>
    <cellStyle name="Обычный 5 2 2 135 9" xfId="47685" xr:uid="{00000000-0005-0000-0000-0000E73E0000}"/>
    <cellStyle name="Обычный 5 2 2 136" xfId="4994" xr:uid="{00000000-0005-0000-0000-0000E83E0000}"/>
    <cellStyle name="Обычный 5 2 2 136 10" xfId="53057" xr:uid="{00000000-0005-0000-0000-0000E93E0000}"/>
    <cellStyle name="Обычный 5 2 2 136 2" xfId="10337" xr:uid="{00000000-0005-0000-0000-0000EA3E0000}"/>
    <cellStyle name="Обычный 5 2 2 136 2 2" xfId="58398" xr:uid="{00000000-0005-0000-0000-0000EB3E0000}"/>
    <cellStyle name="Обычный 5 2 2 136 3" xfId="15677" xr:uid="{00000000-0005-0000-0000-0000EC3E0000}"/>
    <cellStyle name="Обычный 5 2 2 136 4" xfId="21017" xr:uid="{00000000-0005-0000-0000-0000ED3E0000}"/>
    <cellStyle name="Обычный 5 2 2 136 5" xfId="26357" xr:uid="{00000000-0005-0000-0000-0000EE3E0000}"/>
    <cellStyle name="Обычный 5 2 2 136 6" xfId="31697" xr:uid="{00000000-0005-0000-0000-0000EF3E0000}"/>
    <cellStyle name="Обычный 5 2 2 136 7" xfId="37037" xr:uid="{00000000-0005-0000-0000-0000F03E0000}"/>
    <cellStyle name="Обычный 5 2 2 136 8" xfId="42377" xr:uid="{00000000-0005-0000-0000-0000F13E0000}"/>
    <cellStyle name="Обычный 5 2 2 136 9" xfId="47717" xr:uid="{00000000-0005-0000-0000-0000F23E0000}"/>
    <cellStyle name="Обычный 5 2 2 137" xfId="5026" xr:uid="{00000000-0005-0000-0000-0000F33E0000}"/>
    <cellStyle name="Обычный 5 2 2 137 10" xfId="53089" xr:uid="{00000000-0005-0000-0000-0000F43E0000}"/>
    <cellStyle name="Обычный 5 2 2 137 2" xfId="10369" xr:uid="{00000000-0005-0000-0000-0000F53E0000}"/>
    <cellStyle name="Обычный 5 2 2 137 2 2" xfId="58430" xr:uid="{00000000-0005-0000-0000-0000F63E0000}"/>
    <cellStyle name="Обычный 5 2 2 137 3" xfId="15709" xr:uid="{00000000-0005-0000-0000-0000F73E0000}"/>
    <cellStyle name="Обычный 5 2 2 137 4" xfId="21049" xr:uid="{00000000-0005-0000-0000-0000F83E0000}"/>
    <cellStyle name="Обычный 5 2 2 137 5" xfId="26389" xr:uid="{00000000-0005-0000-0000-0000F93E0000}"/>
    <cellStyle name="Обычный 5 2 2 137 6" xfId="31729" xr:uid="{00000000-0005-0000-0000-0000FA3E0000}"/>
    <cellStyle name="Обычный 5 2 2 137 7" xfId="37069" xr:uid="{00000000-0005-0000-0000-0000FB3E0000}"/>
    <cellStyle name="Обычный 5 2 2 137 8" xfId="42409" xr:uid="{00000000-0005-0000-0000-0000FC3E0000}"/>
    <cellStyle name="Обычный 5 2 2 137 9" xfId="47749" xr:uid="{00000000-0005-0000-0000-0000FD3E0000}"/>
    <cellStyle name="Обычный 5 2 2 138" xfId="5058" xr:uid="{00000000-0005-0000-0000-0000FE3E0000}"/>
    <cellStyle name="Обычный 5 2 2 138 10" xfId="53121" xr:uid="{00000000-0005-0000-0000-0000FF3E0000}"/>
    <cellStyle name="Обычный 5 2 2 138 2" xfId="10401" xr:uid="{00000000-0005-0000-0000-0000003F0000}"/>
    <cellStyle name="Обычный 5 2 2 138 2 2" xfId="58462" xr:uid="{00000000-0005-0000-0000-0000013F0000}"/>
    <cellStyle name="Обычный 5 2 2 138 3" xfId="15741" xr:uid="{00000000-0005-0000-0000-0000023F0000}"/>
    <cellStyle name="Обычный 5 2 2 138 4" xfId="21081" xr:uid="{00000000-0005-0000-0000-0000033F0000}"/>
    <cellStyle name="Обычный 5 2 2 138 5" xfId="26421" xr:uid="{00000000-0005-0000-0000-0000043F0000}"/>
    <cellStyle name="Обычный 5 2 2 138 6" xfId="31761" xr:uid="{00000000-0005-0000-0000-0000053F0000}"/>
    <cellStyle name="Обычный 5 2 2 138 7" xfId="37101" xr:uid="{00000000-0005-0000-0000-0000063F0000}"/>
    <cellStyle name="Обычный 5 2 2 138 8" xfId="42441" xr:uid="{00000000-0005-0000-0000-0000073F0000}"/>
    <cellStyle name="Обычный 5 2 2 138 9" xfId="47781" xr:uid="{00000000-0005-0000-0000-0000083F0000}"/>
    <cellStyle name="Обычный 5 2 2 139" xfId="5090" xr:uid="{00000000-0005-0000-0000-0000093F0000}"/>
    <cellStyle name="Обычный 5 2 2 139 10" xfId="53153" xr:uid="{00000000-0005-0000-0000-00000A3F0000}"/>
    <cellStyle name="Обычный 5 2 2 139 2" xfId="10433" xr:uid="{00000000-0005-0000-0000-00000B3F0000}"/>
    <cellStyle name="Обычный 5 2 2 139 2 2" xfId="58494" xr:uid="{00000000-0005-0000-0000-00000C3F0000}"/>
    <cellStyle name="Обычный 5 2 2 139 3" xfId="15773" xr:uid="{00000000-0005-0000-0000-00000D3F0000}"/>
    <cellStyle name="Обычный 5 2 2 139 4" xfId="21113" xr:uid="{00000000-0005-0000-0000-00000E3F0000}"/>
    <cellStyle name="Обычный 5 2 2 139 5" xfId="26453" xr:uid="{00000000-0005-0000-0000-00000F3F0000}"/>
    <cellStyle name="Обычный 5 2 2 139 6" xfId="31793" xr:uid="{00000000-0005-0000-0000-0000103F0000}"/>
    <cellStyle name="Обычный 5 2 2 139 7" xfId="37133" xr:uid="{00000000-0005-0000-0000-0000113F0000}"/>
    <cellStyle name="Обычный 5 2 2 139 8" xfId="42473" xr:uid="{00000000-0005-0000-0000-0000123F0000}"/>
    <cellStyle name="Обычный 5 2 2 139 9" xfId="47813" xr:uid="{00000000-0005-0000-0000-0000133F0000}"/>
    <cellStyle name="Обычный 5 2 2 14" xfId="1286" xr:uid="{00000000-0005-0000-0000-0000143F0000}"/>
    <cellStyle name="Обычный 5 2 2 14 10" xfId="49349" xr:uid="{00000000-0005-0000-0000-0000153F0000}"/>
    <cellStyle name="Обычный 5 2 2 14 2" xfId="6628" xr:uid="{00000000-0005-0000-0000-0000163F0000}"/>
    <cellStyle name="Обычный 5 2 2 14 2 2" xfId="54690" xr:uid="{00000000-0005-0000-0000-0000173F0000}"/>
    <cellStyle name="Обычный 5 2 2 14 3" xfId="11969" xr:uid="{00000000-0005-0000-0000-0000183F0000}"/>
    <cellStyle name="Обычный 5 2 2 14 4" xfId="17309" xr:uid="{00000000-0005-0000-0000-0000193F0000}"/>
    <cellStyle name="Обычный 5 2 2 14 5" xfId="22649" xr:uid="{00000000-0005-0000-0000-00001A3F0000}"/>
    <cellStyle name="Обычный 5 2 2 14 6" xfId="27989" xr:uid="{00000000-0005-0000-0000-00001B3F0000}"/>
    <cellStyle name="Обычный 5 2 2 14 7" xfId="33329" xr:uid="{00000000-0005-0000-0000-00001C3F0000}"/>
    <cellStyle name="Обычный 5 2 2 14 8" xfId="38669" xr:uid="{00000000-0005-0000-0000-00001D3F0000}"/>
    <cellStyle name="Обычный 5 2 2 14 9" xfId="44009" xr:uid="{00000000-0005-0000-0000-00001E3F0000}"/>
    <cellStyle name="Обычный 5 2 2 140" xfId="5122" xr:uid="{00000000-0005-0000-0000-00001F3F0000}"/>
    <cellStyle name="Обычный 5 2 2 140 10" xfId="53185" xr:uid="{00000000-0005-0000-0000-0000203F0000}"/>
    <cellStyle name="Обычный 5 2 2 140 2" xfId="10465" xr:uid="{00000000-0005-0000-0000-0000213F0000}"/>
    <cellStyle name="Обычный 5 2 2 140 2 2" xfId="58526" xr:uid="{00000000-0005-0000-0000-0000223F0000}"/>
    <cellStyle name="Обычный 5 2 2 140 3" xfId="15805" xr:uid="{00000000-0005-0000-0000-0000233F0000}"/>
    <cellStyle name="Обычный 5 2 2 140 4" xfId="21145" xr:uid="{00000000-0005-0000-0000-0000243F0000}"/>
    <cellStyle name="Обычный 5 2 2 140 5" xfId="26485" xr:uid="{00000000-0005-0000-0000-0000253F0000}"/>
    <cellStyle name="Обычный 5 2 2 140 6" xfId="31825" xr:uid="{00000000-0005-0000-0000-0000263F0000}"/>
    <cellStyle name="Обычный 5 2 2 140 7" xfId="37165" xr:uid="{00000000-0005-0000-0000-0000273F0000}"/>
    <cellStyle name="Обычный 5 2 2 140 8" xfId="42505" xr:uid="{00000000-0005-0000-0000-0000283F0000}"/>
    <cellStyle name="Обычный 5 2 2 140 9" xfId="47845" xr:uid="{00000000-0005-0000-0000-0000293F0000}"/>
    <cellStyle name="Обычный 5 2 2 141" xfId="5154" xr:uid="{00000000-0005-0000-0000-00002A3F0000}"/>
    <cellStyle name="Обычный 5 2 2 141 10" xfId="53217" xr:uid="{00000000-0005-0000-0000-00002B3F0000}"/>
    <cellStyle name="Обычный 5 2 2 141 2" xfId="10497" xr:uid="{00000000-0005-0000-0000-00002C3F0000}"/>
    <cellStyle name="Обычный 5 2 2 141 2 2" xfId="58558" xr:uid="{00000000-0005-0000-0000-00002D3F0000}"/>
    <cellStyle name="Обычный 5 2 2 141 3" xfId="15837" xr:uid="{00000000-0005-0000-0000-00002E3F0000}"/>
    <cellStyle name="Обычный 5 2 2 141 4" xfId="21177" xr:uid="{00000000-0005-0000-0000-00002F3F0000}"/>
    <cellStyle name="Обычный 5 2 2 141 5" xfId="26517" xr:uid="{00000000-0005-0000-0000-0000303F0000}"/>
    <cellStyle name="Обычный 5 2 2 141 6" xfId="31857" xr:uid="{00000000-0005-0000-0000-0000313F0000}"/>
    <cellStyle name="Обычный 5 2 2 141 7" xfId="37197" xr:uid="{00000000-0005-0000-0000-0000323F0000}"/>
    <cellStyle name="Обычный 5 2 2 141 8" xfId="42537" xr:uid="{00000000-0005-0000-0000-0000333F0000}"/>
    <cellStyle name="Обычный 5 2 2 141 9" xfId="47877" xr:uid="{00000000-0005-0000-0000-0000343F0000}"/>
    <cellStyle name="Обычный 5 2 2 142" xfId="5186" xr:uid="{00000000-0005-0000-0000-0000353F0000}"/>
    <cellStyle name="Обычный 5 2 2 142 10" xfId="53249" xr:uid="{00000000-0005-0000-0000-0000363F0000}"/>
    <cellStyle name="Обычный 5 2 2 142 2" xfId="10529" xr:uid="{00000000-0005-0000-0000-0000373F0000}"/>
    <cellStyle name="Обычный 5 2 2 142 2 2" xfId="58590" xr:uid="{00000000-0005-0000-0000-0000383F0000}"/>
    <cellStyle name="Обычный 5 2 2 142 3" xfId="15869" xr:uid="{00000000-0005-0000-0000-0000393F0000}"/>
    <cellStyle name="Обычный 5 2 2 142 4" xfId="21209" xr:uid="{00000000-0005-0000-0000-00003A3F0000}"/>
    <cellStyle name="Обычный 5 2 2 142 5" xfId="26549" xr:uid="{00000000-0005-0000-0000-00003B3F0000}"/>
    <cellStyle name="Обычный 5 2 2 142 6" xfId="31889" xr:uid="{00000000-0005-0000-0000-00003C3F0000}"/>
    <cellStyle name="Обычный 5 2 2 142 7" xfId="37229" xr:uid="{00000000-0005-0000-0000-00003D3F0000}"/>
    <cellStyle name="Обычный 5 2 2 142 8" xfId="42569" xr:uid="{00000000-0005-0000-0000-00003E3F0000}"/>
    <cellStyle name="Обычный 5 2 2 142 9" xfId="47909" xr:uid="{00000000-0005-0000-0000-00003F3F0000}"/>
    <cellStyle name="Обычный 5 2 2 143" xfId="5218" xr:uid="{00000000-0005-0000-0000-0000403F0000}"/>
    <cellStyle name="Обычный 5 2 2 143 10" xfId="53281" xr:uid="{00000000-0005-0000-0000-0000413F0000}"/>
    <cellStyle name="Обычный 5 2 2 143 2" xfId="10561" xr:uid="{00000000-0005-0000-0000-0000423F0000}"/>
    <cellStyle name="Обычный 5 2 2 143 2 2" xfId="58622" xr:uid="{00000000-0005-0000-0000-0000433F0000}"/>
    <cellStyle name="Обычный 5 2 2 143 3" xfId="15901" xr:uid="{00000000-0005-0000-0000-0000443F0000}"/>
    <cellStyle name="Обычный 5 2 2 143 4" xfId="21241" xr:uid="{00000000-0005-0000-0000-0000453F0000}"/>
    <cellStyle name="Обычный 5 2 2 143 5" xfId="26581" xr:uid="{00000000-0005-0000-0000-0000463F0000}"/>
    <cellStyle name="Обычный 5 2 2 143 6" xfId="31921" xr:uid="{00000000-0005-0000-0000-0000473F0000}"/>
    <cellStyle name="Обычный 5 2 2 143 7" xfId="37261" xr:uid="{00000000-0005-0000-0000-0000483F0000}"/>
    <cellStyle name="Обычный 5 2 2 143 8" xfId="42601" xr:uid="{00000000-0005-0000-0000-0000493F0000}"/>
    <cellStyle name="Обычный 5 2 2 143 9" xfId="47941" xr:uid="{00000000-0005-0000-0000-00004A3F0000}"/>
    <cellStyle name="Обычный 5 2 2 144" xfId="5250" xr:uid="{00000000-0005-0000-0000-00004B3F0000}"/>
    <cellStyle name="Обычный 5 2 2 144 10" xfId="53313" xr:uid="{00000000-0005-0000-0000-00004C3F0000}"/>
    <cellStyle name="Обычный 5 2 2 144 2" xfId="10593" xr:uid="{00000000-0005-0000-0000-00004D3F0000}"/>
    <cellStyle name="Обычный 5 2 2 144 2 2" xfId="58654" xr:uid="{00000000-0005-0000-0000-00004E3F0000}"/>
    <cellStyle name="Обычный 5 2 2 144 3" xfId="15933" xr:uid="{00000000-0005-0000-0000-00004F3F0000}"/>
    <cellStyle name="Обычный 5 2 2 144 4" xfId="21273" xr:uid="{00000000-0005-0000-0000-0000503F0000}"/>
    <cellStyle name="Обычный 5 2 2 144 5" xfId="26613" xr:uid="{00000000-0005-0000-0000-0000513F0000}"/>
    <cellStyle name="Обычный 5 2 2 144 6" xfId="31953" xr:uid="{00000000-0005-0000-0000-0000523F0000}"/>
    <cellStyle name="Обычный 5 2 2 144 7" xfId="37293" xr:uid="{00000000-0005-0000-0000-0000533F0000}"/>
    <cellStyle name="Обычный 5 2 2 144 8" xfId="42633" xr:uid="{00000000-0005-0000-0000-0000543F0000}"/>
    <cellStyle name="Обычный 5 2 2 144 9" xfId="47973" xr:uid="{00000000-0005-0000-0000-0000553F0000}"/>
    <cellStyle name="Обычный 5 2 2 145" xfId="5282" xr:uid="{00000000-0005-0000-0000-0000563F0000}"/>
    <cellStyle name="Обычный 5 2 2 145 10" xfId="53345" xr:uid="{00000000-0005-0000-0000-0000573F0000}"/>
    <cellStyle name="Обычный 5 2 2 145 2" xfId="10625" xr:uid="{00000000-0005-0000-0000-0000583F0000}"/>
    <cellStyle name="Обычный 5 2 2 145 2 2" xfId="58686" xr:uid="{00000000-0005-0000-0000-0000593F0000}"/>
    <cellStyle name="Обычный 5 2 2 145 3" xfId="15965" xr:uid="{00000000-0005-0000-0000-00005A3F0000}"/>
    <cellStyle name="Обычный 5 2 2 145 4" xfId="21305" xr:uid="{00000000-0005-0000-0000-00005B3F0000}"/>
    <cellStyle name="Обычный 5 2 2 145 5" xfId="26645" xr:uid="{00000000-0005-0000-0000-00005C3F0000}"/>
    <cellStyle name="Обычный 5 2 2 145 6" xfId="31985" xr:uid="{00000000-0005-0000-0000-00005D3F0000}"/>
    <cellStyle name="Обычный 5 2 2 145 7" xfId="37325" xr:uid="{00000000-0005-0000-0000-00005E3F0000}"/>
    <cellStyle name="Обычный 5 2 2 145 8" xfId="42665" xr:uid="{00000000-0005-0000-0000-00005F3F0000}"/>
    <cellStyle name="Обычный 5 2 2 145 9" xfId="48005" xr:uid="{00000000-0005-0000-0000-0000603F0000}"/>
    <cellStyle name="Обычный 5 2 2 146" xfId="5314" xr:uid="{00000000-0005-0000-0000-0000613F0000}"/>
    <cellStyle name="Обычный 5 2 2 146 10" xfId="53377" xr:uid="{00000000-0005-0000-0000-0000623F0000}"/>
    <cellStyle name="Обычный 5 2 2 146 2" xfId="10657" xr:uid="{00000000-0005-0000-0000-0000633F0000}"/>
    <cellStyle name="Обычный 5 2 2 146 2 2" xfId="58718" xr:uid="{00000000-0005-0000-0000-0000643F0000}"/>
    <cellStyle name="Обычный 5 2 2 146 3" xfId="15997" xr:uid="{00000000-0005-0000-0000-0000653F0000}"/>
    <cellStyle name="Обычный 5 2 2 146 4" xfId="21337" xr:uid="{00000000-0005-0000-0000-0000663F0000}"/>
    <cellStyle name="Обычный 5 2 2 146 5" xfId="26677" xr:uid="{00000000-0005-0000-0000-0000673F0000}"/>
    <cellStyle name="Обычный 5 2 2 146 6" xfId="32017" xr:uid="{00000000-0005-0000-0000-0000683F0000}"/>
    <cellStyle name="Обычный 5 2 2 146 7" xfId="37357" xr:uid="{00000000-0005-0000-0000-0000693F0000}"/>
    <cellStyle name="Обычный 5 2 2 146 8" xfId="42697" xr:uid="{00000000-0005-0000-0000-00006A3F0000}"/>
    <cellStyle name="Обычный 5 2 2 146 9" xfId="48037" xr:uid="{00000000-0005-0000-0000-00006B3F0000}"/>
    <cellStyle name="Обычный 5 2 2 147" xfId="5346" xr:uid="{00000000-0005-0000-0000-00006C3F0000}"/>
    <cellStyle name="Обычный 5 2 2 147 10" xfId="53409" xr:uid="{00000000-0005-0000-0000-00006D3F0000}"/>
    <cellStyle name="Обычный 5 2 2 147 2" xfId="10689" xr:uid="{00000000-0005-0000-0000-00006E3F0000}"/>
    <cellStyle name="Обычный 5 2 2 147 2 2" xfId="58750" xr:uid="{00000000-0005-0000-0000-00006F3F0000}"/>
    <cellStyle name="Обычный 5 2 2 147 3" xfId="16029" xr:uid="{00000000-0005-0000-0000-0000703F0000}"/>
    <cellStyle name="Обычный 5 2 2 147 4" xfId="21369" xr:uid="{00000000-0005-0000-0000-0000713F0000}"/>
    <cellStyle name="Обычный 5 2 2 147 5" xfId="26709" xr:uid="{00000000-0005-0000-0000-0000723F0000}"/>
    <cellStyle name="Обычный 5 2 2 147 6" xfId="32049" xr:uid="{00000000-0005-0000-0000-0000733F0000}"/>
    <cellStyle name="Обычный 5 2 2 147 7" xfId="37389" xr:uid="{00000000-0005-0000-0000-0000743F0000}"/>
    <cellStyle name="Обычный 5 2 2 147 8" xfId="42729" xr:uid="{00000000-0005-0000-0000-0000753F0000}"/>
    <cellStyle name="Обычный 5 2 2 147 9" xfId="48069" xr:uid="{00000000-0005-0000-0000-0000763F0000}"/>
    <cellStyle name="Обычный 5 2 2 148" xfId="5378" xr:uid="{00000000-0005-0000-0000-0000773F0000}"/>
    <cellStyle name="Обычный 5 2 2 148 10" xfId="53441" xr:uid="{00000000-0005-0000-0000-0000783F0000}"/>
    <cellStyle name="Обычный 5 2 2 148 2" xfId="10721" xr:uid="{00000000-0005-0000-0000-0000793F0000}"/>
    <cellStyle name="Обычный 5 2 2 148 2 2" xfId="58782" xr:uid="{00000000-0005-0000-0000-00007A3F0000}"/>
    <cellStyle name="Обычный 5 2 2 148 3" xfId="16061" xr:uid="{00000000-0005-0000-0000-00007B3F0000}"/>
    <cellStyle name="Обычный 5 2 2 148 4" xfId="21401" xr:uid="{00000000-0005-0000-0000-00007C3F0000}"/>
    <cellStyle name="Обычный 5 2 2 148 5" xfId="26741" xr:uid="{00000000-0005-0000-0000-00007D3F0000}"/>
    <cellStyle name="Обычный 5 2 2 148 6" xfId="32081" xr:uid="{00000000-0005-0000-0000-00007E3F0000}"/>
    <cellStyle name="Обычный 5 2 2 148 7" xfId="37421" xr:uid="{00000000-0005-0000-0000-00007F3F0000}"/>
    <cellStyle name="Обычный 5 2 2 148 8" xfId="42761" xr:uid="{00000000-0005-0000-0000-0000803F0000}"/>
    <cellStyle name="Обычный 5 2 2 148 9" xfId="48101" xr:uid="{00000000-0005-0000-0000-0000813F0000}"/>
    <cellStyle name="Обычный 5 2 2 149" xfId="5443" xr:uid="{00000000-0005-0000-0000-0000823F0000}"/>
    <cellStyle name="Обычный 5 2 2 149 2" xfId="53505" xr:uid="{00000000-0005-0000-0000-0000833F0000}"/>
    <cellStyle name="Обычный 5 2 2 15" xfId="1312" xr:uid="{00000000-0005-0000-0000-0000843F0000}"/>
    <cellStyle name="Обычный 5 2 2 15 10" xfId="49375" xr:uid="{00000000-0005-0000-0000-0000853F0000}"/>
    <cellStyle name="Обычный 5 2 2 15 2" xfId="6654" xr:uid="{00000000-0005-0000-0000-0000863F0000}"/>
    <cellStyle name="Обычный 5 2 2 15 2 2" xfId="54716" xr:uid="{00000000-0005-0000-0000-0000873F0000}"/>
    <cellStyle name="Обычный 5 2 2 15 3" xfId="11995" xr:uid="{00000000-0005-0000-0000-0000883F0000}"/>
    <cellStyle name="Обычный 5 2 2 15 4" xfId="17335" xr:uid="{00000000-0005-0000-0000-0000893F0000}"/>
    <cellStyle name="Обычный 5 2 2 15 5" xfId="22675" xr:uid="{00000000-0005-0000-0000-00008A3F0000}"/>
    <cellStyle name="Обычный 5 2 2 15 6" xfId="28015" xr:uid="{00000000-0005-0000-0000-00008B3F0000}"/>
    <cellStyle name="Обычный 5 2 2 15 7" xfId="33355" xr:uid="{00000000-0005-0000-0000-00008C3F0000}"/>
    <cellStyle name="Обычный 5 2 2 15 8" xfId="38695" xr:uid="{00000000-0005-0000-0000-00008D3F0000}"/>
    <cellStyle name="Обычный 5 2 2 15 9" xfId="44035" xr:uid="{00000000-0005-0000-0000-00008E3F0000}"/>
    <cellStyle name="Обычный 5 2 2 150" xfId="10784" xr:uid="{00000000-0005-0000-0000-00008F3F0000}"/>
    <cellStyle name="Обычный 5 2 2 151" xfId="16124" xr:uid="{00000000-0005-0000-0000-0000903F0000}"/>
    <cellStyle name="Обычный 5 2 2 152" xfId="21464" xr:uid="{00000000-0005-0000-0000-0000913F0000}"/>
    <cellStyle name="Обычный 5 2 2 153" xfId="26804" xr:uid="{00000000-0005-0000-0000-0000923F0000}"/>
    <cellStyle name="Обычный 5 2 2 154" xfId="32144" xr:uid="{00000000-0005-0000-0000-0000933F0000}"/>
    <cellStyle name="Обычный 5 2 2 155" xfId="37484" xr:uid="{00000000-0005-0000-0000-0000943F0000}"/>
    <cellStyle name="Обычный 5 2 2 156" xfId="42824" xr:uid="{00000000-0005-0000-0000-0000953F0000}"/>
    <cellStyle name="Обычный 5 2 2 157" xfId="48164" xr:uid="{00000000-0005-0000-0000-0000963F0000}"/>
    <cellStyle name="Обычный 5 2 2 16" xfId="1338" xr:uid="{00000000-0005-0000-0000-0000973F0000}"/>
    <cellStyle name="Обычный 5 2 2 16 10" xfId="49401" xr:uid="{00000000-0005-0000-0000-0000983F0000}"/>
    <cellStyle name="Обычный 5 2 2 16 2" xfId="6680" xr:uid="{00000000-0005-0000-0000-0000993F0000}"/>
    <cellStyle name="Обычный 5 2 2 16 2 2" xfId="54742" xr:uid="{00000000-0005-0000-0000-00009A3F0000}"/>
    <cellStyle name="Обычный 5 2 2 16 3" xfId="12021" xr:uid="{00000000-0005-0000-0000-00009B3F0000}"/>
    <cellStyle name="Обычный 5 2 2 16 4" xfId="17361" xr:uid="{00000000-0005-0000-0000-00009C3F0000}"/>
    <cellStyle name="Обычный 5 2 2 16 5" xfId="22701" xr:uid="{00000000-0005-0000-0000-00009D3F0000}"/>
    <cellStyle name="Обычный 5 2 2 16 6" xfId="28041" xr:uid="{00000000-0005-0000-0000-00009E3F0000}"/>
    <cellStyle name="Обычный 5 2 2 16 7" xfId="33381" xr:uid="{00000000-0005-0000-0000-00009F3F0000}"/>
    <cellStyle name="Обычный 5 2 2 16 8" xfId="38721" xr:uid="{00000000-0005-0000-0000-0000A03F0000}"/>
    <cellStyle name="Обычный 5 2 2 16 9" xfId="44061" xr:uid="{00000000-0005-0000-0000-0000A13F0000}"/>
    <cellStyle name="Обычный 5 2 2 17" xfId="1364" xr:uid="{00000000-0005-0000-0000-0000A23F0000}"/>
    <cellStyle name="Обычный 5 2 2 17 10" xfId="49427" xr:uid="{00000000-0005-0000-0000-0000A33F0000}"/>
    <cellStyle name="Обычный 5 2 2 17 2" xfId="6706" xr:uid="{00000000-0005-0000-0000-0000A43F0000}"/>
    <cellStyle name="Обычный 5 2 2 17 2 2" xfId="54768" xr:uid="{00000000-0005-0000-0000-0000A53F0000}"/>
    <cellStyle name="Обычный 5 2 2 17 3" xfId="12047" xr:uid="{00000000-0005-0000-0000-0000A63F0000}"/>
    <cellStyle name="Обычный 5 2 2 17 4" xfId="17387" xr:uid="{00000000-0005-0000-0000-0000A73F0000}"/>
    <cellStyle name="Обычный 5 2 2 17 5" xfId="22727" xr:uid="{00000000-0005-0000-0000-0000A83F0000}"/>
    <cellStyle name="Обычный 5 2 2 17 6" xfId="28067" xr:uid="{00000000-0005-0000-0000-0000A93F0000}"/>
    <cellStyle name="Обычный 5 2 2 17 7" xfId="33407" xr:uid="{00000000-0005-0000-0000-0000AA3F0000}"/>
    <cellStyle name="Обычный 5 2 2 17 8" xfId="38747" xr:uid="{00000000-0005-0000-0000-0000AB3F0000}"/>
    <cellStyle name="Обычный 5 2 2 17 9" xfId="44087" xr:uid="{00000000-0005-0000-0000-0000AC3F0000}"/>
    <cellStyle name="Обычный 5 2 2 18" xfId="1390" xr:uid="{00000000-0005-0000-0000-0000AD3F0000}"/>
    <cellStyle name="Обычный 5 2 2 18 10" xfId="49453" xr:uid="{00000000-0005-0000-0000-0000AE3F0000}"/>
    <cellStyle name="Обычный 5 2 2 18 2" xfId="6732" xr:uid="{00000000-0005-0000-0000-0000AF3F0000}"/>
    <cellStyle name="Обычный 5 2 2 18 2 2" xfId="54794" xr:uid="{00000000-0005-0000-0000-0000B03F0000}"/>
    <cellStyle name="Обычный 5 2 2 18 3" xfId="12073" xr:uid="{00000000-0005-0000-0000-0000B13F0000}"/>
    <cellStyle name="Обычный 5 2 2 18 4" xfId="17413" xr:uid="{00000000-0005-0000-0000-0000B23F0000}"/>
    <cellStyle name="Обычный 5 2 2 18 5" xfId="22753" xr:uid="{00000000-0005-0000-0000-0000B33F0000}"/>
    <cellStyle name="Обычный 5 2 2 18 6" xfId="28093" xr:uid="{00000000-0005-0000-0000-0000B43F0000}"/>
    <cellStyle name="Обычный 5 2 2 18 7" xfId="33433" xr:uid="{00000000-0005-0000-0000-0000B53F0000}"/>
    <cellStyle name="Обычный 5 2 2 18 8" xfId="38773" xr:uid="{00000000-0005-0000-0000-0000B63F0000}"/>
    <cellStyle name="Обычный 5 2 2 18 9" xfId="44113" xr:uid="{00000000-0005-0000-0000-0000B73F0000}"/>
    <cellStyle name="Обычный 5 2 2 19" xfId="1416" xr:uid="{00000000-0005-0000-0000-0000B83F0000}"/>
    <cellStyle name="Обычный 5 2 2 19 10" xfId="49479" xr:uid="{00000000-0005-0000-0000-0000B93F0000}"/>
    <cellStyle name="Обычный 5 2 2 19 2" xfId="6758" xr:uid="{00000000-0005-0000-0000-0000BA3F0000}"/>
    <cellStyle name="Обычный 5 2 2 19 2 2" xfId="54820" xr:uid="{00000000-0005-0000-0000-0000BB3F0000}"/>
    <cellStyle name="Обычный 5 2 2 19 3" xfId="12099" xr:uid="{00000000-0005-0000-0000-0000BC3F0000}"/>
    <cellStyle name="Обычный 5 2 2 19 4" xfId="17439" xr:uid="{00000000-0005-0000-0000-0000BD3F0000}"/>
    <cellStyle name="Обычный 5 2 2 19 5" xfId="22779" xr:uid="{00000000-0005-0000-0000-0000BE3F0000}"/>
    <cellStyle name="Обычный 5 2 2 19 6" xfId="28119" xr:uid="{00000000-0005-0000-0000-0000BF3F0000}"/>
    <cellStyle name="Обычный 5 2 2 19 7" xfId="33459" xr:uid="{00000000-0005-0000-0000-0000C03F0000}"/>
    <cellStyle name="Обычный 5 2 2 19 8" xfId="38799" xr:uid="{00000000-0005-0000-0000-0000C13F0000}"/>
    <cellStyle name="Обычный 5 2 2 19 9" xfId="44139" xr:uid="{00000000-0005-0000-0000-0000C23F0000}"/>
    <cellStyle name="Обычный 5 2 2 2" xfId="569" xr:uid="{00000000-0005-0000-0000-0000C33F0000}"/>
    <cellStyle name="Обычный 5 2 2 2 10" xfId="48631" xr:uid="{00000000-0005-0000-0000-0000C43F0000}"/>
    <cellStyle name="Обычный 5 2 2 2 2" xfId="5910" xr:uid="{00000000-0005-0000-0000-0000C53F0000}"/>
    <cellStyle name="Обычный 5 2 2 2 2 2" xfId="53972" xr:uid="{00000000-0005-0000-0000-0000C63F0000}"/>
    <cellStyle name="Обычный 5 2 2 2 3" xfId="11251" xr:uid="{00000000-0005-0000-0000-0000C73F0000}"/>
    <cellStyle name="Обычный 5 2 2 2 4" xfId="16591" xr:uid="{00000000-0005-0000-0000-0000C83F0000}"/>
    <cellStyle name="Обычный 5 2 2 2 5" xfId="21931" xr:uid="{00000000-0005-0000-0000-0000C93F0000}"/>
    <cellStyle name="Обычный 5 2 2 2 6" xfId="27271" xr:uid="{00000000-0005-0000-0000-0000CA3F0000}"/>
    <cellStyle name="Обычный 5 2 2 2 7" xfId="32611" xr:uid="{00000000-0005-0000-0000-0000CB3F0000}"/>
    <cellStyle name="Обычный 5 2 2 2 8" xfId="37951" xr:uid="{00000000-0005-0000-0000-0000CC3F0000}"/>
    <cellStyle name="Обычный 5 2 2 2 9" xfId="43291" xr:uid="{00000000-0005-0000-0000-0000CD3F0000}"/>
    <cellStyle name="Обычный 5 2 2 20" xfId="1442" xr:uid="{00000000-0005-0000-0000-0000CE3F0000}"/>
    <cellStyle name="Обычный 5 2 2 20 10" xfId="49505" xr:uid="{00000000-0005-0000-0000-0000CF3F0000}"/>
    <cellStyle name="Обычный 5 2 2 20 2" xfId="6784" xr:uid="{00000000-0005-0000-0000-0000D03F0000}"/>
    <cellStyle name="Обычный 5 2 2 20 2 2" xfId="54846" xr:uid="{00000000-0005-0000-0000-0000D13F0000}"/>
    <cellStyle name="Обычный 5 2 2 20 3" xfId="12125" xr:uid="{00000000-0005-0000-0000-0000D23F0000}"/>
    <cellStyle name="Обычный 5 2 2 20 4" xfId="17465" xr:uid="{00000000-0005-0000-0000-0000D33F0000}"/>
    <cellStyle name="Обычный 5 2 2 20 5" xfId="22805" xr:uid="{00000000-0005-0000-0000-0000D43F0000}"/>
    <cellStyle name="Обычный 5 2 2 20 6" xfId="28145" xr:uid="{00000000-0005-0000-0000-0000D53F0000}"/>
    <cellStyle name="Обычный 5 2 2 20 7" xfId="33485" xr:uid="{00000000-0005-0000-0000-0000D63F0000}"/>
    <cellStyle name="Обычный 5 2 2 20 8" xfId="38825" xr:uid="{00000000-0005-0000-0000-0000D73F0000}"/>
    <cellStyle name="Обычный 5 2 2 20 9" xfId="44165" xr:uid="{00000000-0005-0000-0000-0000D83F0000}"/>
    <cellStyle name="Обычный 5 2 2 21" xfId="1468" xr:uid="{00000000-0005-0000-0000-0000D93F0000}"/>
    <cellStyle name="Обычный 5 2 2 21 10" xfId="49531" xr:uid="{00000000-0005-0000-0000-0000DA3F0000}"/>
    <cellStyle name="Обычный 5 2 2 21 2" xfId="6810" xr:uid="{00000000-0005-0000-0000-0000DB3F0000}"/>
    <cellStyle name="Обычный 5 2 2 21 2 2" xfId="54872" xr:uid="{00000000-0005-0000-0000-0000DC3F0000}"/>
    <cellStyle name="Обычный 5 2 2 21 3" xfId="12151" xr:uid="{00000000-0005-0000-0000-0000DD3F0000}"/>
    <cellStyle name="Обычный 5 2 2 21 4" xfId="17491" xr:uid="{00000000-0005-0000-0000-0000DE3F0000}"/>
    <cellStyle name="Обычный 5 2 2 21 5" xfId="22831" xr:uid="{00000000-0005-0000-0000-0000DF3F0000}"/>
    <cellStyle name="Обычный 5 2 2 21 6" xfId="28171" xr:uid="{00000000-0005-0000-0000-0000E03F0000}"/>
    <cellStyle name="Обычный 5 2 2 21 7" xfId="33511" xr:uid="{00000000-0005-0000-0000-0000E13F0000}"/>
    <cellStyle name="Обычный 5 2 2 21 8" xfId="38851" xr:uid="{00000000-0005-0000-0000-0000E23F0000}"/>
    <cellStyle name="Обычный 5 2 2 21 9" xfId="44191" xr:uid="{00000000-0005-0000-0000-0000E33F0000}"/>
    <cellStyle name="Обычный 5 2 2 22" xfId="1494" xr:uid="{00000000-0005-0000-0000-0000E43F0000}"/>
    <cellStyle name="Обычный 5 2 2 22 10" xfId="49557" xr:uid="{00000000-0005-0000-0000-0000E53F0000}"/>
    <cellStyle name="Обычный 5 2 2 22 2" xfId="6836" xr:uid="{00000000-0005-0000-0000-0000E63F0000}"/>
    <cellStyle name="Обычный 5 2 2 22 2 2" xfId="54898" xr:uid="{00000000-0005-0000-0000-0000E73F0000}"/>
    <cellStyle name="Обычный 5 2 2 22 3" xfId="12177" xr:uid="{00000000-0005-0000-0000-0000E83F0000}"/>
    <cellStyle name="Обычный 5 2 2 22 4" xfId="17517" xr:uid="{00000000-0005-0000-0000-0000E93F0000}"/>
    <cellStyle name="Обычный 5 2 2 22 5" xfId="22857" xr:uid="{00000000-0005-0000-0000-0000EA3F0000}"/>
    <cellStyle name="Обычный 5 2 2 22 6" xfId="28197" xr:uid="{00000000-0005-0000-0000-0000EB3F0000}"/>
    <cellStyle name="Обычный 5 2 2 22 7" xfId="33537" xr:uid="{00000000-0005-0000-0000-0000EC3F0000}"/>
    <cellStyle name="Обычный 5 2 2 22 8" xfId="38877" xr:uid="{00000000-0005-0000-0000-0000ED3F0000}"/>
    <cellStyle name="Обычный 5 2 2 22 9" xfId="44217" xr:uid="{00000000-0005-0000-0000-0000EE3F0000}"/>
    <cellStyle name="Обычный 5 2 2 23" xfId="1520" xr:uid="{00000000-0005-0000-0000-0000EF3F0000}"/>
    <cellStyle name="Обычный 5 2 2 23 10" xfId="49583" xr:uid="{00000000-0005-0000-0000-0000F03F0000}"/>
    <cellStyle name="Обычный 5 2 2 23 2" xfId="6862" xr:uid="{00000000-0005-0000-0000-0000F13F0000}"/>
    <cellStyle name="Обычный 5 2 2 23 2 2" xfId="54924" xr:uid="{00000000-0005-0000-0000-0000F23F0000}"/>
    <cellStyle name="Обычный 5 2 2 23 3" xfId="12203" xr:uid="{00000000-0005-0000-0000-0000F33F0000}"/>
    <cellStyle name="Обычный 5 2 2 23 4" xfId="17543" xr:uid="{00000000-0005-0000-0000-0000F43F0000}"/>
    <cellStyle name="Обычный 5 2 2 23 5" xfId="22883" xr:uid="{00000000-0005-0000-0000-0000F53F0000}"/>
    <cellStyle name="Обычный 5 2 2 23 6" xfId="28223" xr:uid="{00000000-0005-0000-0000-0000F63F0000}"/>
    <cellStyle name="Обычный 5 2 2 23 7" xfId="33563" xr:uid="{00000000-0005-0000-0000-0000F73F0000}"/>
    <cellStyle name="Обычный 5 2 2 23 8" xfId="38903" xr:uid="{00000000-0005-0000-0000-0000F83F0000}"/>
    <cellStyle name="Обычный 5 2 2 23 9" xfId="44243" xr:uid="{00000000-0005-0000-0000-0000F93F0000}"/>
    <cellStyle name="Обычный 5 2 2 24" xfId="1546" xr:uid="{00000000-0005-0000-0000-0000FA3F0000}"/>
    <cellStyle name="Обычный 5 2 2 24 10" xfId="49609" xr:uid="{00000000-0005-0000-0000-0000FB3F0000}"/>
    <cellStyle name="Обычный 5 2 2 24 2" xfId="6888" xr:uid="{00000000-0005-0000-0000-0000FC3F0000}"/>
    <cellStyle name="Обычный 5 2 2 24 2 2" xfId="54950" xr:uid="{00000000-0005-0000-0000-0000FD3F0000}"/>
    <cellStyle name="Обычный 5 2 2 24 3" xfId="12229" xr:uid="{00000000-0005-0000-0000-0000FE3F0000}"/>
    <cellStyle name="Обычный 5 2 2 24 4" xfId="17569" xr:uid="{00000000-0005-0000-0000-0000FF3F0000}"/>
    <cellStyle name="Обычный 5 2 2 24 5" xfId="22909" xr:uid="{00000000-0005-0000-0000-000000400000}"/>
    <cellStyle name="Обычный 5 2 2 24 6" xfId="28249" xr:uid="{00000000-0005-0000-0000-000001400000}"/>
    <cellStyle name="Обычный 5 2 2 24 7" xfId="33589" xr:uid="{00000000-0005-0000-0000-000002400000}"/>
    <cellStyle name="Обычный 5 2 2 24 8" xfId="38929" xr:uid="{00000000-0005-0000-0000-000003400000}"/>
    <cellStyle name="Обычный 5 2 2 24 9" xfId="44269" xr:uid="{00000000-0005-0000-0000-000004400000}"/>
    <cellStyle name="Обычный 5 2 2 25" xfId="1572" xr:uid="{00000000-0005-0000-0000-000005400000}"/>
    <cellStyle name="Обычный 5 2 2 25 10" xfId="49635" xr:uid="{00000000-0005-0000-0000-000006400000}"/>
    <cellStyle name="Обычный 5 2 2 25 2" xfId="6914" xr:uid="{00000000-0005-0000-0000-000007400000}"/>
    <cellStyle name="Обычный 5 2 2 25 2 2" xfId="54976" xr:uid="{00000000-0005-0000-0000-000008400000}"/>
    <cellStyle name="Обычный 5 2 2 25 3" xfId="12255" xr:uid="{00000000-0005-0000-0000-000009400000}"/>
    <cellStyle name="Обычный 5 2 2 25 4" xfId="17595" xr:uid="{00000000-0005-0000-0000-00000A400000}"/>
    <cellStyle name="Обычный 5 2 2 25 5" xfId="22935" xr:uid="{00000000-0005-0000-0000-00000B400000}"/>
    <cellStyle name="Обычный 5 2 2 25 6" xfId="28275" xr:uid="{00000000-0005-0000-0000-00000C400000}"/>
    <cellStyle name="Обычный 5 2 2 25 7" xfId="33615" xr:uid="{00000000-0005-0000-0000-00000D400000}"/>
    <cellStyle name="Обычный 5 2 2 25 8" xfId="38955" xr:uid="{00000000-0005-0000-0000-00000E400000}"/>
    <cellStyle name="Обычный 5 2 2 25 9" xfId="44295" xr:uid="{00000000-0005-0000-0000-00000F400000}"/>
    <cellStyle name="Обычный 5 2 2 26" xfId="1598" xr:uid="{00000000-0005-0000-0000-000010400000}"/>
    <cellStyle name="Обычный 5 2 2 26 10" xfId="49661" xr:uid="{00000000-0005-0000-0000-000011400000}"/>
    <cellStyle name="Обычный 5 2 2 26 2" xfId="6940" xr:uid="{00000000-0005-0000-0000-000012400000}"/>
    <cellStyle name="Обычный 5 2 2 26 2 2" xfId="55002" xr:uid="{00000000-0005-0000-0000-000013400000}"/>
    <cellStyle name="Обычный 5 2 2 26 3" xfId="12281" xr:uid="{00000000-0005-0000-0000-000014400000}"/>
    <cellStyle name="Обычный 5 2 2 26 4" xfId="17621" xr:uid="{00000000-0005-0000-0000-000015400000}"/>
    <cellStyle name="Обычный 5 2 2 26 5" xfId="22961" xr:uid="{00000000-0005-0000-0000-000016400000}"/>
    <cellStyle name="Обычный 5 2 2 26 6" xfId="28301" xr:uid="{00000000-0005-0000-0000-000017400000}"/>
    <cellStyle name="Обычный 5 2 2 26 7" xfId="33641" xr:uid="{00000000-0005-0000-0000-000018400000}"/>
    <cellStyle name="Обычный 5 2 2 26 8" xfId="38981" xr:uid="{00000000-0005-0000-0000-000019400000}"/>
    <cellStyle name="Обычный 5 2 2 26 9" xfId="44321" xr:uid="{00000000-0005-0000-0000-00001A400000}"/>
    <cellStyle name="Обычный 5 2 2 27" xfId="1624" xr:uid="{00000000-0005-0000-0000-00001B400000}"/>
    <cellStyle name="Обычный 5 2 2 27 10" xfId="49687" xr:uid="{00000000-0005-0000-0000-00001C400000}"/>
    <cellStyle name="Обычный 5 2 2 27 2" xfId="6966" xr:uid="{00000000-0005-0000-0000-00001D400000}"/>
    <cellStyle name="Обычный 5 2 2 27 2 2" xfId="55028" xr:uid="{00000000-0005-0000-0000-00001E400000}"/>
    <cellStyle name="Обычный 5 2 2 27 3" xfId="12307" xr:uid="{00000000-0005-0000-0000-00001F400000}"/>
    <cellStyle name="Обычный 5 2 2 27 4" xfId="17647" xr:uid="{00000000-0005-0000-0000-000020400000}"/>
    <cellStyle name="Обычный 5 2 2 27 5" xfId="22987" xr:uid="{00000000-0005-0000-0000-000021400000}"/>
    <cellStyle name="Обычный 5 2 2 27 6" xfId="28327" xr:uid="{00000000-0005-0000-0000-000022400000}"/>
    <cellStyle name="Обычный 5 2 2 27 7" xfId="33667" xr:uid="{00000000-0005-0000-0000-000023400000}"/>
    <cellStyle name="Обычный 5 2 2 27 8" xfId="39007" xr:uid="{00000000-0005-0000-0000-000024400000}"/>
    <cellStyle name="Обычный 5 2 2 27 9" xfId="44347" xr:uid="{00000000-0005-0000-0000-000025400000}"/>
    <cellStyle name="Обычный 5 2 2 28" xfId="1650" xr:uid="{00000000-0005-0000-0000-000026400000}"/>
    <cellStyle name="Обычный 5 2 2 28 10" xfId="49713" xr:uid="{00000000-0005-0000-0000-000027400000}"/>
    <cellStyle name="Обычный 5 2 2 28 2" xfId="6992" xr:uid="{00000000-0005-0000-0000-000028400000}"/>
    <cellStyle name="Обычный 5 2 2 28 2 2" xfId="55054" xr:uid="{00000000-0005-0000-0000-000029400000}"/>
    <cellStyle name="Обычный 5 2 2 28 3" xfId="12333" xr:uid="{00000000-0005-0000-0000-00002A400000}"/>
    <cellStyle name="Обычный 5 2 2 28 4" xfId="17673" xr:uid="{00000000-0005-0000-0000-00002B400000}"/>
    <cellStyle name="Обычный 5 2 2 28 5" xfId="23013" xr:uid="{00000000-0005-0000-0000-00002C400000}"/>
    <cellStyle name="Обычный 5 2 2 28 6" xfId="28353" xr:uid="{00000000-0005-0000-0000-00002D400000}"/>
    <cellStyle name="Обычный 5 2 2 28 7" xfId="33693" xr:uid="{00000000-0005-0000-0000-00002E400000}"/>
    <cellStyle name="Обычный 5 2 2 28 8" xfId="39033" xr:uid="{00000000-0005-0000-0000-00002F400000}"/>
    <cellStyle name="Обычный 5 2 2 28 9" xfId="44373" xr:uid="{00000000-0005-0000-0000-000030400000}"/>
    <cellStyle name="Обычный 5 2 2 29" xfId="1676" xr:uid="{00000000-0005-0000-0000-000031400000}"/>
    <cellStyle name="Обычный 5 2 2 29 10" xfId="49739" xr:uid="{00000000-0005-0000-0000-000032400000}"/>
    <cellStyle name="Обычный 5 2 2 29 2" xfId="7018" xr:uid="{00000000-0005-0000-0000-000033400000}"/>
    <cellStyle name="Обычный 5 2 2 29 2 2" xfId="55080" xr:uid="{00000000-0005-0000-0000-000034400000}"/>
    <cellStyle name="Обычный 5 2 2 29 3" xfId="12359" xr:uid="{00000000-0005-0000-0000-000035400000}"/>
    <cellStyle name="Обычный 5 2 2 29 4" xfId="17699" xr:uid="{00000000-0005-0000-0000-000036400000}"/>
    <cellStyle name="Обычный 5 2 2 29 5" xfId="23039" xr:uid="{00000000-0005-0000-0000-000037400000}"/>
    <cellStyle name="Обычный 5 2 2 29 6" xfId="28379" xr:uid="{00000000-0005-0000-0000-000038400000}"/>
    <cellStyle name="Обычный 5 2 2 29 7" xfId="33719" xr:uid="{00000000-0005-0000-0000-000039400000}"/>
    <cellStyle name="Обычный 5 2 2 29 8" xfId="39059" xr:uid="{00000000-0005-0000-0000-00003A400000}"/>
    <cellStyle name="Обычный 5 2 2 29 9" xfId="44399" xr:uid="{00000000-0005-0000-0000-00003B400000}"/>
    <cellStyle name="Обычный 5 2 2 3" xfId="1005" xr:uid="{00000000-0005-0000-0000-00003C400000}"/>
    <cellStyle name="Обычный 5 2 2 3 10" xfId="49067" xr:uid="{00000000-0005-0000-0000-00003D400000}"/>
    <cellStyle name="Обычный 5 2 2 3 2" xfId="6346" xr:uid="{00000000-0005-0000-0000-00003E400000}"/>
    <cellStyle name="Обычный 5 2 2 3 2 2" xfId="54408" xr:uid="{00000000-0005-0000-0000-00003F400000}"/>
    <cellStyle name="Обычный 5 2 2 3 3" xfId="11687" xr:uid="{00000000-0005-0000-0000-000040400000}"/>
    <cellStyle name="Обычный 5 2 2 3 4" xfId="17027" xr:uid="{00000000-0005-0000-0000-000041400000}"/>
    <cellStyle name="Обычный 5 2 2 3 5" xfId="22367" xr:uid="{00000000-0005-0000-0000-000042400000}"/>
    <cellStyle name="Обычный 5 2 2 3 6" xfId="27707" xr:uid="{00000000-0005-0000-0000-000043400000}"/>
    <cellStyle name="Обычный 5 2 2 3 7" xfId="33047" xr:uid="{00000000-0005-0000-0000-000044400000}"/>
    <cellStyle name="Обычный 5 2 2 3 8" xfId="38387" xr:uid="{00000000-0005-0000-0000-000045400000}"/>
    <cellStyle name="Обычный 5 2 2 3 9" xfId="43727" xr:uid="{00000000-0005-0000-0000-000046400000}"/>
    <cellStyle name="Обычный 5 2 2 30" xfId="1702" xr:uid="{00000000-0005-0000-0000-000047400000}"/>
    <cellStyle name="Обычный 5 2 2 30 10" xfId="49765" xr:uid="{00000000-0005-0000-0000-000048400000}"/>
    <cellStyle name="Обычный 5 2 2 30 2" xfId="7044" xr:uid="{00000000-0005-0000-0000-000049400000}"/>
    <cellStyle name="Обычный 5 2 2 30 2 2" xfId="55106" xr:uid="{00000000-0005-0000-0000-00004A400000}"/>
    <cellStyle name="Обычный 5 2 2 30 3" xfId="12385" xr:uid="{00000000-0005-0000-0000-00004B400000}"/>
    <cellStyle name="Обычный 5 2 2 30 4" xfId="17725" xr:uid="{00000000-0005-0000-0000-00004C400000}"/>
    <cellStyle name="Обычный 5 2 2 30 5" xfId="23065" xr:uid="{00000000-0005-0000-0000-00004D400000}"/>
    <cellStyle name="Обычный 5 2 2 30 6" xfId="28405" xr:uid="{00000000-0005-0000-0000-00004E400000}"/>
    <cellStyle name="Обычный 5 2 2 30 7" xfId="33745" xr:uid="{00000000-0005-0000-0000-00004F400000}"/>
    <cellStyle name="Обычный 5 2 2 30 8" xfId="39085" xr:uid="{00000000-0005-0000-0000-000050400000}"/>
    <cellStyle name="Обычный 5 2 2 30 9" xfId="44425" xr:uid="{00000000-0005-0000-0000-000051400000}"/>
    <cellStyle name="Обычный 5 2 2 31" xfId="1728" xr:uid="{00000000-0005-0000-0000-000052400000}"/>
    <cellStyle name="Обычный 5 2 2 31 10" xfId="49791" xr:uid="{00000000-0005-0000-0000-000053400000}"/>
    <cellStyle name="Обычный 5 2 2 31 2" xfId="7070" xr:uid="{00000000-0005-0000-0000-000054400000}"/>
    <cellStyle name="Обычный 5 2 2 31 2 2" xfId="55132" xr:uid="{00000000-0005-0000-0000-000055400000}"/>
    <cellStyle name="Обычный 5 2 2 31 3" xfId="12411" xr:uid="{00000000-0005-0000-0000-000056400000}"/>
    <cellStyle name="Обычный 5 2 2 31 4" xfId="17751" xr:uid="{00000000-0005-0000-0000-000057400000}"/>
    <cellStyle name="Обычный 5 2 2 31 5" xfId="23091" xr:uid="{00000000-0005-0000-0000-000058400000}"/>
    <cellStyle name="Обычный 5 2 2 31 6" xfId="28431" xr:uid="{00000000-0005-0000-0000-000059400000}"/>
    <cellStyle name="Обычный 5 2 2 31 7" xfId="33771" xr:uid="{00000000-0005-0000-0000-00005A400000}"/>
    <cellStyle name="Обычный 5 2 2 31 8" xfId="39111" xr:uid="{00000000-0005-0000-0000-00005B400000}"/>
    <cellStyle name="Обычный 5 2 2 31 9" xfId="44451" xr:uid="{00000000-0005-0000-0000-00005C400000}"/>
    <cellStyle name="Обычный 5 2 2 32" xfId="1754" xr:uid="{00000000-0005-0000-0000-00005D400000}"/>
    <cellStyle name="Обычный 5 2 2 32 10" xfId="49817" xr:uid="{00000000-0005-0000-0000-00005E400000}"/>
    <cellStyle name="Обычный 5 2 2 32 2" xfId="7096" xr:uid="{00000000-0005-0000-0000-00005F400000}"/>
    <cellStyle name="Обычный 5 2 2 32 2 2" xfId="55158" xr:uid="{00000000-0005-0000-0000-000060400000}"/>
    <cellStyle name="Обычный 5 2 2 32 3" xfId="12437" xr:uid="{00000000-0005-0000-0000-000061400000}"/>
    <cellStyle name="Обычный 5 2 2 32 4" xfId="17777" xr:uid="{00000000-0005-0000-0000-000062400000}"/>
    <cellStyle name="Обычный 5 2 2 32 5" xfId="23117" xr:uid="{00000000-0005-0000-0000-000063400000}"/>
    <cellStyle name="Обычный 5 2 2 32 6" xfId="28457" xr:uid="{00000000-0005-0000-0000-000064400000}"/>
    <cellStyle name="Обычный 5 2 2 32 7" xfId="33797" xr:uid="{00000000-0005-0000-0000-000065400000}"/>
    <cellStyle name="Обычный 5 2 2 32 8" xfId="39137" xr:uid="{00000000-0005-0000-0000-000066400000}"/>
    <cellStyle name="Обычный 5 2 2 32 9" xfId="44477" xr:uid="{00000000-0005-0000-0000-000067400000}"/>
    <cellStyle name="Обычный 5 2 2 33" xfId="1780" xr:uid="{00000000-0005-0000-0000-000068400000}"/>
    <cellStyle name="Обычный 5 2 2 33 10" xfId="49843" xr:uid="{00000000-0005-0000-0000-000069400000}"/>
    <cellStyle name="Обычный 5 2 2 33 2" xfId="7122" xr:uid="{00000000-0005-0000-0000-00006A400000}"/>
    <cellStyle name="Обычный 5 2 2 33 2 2" xfId="55184" xr:uid="{00000000-0005-0000-0000-00006B400000}"/>
    <cellStyle name="Обычный 5 2 2 33 3" xfId="12463" xr:uid="{00000000-0005-0000-0000-00006C400000}"/>
    <cellStyle name="Обычный 5 2 2 33 4" xfId="17803" xr:uid="{00000000-0005-0000-0000-00006D400000}"/>
    <cellStyle name="Обычный 5 2 2 33 5" xfId="23143" xr:uid="{00000000-0005-0000-0000-00006E400000}"/>
    <cellStyle name="Обычный 5 2 2 33 6" xfId="28483" xr:uid="{00000000-0005-0000-0000-00006F400000}"/>
    <cellStyle name="Обычный 5 2 2 33 7" xfId="33823" xr:uid="{00000000-0005-0000-0000-000070400000}"/>
    <cellStyle name="Обычный 5 2 2 33 8" xfId="39163" xr:uid="{00000000-0005-0000-0000-000071400000}"/>
    <cellStyle name="Обычный 5 2 2 33 9" xfId="44503" xr:uid="{00000000-0005-0000-0000-000072400000}"/>
    <cellStyle name="Обычный 5 2 2 34" xfId="1806" xr:uid="{00000000-0005-0000-0000-000073400000}"/>
    <cellStyle name="Обычный 5 2 2 34 10" xfId="49869" xr:uid="{00000000-0005-0000-0000-000074400000}"/>
    <cellStyle name="Обычный 5 2 2 34 2" xfId="7148" xr:uid="{00000000-0005-0000-0000-000075400000}"/>
    <cellStyle name="Обычный 5 2 2 34 2 2" xfId="55210" xr:uid="{00000000-0005-0000-0000-000076400000}"/>
    <cellStyle name="Обычный 5 2 2 34 3" xfId="12489" xr:uid="{00000000-0005-0000-0000-000077400000}"/>
    <cellStyle name="Обычный 5 2 2 34 4" xfId="17829" xr:uid="{00000000-0005-0000-0000-000078400000}"/>
    <cellStyle name="Обычный 5 2 2 34 5" xfId="23169" xr:uid="{00000000-0005-0000-0000-000079400000}"/>
    <cellStyle name="Обычный 5 2 2 34 6" xfId="28509" xr:uid="{00000000-0005-0000-0000-00007A400000}"/>
    <cellStyle name="Обычный 5 2 2 34 7" xfId="33849" xr:uid="{00000000-0005-0000-0000-00007B400000}"/>
    <cellStyle name="Обычный 5 2 2 34 8" xfId="39189" xr:uid="{00000000-0005-0000-0000-00007C400000}"/>
    <cellStyle name="Обычный 5 2 2 34 9" xfId="44529" xr:uid="{00000000-0005-0000-0000-00007D400000}"/>
    <cellStyle name="Обычный 5 2 2 35" xfId="1832" xr:uid="{00000000-0005-0000-0000-00007E400000}"/>
    <cellStyle name="Обычный 5 2 2 35 10" xfId="49895" xr:uid="{00000000-0005-0000-0000-00007F400000}"/>
    <cellStyle name="Обычный 5 2 2 35 2" xfId="7174" xr:uid="{00000000-0005-0000-0000-000080400000}"/>
    <cellStyle name="Обычный 5 2 2 35 2 2" xfId="55236" xr:uid="{00000000-0005-0000-0000-000081400000}"/>
    <cellStyle name="Обычный 5 2 2 35 3" xfId="12515" xr:uid="{00000000-0005-0000-0000-000082400000}"/>
    <cellStyle name="Обычный 5 2 2 35 4" xfId="17855" xr:uid="{00000000-0005-0000-0000-000083400000}"/>
    <cellStyle name="Обычный 5 2 2 35 5" xfId="23195" xr:uid="{00000000-0005-0000-0000-000084400000}"/>
    <cellStyle name="Обычный 5 2 2 35 6" xfId="28535" xr:uid="{00000000-0005-0000-0000-000085400000}"/>
    <cellStyle name="Обычный 5 2 2 35 7" xfId="33875" xr:uid="{00000000-0005-0000-0000-000086400000}"/>
    <cellStyle name="Обычный 5 2 2 35 8" xfId="39215" xr:uid="{00000000-0005-0000-0000-000087400000}"/>
    <cellStyle name="Обычный 5 2 2 35 9" xfId="44555" xr:uid="{00000000-0005-0000-0000-000088400000}"/>
    <cellStyle name="Обычный 5 2 2 36" xfId="1858" xr:uid="{00000000-0005-0000-0000-000089400000}"/>
    <cellStyle name="Обычный 5 2 2 36 10" xfId="49921" xr:uid="{00000000-0005-0000-0000-00008A400000}"/>
    <cellStyle name="Обычный 5 2 2 36 2" xfId="7200" xr:uid="{00000000-0005-0000-0000-00008B400000}"/>
    <cellStyle name="Обычный 5 2 2 36 2 2" xfId="55262" xr:uid="{00000000-0005-0000-0000-00008C400000}"/>
    <cellStyle name="Обычный 5 2 2 36 3" xfId="12541" xr:uid="{00000000-0005-0000-0000-00008D400000}"/>
    <cellStyle name="Обычный 5 2 2 36 4" xfId="17881" xr:uid="{00000000-0005-0000-0000-00008E400000}"/>
    <cellStyle name="Обычный 5 2 2 36 5" xfId="23221" xr:uid="{00000000-0005-0000-0000-00008F400000}"/>
    <cellStyle name="Обычный 5 2 2 36 6" xfId="28561" xr:uid="{00000000-0005-0000-0000-000090400000}"/>
    <cellStyle name="Обычный 5 2 2 36 7" xfId="33901" xr:uid="{00000000-0005-0000-0000-000091400000}"/>
    <cellStyle name="Обычный 5 2 2 36 8" xfId="39241" xr:uid="{00000000-0005-0000-0000-000092400000}"/>
    <cellStyle name="Обычный 5 2 2 36 9" xfId="44581" xr:uid="{00000000-0005-0000-0000-000093400000}"/>
    <cellStyle name="Обычный 5 2 2 37" xfId="1884" xr:uid="{00000000-0005-0000-0000-000094400000}"/>
    <cellStyle name="Обычный 5 2 2 37 10" xfId="49947" xr:uid="{00000000-0005-0000-0000-000095400000}"/>
    <cellStyle name="Обычный 5 2 2 37 2" xfId="7226" xr:uid="{00000000-0005-0000-0000-000096400000}"/>
    <cellStyle name="Обычный 5 2 2 37 2 2" xfId="55288" xr:uid="{00000000-0005-0000-0000-000097400000}"/>
    <cellStyle name="Обычный 5 2 2 37 3" xfId="12567" xr:uid="{00000000-0005-0000-0000-000098400000}"/>
    <cellStyle name="Обычный 5 2 2 37 4" xfId="17907" xr:uid="{00000000-0005-0000-0000-000099400000}"/>
    <cellStyle name="Обычный 5 2 2 37 5" xfId="23247" xr:uid="{00000000-0005-0000-0000-00009A400000}"/>
    <cellStyle name="Обычный 5 2 2 37 6" xfId="28587" xr:uid="{00000000-0005-0000-0000-00009B400000}"/>
    <cellStyle name="Обычный 5 2 2 37 7" xfId="33927" xr:uid="{00000000-0005-0000-0000-00009C400000}"/>
    <cellStyle name="Обычный 5 2 2 37 8" xfId="39267" xr:uid="{00000000-0005-0000-0000-00009D400000}"/>
    <cellStyle name="Обычный 5 2 2 37 9" xfId="44607" xr:uid="{00000000-0005-0000-0000-00009E400000}"/>
    <cellStyle name="Обычный 5 2 2 38" xfId="1910" xr:uid="{00000000-0005-0000-0000-00009F400000}"/>
    <cellStyle name="Обычный 5 2 2 38 10" xfId="49973" xr:uid="{00000000-0005-0000-0000-0000A0400000}"/>
    <cellStyle name="Обычный 5 2 2 38 2" xfId="7252" xr:uid="{00000000-0005-0000-0000-0000A1400000}"/>
    <cellStyle name="Обычный 5 2 2 38 2 2" xfId="55314" xr:uid="{00000000-0005-0000-0000-0000A2400000}"/>
    <cellStyle name="Обычный 5 2 2 38 3" xfId="12593" xr:uid="{00000000-0005-0000-0000-0000A3400000}"/>
    <cellStyle name="Обычный 5 2 2 38 4" xfId="17933" xr:uid="{00000000-0005-0000-0000-0000A4400000}"/>
    <cellStyle name="Обычный 5 2 2 38 5" xfId="23273" xr:uid="{00000000-0005-0000-0000-0000A5400000}"/>
    <cellStyle name="Обычный 5 2 2 38 6" xfId="28613" xr:uid="{00000000-0005-0000-0000-0000A6400000}"/>
    <cellStyle name="Обычный 5 2 2 38 7" xfId="33953" xr:uid="{00000000-0005-0000-0000-0000A7400000}"/>
    <cellStyle name="Обычный 5 2 2 38 8" xfId="39293" xr:uid="{00000000-0005-0000-0000-0000A8400000}"/>
    <cellStyle name="Обычный 5 2 2 38 9" xfId="44633" xr:uid="{00000000-0005-0000-0000-0000A9400000}"/>
    <cellStyle name="Обычный 5 2 2 39" xfId="1936" xr:uid="{00000000-0005-0000-0000-0000AA400000}"/>
    <cellStyle name="Обычный 5 2 2 39 10" xfId="49999" xr:uid="{00000000-0005-0000-0000-0000AB400000}"/>
    <cellStyle name="Обычный 5 2 2 39 2" xfId="7278" xr:uid="{00000000-0005-0000-0000-0000AC400000}"/>
    <cellStyle name="Обычный 5 2 2 39 2 2" xfId="55340" xr:uid="{00000000-0005-0000-0000-0000AD400000}"/>
    <cellStyle name="Обычный 5 2 2 39 3" xfId="12619" xr:uid="{00000000-0005-0000-0000-0000AE400000}"/>
    <cellStyle name="Обычный 5 2 2 39 4" xfId="17959" xr:uid="{00000000-0005-0000-0000-0000AF400000}"/>
    <cellStyle name="Обычный 5 2 2 39 5" xfId="23299" xr:uid="{00000000-0005-0000-0000-0000B0400000}"/>
    <cellStyle name="Обычный 5 2 2 39 6" xfId="28639" xr:uid="{00000000-0005-0000-0000-0000B1400000}"/>
    <cellStyle name="Обычный 5 2 2 39 7" xfId="33979" xr:uid="{00000000-0005-0000-0000-0000B2400000}"/>
    <cellStyle name="Обычный 5 2 2 39 8" xfId="39319" xr:uid="{00000000-0005-0000-0000-0000B3400000}"/>
    <cellStyle name="Обычный 5 2 2 39 9" xfId="44659" xr:uid="{00000000-0005-0000-0000-0000B4400000}"/>
    <cellStyle name="Обычный 5 2 2 4" xfId="1029" xr:uid="{00000000-0005-0000-0000-0000B5400000}"/>
    <cellStyle name="Обычный 5 2 2 4 10" xfId="49091" xr:uid="{00000000-0005-0000-0000-0000B6400000}"/>
    <cellStyle name="Обычный 5 2 2 4 2" xfId="6370" xr:uid="{00000000-0005-0000-0000-0000B7400000}"/>
    <cellStyle name="Обычный 5 2 2 4 2 2" xfId="54432" xr:uid="{00000000-0005-0000-0000-0000B8400000}"/>
    <cellStyle name="Обычный 5 2 2 4 3" xfId="11711" xr:uid="{00000000-0005-0000-0000-0000B9400000}"/>
    <cellStyle name="Обычный 5 2 2 4 4" xfId="17051" xr:uid="{00000000-0005-0000-0000-0000BA400000}"/>
    <cellStyle name="Обычный 5 2 2 4 5" xfId="22391" xr:uid="{00000000-0005-0000-0000-0000BB400000}"/>
    <cellStyle name="Обычный 5 2 2 4 6" xfId="27731" xr:uid="{00000000-0005-0000-0000-0000BC400000}"/>
    <cellStyle name="Обычный 5 2 2 4 7" xfId="33071" xr:uid="{00000000-0005-0000-0000-0000BD400000}"/>
    <cellStyle name="Обычный 5 2 2 4 8" xfId="38411" xr:uid="{00000000-0005-0000-0000-0000BE400000}"/>
    <cellStyle name="Обычный 5 2 2 4 9" xfId="43751" xr:uid="{00000000-0005-0000-0000-0000BF400000}"/>
    <cellStyle name="Обычный 5 2 2 40" xfId="1964" xr:uid="{00000000-0005-0000-0000-0000C0400000}"/>
    <cellStyle name="Обычный 5 2 2 40 10" xfId="50027" xr:uid="{00000000-0005-0000-0000-0000C1400000}"/>
    <cellStyle name="Обычный 5 2 2 40 2" xfId="7306" xr:uid="{00000000-0005-0000-0000-0000C2400000}"/>
    <cellStyle name="Обычный 5 2 2 40 2 2" xfId="55368" xr:uid="{00000000-0005-0000-0000-0000C3400000}"/>
    <cellStyle name="Обычный 5 2 2 40 3" xfId="12647" xr:uid="{00000000-0005-0000-0000-0000C4400000}"/>
    <cellStyle name="Обычный 5 2 2 40 4" xfId="17987" xr:uid="{00000000-0005-0000-0000-0000C5400000}"/>
    <cellStyle name="Обычный 5 2 2 40 5" xfId="23327" xr:uid="{00000000-0005-0000-0000-0000C6400000}"/>
    <cellStyle name="Обычный 5 2 2 40 6" xfId="28667" xr:uid="{00000000-0005-0000-0000-0000C7400000}"/>
    <cellStyle name="Обычный 5 2 2 40 7" xfId="34007" xr:uid="{00000000-0005-0000-0000-0000C8400000}"/>
    <cellStyle name="Обычный 5 2 2 40 8" xfId="39347" xr:uid="{00000000-0005-0000-0000-0000C9400000}"/>
    <cellStyle name="Обычный 5 2 2 40 9" xfId="44687" xr:uid="{00000000-0005-0000-0000-0000CA400000}"/>
    <cellStyle name="Обычный 5 2 2 41" xfId="1991" xr:uid="{00000000-0005-0000-0000-0000CB400000}"/>
    <cellStyle name="Обычный 5 2 2 41 10" xfId="50055" xr:uid="{00000000-0005-0000-0000-0000CC400000}"/>
    <cellStyle name="Обычный 5 2 2 41 2" xfId="7334" xr:uid="{00000000-0005-0000-0000-0000CD400000}"/>
    <cellStyle name="Обычный 5 2 2 41 2 2" xfId="55396" xr:uid="{00000000-0005-0000-0000-0000CE400000}"/>
    <cellStyle name="Обычный 5 2 2 41 3" xfId="12675" xr:uid="{00000000-0005-0000-0000-0000CF400000}"/>
    <cellStyle name="Обычный 5 2 2 41 4" xfId="18015" xr:uid="{00000000-0005-0000-0000-0000D0400000}"/>
    <cellStyle name="Обычный 5 2 2 41 5" xfId="23355" xr:uid="{00000000-0005-0000-0000-0000D1400000}"/>
    <cellStyle name="Обычный 5 2 2 41 6" xfId="28695" xr:uid="{00000000-0005-0000-0000-0000D2400000}"/>
    <cellStyle name="Обычный 5 2 2 41 7" xfId="34035" xr:uid="{00000000-0005-0000-0000-0000D3400000}"/>
    <cellStyle name="Обычный 5 2 2 41 8" xfId="39375" xr:uid="{00000000-0005-0000-0000-0000D4400000}"/>
    <cellStyle name="Обычный 5 2 2 41 9" xfId="44715" xr:uid="{00000000-0005-0000-0000-0000D5400000}"/>
    <cellStyle name="Обычный 5 2 2 42" xfId="2019" xr:uid="{00000000-0005-0000-0000-0000D6400000}"/>
    <cellStyle name="Обычный 5 2 2 42 10" xfId="50083" xr:uid="{00000000-0005-0000-0000-0000D7400000}"/>
    <cellStyle name="Обычный 5 2 2 42 2" xfId="7362" xr:uid="{00000000-0005-0000-0000-0000D8400000}"/>
    <cellStyle name="Обычный 5 2 2 42 2 2" xfId="55424" xr:uid="{00000000-0005-0000-0000-0000D9400000}"/>
    <cellStyle name="Обычный 5 2 2 42 3" xfId="12703" xr:uid="{00000000-0005-0000-0000-0000DA400000}"/>
    <cellStyle name="Обычный 5 2 2 42 4" xfId="18043" xr:uid="{00000000-0005-0000-0000-0000DB400000}"/>
    <cellStyle name="Обычный 5 2 2 42 5" xfId="23383" xr:uid="{00000000-0005-0000-0000-0000DC400000}"/>
    <cellStyle name="Обычный 5 2 2 42 6" xfId="28723" xr:uid="{00000000-0005-0000-0000-0000DD400000}"/>
    <cellStyle name="Обычный 5 2 2 42 7" xfId="34063" xr:uid="{00000000-0005-0000-0000-0000DE400000}"/>
    <cellStyle name="Обычный 5 2 2 42 8" xfId="39403" xr:uid="{00000000-0005-0000-0000-0000DF400000}"/>
    <cellStyle name="Обычный 5 2 2 42 9" xfId="44743" xr:uid="{00000000-0005-0000-0000-0000E0400000}"/>
    <cellStyle name="Обычный 5 2 2 43" xfId="2047" xr:uid="{00000000-0005-0000-0000-0000E1400000}"/>
    <cellStyle name="Обычный 5 2 2 43 10" xfId="50111" xr:uid="{00000000-0005-0000-0000-0000E2400000}"/>
    <cellStyle name="Обычный 5 2 2 43 2" xfId="7390" xr:uid="{00000000-0005-0000-0000-0000E3400000}"/>
    <cellStyle name="Обычный 5 2 2 43 2 2" xfId="55452" xr:uid="{00000000-0005-0000-0000-0000E4400000}"/>
    <cellStyle name="Обычный 5 2 2 43 3" xfId="12731" xr:uid="{00000000-0005-0000-0000-0000E5400000}"/>
    <cellStyle name="Обычный 5 2 2 43 4" xfId="18071" xr:uid="{00000000-0005-0000-0000-0000E6400000}"/>
    <cellStyle name="Обычный 5 2 2 43 5" xfId="23411" xr:uid="{00000000-0005-0000-0000-0000E7400000}"/>
    <cellStyle name="Обычный 5 2 2 43 6" xfId="28751" xr:uid="{00000000-0005-0000-0000-0000E8400000}"/>
    <cellStyle name="Обычный 5 2 2 43 7" xfId="34091" xr:uid="{00000000-0005-0000-0000-0000E9400000}"/>
    <cellStyle name="Обычный 5 2 2 43 8" xfId="39431" xr:uid="{00000000-0005-0000-0000-0000EA400000}"/>
    <cellStyle name="Обычный 5 2 2 43 9" xfId="44771" xr:uid="{00000000-0005-0000-0000-0000EB400000}"/>
    <cellStyle name="Обычный 5 2 2 44" xfId="2075" xr:uid="{00000000-0005-0000-0000-0000EC400000}"/>
    <cellStyle name="Обычный 5 2 2 44 10" xfId="50139" xr:uid="{00000000-0005-0000-0000-0000ED400000}"/>
    <cellStyle name="Обычный 5 2 2 44 2" xfId="7418" xr:uid="{00000000-0005-0000-0000-0000EE400000}"/>
    <cellStyle name="Обычный 5 2 2 44 2 2" xfId="55480" xr:uid="{00000000-0005-0000-0000-0000EF400000}"/>
    <cellStyle name="Обычный 5 2 2 44 3" xfId="12759" xr:uid="{00000000-0005-0000-0000-0000F0400000}"/>
    <cellStyle name="Обычный 5 2 2 44 4" xfId="18099" xr:uid="{00000000-0005-0000-0000-0000F1400000}"/>
    <cellStyle name="Обычный 5 2 2 44 5" xfId="23439" xr:uid="{00000000-0005-0000-0000-0000F2400000}"/>
    <cellStyle name="Обычный 5 2 2 44 6" xfId="28779" xr:uid="{00000000-0005-0000-0000-0000F3400000}"/>
    <cellStyle name="Обычный 5 2 2 44 7" xfId="34119" xr:uid="{00000000-0005-0000-0000-0000F4400000}"/>
    <cellStyle name="Обычный 5 2 2 44 8" xfId="39459" xr:uid="{00000000-0005-0000-0000-0000F5400000}"/>
    <cellStyle name="Обычный 5 2 2 44 9" xfId="44799" xr:uid="{00000000-0005-0000-0000-0000F6400000}"/>
    <cellStyle name="Обычный 5 2 2 45" xfId="2103" xr:uid="{00000000-0005-0000-0000-0000F7400000}"/>
    <cellStyle name="Обычный 5 2 2 45 10" xfId="50167" xr:uid="{00000000-0005-0000-0000-0000F8400000}"/>
    <cellStyle name="Обычный 5 2 2 45 2" xfId="7446" xr:uid="{00000000-0005-0000-0000-0000F9400000}"/>
    <cellStyle name="Обычный 5 2 2 45 2 2" xfId="55508" xr:uid="{00000000-0005-0000-0000-0000FA400000}"/>
    <cellStyle name="Обычный 5 2 2 45 3" xfId="12787" xr:uid="{00000000-0005-0000-0000-0000FB400000}"/>
    <cellStyle name="Обычный 5 2 2 45 4" xfId="18127" xr:uid="{00000000-0005-0000-0000-0000FC400000}"/>
    <cellStyle name="Обычный 5 2 2 45 5" xfId="23467" xr:uid="{00000000-0005-0000-0000-0000FD400000}"/>
    <cellStyle name="Обычный 5 2 2 45 6" xfId="28807" xr:uid="{00000000-0005-0000-0000-0000FE400000}"/>
    <cellStyle name="Обычный 5 2 2 45 7" xfId="34147" xr:uid="{00000000-0005-0000-0000-0000FF400000}"/>
    <cellStyle name="Обычный 5 2 2 45 8" xfId="39487" xr:uid="{00000000-0005-0000-0000-000000410000}"/>
    <cellStyle name="Обычный 5 2 2 45 9" xfId="44827" xr:uid="{00000000-0005-0000-0000-000001410000}"/>
    <cellStyle name="Обычный 5 2 2 46" xfId="2131" xr:uid="{00000000-0005-0000-0000-000002410000}"/>
    <cellStyle name="Обычный 5 2 2 46 10" xfId="50195" xr:uid="{00000000-0005-0000-0000-000003410000}"/>
    <cellStyle name="Обычный 5 2 2 46 2" xfId="7474" xr:uid="{00000000-0005-0000-0000-000004410000}"/>
    <cellStyle name="Обычный 5 2 2 46 2 2" xfId="55536" xr:uid="{00000000-0005-0000-0000-000005410000}"/>
    <cellStyle name="Обычный 5 2 2 46 3" xfId="12815" xr:uid="{00000000-0005-0000-0000-000006410000}"/>
    <cellStyle name="Обычный 5 2 2 46 4" xfId="18155" xr:uid="{00000000-0005-0000-0000-000007410000}"/>
    <cellStyle name="Обычный 5 2 2 46 5" xfId="23495" xr:uid="{00000000-0005-0000-0000-000008410000}"/>
    <cellStyle name="Обычный 5 2 2 46 6" xfId="28835" xr:uid="{00000000-0005-0000-0000-000009410000}"/>
    <cellStyle name="Обычный 5 2 2 46 7" xfId="34175" xr:uid="{00000000-0005-0000-0000-00000A410000}"/>
    <cellStyle name="Обычный 5 2 2 46 8" xfId="39515" xr:uid="{00000000-0005-0000-0000-00000B410000}"/>
    <cellStyle name="Обычный 5 2 2 46 9" xfId="44855" xr:uid="{00000000-0005-0000-0000-00000C410000}"/>
    <cellStyle name="Обычный 5 2 2 47" xfId="2161" xr:uid="{00000000-0005-0000-0000-00000D410000}"/>
    <cellStyle name="Обычный 5 2 2 47 10" xfId="50225" xr:uid="{00000000-0005-0000-0000-00000E410000}"/>
    <cellStyle name="Обычный 5 2 2 47 2" xfId="7504" xr:uid="{00000000-0005-0000-0000-00000F410000}"/>
    <cellStyle name="Обычный 5 2 2 47 2 2" xfId="55566" xr:uid="{00000000-0005-0000-0000-000010410000}"/>
    <cellStyle name="Обычный 5 2 2 47 3" xfId="12845" xr:uid="{00000000-0005-0000-0000-000011410000}"/>
    <cellStyle name="Обычный 5 2 2 47 4" xfId="18185" xr:uid="{00000000-0005-0000-0000-000012410000}"/>
    <cellStyle name="Обычный 5 2 2 47 5" xfId="23525" xr:uid="{00000000-0005-0000-0000-000013410000}"/>
    <cellStyle name="Обычный 5 2 2 47 6" xfId="28865" xr:uid="{00000000-0005-0000-0000-000014410000}"/>
    <cellStyle name="Обычный 5 2 2 47 7" xfId="34205" xr:uid="{00000000-0005-0000-0000-000015410000}"/>
    <cellStyle name="Обычный 5 2 2 47 8" xfId="39545" xr:uid="{00000000-0005-0000-0000-000016410000}"/>
    <cellStyle name="Обычный 5 2 2 47 9" xfId="44885" xr:uid="{00000000-0005-0000-0000-000017410000}"/>
    <cellStyle name="Обычный 5 2 2 48" xfId="2191" xr:uid="{00000000-0005-0000-0000-000018410000}"/>
    <cellStyle name="Обычный 5 2 2 48 10" xfId="50255" xr:uid="{00000000-0005-0000-0000-000019410000}"/>
    <cellStyle name="Обычный 5 2 2 48 2" xfId="7534" xr:uid="{00000000-0005-0000-0000-00001A410000}"/>
    <cellStyle name="Обычный 5 2 2 48 2 2" xfId="55596" xr:uid="{00000000-0005-0000-0000-00001B410000}"/>
    <cellStyle name="Обычный 5 2 2 48 3" xfId="12875" xr:uid="{00000000-0005-0000-0000-00001C410000}"/>
    <cellStyle name="Обычный 5 2 2 48 4" xfId="18215" xr:uid="{00000000-0005-0000-0000-00001D410000}"/>
    <cellStyle name="Обычный 5 2 2 48 5" xfId="23555" xr:uid="{00000000-0005-0000-0000-00001E410000}"/>
    <cellStyle name="Обычный 5 2 2 48 6" xfId="28895" xr:uid="{00000000-0005-0000-0000-00001F410000}"/>
    <cellStyle name="Обычный 5 2 2 48 7" xfId="34235" xr:uid="{00000000-0005-0000-0000-000020410000}"/>
    <cellStyle name="Обычный 5 2 2 48 8" xfId="39575" xr:uid="{00000000-0005-0000-0000-000021410000}"/>
    <cellStyle name="Обычный 5 2 2 48 9" xfId="44915" xr:uid="{00000000-0005-0000-0000-000022410000}"/>
    <cellStyle name="Обычный 5 2 2 49" xfId="2221" xr:uid="{00000000-0005-0000-0000-000023410000}"/>
    <cellStyle name="Обычный 5 2 2 49 10" xfId="50285" xr:uid="{00000000-0005-0000-0000-000024410000}"/>
    <cellStyle name="Обычный 5 2 2 49 2" xfId="7564" xr:uid="{00000000-0005-0000-0000-000025410000}"/>
    <cellStyle name="Обычный 5 2 2 49 2 2" xfId="55626" xr:uid="{00000000-0005-0000-0000-000026410000}"/>
    <cellStyle name="Обычный 5 2 2 49 3" xfId="12905" xr:uid="{00000000-0005-0000-0000-000027410000}"/>
    <cellStyle name="Обычный 5 2 2 49 4" xfId="18245" xr:uid="{00000000-0005-0000-0000-000028410000}"/>
    <cellStyle name="Обычный 5 2 2 49 5" xfId="23585" xr:uid="{00000000-0005-0000-0000-000029410000}"/>
    <cellStyle name="Обычный 5 2 2 49 6" xfId="28925" xr:uid="{00000000-0005-0000-0000-00002A410000}"/>
    <cellStyle name="Обычный 5 2 2 49 7" xfId="34265" xr:uid="{00000000-0005-0000-0000-00002B410000}"/>
    <cellStyle name="Обычный 5 2 2 49 8" xfId="39605" xr:uid="{00000000-0005-0000-0000-00002C410000}"/>
    <cellStyle name="Обычный 5 2 2 49 9" xfId="44945" xr:uid="{00000000-0005-0000-0000-00002D410000}"/>
    <cellStyle name="Обычный 5 2 2 5" xfId="1053" xr:uid="{00000000-0005-0000-0000-00002E410000}"/>
    <cellStyle name="Обычный 5 2 2 5 10" xfId="49115" xr:uid="{00000000-0005-0000-0000-00002F410000}"/>
    <cellStyle name="Обычный 5 2 2 5 2" xfId="6394" xr:uid="{00000000-0005-0000-0000-000030410000}"/>
    <cellStyle name="Обычный 5 2 2 5 2 2" xfId="54456" xr:uid="{00000000-0005-0000-0000-000031410000}"/>
    <cellStyle name="Обычный 5 2 2 5 3" xfId="11735" xr:uid="{00000000-0005-0000-0000-000032410000}"/>
    <cellStyle name="Обычный 5 2 2 5 4" xfId="17075" xr:uid="{00000000-0005-0000-0000-000033410000}"/>
    <cellStyle name="Обычный 5 2 2 5 5" xfId="22415" xr:uid="{00000000-0005-0000-0000-000034410000}"/>
    <cellStyle name="Обычный 5 2 2 5 6" xfId="27755" xr:uid="{00000000-0005-0000-0000-000035410000}"/>
    <cellStyle name="Обычный 5 2 2 5 7" xfId="33095" xr:uid="{00000000-0005-0000-0000-000036410000}"/>
    <cellStyle name="Обычный 5 2 2 5 8" xfId="38435" xr:uid="{00000000-0005-0000-0000-000037410000}"/>
    <cellStyle name="Обычный 5 2 2 5 9" xfId="43775" xr:uid="{00000000-0005-0000-0000-000038410000}"/>
    <cellStyle name="Обычный 5 2 2 50" xfId="2251" xr:uid="{00000000-0005-0000-0000-000039410000}"/>
    <cellStyle name="Обычный 5 2 2 50 10" xfId="50315" xr:uid="{00000000-0005-0000-0000-00003A410000}"/>
    <cellStyle name="Обычный 5 2 2 50 2" xfId="7594" xr:uid="{00000000-0005-0000-0000-00003B410000}"/>
    <cellStyle name="Обычный 5 2 2 50 2 2" xfId="55656" xr:uid="{00000000-0005-0000-0000-00003C410000}"/>
    <cellStyle name="Обычный 5 2 2 50 3" xfId="12935" xr:uid="{00000000-0005-0000-0000-00003D410000}"/>
    <cellStyle name="Обычный 5 2 2 50 4" xfId="18275" xr:uid="{00000000-0005-0000-0000-00003E410000}"/>
    <cellStyle name="Обычный 5 2 2 50 5" xfId="23615" xr:uid="{00000000-0005-0000-0000-00003F410000}"/>
    <cellStyle name="Обычный 5 2 2 50 6" xfId="28955" xr:uid="{00000000-0005-0000-0000-000040410000}"/>
    <cellStyle name="Обычный 5 2 2 50 7" xfId="34295" xr:uid="{00000000-0005-0000-0000-000041410000}"/>
    <cellStyle name="Обычный 5 2 2 50 8" xfId="39635" xr:uid="{00000000-0005-0000-0000-000042410000}"/>
    <cellStyle name="Обычный 5 2 2 50 9" xfId="44975" xr:uid="{00000000-0005-0000-0000-000043410000}"/>
    <cellStyle name="Обычный 5 2 2 51" xfId="2281" xr:uid="{00000000-0005-0000-0000-000044410000}"/>
    <cellStyle name="Обычный 5 2 2 51 10" xfId="50345" xr:uid="{00000000-0005-0000-0000-000045410000}"/>
    <cellStyle name="Обычный 5 2 2 51 2" xfId="7624" xr:uid="{00000000-0005-0000-0000-000046410000}"/>
    <cellStyle name="Обычный 5 2 2 51 2 2" xfId="55686" xr:uid="{00000000-0005-0000-0000-000047410000}"/>
    <cellStyle name="Обычный 5 2 2 51 3" xfId="12965" xr:uid="{00000000-0005-0000-0000-000048410000}"/>
    <cellStyle name="Обычный 5 2 2 51 4" xfId="18305" xr:uid="{00000000-0005-0000-0000-000049410000}"/>
    <cellStyle name="Обычный 5 2 2 51 5" xfId="23645" xr:uid="{00000000-0005-0000-0000-00004A410000}"/>
    <cellStyle name="Обычный 5 2 2 51 6" xfId="28985" xr:uid="{00000000-0005-0000-0000-00004B410000}"/>
    <cellStyle name="Обычный 5 2 2 51 7" xfId="34325" xr:uid="{00000000-0005-0000-0000-00004C410000}"/>
    <cellStyle name="Обычный 5 2 2 51 8" xfId="39665" xr:uid="{00000000-0005-0000-0000-00004D410000}"/>
    <cellStyle name="Обычный 5 2 2 51 9" xfId="45005" xr:uid="{00000000-0005-0000-0000-00004E410000}"/>
    <cellStyle name="Обычный 5 2 2 52" xfId="2311" xr:uid="{00000000-0005-0000-0000-00004F410000}"/>
    <cellStyle name="Обычный 5 2 2 52 10" xfId="50375" xr:uid="{00000000-0005-0000-0000-000050410000}"/>
    <cellStyle name="Обычный 5 2 2 52 2" xfId="7654" xr:uid="{00000000-0005-0000-0000-000051410000}"/>
    <cellStyle name="Обычный 5 2 2 52 2 2" xfId="55716" xr:uid="{00000000-0005-0000-0000-000052410000}"/>
    <cellStyle name="Обычный 5 2 2 52 3" xfId="12995" xr:uid="{00000000-0005-0000-0000-000053410000}"/>
    <cellStyle name="Обычный 5 2 2 52 4" xfId="18335" xr:uid="{00000000-0005-0000-0000-000054410000}"/>
    <cellStyle name="Обычный 5 2 2 52 5" xfId="23675" xr:uid="{00000000-0005-0000-0000-000055410000}"/>
    <cellStyle name="Обычный 5 2 2 52 6" xfId="29015" xr:uid="{00000000-0005-0000-0000-000056410000}"/>
    <cellStyle name="Обычный 5 2 2 52 7" xfId="34355" xr:uid="{00000000-0005-0000-0000-000057410000}"/>
    <cellStyle name="Обычный 5 2 2 52 8" xfId="39695" xr:uid="{00000000-0005-0000-0000-000058410000}"/>
    <cellStyle name="Обычный 5 2 2 52 9" xfId="45035" xr:uid="{00000000-0005-0000-0000-000059410000}"/>
    <cellStyle name="Обычный 5 2 2 53" xfId="2341" xr:uid="{00000000-0005-0000-0000-00005A410000}"/>
    <cellStyle name="Обычный 5 2 2 53 10" xfId="50405" xr:uid="{00000000-0005-0000-0000-00005B410000}"/>
    <cellStyle name="Обычный 5 2 2 53 2" xfId="7684" xr:uid="{00000000-0005-0000-0000-00005C410000}"/>
    <cellStyle name="Обычный 5 2 2 53 2 2" xfId="55746" xr:uid="{00000000-0005-0000-0000-00005D410000}"/>
    <cellStyle name="Обычный 5 2 2 53 3" xfId="13025" xr:uid="{00000000-0005-0000-0000-00005E410000}"/>
    <cellStyle name="Обычный 5 2 2 53 4" xfId="18365" xr:uid="{00000000-0005-0000-0000-00005F410000}"/>
    <cellStyle name="Обычный 5 2 2 53 5" xfId="23705" xr:uid="{00000000-0005-0000-0000-000060410000}"/>
    <cellStyle name="Обычный 5 2 2 53 6" xfId="29045" xr:uid="{00000000-0005-0000-0000-000061410000}"/>
    <cellStyle name="Обычный 5 2 2 53 7" xfId="34385" xr:uid="{00000000-0005-0000-0000-000062410000}"/>
    <cellStyle name="Обычный 5 2 2 53 8" xfId="39725" xr:uid="{00000000-0005-0000-0000-000063410000}"/>
    <cellStyle name="Обычный 5 2 2 53 9" xfId="45065" xr:uid="{00000000-0005-0000-0000-000064410000}"/>
    <cellStyle name="Обычный 5 2 2 54" xfId="2371" xr:uid="{00000000-0005-0000-0000-000065410000}"/>
    <cellStyle name="Обычный 5 2 2 54 10" xfId="50435" xr:uid="{00000000-0005-0000-0000-000066410000}"/>
    <cellStyle name="Обычный 5 2 2 54 2" xfId="7714" xr:uid="{00000000-0005-0000-0000-000067410000}"/>
    <cellStyle name="Обычный 5 2 2 54 2 2" xfId="55776" xr:uid="{00000000-0005-0000-0000-000068410000}"/>
    <cellStyle name="Обычный 5 2 2 54 3" xfId="13055" xr:uid="{00000000-0005-0000-0000-000069410000}"/>
    <cellStyle name="Обычный 5 2 2 54 4" xfId="18395" xr:uid="{00000000-0005-0000-0000-00006A410000}"/>
    <cellStyle name="Обычный 5 2 2 54 5" xfId="23735" xr:uid="{00000000-0005-0000-0000-00006B410000}"/>
    <cellStyle name="Обычный 5 2 2 54 6" xfId="29075" xr:uid="{00000000-0005-0000-0000-00006C410000}"/>
    <cellStyle name="Обычный 5 2 2 54 7" xfId="34415" xr:uid="{00000000-0005-0000-0000-00006D410000}"/>
    <cellStyle name="Обычный 5 2 2 54 8" xfId="39755" xr:uid="{00000000-0005-0000-0000-00006E410000}"/>
    <cellStyle name="Обычный 5 2 2 54 9" xfId="45095" xr:uid="{00000000-0005-0000-0000-00006F410000}"/>
    <cellStyle name="Обычный 5 2 2 55" xfId="2401" xr:uid="{00000000-0005-0000-0000-000070410000}"/>
    <cellStyle name="Обычный 5 2 2 55 10" xfId="50465" xr:uid="{00000000-0005-0000-0000-000071410000}"/>
    <cellStyle name="Обычный 5 2 2 55 2" xfId="7744" xr:uid="{00000000-0005-0000-0000-000072410000}"/>
    <cellStyle name="Обычный 5 2 2 55 2 2" xfId="55806" xr:uid="{00000000-0005-0000-0000-000073410000}"/>
    <cellStyle name="Обычный 5 2 2 55 3" xfId="13085" xr:uid="{00000000-0005-0000-0000-000074410000}"/>
    <cellStyle name="Обычный 5 2 2 55 4" xfId="18425" xr:uid="{00000000-0005-0000-0000-000075410000}"/>
    <cellStyle name="Обычный 5 2 2 55 5" xfId="23765" xr:uid="{00000000-0005-0000-0000-000076410000}"/>
    <cellStyle name="Обычный 5 2 2 55 6" xfId="29105" xr:uid="{00000000-0005-0000-0000-000077410000}"/>
    <cellStyle name="Обычный 5 2 2 55 7" xfId="34445" xr:uid="{00000000-0005-0000-0000-000078410000}"/>
    <cellStyle name="Обычный 5 2 2 55 8" xfId="39785" xr:uid="{00000000-0005-0000-0000-000079410000}"/>
    <cellStyle name="Обычный 5 2 2 55 9" xfId="45125" xr:uid="{00000000-0005-0000-0000-00007A410000}"/>
    <cellStyle name="Обычный 5 2 2 56" xfId="2431" xr:uid="{00000000-0005-0000-0000-00007B410000}"/>
    <cellStyle name="Обычный 5 2 2 56 10" xfId="50495" xr:uid="{00000000-0005-0000-0000-00007C410000}"/>
    <cellStyle name="Обычный 5 2 2 56 2" xfId="7774" xr:uid="{00000000-0005-0000-0000-00007D410000}"/>
    <cellStyle name="Обычный 5 2 2 56 2 2" xfId="55836" xr:uid="{00000000-0005-0000-0000-00007E410000}"/>
    <cellStyle name="Обычный 5 2 2 56 3" xfId="13115" xr:uid="{00000000-0005-0000-0000-00007F410000}"/>
    <cellStyle name="Обычный 5 2 2 56 4" xfId="18455" xr:uid="{00000000-0005-0000-0000-000080410000}"/>
    <cellStyle name="Обычный 5 2 2 56 5" xfId="23795" xr:uid="{00000000-0005-0000-0000-000081410000}"/>
    <cellStyle name="Обычный 5 2 2 56 6" xfId="29135" xr:uid="{00000000-0005-0000-0000-000082410000}"/>
    <cellStyle name="Обычный 5 2 2 56 7" xfId="34475" xr:uid="{00000000-0005-0000-0000-000083410000}"/>
    <cellStyle name="Обычный 5 2 2 56 8" xfId="39815" xr:uid="{00000000-0005-0000-0000-000084410000}"/>
    <cellStyle name="Обычный 5 2 2 56 9" xfId="45155" xr:uid="{00000000-0005-0000-0000-000085410000}"/>
    <cellStyle name="Обычный 5 2 2 57" xfId="2461" xr:uid="{00000000-0005-0000-0000-000086410000}"/>
    <cellStyle name="Обычный 5 2 2 57 10" xfId="50525" xr:uid="{00000000-0005-0000-0000-000087410000}"/>
    <cellStyle name="Обычный 5 2 2 57 2" xfId="7804" xr:uid="{00000000-0005-0000-0000-000088410000}"/>
    <cellStyle name="Обычный 5 2 2 57 2 2" xfId="55866" xr:uid="{00000000-0005-0000-0000-000089410000}"/>
    <cellStyle name="Обычный 5 2 2 57 3" xfId="13145" xr:uid="{00000000-0005-0000-0000-00008A410000}"/>
    <cellStyle name="Обычный 5 2 2 57 4" xfId="18485" xr:uid="{00000000-0005-0000-0000-00008B410000}"/>
    <cellStyle name="Обычный 5 2 2 57 5" xfId="23825" xr:uid="{00000000-0005-0000-0000-00008C410000}"/>
    <cellStyle name="Обычный 5 2 2 57 6" xfId="29165" xr:uid="{00000000-0005-0000-0000-00008D410000}"/>
    <cellStyle name="Обычный 5 2 2 57 7" xfId="34505" xr:uid="{00000000-0005-0000-0000-00008E410000}"/>
    <cellStyle name="Обычный 5 2 2 57 8" xfId="39845" xr:uid="{00000000-0005-0000-0000-00008F410000}"/>
    <cellStyle name="Обычный 5 2 2 57 9" xfId="45185" xr:uid="{00000000-0005-0000-0000-000090410000}"/>
    <cellStyle name="Обычный 5 2 2 58" xfId="2491" xr:uid="{00000000-0005-0000-0000-000091410000}"/>
    <cellStyle name="Обычный 5 2 2 58 10" xfId="50555" xr:uid="{00000000-0005-0000-0000-000092410000}"/>
    <cellStyle name="Обычный 5 2 2 58 2" xfId="7834" xr:uid="{00000000-0005-0000-0000-000093410000}"/>
    <cellStyle name="Обычный 5 2 2 58 2 2" xfId="55896" xr:uid="{00000000-0005-0000-0000-000094410000}"/>
    <cellStyle name="Обычный 5 2 2 58 3" xfId="13175" xr:uid="{00000000-0005-0000-0000-000095410000}"/>
    <cellStyle name="Обычный 5 2 2 58 4" xfId="18515" xr:uid="{00000000-0005-0000-0000-000096410000}"/>
    <cellStyle name="Обычный 5 2 2 58 5" xfId="23855" xr:uid="{00000000-0005-0000-0000-000097410000}"/>
    <cellStyle name="Обычный 5 2 2 58 6" xfId="29195" xr:uid="{00000000-0005-0000-0000-000098410000}"/>
    <cellStyle name="Обычный 5 2 2 58 7" xfId="34535" xr:uid="{00000000-0005-0000-0000-000099410000}"/>
    <cellStyle name="Обычный 5 2 2 58 8" xfId="39875" xr:uid="{00000000-0005-0000-0000-00009A410000}"/>
    <cellStyle name="Обычный 5 2 2 58 9" xfId="45215" xr:uid="{00000000-0005-0000-0000-00009B410000}"/>
    <cellStyle name="Обычный 5 2 2 59" xfId="2523" xr:uid="{00000000-0005-0000-0000-00009C410000}"/>
    <cellStyle name="Обычный 5 2 2 59 10" xfId="50587" xr:uid="{00000000-0005-0000-0000-00009D410000}"/>
    <cellStyle name="Обычный 5 2 2 59 2" xfId="7866" xr:uid="{00000000-0005-0000-0000-00009E410000}"/>
    <cellStyle name="Обычный 5 2 2 59 2 2" xfId="55928" xr:uid="{00000000-0005-0000-0000-00009F410000}"/>
    <cellStyle name="Обычный 5 2 2 59 3" xfId="13207" xr:uid="{00000000-0005-0000-0000-0000A0410000}"/>
    <cellStyle name="Обычный 5 2 2 59 4" xfId="18547" xr:uid="{00000000-0005-0000-0000-0000A1410000}"/>
    <cellStyle name="Обычный 5 2 2 59 5" xfId="23887" xr:uid="{00000000-0005-0000-0000-0000A2410000}"/>
    <cellStyle name="Обычный 5 2 2 59 6" xfId="29227" xr:uid="{00000000-0005-0000-0000-0000A3410000}"/>
    <cellStyle name="Обычный 5 2 2 59 7" xfId="34567" xr:uid="{00000000-0005-0000-0000-0000A4410000}"/>
    <cellStyle name="Обычный 5 2 2 59 8" xfId="39907" xr:uid="{00000000-0005-0000-0000-0000A5410000}"/>
    <cellStyle name="Обычный 5 2 2 59 9" xfId="45247" xr:uid="{00000000-0005-0000-0000-0000A6410000}"/>
    <cellStyle name="Обычный 5 2 2 6" xfId="1078" xr:uid="{00000000-0005-0000-0000-0000A7410000}"/>
    <cellStyle name="Обычный 5 2 2 6 10" xfId="49141" xr:uid="{00000000-0005-0000-0000-0000A8410000}"/>
    <cellStyle name="Обычный 5 2 2 6 2" xfId="6420" xr:uid="{00000000-0005-0000-0000-0000A9410000}"/>
    <cellStyle name="Обычный 5 2 2 6 2 2" xfId="54482" xr:uid="{00000000-0005-0000-0000-0000AA410000}"/>
    <cellStyle name="Обычный 5 2 2 6 3" xfId="11761" xr:uid="{00000000-0005-0000-0000-0000AB410000}"/>
    <cellStyle name="Обычный 5 2 2 6 4" xfId="17101" xr:uid="{00000000-0005-0000-0000-0000AC410000}"/>
    <cellStyle name="Обычный 5 2 2 6 5" xfId="22441" xr:uid="{00000000-0005-0000-0000-0000AD410000}"/>
    <cellStyle name="Обычный 5 2 2 6 6" xfId="27781" xr:uid="{00000000-0005-0000-0000-0000AE410000}"/>
    <cellStyle name="Обычный 5 2 2 6 7" xfId="33121" xr:uid="{00000000-0005-0000-0000-0000AF410000}"/>
    <cellStyle name="Обычный 5 2 2 6 8" xfId="38461" xr:uid="{00000000-0005-0000-0000-0000B0410000}"/>
    <cellStyle name="Обычный 5 2 2 6 9" xfId="43801" xr:uid="{00000000-0005-0000-0000-0000B1410000}"/>
    <cellStyle name="Обычный 5 2 2 60" xfId="2557" xr:uid="{00000000-0005-0000-0000-0000B2410000}"/>
    <cellStyle name="Обычный 5 2 2 60 10" xfId="50621" xr:uid="{00000000-0005-0000-0000-0000B3410000}"/>
    <cellStyle name="Обычный 5 2 2 60 2" xfId="7900" xr:uid="{00000000-0005-0000-0000-0000B4410000}"/>
    <cellStyle name="Обычный 5 2 2 60 2 2" xfId="55962" xr:uid="{00000000-0005-0000-0000-0000B5410000}"/>
    <cellStyle name="Обычный 5 2 2 60 3" xfId="13241" xr:uid="{00000000-0005-0000-0000-0000B6410000}"/>
    <cellStyle name="Обычный 5 2 2 60 4" xfId="18581" xr:uid="{00000000-0005-0000-0000-0000B7410000}"/>
    <cellStyle name="Обычный 5 2 2 60 5" xfId="23921" xr:uid="{00000000-0005-0000-0000-0000B8410000}"/>
    <cellStyle name="Обычный 5 2 2 60 6" xfId="29261" xr:uid="{00000000-0005-0000-0000-0000B9410000}"/>
    <cellStyle name="Обычный 5 2 2 60 7" xfId="34601" xr:uid="{00000000-0005-0000-0000-0000BA410000}"/>
    <cellStyle name="Обычный 5 2 2 60 8" xfId="39941" xr:uid="{00000000-0005-0000-0000-0000BB410000}"/>
    <cellStyle name="Обычный 5 2 2 60 9" xfId="45281" xr:uid="{00000000-0005-0000-0000-0000BC410000}"/>
    <cellStyle name="Обычный 5 2 2 61" xfId="2589" xr:uid="{00000000-0005-0000-0000-0000BD410000}"/>
    <cellStyle name="Обычный 5 2 2 61 10" xfId="50653" xr:uid="{00000000-0005-0000-0000-0000BE410000}"/>
    <cellStyle name="Обычный 5 2 2 61 2" xfId="7932" xr:uid="{00000000-0005-0000-0000-0000BF410000}"/>
    <cellStyle name="Обычный 5 2 2 61 2 2" xfId="55994" xr:uid="{00000000-0005-0000-0000-0000C0410000}"/>
    <cellStyle name="Обычный 5 2 2 61 3" xfId="13273" xr:uid="{00000000-0005-0000-0000-0000C1410000}"/>
    <cellStyle name="Обычный 5 2 2 61 4" xfId="18613" xr:uid="{00000000-0005-0000-0000-0000C2410000}"/>
    <cellStyle name="Обычный 5 2 2 61 5" xfId="23953" xr:uid="{00000000-0005-0000-0000-0000C3410000}"/>
    <cellStyle name="Обычный 5 2 2 61 6" xfId="29293" xr:uid="{00000000-0005-0000-0000-0000C4410000}"/>
    <cellStyle name="Обычный 5 2 2 61 7" xfId="34633" xr:uid="{00000000-0005-0000-0000-0000C5410000}"/>
    <cellStyle name="Обычный 5 2 2 61 8" xfId="39973" xr:uid="{00000000-0005-0000-0000-0000C6410000}"/>
    <cellStyle name="Обычный 5 2 2 61 9" xfId="45313" xr:uid="{00000000-0005-0000-0000-0000C7410000}"/>
    <cellStyle name="Обычный 5 2 2 62" xfId="2621" xr:uid="{00000000-0005-0000-0000-0000C8410000}"/>
    <cellStyle name="Обычный 5 2 2 62 10" xfId="50685" xr:uid="{00000000-0005-0000-0000-0000C9410000}"/>
    <cellStyle name="Обычный 5 2 2 62 2" xfId="7964" xr:uid="{00000000-0005-0000-0000-0000CA410000}"/>
    <cellStyle name="Обычный 5 2 2 62 2 2" xfId="56026" xr:uid="{00000000-0005-0000-0000-0000CB410000}"/>
    <cellStyle name="Обычный 5 2 2 62 3" xfId="13305" xr:uid="{00000000-0005-0000-0000-0000CC410000}"/>
    <cellStyle name="Обычный 5 2 2 62 4" xfId="18645" xr:uid="{00000000-0005-0000-0000-0000CD410000}"/>
    <cellStyle name="Обычный 5 2 2 62 5" xfId="23985" xr:uid="{00000000-0005-0000-0000-0000CE410000}"/>
    <cellStyle name="Обычный 5 2 2 62 6" xfId="29325" xr:uid="{00000000-0005-0000-0000-0000CF410000}"/>
    <cellStyle name="Обычный 5 2 2 62 7" xfId="34665" xr:uid="{00000000-0005-0000-0000-0000D0410000}"/>
    <cellStyle name="Обычный 5 2 2 62 8" xfId="40005" xr:uid="{00000000-0005-0000-0000-0000D1410000}"/>
    <cellStyle name="Обычный 5 2 2 62 9" xfId="45345" xr:uid="{00000000-0005-0000-0000-0000D2410000}"/>
    <cellStyle name="Обычный 5 2 2 63" xfId="2653" xr:uid="{00000000-0005-0000-0000-0000D3410000}"/>
    <cellStyle name="Обычный 5 2 2 63 10" xfId="50717" xr:uid="{00000000-0005-0000-0000-0000D4410000}"/>
    <cellStyle name="Обычный 5 2 2 63 2" xfId="7996" xr:uid="{00000000-0005-0000-0000-0000D5410000}"/>
    <cellStyle name="Обычный 5 2 2 63 2 2" xfId="56058" xr:uid="{00000000-0005-0000-0000-0000D6410000}"/>
    <cellStyle name="Обычный 5 2 2 63 3" xfId="13337" xr:uid="{00000000-0005-0000-0000-0000D7410000}"/>
    <cellStyle name="Обычный 5 2 2 63 4" xfId="18677" xr:uid="{00000000-0005-0000-0000-0000D8410000}"/>
    <cellStyle name="Обычный 5 2 2 63 5" xfId="24017" xr:uid="{00000000-0005-0000-0000-0000D9410000}"/>
    <cellStyle name="Обычный 5 2 2 63 6" xfId="29357" xr:uid="{00000000-0005-0000-0000-0000DA410000}"/>
    <cellStyle name="Обычный 5 2 2 63 7" xfId="34697" xr:uid="{00000000-0005-0000-0000-0000DB410000}"/>
    <cellStyle name="Обычный 5 2 2 63 8" xfId="40037" xr:uid="{00000000-0005-0000-0000-0000DC410000}"/>
    <cellStyle name="Обычный 5 2 2 63 9" xfId="45377" xr:uid="{00000000-0005-0000-0000-0000DD410000}"/>
    <cellStyle name="Обычный 5 2 2 64" xfId="2685" xr:uid="{00000000-0005-0000-0000-0000DE410000}"/>
    <cellStyle name="Обычный 5 2 2 64 10" xfId="50749" xr:uid="{00000000-0005-0000-0000-0000DF410000}"/>
    <cellStyle name="Обычный 5 2 2 64 2" xfId="8028" xr:uid="{00000000-0005-0000-0000-0000E0410000}"/>
    <cellStyle name="Обычный 5 2 2 64 2 2" xfId="56090" xr:uid="{00000000-0005-0000-0000-0000E1410000}"/>
    <cellStyle name="Обычный 5 2 2 64 3" xfId="13369" xr:uid="{00000000-0005-0000-0000-0000E2410000}"/>
    <cellStyle name="Обычный 5 2 2 64 4" xfId="18709" xr:uid="{00000000-0005-0000-0000-0000E3410000}"/>
    <cellStyle name="Обычный 5 2 2 64 5" xfId="24049" xr:uid="{00000000-0005-0000-0000-0000E4410000}"/>
    <cellStyle name="Обычный 5 2 2 64 6" xfId="29389" xr:uid="{00000000-0005-0000-0000-0000E5410000}"/>
    <cellStyle name="Обычный 5 2 2 64 7" xfId="34729" xr:uid="{00000000-0005-0000-0000-0000E6410000}"/>
    <cellStyle name="Обычный 5 2 2 64 8" xfId="40069" xr:uid="{00000000-0005-0000-0000-0000E7410000}"/>
    <cellStyle name="Обычный 5 2 2 64 9" xfId="45409" xr:uid="{00000000-0005-0000-0000-0000E8410000}"/>
    <cellStyle name="Обычный 5 2 2 65" xfId="2717" xr:uid="{00000000-0005-0000-0000-0000E9410000}"/>
    <cellStyle name="Обычный 5 2 2 65 10" xfId="50781" xr:uid="{00000000-0005-0000-0000-0000EA410000}"/>
    <cellStyle name="Обычный 5 2 2 65 2" xfId="8060" xr:uid="{00000000-0005-0000-0000-0000EB410000}"/>
    <cellStyle name="Обычный 5 2 2 65 2 2" xfId="56122" xr:uid="{00000000-0005-0000-0000-0000EC410000}"/>
    <cellStyle name="Обычный 5 2 2 65 3" xfId="13401" xr:uid="{00000000-0005-0000-0000-0000ED410000}"/>
    <cellStyle name="Обычный 5 2 2 65 4" xfId="18741" xr:uid="{00000000-0005-0000-0000-0000EE410000}"/>
    <cellStyle name="Обычный 5 2 2 65 5" xfId="24081" xr:uid="{00000000-0005-0000-0000-0000EF410000}"/>
    <cellStyle name="Обычный 5 2 2 65 6" xfId="29421" xr:uid="{00000000-0005-0000-0000-0000F0410000}"/>
    <cellStyle name="Обычный 5 2 2 65 7" xfId="34761" xr:uid="{00000000-0005-0000-0000-0000F1410000}"/>
    <cellStyle name="Обычный 5 2 2 65 8" xfId="40101" xr:uid="{00000000-0005-0000-0000-0000F2410000}"/>
    <cellStyle name="Обычный 5 2 2 65 9" xfId="45441" xr:uid="{00000000-0005-0000-0000-0000F3410000}"/>
    <cellStyle name="Обычный 5 2 2 66" xfId="2749" xr:uid="{00000000-0005-0000-0000-0000F4410000}"/>
    <cellStyle name="Обычный 5 2 2 66 10" xfId="50813" xr:uid="{00000000-0005-0000-0000-0000F5410000}"/>
    <cellStyle name="Обычный 5 2 2 66 2" xfId="8092" xr:uid="{00000000-0005-0000-0000-0000F6410000}"/>
    <cellStyle name="Обычный 5 2 2 66 2 2" xfId="56154" xr:uid="{00000000-0005-0000-0000-0000F7410000}"/>
    <cellStyle name="Обычный 5 2 2 66 3" xfId="13433" xr:uid="{00000000-0005-0000-0000-0000F8410000}"/>
    <cellStyle name="Обычный 5 2 2 66 4" xfId="18773" xr:uid="{00000000-0005-0000-0000-0000F9410000}"/>
    <cellStyle name="Обычный 5 2 2 66 5" xfId="24113" xr:uid="{00000000-0005-0000-0000-0000FA410000}"/>
    <cellStyle name="Обычный 5 2 2 66 6" xfId="29453" xr:uid="{00000000-0005-0000-0000-0000FB410000}"/>
    <cellStyle name="Обычный 5 2 2 66 7" xfId="34793" xr:uid="{00000000-0005-0000-0000-0000FC410000}"/>
    <cellStyle name="Обычный 5 2 2 66 8" xfId="40133" xr:uid="{00000000-0005-0000-0000-0000FD410000}"/>
    <cellStyle name="Обычный 5 2 2 66 9" xfId="45473" xr:uid="{00000000-0005-0000-0000-0000FE410000}"/>
    <cellStyle name="Обычный 5 2 2 67" xfId="2783" xr:uid="{00000000-0005-0000-0000-0000FF410000}"/>
    <cellStyle name="Обычный 5 2 2 67 10" xfId="50847" xr:uid="{00000000-0005-0000-0000-000000420000}"/>
    <cellStyle name="Обычный 5 2 2 67 2" xfId="8126" xr:uid="{00000000-0005-0000-0000-000001420000}"/>
    <cellStyle name="Обычный 5 2 2 67 2 2" xfId="56188" xr:uid="{00000000-0005-0000-0000-000002420000}"/>
    <cellStyle name="Обычный 5 2 2 67 3" xfId="13467" xr:uid="{00000000-0005-0000-0000-000003420000}"/>
    <cellStyle name="Обычный 5 2 2 67 4" xfId="18807" xr:uid="{00000000-0005-0000-0000-000004420000}"/>
    <cellStyle name="Обычный 5 2 2 67 5" xfId="24147" xr:uid="{00000000-0005-0000-0000-000005420000}"/>
    <cellStyle name="Обычный 5 2 2 67 6" xfId="29487" xr:uid="{00000000-0005-0000-0000-000006420000}"/>
    <cellStyle name="Обычный 5 2 2 67 7" xfId="34827" xr:uid="{00000000-0005-0000-0000-000007420000}"/>
    <cellStyle name="Обычный 5 2 2 67 8" xfId="40167" xr:uid="{00000000-0005-0000-0000-000008420000}"/>
    <cellStyle name="Обычный 5 2 2 67 9" xfId="45507" xr:uid="{00000000-0005-0000-0000-000009420000}"/>
    <cellStyle name="Обычный 5 2 2 68" xfId="2815" xr:uid="{00000000-0005-0000-0000-00000A420000}"/>
    <cellStyle name="Обычный 5 2 2 68 10" xfId="50879" xr:uid="{00000000-0005-0000-0000-00000B420000}"/>
    <cellStyle name="Обычный 5 2 2 68 2" xfId="8158" xr:uid="{00000000-0005-0000-0000-00000C420000}"/>
    <cellStyle name="Обычный 5 2 2 68 2 2" xfId="56220" xr:uid="{00000000-0005-0000-0000-00000D420000}"/>
    <cellStyle name="Обычный 5 2 2 68 3" xfId="13499" xr:uid="{00000000-0005-0000-0000-00000E420000}"/>
    <cellStyle name="Обычный 5 2 2 68 4" xfId="18839" xr:uid="{00000000-0005-0000-0000-00000F420000}"/>
    <cellStyle name="Обычный 5 2 2 68 5" xfId="24179" xr:uid="{00000000-0005-0000-0000-000010420000}"/>
    <cellStyle name="Обычный 5 2 2 68 6" xfId="29519" xr:uid="{00000000-0005-0000-0000-000011420000}"/>
    <cellStyle name="Обычный 5 2 2 68 7" xfId="34859" xr:uid="{00000000-0005-0000-0000-000012420000}"/>
    <cellStyle name="Обычный 5 2 2 68 8" xfId="40199" xr:uid="{00000000-0005-0000-0000-000013420000}"/>
    <cellStyle name="Обычный 5 2 2 68 9" xfId="45539" xr:uid="{00000000-0005-0000-0000-000014420000}"/>
    <cellStyle name="Обычный 5 2 2 69" xfId="2847" xr:uid="{00000000-0005-0000-0000-000015420000}"/>
    <cellStyle name="Обычный 5 2 2 69 10" xfId="50911" xr:uid="{00000000-0005-0000-0000-000016420000}"/>
    <cellStyle name="Обычный 5 2 2 69 2" xfId="8190" xr:uid="{00000000-0005-0000-0000-000017420000}"/>
    <cellStyle name="Обычный 5 2 2 69 2 2" xfId="56252" xr:uid="{00000000-0005-0000-0000-000018420000}"/>
    <cellStyle name="Обычный 5 2 2 69 3" xfId="13531" xr:uid="{00000000-0005-0000-0000-000019420000}"/>
    <cellStyle name="Обычный 5 2 2 69 4" xfId="18871" xr:uid="{00000000-0005-0000-0000-00001A420000}"/>
    <cellStyle name="Обычный 5 2 2 69 5" xfId="24211" xr:uid="{00000000-0005-0000-0000-00001B420000}"/>
    <cellStyle name="Обычный 5 2 2 69 6" xfId="29551" xr:uid="{00000000-0005-0000-0000-00001C420000}"/>
    <cellStyle name="Обычный 5 2 2 69 7" xfId="34891" xr:uid="{00000000-0005-0000-0000-00001D420000}"/>
    <cellStyle name="Обычный 5 2 2 69 8" xfId="40231" xr:uid="{00000000-0005-0000-0000-00001E420000}"/>
    <cellStyle name="Обычный 5 2 2 69 9" xfId="45571" xr:uid="{00000000-0005-0000-0000-00001F420000}"/>
    <cellStyle name="Обычный 5 2 2 7" xfId="1104" xr:uid="{00000000-0005-0000-0000-000020420000}"/>
    <cellStyle name="Обычный 5 2 2 7 10" xfId="49167" xr:uid="{00000000-0005-0000-0000-000021420000}"/>
    <cellStyle name="Обычный 5 2 2 7 2" xfId="6446" xr:uid="{00000000-0005-0000-0000-000022420000}"/>
    <cellStyle name="Обычный 5 2 2 7 2 2" xfId="54508" xr:uid="{00000000-0005-0000-0000-000023420000}"/>
    <cellStyle name="Обычный 5 2 2 7 3" xfId="11787" xr:uid="{00000000-0005-0000-0000-000024420000}"/>
    <cellStyle name="Обычный 5 2 2 7 4" xfId="17127" xr:uid="{00000000-0005-0000-0000-000025420000}"/>
    <cellStyle name="Обычный 5 2 2 7 5" xfId="22467" xr:uid="{00000000-0005-0000-0000-000026420000}"/>
    <cellStyle name="Обычный 5 2 2 7 6" xfId="27807" xr:uid="{00000000-0005-0000-0000-000027420000}"/>
    <cellStyle name="Обычный 5 2 2 7 7" xfId="33147" xr:uid="{00000000-0005-0000-0000-000028420000}"/>
    <cellStyle name="Обычный 5 2 2 7 8" xfId="38487" xr:uid="{00000000-0005-0000-0000-000029420000}"/>
    <cellStyle name="Обычный 5 2 2 7 9" xfId="43827" xr:uid="{00000000-0005-0000-0000-00002A420000}"/>
    <cellStyle name="Обычный 5 2 2 70" xfId="2879" xr:uid="{00000000-0005-0000-0000-00002B420000}"/>
    <cellStyle name="Обычный 5 2 2 70 10" xfId="50943" xr:uid="{00000000-0005-0000-0000-00002C420000}"/>
    <cellStyle name="Обычный 5 2 2 70 2" xfId="8222" xr:uid="{00000000-0005-0000-0000-00002D420000}"/>
    <cellStyle name="Обычный 5 2 2 70 2 2" xfId="56284" xr:uid="{00000000-0005-0000-0000-00002E420000}"/>
    <cellStyle name="Обычный 5 2 2 70 3" xfId="13563" xr:uid="{00000000-0005-0000-0000-00002F420000}"/>
    <cellStyle name="Обычный 5 2 2 70 4" xfId="18903" xr:uid="{00000000-0005-0000-0000-000030420000}"/>
    <cellStyle name="Обычный 5 2 2 70 5" xfId="24243" xr:uid="{00000000-0005-0000-0000-000031420000}"/>
    <cellStyle name="Обычный 5 2 2 70 6" xfId="29583" xr:uid="{00000000-0005-0000-0000-000032420000}"/>
    <cellStyle name="Обычный 5 2 2 70 7" xfId="34923" xr:uid="{00000000-0005-0000-0000-000033420000}"/>
    <cellStyle name="Обычный 5 2 2 70 8" xfId="40263" xr:uid="{00000000-0005-0000-0000-000034420000}"/>
    <cellStyle name="Обычный 5 2 2 70 9" xfId="45603" xr:uid="{00000000-0005-0000-0000-000035420000}"/>
    <cellStyle name="Обычный 5 2 2 71" xfId="2911" xr:uid="{00000000-0005-0000-0000-000036420000}"/>
    <cellStyle name="Обычный 5 2 2 71 10" xfId="50975" xr:uid="{00000000-0005-0000-0000-000037420000}"/>
    <cellStyle name="Обычный 5 2 2 71 2" xfId="8254" xr:uid="{00000000-0005-0000-0000-000038420000}"/>
    <cellStyle name="Обычный 5 2 2 71 2 2" xfId="56316" xr:uid="{00000000-0005-0000-0000-000039420000}"/>
    <cellStyle name="Обычный 5 2 2 71 3" xfId="13595" xr:uid="{00000000-0005-0000-0000-00003A420000}"/>
    <cellStyle name="Обычный 5 2 2 71 4" xfId="18935" xr:uid="{00000000-0005-0000-0000-00003B420000}"/>
    <cellStyle name="Обычный 5 2 2 71 5" xfId="24275" xr:uid="{00000000-0005-0000-0000-00003C420000}"/>
    <cellStyle name="Обычный 5 2 2 71 6" xfId="29615" xr:uid="{00000000-0005-0000-0000-00003D420000}"/>
    <cellStyle name="Обычный 5 2 2 71 7" xfId="34955" xr:uid="{00000000-0005-0000-0000-00003E420000}"/>
    <cellStyle name="Обычный 5 2 2 71 8" xfId="40295" xr:uid="{00000000-0005-0000-0000-00003F420000}"/>
    <cellStyle name="Обычный 5 2 2 71 9" xfId="45635" xr:uid="{00000000-0005-0000-0000-000040420000}"/>
    <cellStyle name="Обычный 5 2 2 72" xfId="2943" xr:uid="{00000000-0005-0000-0000-000041420000}"/>
    <cellStyle name="Обычный 5 2 2 72 10" xfId="51007" xr:uid="{00000000-0005-0000-0000-000042420000}"/>
    <cellStyle name="Обычный 5 2 2 72 2" xfId="8286" xr:uid="{00000000-0005-0000-0000-000043420000}"/>
    <cellStyle name="Обычный 5 2 2 72 2 2" xfId="56348" xr:uid="{00000000-0005-0000-0000-000044420000}"/>
    <cellStyle name="Обычный 5 2 2 72 3" xfId="13627" xr:uid="{00000000-0005-0000-0000-000045420000}"/>
    <cellStyle name="Обычный 5 2 2 72 4" xfId="18967" xr:uid="{00000000-0005-0000-0000-000046420000}"/>
    <cellStyle name="Обычный 5 2 2 72 5" xfId="24307" xr:uid="{00000000-0005-0000-0000-000047420000}"/>
    <cellStyle name="Обычный 5 2 2 72 6" xfId="29647" xr:uid="{00000000-0005-0000-0000-000048420000}"/>
    <cellStyle name="Обычный 5 2 2 72 7" xfId="34987" xr:uid="{00000000-0005-0000-0000-000049420000}"/>
    <cellStyle name="Обычный 5 2 2 72 8" xfId="40327" xr:uid="{00000000-0005-0000-0000-00004A420000}"/>
    <cellStyle name="Обычный 5 2 2 72 9" xfId="45667" xr:uid="{00000000-0005-0000-0000-00004B420000}"/>
    <cellStyle name="Обычный 5 2 2 73" xfId="2975" xr:uid="{00000000-0005-0000-0000-00004C420000}"/>
    <cellStyle name="Обычный 5 2 2 73 10" xfId="51039" xr:uid="{00000000-0005-0000-0000-00004D420000}"/>
    <cellStyle name="Обычный 5 2 2 73 2" xfId="8318" xr:uid="{00000000-0005-0000-0000-00004E420000}"/>
    <cellStyle name="Обычный 5 2 2 73 2 2" xfId="56380" xr:uid="{00000000-0005-0000-0000-00004F420000}"/>
    <cellStyle name="Обычный 5 2 2 73 3" xfId="13659" xr:uid="{00000000-0005-0000-0000-000050420000}"/>
    <cellStyle name="Обычный 5 2 2 73 4" xfId="18999" xr:uid="{00000000-0005-0000-0000-000051420000}"/>
    <cellStyle name="Обычный 5 2 2 73 5" xfId="24339" xr:uid="{00000000-0005-0000-0000-000052420000}"/>
    <cellStyle name="Обычный 5 2 2 73 6" xfId="29679" xr:uid="{00000000-0005-0000-0000-000053420000}"/>
    <cellStyle name="Обычный 5 2 2 73 7" xfId="35019" xr:uid="{00000000-0005-0000-0000-000054420000}"/>
    <cellStyle name="Обычный 5 2 2 73 8" xfId="40359" xr:uid="{00000000-0005-0000-0000-000055420000}"/>
    <cellStyle name="Обычный 5 2 2 73 9" xfId="45699" xr:uid="{00000000-0005-0000-0000-000056420000}"/>
    <cellStyle name="Обычный 5 2 2 74" xfId="3007" xr:uid="{00000000-0005-0000-0000-000057420000}"/>
    <cellStyle name="Обычный 5 2 2 74 10" xfId="51071" xr:uid="{00000000-0005-0000-0000-000058420000}"/>
    <cellStyle name="Обычный 5 2 2 74 2" xfId="8350" xr:uid="{00000000-0005-0000-0000-000059420000}"/>
    <cellStyle name="Обычный 5 2 2 74 2 2" xfId="56412" xr:uid="{00000000-0005-0000-0000-00005A420000}"/>
    <cellStyle name="Обычный 5 2 2 74 3" xfId="13691" xr:uid="{00000000-0005-0000-0000-00005B420000}"/>
    <cellStyle name="Обычный 5 2 2 74 4" xfId="19031" xr:uid="{00000000-0005-0000-0000-00005C420000}"/>
    <cellStyle name="Обычный 5 2 2 74 5" xfId="24371" xr:uid="{00000000-0005-0000-0000-00005D420000}"/>
    <cellStyle name="Обычный 5 2 2 74 6" xfId="29711" xr:uid="{00000000-0005-0000-0000-00005E420000}"/>
    <cellStyle name="Обычный 5 2 2 74 7" xfId="35051" xr:uid="{00000000-0005-0000-0000-00005F420000}"/>
    <cellStyle name="Обычный 5 2 2 74 8" xfId="40391" xr:uid="{00000000-0005-0000-0000-000060420000}"/>
    <cellStyle name="Обычный 5 2 2 74 9" xfId="45731" xr:uid="{00000000-0005-0000-0000-000061420000}"/>
    <cellStyle name="Обычный 5 2 2 75" xfId="3039" xr:uid="{00000000-0005-0000-0000-000062420000}"/>
    <cellStyle name="Обычный 5 2 2 75 10" xfId="51103" xr:uid="{00000000-0005-0000-0000-000063420000}"/>
    <cellStyle name="Обычный 5 2 2 75 2" xfId="8382" xr:uid="{00000000-0005-0000-0000-000064420000}"/>
    <cellStyle name="Обычный 5 2 2 75 2 2" xfId="56444" xr:uid="{00000000-0005-0000-0000-000065420000}"/>
    <cellStyle name="Обычный 5 2 2 75 3" xfId="13723" xr:uid="{00000000-0005-0000-0000-000066420000}"/>
    <cellStyle name="Обычный 5 2 2 75 4" xfId="19063" xr:uid="{00000000-0005-0000-0000-000067420000}"/>
    <cellStyle name="Обычный 5 2 2 75 5" xfId="24403" xr:uid="{00000000-0005-0000-0000-000068420000}"/>
    <cellStyle name="Обычный 5 2 2 75 6" xfId="29743" xr:uid="{00000000-0005-0000-0000-000069420000}"/>
    <cellStyle name="Обычный 5 2 2 75 7" xfId="35083" xr:uid="{00000000-0005-0000-0000-00006A420000}"/>
    <cellStyle name="Обычный 5 2 2 75 8" xfId="40423" xr:uid="{00000000-0005-0000-0000-00006B420000}"/>
    <cellStyle name="Обычный 5 2 2 75 9" xfId="45763" xr:uid="{00000000-0005-0000-0000-00006C420000}"/>
    <cellStyle name="Обычный 5 2 2 76" xfId="3071" xr:uid="{00000000-0005-0000-0000-00006D420000}"/>
    <cellStyle name="Обычный 5 2 2 76 10" xfId="51135" xr:uid="{00000000-0005-0000-0000-00006E420000}"/>
    <cellStyle name="Обычный 5 2 2 76 2" xfId="8414" xr:uid="{00000000-0005-0000-0000-00006F420000}"/>
    <cellStyle name="Обычный 5 2 2 76 2 2" xfId="56476" xr:uid="{00000000-0005-0000-0000-000070420000}"/>
    <cellStyle name="Обычный 5 2 2 76 3" xfId="13755" xr:uid="{00000000-0005-0000-0000-000071420000}"/>
    <cellStyle name="Обычный 5 2 2 76 4" xfId="19095" xr:uid="{00000000-0005-0000-0000-000072420000}"/>
    <cellStyle name="Обычный 5 2 2 76 5" xfId="24435" xr:uid="{00000000-0005-0000-0000-000073420000}"/>
    <cellStyle name="Обычный 5 2 2 76 6" xfId="29775" xr:uid="{00000000-0005-0000-0000-000074420000}"/>
    <cellStyle name="Обычный 5 2 2 76 7" xfId="35115" xr:uid="{00000000-0005-0000-0000-000075420000}"/>
    <cellStyle name="Обычный 5 2 2 76 8" xfId="40455" xr:uid="{00000000-0005-0000-0000-000076420000}"/>
    <cellStyle name="Обычный 5 2 2 76 9" xfId="45795" xr:uid="{00000000-0005-0000-0000-000077420000}"/>
    <cellStyle name="Обычный 5 2 2 77" xfId="3103" xr:uid="{00000000-0005-0000-0000-000078420000}"/>
    <cellStyle name="Обычный 5 2 2 77 10" xfId="51167" xr:uid="{00000000-0005-0000-0000-000079420000}"/>
    <cellStyle name="Обычный 5 2 2 77 2" xfId="8446" xr:uid="{00000000-0005-0000-0000-00007A420000}"/>
    <cellStyle name="Обычный 5 2 2 77 2 2" xfId="56508" xr:uid="{00000000-0005-0000-0000-00007B420000}"/>
    <cellStyle name="Обычный 5 2 2 77 3" xfId="13787" xr:uid="{00000000-0005-0000-0000-00007C420000}"/>
    <cellStyle name="Обычный 5 2 2 77 4" xfId="19127" xr:uid="{00000000-0005-0000-0000-00007D420000}"/>
    <cellStyle name="Обычный 5 2 2 77 5" xfId="24467" xr:uid="{00000000-0005-0000-0000-00007E420000}"/>
    <cellStyle name="Обычный 5 2 2 77 6" xfId="29807" xr:uid="{00000000-0005-0000-0000-00007F420000}"/>
    <cellStyle name="Обычный 5 2 2 77 7" xfId="35147" xr:uid="{00000000-0005-0000-0000-000080420000}"/>
    <cellStyle name="Обычный 5 2 2 77 8" xfId="40487" xr:uid="{00000000-0005-0000-0000-000081420000}"/>
    <cellStyle name="Обычный 5 2 2 77 9" xfId="45827" xr:uid="{00000000-0005-0000-0000-000082420000}"/>
    <cellStyle name="Обычный 5 2 2 78" xfId="3136" xr:uid="{00000000-0005-0000-0000-000083420000}"/>
    <cellStyle name="Обычный 5 2 2 78 10" xfId="51199" xr:uid="{00000000-0005-0000-0000-000084420000}"/>
    <cellStyle name="Обычный 5 2 2 78 2" xfId="8479" xr:uid="{00000000-0005-0000-0000-000085420000}"/>
    <cellStyle name="Обычный 5 2 2 78 2 2" xfId="56540" xr:uid="{00000000-0005-0000-0000-000086420000}"/>
    <cellStyle name="Обычный 5 2 2 78 3" xfId="13819" xr:uid="{00000000-0005-0000-0000-000087420000}"/>
    <cellStyle name="Обычный 5 2 2 78 4" xfId="19159" xr:uid="{00000000-0005-0000-0000-000088420000}"/>
    <cellStyle name="Обычный 5 2 2 78 5" xfId="24499" xr:uid="{00000000-0005-0000-0000-000089420000}"/>
    <cellStyle name="Обычный 5 2 2 78 6" xfId="29839" xr:uid="{00000000-0005-0000-0000-00008A420000}"/>
    <cellStyle name="Обычный 5 2 2 78 7" xfId="35179" xr:uid="{00000000-0005-0000-0000-00008B420000}"/>
    <cellStyle name="Обычный 5 2 2 78 8" xfId="40519" xr:uid="{00000000-0005-0000-0000-00008C420000}"/>
    <cellStyle name="Обычный 5 2 2 78 9" xfId="45859" xr:uid="{00000000-0005-0000-0000-00008D420000}"/>
    <cellStyle name="Обычный 5 2 2 79" xfId="3168" xr:uid="{00000000-0005-0000-0000-00008E420000}"/>
    <cellStyle name="Обычный 5 2 2 79 10" xfId="51231" xr:uid="{00000000-0005-0000-0000-00008F420000}"/>
    <cellStyle name="Обычный 5 2 2 79 2" xfId="8511" xr:uid="{00000000-0005-0000-0000-000090420000}"/>
    <cellStyle name="Обычный 5 2 2 79 2 2" xfId="56572" xr:uid="{00000000-0005-0000-0000-000091420000}"/>
    <cellStyle name="Обычный 5 2 2 79 3" xfId="13851" xr:uid="{00000000-0005-0000-0000-000092420000}"/>
    <cellStyle name="Обычный 5 2 2 79 4" xfId="19191" xr:uid="{00000000-0005-0000-0000-000093420000}"/>
    <cellStyle name="Обычный 5 2 2 79 5" xfId="24531" xr:uid="{00000000-0005-0000-0000-000094420000}"/>
    <cellStyle name="Обычный 5 2 2 79 6" xfId="29871" xr:uid="{00000000-0005-0000-0000-000095420000}"/>
    <cellStyle name="Обычный 5 2 2 79 7" xfId="35211" xr:uid="{00000000-0005-0000-0000-000096420000}"/>
    <cellStyle name="Обычный 5 2 2 79 8" xfId="40551" xr:uid="{00000000-0005-0000-0000-000097420000}"/>
    <cellStyle name="Обычный 5 2 2 79 9" xfId="45891" xr:uid="{00000000-0005-0000-0000-000098420000}"/>
    <cellStyle name="Обычный 5 2 2 8" xfId="1130" xr:uid="{00000000-0005-0000-0000-000099420000}"/>
    <cellStyle name="Обычный 5 2 2 8 10" xfId="49193" xr:uid="{00000000-0005-0000-0000-00009A420000}"/>
    <cellStyle name="Обычный 5 2 2 8 2" xfId="6472" xr:uid="{00000000-0005-0000-0000-00009B420000}"/>
    <cellStyle name="Обычный 5 2 2 8 2 2" xfId="54534" xr:uid="{00000000-0005-0000-0000-00009C420000}"/>
    <cellStyle name="Обычный 5 2 2 8 3" xfId="11813" xr:uid="{00000000-0005-0000-0000-00009D420000}"/>
    <cellStyle name="Обычный 5 2 2 8 4" xfId="17153" xr:uid="{00000000-0005-0000-0000-00009E420000}"/>
    <cellStyle name="Обычный 5 2 2 8 5" xfId="22493" xr:uid="{00000000-0005-0000-0000-00009F420000}"/>
    <cellStyle name="Обычный 5 2 2 8 6" xfId="27833" xr:uid="{00000000-0005-0000-0000-0000A0420000}"/>
    <cellStyle name="Обычный 5 2 2 8 7" xfId="33173" xr:uid="{00000000-0005-0000-0000-0000A1420000}"/>
    <cellStyle name="Обычный 5 2 2 8 8" xfId="38513" xr:uid="{00000000-0005-0000-0000-0000A2420000}"/>
    <cellStyle name="Обычный 5 2 2 8 9" xfId="43853" xr:uid="{00000000-0005-0000-0000-0000A3420000}"/>
    <cellStyle name="Обычный 5 2 2 80" xfId="3200" xr:uid="{00000000-0005-0000-0000-0000A4420000}"/>
    <cellStyle name="Обычный 5 2 2 80 10" xfId="51263" xr:uid="{00000000-0005-0000-0000-0000A5420000}"/>
    <cellStyle name="Обычный 5 2 2 80 2" xfId="8543" xr:uid="{00000000-0005-0000-0000-0000A6420000}"/>
    <cellStyle name="Обычный 5 2 2 80 2 2" xfId="56604" xr:uid="{00000000-0005-0000-0000-0000A7420000}"/>
    <cellStyle name="Обычный 5 2 2 80 3" xfId="13883" xr:uid="{00000000-0005-0000-0000-0000A8420000}"/>
    <cellStyle name="Обычный 5 2 2 80 4" xfId="19223" xr:uid="{00000000-0005-0000-0000-0000A9420000}"/>
    <cellStyle name="Обычный 5 2 2 80 5" xfId="24563" xr:uid="{00000000-0005-0000-0000-0000AA420000}"/>
    <cellStyle name="Обычный 5 2 2 80 6" xfId="29903" xr:uid="{00000000-0005-0000-0000-0000AB420000}"/>
    <cellStyle name="Обычный 5 2 2 80 7" xfId="35243" xr:uid="{00000000-0005-0000-0000-0000AC420000}"/>
    <cellStyle name="Обычный 5 2 2 80 8" xfId="40583" xr:uid="{00000000-0005-0000-0000-0000AD420000}"/>
    <cellStyle name="Обычный 5 2 2 80 9" xfId="45923" xr:uid="{00000000-0005-0000-0000-0000AE420000}"/>
    <cellStyle name="Обычный 5 2 2 81" xfId="3232" xr:uid="{00000000-0005-0000-0000-0000AF420000}"/>
    <cellStyle name="Обычный 5 2 2 81 10" xfId="51295" xr:uid="{00000000-0005-0000-0000-0000B0420000}"/>
    <cellStyle name="Обычный 5 2 2 81 2" xfId="8575" xr:uid="{00000000-0005-0000-0000-0000B1420000}"/>
    <cellStyle name="Обычный 5 2 2 81 2 2" xfId="56636" xr:uid="{00000000-0005-0000-0000-0000B2420000}"/>
    <cellStyle name="Обычный 5 2 2 81 3" xfId="13915" xr:uid="{00000000-0005-0000-0000-0000B3420000}"/>
    <cellStyle name="Обычный 5 2 2 81 4" xfId="19255" xr:uid="{00000000-0005-0000-0000-0000B4420000}"/>
    <cellStyle name="Обычный 5 2 2 81 5" xfId="24595" xr:uid="{00000000-0005-0000-0000-0000B5420000}"/>
    <cellStyle name="Обычный 5 2 2 81 6" xfId="29935" xr:uid="{00000000-0005-0000-0000-0000B6420000}"/>
    <cellStyle name="Обычный 5 2 2 81 7" xfId="35275" xr:uid="{00000000-0005-0000-0000-0000B7420000}"/>
    <cellStyle name="Обычный 5 2 2 81 8" xfId="40615" xr:uid="{00000000-0005-0000-0000-0000B8420000}"/>
    <cellStyle name="Обычный 5 2 2 81 9" xfId="45955" xr:uid="{00000000-0005-0000-0000-0000B9420000}"/>
    <cellStyle name="Обычный 5 2 2 82" xfId="3264" xr:uid="{00000000-0005-0000-0000-0000BA420000}"/>
    <cellStyle name="Обычный 5 2 2 82 10" xfId="51327" xr:uid="{00000000-0005-0000-0000-0000BB420000}"/>
    <cellStyle name="Обычный 5 2 2 82 2" xfId="8607" xr:uid="{00000000-0005-0000-0000-0000BC420000}"/>
    <cellStyle name="Обычный 5 2 2 82 2 2" xfId="56668" xr:uid="{00000000-0005-0000-0000-0000BD420000}"/>
    <cellStyle name="Обычный 5 2 2 82 3" xfId="13947" xr:uid="{00000000-0005-0000-0000-0000BE420000}"/>
    <cellStyle name="Обычный 5 2 2 82 4" xfId="19287" xr:uid="{00000000-0005-0000-0000-0000BF420000}"/>
    <cellStyle name="Обычный 5 2 2 82 5" xfId="24627" xr:uid="{00000000-0005-0000-0000-0000C0420000}"/>
    <cellStyle name="Обычный 5 2 2 82 6" xfId="29967" xr:uid="{00000000-0005-0000-0000-0000C1420000}"/>
    <cellStyle name="Обычный 5 2 2 82 7" xfId="35307" xr:uid="{00000000-0005-0000-0000-0000C2420000}"/>
    <cellStyle name="Обычный 5 2 2 82 8" xfId="40647" xr:uid="{00000000-0005-0000-0000-0000C3420000}"/>
    <cellStyle name="Обычный 5 2 2 82 9" xfId="45987" xr:uid="{00000000-0005-0000-0000-0000C4420000}"/>
    <cellStyle name="Обычный 5 2 2 83" xfId="3296" xr:uid="{00000000-0005-0000-0000-0000C5420000}"/>
    <cellStyle name="Обычный 5 2 2 83 10" xfId="51359" xr:uid="{00000000-0005-0000-0000-0000C6420000}"/>
    <cellStyle name="Обычный 5 2 2 83 2" xfId="8639" xr:uid="{00000000-0005-0000-0000-0000C7420000}"/>
    <cellStyle name="Обычный 5 2 2 83 2 2" xfId="56700" xr:uid="{00000000-0005-0000-0000-0000C8420000}"/>
    <cellStyle name="Обычный 5 2 2 83 3" xfId="13979" xr:uid="{00000000-0005-0000-0000-0000C9420000}"/>
    <cellStyle name="Обычный 5 2 2 83 4" xfId="19319" xr:uid="{00000000-0005-0000-0000-0000CA420000}"/>
    <cellStyle name="Обычный 5 2 2 83 5" xfId="24659" xr:uid="{00000000-0005-0000-0000-0000CB420000}"/>
    <cellStyle name="Обычный 5 2 2 83 6" xfId="29999" xr:uid="{00000000-0005-0000-0000-0000CC420000}"/>
    <cellStyle name="Обычный 5 2 2 83 7" xfId="35339" xr:uid="{00000000-0005-0000-0000-0000CD420000}"/>
    <cellStyle name="Обычный 5 2 2 83 8" xfId="40679" xr:uid="{00000000-0005-0000-0000-0000CE420000}"/>
    <cellStyle name="Обычный 5 2 2 83 9" xfId="46019" xr:uid="{00000000-0005-0000-0000-0000CF420000}"/>
    <cellStyle name="Обычный 5 2 2 84" xfId="3328" xr:uid="{00000000-0005-0000-0000-0000D0420000}"/>
    <cellStyle name="Обычный 5 2 2 84 10" xfId="51391" xr:uid="{00000000-0005-0000-0000-0000D1420000}"/>
    <cellStyle name="Обычный 5 2 2 84 2" xfId="8671" xr:uid="{00000000-0005-0000-0000-0000D2420000}"/>
    <cellStyle name="Обычный 5 2 2 84 2 2" xfId="56732" xr:uid="{00000000-0005-0000-0000-0000D3420000}"/>
    <cellStyle name="Обычный 5 2 2 84 3" xfId="14011" xr:uid="{00000000-0005-0000-0000-0000D4420000}"/>
    <cellStyle name="Обычный 5 2 2 84 4" xfId="19351" xr:uid="{00000000-0005-0000-0000-0000D5420000}"/>
    <cellStyle name="Обычный 5 2 2 84 5" xfId="24691" xr:uid="{00000000-0005-0000-0000-0000D6420000}"/>
    <cellStyle name="Обычный 5 2 2 84 6" xfId="30031" xr:uid="{00000000-0005-0000-0000-0000D7420000}"/>
    <cellStyle name="Обычный 5 2 2 84 7" xfId="35371" xr:uid="{00000000-0005-0000-0000-0000D8420000}"/>
    <cellStyle name="Обычный 5 2 2 84 8" xfId="40711" xr:uid="{00000000-0005-0000-0000-0000D9420000}"/>
    <cellStyle name="Обычный 5 2 2 84 9" xfId="46051" xr:uid="{00000000-0005-0000-0000-0000DA420000}"/>
    <cellStyle name="Обычный 5 2 2 85" xfId="3360" xr:uid="{00000000-0005-0000-0000-0000DB420000}"/>
    <cellStyle name="Обычный 5 2 2 85 10" xfId="51423" xr:uid="{00000000-0005-0000-0000-0000DC420000}"/>
    <cellStyle name="Обычный 5 2 2 85 2" xfId="8703" xr:uid="{00000000-0005-0000-0000-0000DD420000}"/>
    <cellStyle name="Обычный 5 2 2 85 2 2" xfId="56764" xr:uid="{00000000-0005-0000-0000-0000DE420000}"/>
    <cellStyle name="Обычный 5 2 2 85 3" xfId="14043" xr:uid="{00000000-0005-0000-0000-0000DF420000}"/>
    <cellStyle name="Обычный 5 2 2 85 4" xfId="19383" xr:uid="{00000000-0005-0000-0000-0000E0420000}"/>
    <cellStyle name="Обычный 5 2 2 85 5" xfId="24723" xr:uid="{00000000-0005-0000-0000-0000E1420000}"/>
    <cellStyle name="Обычный 5 2 2 85 6" xfId="30063" xr:uid="{00000000-0005-0000-0000-0000E2420000}"/>
    <cellStyle name="Обычный 5 2 2 85 7" xfId="35403" xr:uid="{00000000-0005-0000-0000-0000E3420000}"/>
    <cellStyle name="Обычный 5 2 2 85 8" xfId="40743" xr:uid="{00000000-0005-0000-0000-0000E4420000}"/>
    <cellStyle name="Обычный 5 2 2 85 9" xfId="46083" xr:uid="{00000000-0005-0000-0000-0000E5420000}"/>
    <cellStyle name="Обычный 5 2 2 86" xfId="3392" xr:uid="{00000000-0005-0000-0000-0000E6420000}"/>
    <cellStyle name="Обычный 5 2 2 86 10" xfId="51455" xr:uid="{00000000-0005-0000-0000-0000E7420000}"/>
    <cellStyle name="Обычный 5 2 2 86 2" xfId="8735" xr:uid="{00000000-0005-0000-0000-0000E8420000}"/>
    <cellStyle name="Обычный 5 2 2 86 2 2" xfId="56796" xr:uid="{00000000-0005-0000-0000-0000E9420000}"/>
    <cellStyle name="Обычный 5 2 2 86 3" xfId="14075" xr:uid="{00000000-0005-0000-0000-0000EA420000}"/>
    <cellStyle name="Обычный 5 2 2 86 4" xfId="19415" xr:uid="{00000000-0005-0000-0000-0000EB420000}"/>
    <cellStyle name="Обычный 5 2 2 86 5" xfId="24755" xr:uid="{00000000-0005-0000-0000-0000EC420000}"/>
    <cellStyle name="Обычный 5 2 2 86 6" xfId="30095" xr:uid="{00000000-0005-0000-0000-0000ED420000}"/>
    <cellStyle name="Обычный 5 2 2 86 7" xfId="35435" xr:uid="{00000000-0005-0000-0000-0000EE420000}"/>
    <cellStyle name="Обычный 5 2 2 86 8" xfId="40775" xr:uid="{00000000-0005-0000-0000-0000EF420000}"/>
    <cellStyle name="Обычный 5 2 2 86 9" xfId="46115" xr:uid="{00000000-0005-0000-0000-0000F0420000}"/>
    <cellStyle name="Обычный 5 2 2 87" xfId="3424" xr:uid="{00000000-0005-0000-0000-0000F1420000}"/>
    <cellStyle name="Обычный 5 2 2 87 10" xfId="51487" xr:uid="{00000000-0005-0000-0000-0000F2420000}"/>
    <cellStyle name="Обычный 5 2 2 87 2" xfId="8767" xr:uid="{00000000-0005-0000-0000-0000F3420000}"/>
    <cellStyle name="Обычный 5 2 2 87 2 2" xfId="56828" xr:uid="{00000000-0005-0000-0000-0000F4420000}"/>
    <cellStyle name="Обычный 5 2 2 87 3" xfId="14107" xr:uid="{00000000-0005-0000-0000-0000F5420000}"/>
    <cellStyle name="Обычный 5 2 2 87 4" xfId="19447" xr:uid="{00000000-0005-0000-0000-0000F6420000}"/>
    <cellStyle name="Обычный 5 2 2 87 5" xfId="24787" xr:uid="{00000000-0005-0000-0000-0000F7420000}"/>
    <cellStyle name="Обычный 5 2 2 87 6" xfId="30127" xr:uid="{00000000-0005-0000-0000-0000F8420000}"/>
    <cellStyle name="Обычный 5 2 2 87 7" xfId="35467" xr:uid="{00000000-0005-0000-0000-0000F9420000}"/>
    <cellStyle name="Обычный 5 2 2 87 8" xfId="40807" xr:uid="{00000000-0005-0000-0000-0000FA420000}"/>
    <cellStyle name="Обычный 5 2 2 87 9" xfId="46147" xr:uid="{00000000-0005-0000-0000-0000FB420000}"/>
    <cellStyle name="Обычный 5 2 2 88" xfId="3456" xr:uid="{00000000-0005-0000-0000-0000FC420000}"/>
    <cellStyle name="Обычный 5 2 2 88 10" xfId="51519" xr:uid="{00000000-0005-0000-0000-0000FD420000}"/>
    <cellStyle name="Обычный 5 2 2 88 2" xfId="8799" xr:uid="{00000000-0005-0000-0000-0000FE420000}"/>
    <cellStyle name="Обычный 5 2 2 88 2 2" xfId="56860" xr:uid="{00000000-0005-0000-0000-0000FF420000}"/>
    <cellStyle name="Обычный 5 2 2 88 3" xfId="14139" xr:uid="{00000000-0005-0000-0000-000000430000}"/>
    <cellStyle name="Обычный 5 2 2 88 4" xfId="19479" xr:uid="{00000000-0005-0000-0000-000001430000}"/>
    <cellStyle name="Обычный 5 2 2 88 5" xfId="24819" xr:uid="{00000000-0005-0000-0000-000002430000}"/>
    <cellStyle name="Обычный 5 2 2 88 6" xfId="30159" xr:uid="{00000000-0005-0000-0000-000003430000}"/>
    <cellStyle name="Обычный 5 2 2 88 7" xfId="35499" xr:uid="{00000000-0005-0000-0000-000004430000}"/>
    <cellStyle name="Обычный 5 2 2 88 8" xfId="40839" xr:uid="{00000000-0005-0000-0000-000005430000}"/>
    <cellStyle name="Обычный 5 2 2 88 9" xfId="46179" xr:uid="{00000000-0005-0000-0000-000006430000}"/>
    <cellStyle name="Обычный 5 2 2 89" xfId="3488" xr:uid="{00000000-0005-0000-0000-000007430000}"/>
    <cellStyle name="Обычный 5 2 2 89 10" xfId="51551" xr:uid="{00000000-0005-0000-0000-000008430000}"/>
    <cellStyle name="Обычный 5 2 2 89 2" xfId="8831" xr:uid="{00000000-0005-0000-0000-000009430000}"/>
    <cellStyle name="Обычный 5 2 2 89 2 2" xfId="56892" xr:uid="{00000000-0005-0000-0000-00000A430000}"/>
    <cellStyle name="Обычный 5 2 2 89 3" xfId="14171" xr:uid="{00000000-0005-0000-0000-00000B430000}"/>
    <cellStyle name="Обычный 5 2 2 89 4" xfId="19511" xr:uid="{00000000-0005-0000-0000-00000C430000}"/>
    <cellStyle name="Обычный 5 2 2 89 5" xfId="24851" xr:uid="{00000000-0005-0000-0000-00000D430000}"/>
    <cellStyle name="Обычный 5 2 2 89 6" xfId="30191" xr:uid="{00000000-0005-0000-0000-00000E430000}"/>
    <cellStyle name="Обычный 5 2 2 89 7" xfId="35531" xr:uid="{00000000-0005-0000-0000-00000F430000}"/>
    <cellStyle name="Обычный 5 2 2 89 8" xfId="40871" xr:uid="{00000000-0005-0000-0000-000010430000}"/>
    <cellStyle name="Обычный 5 2 2 89 9" xfId="46211" xr:uid="{00000000-0005-0000-0000-000011430000}"/>
    <cellStyle name="Обычный 5 2 2 9" xfId="1156" xr:uid="{00000000-0005-0000-0000-000012430000}"/>
    <cellStyle name="Обычный 5 2 2 9 10" xfId="49219" xr:uid="{00000000-0005-0000-0000-000013430000}"/>
    <cellStyle name="Обычный 5 2 2 9 2" xfId="6498" xr:uid="{00000000-0005-0000-0000-000014430000}"/>
    <cellStyle name="Обычный 5 2 2 9 2 2" xfId="54560" xr:uid="{00000000-0005-0000-0000-000015430000}"/>
    <cellStyle name="Обычный 5 2 2 9 3" xfId="11839" xr:uid="{00000000-0005-0000-0000-000016430000}"/>
    <cellStyle name="Обычный 5 2 2 9 4" xfId="17179" xr:uid="{00000000-0005-0000-0000-000017430000}"/>
    <cellStyle name="Обычный 5 2 2 9 5" xfId="22519" xr:uid="{00000000-0005-0000-0000-000018430000}"/>
    <cellStyle name="Обычный 5 2 2 9 6" xfId="27859" xr:uid="{00000000-0005-0000-0000-000019430000}"/>
    <cellStyle name="Обычный 5 2 2 9 7" xfId="33199" xr:uid="{00000000-0005-0000-0000-00001A430000}"/>
    <cellStyle name="Обычный 5 2 2 9 8" xfId="38539" xr:uid="{00000000-0005-0000-0000-00001B430000}"/>
    <cellStyle name="Обычный 5 2 2 9 9" xfId="43879" xr:uid="{00000000-0005-0000-0000-00001C430000}"/>
    <cellStyle name="Обычный 5 2 2 90" xfId="3520" xr:uid="{00000000-0005-0000-0000-00001D430000}"/>
    <cellStyle name="Обычный 5 2 2 90 10" xfId="51583" xr:uid="{00000000-0005-0000-0000-00001E430000}"/>
    <cellStyle name="Обычный 5 2 2 90 2" xfId="8863" xr:uid="{00000000-0005-0000-0000-00001F430000}"/>
    <cellStyle name="Обычный 5 2 2 90 2 2" xfId="56924" xr:uid="{00000000-0005-0000-0000-000020430000}"/>
    <cellStyle name="Обычный 5 2 2 90 3" xfId="14203" xr:uid="{00000000-0005-0000-0000-000021430000}"/>
    <cellStyle name="Обычный 5 2 2 90 4" xfId="19543" xr:uid="{00000000-0005-0000-0000-000022430000}"/>
    <cellStyle name="Обычный 5 2 2 90 5" xfId="24883" xr:uid="{00000000-0005-0000-0000-000023430000}"/>
    <cellStyle name="Обычный 5 2 2 90 6" xfId="30223" xr:uid="{00000000-0005-0000-0000-000024430000}"/>
    <cellStyle name="Обычный 5 2 2 90 7" xfId="35563" xr:uid="{00000000-0005-0000-0000-000025430000}"/>
    <cellStyle name="Обычный 5 2 2 90 8" xfId="40903" xr:uid="{00000000-0005-0000-0000-000026430000}"/>
    <cellStyle name="Обычный 5 2 2 90 9" xfId="46243" xr:uid="{00000000-0005-0000-0000-000027430000}"/>
    <cellStyle name="Обычный 5 2 2 91" xfId="3552" xr:uid="{00000000-0005-0000-0000-000028430000}"/>
    <cellStyle name="Обычный 5 2 2 91 10" xfId="51615" xr:uid="{00000000-0005-0000-0000-000029430000}"/>
    <cellStyle name="Обычный 5 2 2 91 2" xfId="8895" xr:uid="{00000000-0005-0000-0000-00002A430000}"/>
    <cellStyle name="Обычный 5 2 2 91 2 2" xfId="56956" xr:uid="{00000000-0005-0000-0000-00002B430000}"/>
    <cellStyle name="Обычный 5 2 2 91 3" xfId="14235" xr:uid="{00000000-0005-0000-0000-00002C430000}"/>
    <cellStyle name="Обычный 5 2 2 91 4" xfId="19575" xr:uid="{00000000-0005-0000-0000-00002D430000}"/>
    <cellStyle name="Обычный 5 2 2 91 5" xfId="24915" xr:uid="{00000000-0005-0000-0000-00002E430000}"/>
    <cellStyle name="Обычный 5 2 2 91 6" xfId="30255" xr:uid="{00000000-0005-0000-0000-00002F430000}"/>
    <cellStyle name="Обычный 5 2 2 91 7" xfId="35595" xr:uid="{00000000-0005-0000-0000-000030430000}"/>
    <cellStyle name="Обычный 5 2 2 91 8" xfId="40935" xr:uid="{00000000-0005-0000-0000-000031430000}"/>
    <cellStyle name="Обычный 5 2 2 91 9" xfId="46275" xr:uid="{00000000-0005-0000-0000-000032430000}"/>
    <cellStyle name="Обычный 5 2 2 92" xfId="3584" xr:uid="{00000000-0005-0000-0000-000033430000}"/>
    <cellStyle name="Обычный 5 2 2 92 10" xfId="51647" xr:uid="{00000000-0005-0000-0000-000034430000}"/>
    <cellStyle name="Обычный 5 2 2 92 2" xfId="8927" xr:uid="{00000000-0005-0000-0000-000035430000}"/>
    <cellStyle name="Обычный 5 2 2 92 2 2" xfId="56988" xr:uid="{00000000-0005-0000-0000-000036430000}"/>
    <cellStyle name="Обычный 5 2 2 92 3" xfId="14267" xr:uid="{00000000-0005-0000-0000-000037430000}"/>
    <cellStyle name="Обычный 5 2 2 92 4" xfId="19607" xr:uid="{00000000-0005-0000-0000-000038430000}"/>
    <cellStyle name="Обычный 5 2 2 92 5" xfId="24947" xr:uid="{00000000-0005-0000-0000-000039430000}"/>
    <cellStyle name="Обычный 5 2 2 92 6" xfId="30287" xr:uid="{00000000-0005-0000-0000-00003A430000}"/>
    <cellStyle name="Обычный 5 2 2 92 7" xfId="35627" xr:uid="{00000000-0005-0000-0000-00003B430000}"/>
    <cellStyle name="Обычный 5 2 2 92 8" xfId="40967" xr:uid="{00000000-0005-0000-0000-00003C430000}"/>
    <cellStyle name="Обычный 5 2 2 92 9" xfId="46307" xr:uid="{00000000-0005-0000-0000-00003D430000}"/>
    <cellStyle name="Обычный 5 2 2 93" xfId="3616" xr:uid="{00000000-0005-0000-0000-00003E430000}"/>
    <cellStyle name="Обычный 5 2 2 93 10" xfId="51679" xr:uid="{00000000-0005-0000-0000-00003F430000}"/>
    <cellStyle name="Обычный 5 2 2 93 2" xfId="8959" xr:uid="{00000000-0005-0000-0000-000040430000}"/>
    <cellStyle name="Обычный 5 2 2 93 2 2" xfId="57020" xr:uid="{00000000-0005-0000-0000-000041430000}"/>
    <cellStyle name="Обычный 5 2 2 93 3" xfId="14299" xr:uid="{00000000-0005-0000-0000-000042430000}"/>
    <cellStyle name="Обычный 5 2 2 93 4" xfId="19639" xr:uid="{00000000-0005-0000-0000-000043430000}"/>
    <cellStyle name="Обычный 5 2 2 93 5" xfId="24979" xr:uid="{00000000-0005-0000-0000-000044430000}"/>
    <cellStyle name="Обычный 5 2 2 93 6" xfId="30319" xr:uid="{00000000-0005-0000-0000-000045430000}"/>
    <cellStyle name="Обычный 5 2 2 93 7" xfId="35659" xr:uid="{00000000-0005-0000-0000-000046430000}"/>
    <cellStyle name="Обычный 5 2 2 93 8" xfId="40999" xr:uid="{00000000-0005-0000-0000-000047430000}"/>
    <cellStyle name="Обычный 5 2 2 93 9" xfId="46339" xr:uid="{00000000-0005-0000-0000-000048430000}"/>
    <cellStyle name="Обычный 5 2 2 94" xfId="3648" xr:uid="{00000000-0005-0000-0000-000049430000}"/>
    <cellStyle name="Обычный 5 2 2 94 10" xfId="51711" xr:uid="{00000000-0005-0000-0000-00004A430000}"/>
    <cellStyle name="Обычный 5 2 2 94 2" xfId="8991" xr:uid="{00000000-0005-0000-0000-00004B430000}"/>
    <cellStyle name="Обычный 5 2 2 94 2 2" xfId="57052" xr:uid="{00000000-0005-0000-0000-00004C430000}"/>
    <cellStyle name="Обычный 5 2 2 94 3" xfId="14331" xr:uid="{00000000-0005-0000-0000-00004D430000}"/>
    <cellStyle name="Обычный 5 2 2 94 4" xfId="19671" xr:uid="{00000000-0005-0000-0000-00004E430000}"/>
    <cellStyle name="Обычный 5 2 2 94 5" xfId="25011" xr:uid="{00000000-0005-0000-0000-00004F430000}"/>
    <cellStyle name="Обычный 5 2 2 94 6" xfId="30351" xr:uid="{00000000-0005-0000-0000-000050430000}"/>
    <cellStyle name="Обычный 5 2 2 94 7" xfId="35691" xr:uid="{00000000-0005-0000-0000-000051430000}"/>
    <cellStyle name="Обычный 5 2 2 94 8" xfId="41031" xr:uid="{00000000-0005-0000-0000-000052430000}"/>
    <cellStyle name="Обычный 5 2 2 94 9" xfId="46371" xr:uid="{00000000-0005-0000-0000-000053430000}"/>
    <cellStyle name="Обычный 5 2 2 95" xfId="3680" xr:uid="{00000000-0005-0000-0000-000054430000}"/>
    <cellStyle name="Обычный 5 2 2 95 10" xfId="51743" xr:uid="{00000000-0005-0000-0000-000055430000}"/>
    <cellStyle name="Обычный 5 2 2 95 2" xfId="9023" xr:uid="{00000000-0005-0000-0000-000056430000}"/>
    <cellStyle name="Обычный 5 2 2 95 2 2" xfId="57084" xr:uid="{00000000-0005-0000-0000-000057430000}"/>
    <cellStyle name="Обычный 5 2 2 95 3" xfId="14363" xr:uid="{00000000-0005-0000-0000-000058430000}"/>
    <cellStyle name="Обычный 5 2 2 95 4" xfId="19703" xr:uid="{00000000-0005-0000-0000-000059430000}"/>
    <cellStyle name="Обычный 5 2 2 95 5" xfId="25043" xr:uid="{00000000-0005-0000-0000-00005A430000}"/>
    <cellStyle name="Обычный 5 2 2 95 6" xfId="30383" xr:uid="{00000000-0005-0000-0000-00005B430000}"/>
    <cellStyle name="Обычный 5 2 2 95 7" xfId="35723" xr:uid="{00000000-0005-0000-0000-00005C430000}"/>
    <cellStyle name="Обычный 5 2 2 95 8" xfId="41063" xr:uid="{00000000-0005-0000-0000-00005D430000}"/>
    <cellStyle name="Обычный 5 2 2 95 9" xfId="46403" xr:uid="{00000000-0005-0000-0000-00005E430000}"/>
    <cellStyle name="Обычный 5 2 2 96" xfId="3712" xr:uid="{00000000-0005-0000-0000-00005F430000}"/>
    <cellStyle name="Обычный 5 2 2 96 10" xfId="51775" xr:uid="{00000000-0005-0000-0000-000060430000}"/>
    <cellStyle name="Обычный 5 2 2 96 2" xfId="9055" xr:uid="{00000000-0005-0000-0000-000061430000}"/>
    <cellStyle name="Обычный 5 2 2 96 2 2" xfId="57116" xr:uid="{00000000-0005-0000-0000-000062430000}"/>
    <cellStyle name="Обычный 5 2 2 96 3" xfId="14395" xr:uid="{00000000-0005-0000-0000-000063430000}"/>
    <cellStyle name="Обычный 5 2 2 96 4" xfId="19735" xr:uid="{00000000-0005-0000-0000-000064430000}"/>
    <cellStyle name="Обычный 5 2 2 96 5" xfId="25075" xr:uid="{00000000-0005-0000-0000-000065430000}"/>
    <cellStyle name="Обычный 5 2 2 96 6" xfId="30415" xr:uid="{00000000-0005-0000-0000-000066430000}"/>
    <cellStyle name="Обычный 5 2 2 96 7" xfId="35755" xr:uid="{00000000-0005-0000-0000-000067430000}"/>
    <cellStyle name="Обычный 5 2 2 96 8" xfId="41095" xr:uid="{00000000-0005-0000-0000-000068430000}"/>
    <cellStyle name="Обычный 5 2 2 96 9" xfId="46435" xr:uid="{00000000-0005-0000-0000-000069430000}"/>
    <cellStyle name="Обычный 5 2 2 97" xfId="3744" xr:uid="{00000000-0005-0000-0000-00006A430000}"/>
    <cellStyle name="Обычный 5 2 2 97 10" xfId="51807" xr:uid="{00000000-0005-0000-0000-00006B430000}"/>
    <cellStyle name="Обычный 5 2 2 97 2" xfId="9087" xr:uid="{00000000-0005-0000-0000-00006C430000}"/>
    <cellStyle name="Обычный 5 2 2 97 2 2" xfId="57148" xr:uid="{00000000-0005-0000-0000-00006D430000}"/>
    <cellStyle name="Обычный 5 2 2 97 3" xfId="14427" xr:uid="{00000000-0005-0000-0000-00006E430000}"/>
    <cellStyle name="Обычный 5 2 2 97 4" xfId="19767" xr:uid="{00000000-0005-0000-0000-00006F430000}"/>
    <cellStyle name="Обычный 5 2 2 97 5" xfId="25107" xr:uid="{00000000-0005-0000-0000-000070430000}"/>
    <cellStyle name="Обычный 5 2 2 97 6" xfId="30447" xr:uid="{00000000-0005-0000-0000-000071430000}"/>
    <cellStyle name="Обычный 5 2 2 97 7" xfId="35787" xr:uid="{00000000-0005-0000-0000-000072430000}"/>
    <cellStyle name="Обычный 5 2 2 97 8" xfId="41127" xr:uid="{00000000-0005-0000-0000-000073430000}"/>
    <cellStyle name="Обычный 5 2 2 97 9" xfId="46467" xr:uid="{00000000-0005-0000-0000-000074430000}"/>
    <cellStyle name="Обычный 5 2 2 98" xfId="3776" xr:uid="{00000000-0005-0000-0000-000075430000}"/>
    <cellStyle name="Обычный 5 2 2 98 10" xfId="51839" xr:uid="{00000000-0005-0000-0000-000076430000}"/>
    <cellStyle name="Обычный 5 2 2 98 2" xfId="9119" xr:uid="{00000000-0005-0000-0000-000077430000}"/>
    <cellStyle name="Обычный 5 2 2 98 2 2" xfId="57180" xr:uid="{00000000-0005-0000-0000-000078430000}"/>
    <cellStyle name="Обычный 5 2 2 98 3" xfId="14459" xr:uid="{00000000-0005-0000-0000-000079430000}"/>
    <cellStyle name="Обычный 5 2 2 98 4" xfId="19799" xr:uid="{00000000-0005-0000-0000-00007A430000}"/>
    <cellStyle name="Обычный 5 2 2 98 5" xfId="25139" xr:uid="{00000000-0005-0000-0000-00007B430000}"/>
    <cellStyle name="Обычный 5 2 2 98 6" xfId="30479" xr:uid="{00000000-0005-0000-0000-00007C430000}"/>
    <cellStyle name="Обычный 5 2 2 98 7" xfId="35819" xr:uid="{00000000-0005-0000-0000-00007D430000}"/>
    <cellStyle name="Обычный 5 2 2 98 8" xfId="41159" xr:uid="{00000000-0005-0000-0000-00007E430000}"/>
    <cellStyle name="Обычный 5 2 2 98 9" xfId="46499" xr:uid="{00000000-0005-0000-0000-00007F430000}"/>
    <cellStyle name="Обычный 5 2 2 99" xfId="3808" xr:uid="{00000000-0005-0000-0000-000080430000}"/>
    <cellStyle name="Обычный 5 2 2 99 10" xfId="51871" xr:uid="{00000000-0005-0000-0000-000081430000}"/>
    <cellStyle name="Обычный 5 2 2 99 2" xfId="9151" xr:uid="{00000000-0005-0000-0000-000082430000}"/>
    <cellStyle name="Обычный 5 2 2 99 2 2" xfId="57212" xr:uid="{00000000-0005-0000-0000-000083430000}"/>
    <cellStyle name="Обычный 5 2 2 99 3" xfId="14491" xr:uid="{00000000-0005-0000-0000-000084430000}"/>
    <cellStyle name="Обычный 5 2 2 99 4" xfId="19831" xr:uid="{00000000-0005-0000-0000-000085430000}"/>
    <cellStyle name="Обычный 5 2 2 99 5" xfId="25171" xr:uid="{00000000-0005-0000-0000-000086430000}"/>
    <cellStyle name="Обычный 5 2 2 99 6" xfId="30511" xr:uid="{00000000-0005-0000-0000-000087430000}"/>
    <cellStyle name="Обычный 5 2 2 99 7" xfId="35851" xr:uid="{00000000-0005-0000-0000-000088430000}"/>
    <cellStyle name="Обычный 5 2 2 99 8" xfId="41191" xr:uid="{00000000-0005-0000-0000-000089430000}"/>
    <cellStyle name="Обычный 5 2 2 99 9" xfId="46531" xr:uid="{00000000-0005-0000-0000-00008A430000}"/>
    <cellStyle name="Обычный 5 2 20" xfId="278" xr:uid="{00000000-0005-0000-0000-00008B430000}"/>
    <cellStyle name="Обычный 5 2 20 10" xfId="43000" xr:uid="{00000000-0005-0000-0000-00008C430000}"/>
    <cellStyle name="Обычный 5 2 20 11" xfId="48340" xr:uid="{00000000-0005-0000-0000-00008D430000}"/>
    <cellStyle name="Обычный 5 2 20 2" xfId="745" xr:uid="{00000000-0005-0000-0000-00008E430000}"/>
    <cellStyle name="Обычный 5 2 20 2 10" xfId="48807" xr:uid="{00000000-0005-0000-0000-00008F430000}"/>
    <cellStyle name="Обычный 5 2 20 2 2" xfId="6086" xr:uid="{00000000-0005-0000-0000-000090430000}"/>
    <cellStyle name="Обычный 5 2 20 2 2 2" xfId="54148" xr:uid="{00000000-0005-0000-0000-000091430000}"/>
    <cellStyle name="Обычный 5 2 20 2 3" xfId="11427" xr:uid="{00000000-0005-0000-0000-000092430000}"/>
    <cellStyle name="Обычный 5 2 20 2 4" xfId="16767" xr:uid="{00000000-0005-0000-0000-000093430000}"/>
    <cellStyle name="Обычный 5 2 20 2 5" xfId="22107" xr:uid="{00000000-0005-0000-0000-000094430000}"/>
    <cellStyle name="Обычный 5 2 20 2 6" xfId="27447" xr:uid="{00000000-0005-0000-0000-000095430000}"/>
    <cellStyle name="Обычный 5 2 20 2 7" xfId="32787" xr:uid="{00000000-0005-0000-0000-000096430000}"/>
    <cellStyle name="Обычный 5 2 20 2 8" xfId="38127" xr:uid="{00000000-0005-0000-0000-000097430000}"/>
    <cellStyle name="Обычный 5 2 20 2 9" xfId="43467" xr:uid="{00000000-0005-0000-0000-000098430000}"/>
    <cellStyle name="Обычный 5 2 20 3" xfId="5619" xr:uid="{00000000-0005-0000-0000-000099430000}"/>
    <cellStyle name="Обычный 5 2 20 3 2" xfId="53681" xr:uid="{00000000-0005-0000-0000-00009A430000}"/>
    <cellStyle name="Обычный 5 2 20 4" xfId="10960" xr:uid="{00000000-0005-0000-0000-00009B430000}"/>
    <cellStyle name="Обычный 5 2 20 5" xfId="16300" xr:uid="{00000000-0005-0000-0000-00009C430000}"/>
    <cellStyle name="Обычный 5 2 20 6" xfId="21640" xr:uid="{00000000-0005-0000-0000-00009D430000}"/>
    <cellStyle name="Обычный 5 2 20 7" xfId="26980" xr:uid="{00000000-0005-0000-0000-00009E430000}"/>
    <cellStyle name="Обычный 5 2 20 8" xfId="32320" xr:uid="{00000000-0005-0000-0000-00009F430000}"/>
    <cellStyle name="Обычный 5 2 20 9" xfId="37660" xr:uid="{00000000-0005-0000-0000-0000A0430000}"/>
    <cellStyle name="Обычный 5 2 21" xfId="288" xr:uid="{00000000-0005-0000-0000-0000A1430000}"/>
    <cellStyle name="Обычный 5 2 21 10" xfId="43010" xr:uid="{00000000-0005-0000-0000-0000A2430000}"/>
    <cellStyle name="Обычный 5 2 21 11" xfId="48350" xr:uid="{00000000-0005-0000-0000-0000A3430000}"/>
    <cellStyle name="Обычный 5 2 21 2" xfId="755" xr:uid="{00000000-0005-0000-0000-0000A4430000}"/>
    <cellStyle name="Обычный 5 2 21 2 10" xfId="48817" xr:uid="{00000000-0005-0000-0000-0000A5430000}"/>
    <cellStyle name="Обычный 5 2 21 2 2" xfId="6096" xr:uid="{00000000-0005-0000-0000-0000A6430000}"/>
    <cellStyle name="Обычный 5 2 21 2 2 2" xfId="54158" xr:uid="{00000000-0005-0000-0000-0000A7430000}"/>
    <cellStyle name="Обычный 5 2 21 2 3" xfId="11437" xr:uid="{00000000-0005-0000-0000-0000A8430000}"/>
    <cellStyle name="Обычный 5 2 21 2 4" xfId="16777" xr:uid="{00000000-0005-0000-0000-0000A9430000}"/>
    <cellStyle name="Обычный 5 2 21 2 5" xfId="22117" xr:uid="{00000000-0005-0000-0000-0000AA430000}"/>
    <cellStyle name="Обычный 5 2 21 2 6" xfId="27457" xr:uid="{00000000-0005-0000-0000-0000AB430000}"/>
    <cellStyle name="Обычный 5 2 21 2 7" xfId="32797" xr:uid="{00000000-0005-0000-0000-0000AC430000}"/>
    <cellStyle name="Обычный 5 2 21 2 8" xfId="38137" xr:uid="{00000000-0005-0000-0000-0000AD430000}"/>
    <cellStyle name="Обычный 5 2 21 2 9" xfId="43477" xr:uid="{00000000-0005-0000-0000-0000AE430000}"/>
    <cellStyle name="Обычный 5 2 21 3" xfId="5629" xr:uid="{00000000-0005-0000-0000-0000AF430000}"/>
    <cellStyle name="Обычный 5 2 21 3 2" xfId="53691" xr:uid="{00000000-0005-0000-0000-0000B0430000}"/>
    <cellStyle name="Обычный 5 2 21 4" xfId="10970" xr:uid="{00000000-0005-0000-0000-0000B1430000}"/>
    <cellStyle name="Обычный 5 2 21 5" xfId="16310" xr:uid="{00000000-0005-0000-0000-0000B2430000}"/>
    <cellStyle name="Обычный 5 2 21 6" xfId="21650" xr:uid="{00000000-0005-0000-0000-0000B3430000}"/>
    <cellStyle name="Обычный 5 2 21 7" xfId="26990" xr:uid="{00000000-0005-0000-0000-0000B4430000}"/>
    <cellStyle name="Обычный 5 2 21 8" xfId="32330" xr:uid="{00000000-0005-0000-0000-0000B5430000}"/>
    <cellStyle name="Обычный 5 2 21 9" xfId="37670" xr:uid="{00000000-0005-0000-0000-0000B6430000}"/>
    <cellStyle name="Обычный 5 2 22" xfId="298" xr:uid="{00000000-0005-0000-0000-0000B7430000}"/>
    <cellStyle name="Обычный 5 2 22 10" xfId="43020" xr:uid="{00000000-0005-0000-0000-0000B8430000}"/>
    <cellStyle name="Обычный 5 2 22 11" xfId="48360" xr:uid="{00000000-0005-0000-0000-0000B9430000}"/>
    <cellStyle name="Обычный 5 2 22 2" xfId="765" xr:uid="{00000000-0005-0000-0000-0000BA430000}"/>
    <cellStyle name="Обычный 5 2 22 2 10" xfId="48827" xr:uid="{00000000-0005-0000-0000-0000BB430000}"/>
    <cellStyle name="Обычный 5 2 22 2 2" xfId="6106" xr:uid="{00000000-0005-0000-0000-0000BC430000}"/>
    <cellStyle name="Обычный 5 2 22 2 2 2" xfId="54168" xr:uid="{00000000-0005-0000-0000-0000BD430000}"/>
    <cellStyle name="Обычный 5 2 22 2 3" xfId="11447" xr:uid="{00000000-0005-0000-0000-0000BE430000}"/>
    <cellStyle name="Обычный 5 2 22 2 4" xfId="16787" xr:uid="{00000000-0005-0000-0000-0000BF430000}"/>
    <cellStyle name="Обычный 5 2 22 2 5" xfId="22127" xr:uid="{00000000-0005-0000-0000-0000C0430000}"/>
    <cellStyle name="Обычный 5 2 22 2 6" xfId="27467" xr:uid="{00000000-0005-0000-0000-0000C1430000}"/>
    <cellStyle name="Обычный 5 2 22 2 7" xfId="32807" xr:uid="{00000000-0005-0000-0000-0000C2430000}"/>
    <cellStyle name="Обычный 5 2 22 2 8" xfId="38147" xr:uid="{00000000-0005-0000-0000-0000C3430000}"/>
    <cellStyle name="Обычный 5 2 22 2 9" xfId="43487" xr:uid="{00000000-0005-0000-0000-0000C4430000}"/>
    <cellStyle name="Обычный 5 2 22 3" xfId="5639" xr:uid="{00000000-0005-0000-0000-0000C5430000}"/>
    <cellStyle name="Обычный 5 2 22 3 2" xfId="53701" xr:uid="{00000000-0005-0000-0000-0000C6430000}"/>
    <cellStyle name="Обычный 5 2 22 4" xfId="10980" xr:uid="{00000000-0005-0000-0000-0000C7430000}"/>
    <cellStyle name="Обычный 5 2 22 5" xfId="16320" xr:uid="{00000000-0005-0000-0000-0000C8430000}"/>
    <cellStyle name="Обычный 5 2 22 6" xfId="21660" xr:uid="{00000000-0005-0000-0000-0000C9430000}"/>
    <cellStyle name="Обычный 5 2 22 7" xfId="27000" xr:uid="{00000000-0005-0000-0000-0000CA430000}"/>
    <cellStyle name="Обычный 5 2 22 8" xfId="32340" xr:uid="{00000000-0005-0000-0000-0000CB430000}"/>
    <cellStyle name="Обычный 5 2 22 9" xfId="37680" xr:uid="{00000000-0005-0000-0000-0000CC430000}"/>
    <cellStyle name="Обычный 5 2 23" xfId="308" xr:uid="{00000000-0005-0000-0000-0000CD430000}"/>
    <cellStyle name="Обычный 5 2 23 10" xfId="43030" xr:uid="{00000000-0005-0000-0000-0000CE430000}"/>
    <cellStyle name="Обычный 5 2 23 11" xfId="48370" xr:uid="{00000000-0005-0000-0000-0000CF430000}"/>
    <cellStyle name="Обычный 5 2 23 2" xfId="775" xr:uid="{00000000-0005-0000-0000-0000D0430000}"/>
    <cellStyle name="Обычный 5 2 23 2 10" xfId="48837" xr:uid="{00000000-0005-0000-0000-0000D1430000}"/>
    <cellStyle name="Обычный 5 2 23 2 2" xfId="6116" xr:uid="{00000000-0005-0000-0000-0000D2430000}"/>
    <cellStyle name="Обычный 5 2 23 2 2 2" xfId="54178" xr:uid="{00000000-0005-0000-0000-0000D3430000}"/>
    <cellStyle name="Обычный 5 2 23 2 3" xfId="11457" xr:uid="{00000000-0005-0000-0000-0000D4430000}"/>
    <cellStyle name="Обычный 5 2 23 2 4" xfId="16797" xr:uid="{00000000-0005-0000-0000-0000D5430000}"/>
    <cellStyle name="Обычный 5 2 23 2 5" xfId="22137" xr:uid="{00000000-0005-0000-0000-0000D6430000}"/>
    <cellStyle name="Обычный 5 2 23 2 6" xfId="27477" xr:uid="{00000000-0005-0000-0000-0000D7430000}"/>
    <cellStyle name="Обычный 5 2 23 2 7" xfId="32817" xr:uid="{00000000-0005-0000-0000-0000D8430000}"/>
    <cellStyle name="Обычный 5 2 23 2 8" xfId="38157" xr:uid="{00000000-0005-0000-0000-0000D9430000}"/>
    <cellStyle name="Обычный 5 2 23 2 9" xfId="43497" xr:uid="{00000000-0005-0000-0000-0000DA430000}"/>
    <cellStyle name="Обычный 5 2 23 3" xfId="5649" xr:uid="{00000000-0005-0000-0000-0000DB430000}"/>
    <cellStyle name="Обычный 5 2 23 3 2" xfId="53711" xr:uid="{00000000-0005-0000-0000-0000DC430000}"/>
    <cellStyle name="Обычный 5 2 23 4" xfId="10990" xr:uid="{00000000-0005-0000-0000-0000DD430000}"/>
    <cellStyle name="Обычный 5 2 23 5" xfId="16330" xr:uid="{00000000-0005-0000-0000-0000DE430000}"/>
    <cellStyle name="Обычный 5 2 23 6" xfId="21670" xr:uid="{00000000-0005-0000-0000-0000DF430000}"/>
    <cellStyle name="Обычный 5 2 23 7" xfId="27010" xr:uid="{00000000-0005-0000-0000-0000E0430000}"/>
    <cellStyle name="Обычный 5 2 23 8" xfId="32350" xr:uid="{00000000-0005-0000-0000-0000E1430000}"/>
    <cellStyle name="Обычный 5 2 23 9" xfId="37690" xr:uid="{00000000-0005-0000-0000-0000E2430000}"/>
    <cellStyle name="Обычный 5 2 24" xfId="318" xr:uid="{00000000-0005-0000-0000-0000E3430000}"/>
    <cellStyle name="Обычный 5 2 24 10" xfId="43040" xr:uid="{00000000-0005-0000-0000-0000E4430000}"/>
    <cellStyle name="Обычный 5 2 24 11" xfId="48380" xr:uid="{00000000-0005-0000-0000-0000E5430000}"/>
    <cellStyle name="Обычный 5 2 24 2" xfId="785" xr:uid="{00000000-0005-0000-0000-0000E6430000}"/>
    <cellStyle name="Обычный 5 2 24 2 10" xfId="48847" xr:uid="{00000000-0005-0000-0000-0000E7430000}"/>
    <cellStyle name="Обычный 5 2 24 2 2" xfId="6126" xr:uid="{00000000-0005-0000-0000-0000E8430000}"/>
    <cellStyle name="Обычный 5 2 24 2 2 2" xfId="54188" xr:uid="{00000000-0005-0000-0000-0000E9430000}"/>
    <cellStyle name="Обычный 5 2 24 2 3" xfId="11467" xr:uid="{00000000-0005-0000-0000-0000EA430000}"/>
    <cellStyle name="Обычный 5 2 24 2 4" xfId="16807" xr:uid="{00000000-0005-0000-0000-0000EB430000}"/>
    <cellStyle name="Обычный 5 2 24 2 5" xfId="22147" xr:uid="{00000000-0005-0000-0000-0000EC430000}"/>
    <cellStyle name="Обычный 5 2 24 2 6" xfId="27487" xr:uid="{00000000-0005-0000-0000-0000ED430000}"/>
    <cellStyle name="Обычный 5 2 24 2 7" xfId="32827" xr:uid="{00000000-0005-0000-0000-0000EE430000}"/>
    <cellStyle name="Обычный 5 2 24 2 8" xfId="38167" xr:uid="{00000000-0005-0000-0000-0000EF430000}"/>
    <cellStyle name="Обычный 5 2 24 2 9" xfId="43507" xr:uid="{00000000-0005-0000-0000-0000F0430000}"/>
    <cellStyle name="Обычный 5 2 24 3" xfId="5659" xr:uid="{00000000-0005-0000-0000-0000F1430000}"/>
    <cellStyle name="Обычный 5 2 24 3 2" xfId="53721" xr:uid="{00000000-0005-0000-0000-0000F2430000}"/>
    <cellStyle name="Обычный 5 2 24 4" xfId="11000" xr:uid="{00000000-0005-0000-0000-0000F3430000}"/>
    <cellStyle name="Обычный 5 2 24 5" xfId="16340" xr:uid="{00000000-0005-0000-0000-0000F4430000}"/>
    <cellStyle name="Обычный 5 2 24 6" xfId="21680" xr:uid="{00000000-0005-0000-0000-0000F5430000}"/>
    <cellStyle name="Обычный 5 2 24 7" xfId="27020" xr:uid="{00000000-0005-0000-0000-0000F6430000}"/>
    <cellStyle name="Обычный 5 2 24 8" xfId="32360" xr:uid="{00000000-0005-0000-0000-0000F7430000}"/>
    <cellStyle name="Обычный 5 2 24 9" xfId="37700" xr:uid="{00000000-0005-0000-0000-0000F8430000}"/>
    <cellStyle name="Обычный 5 2 25" xfId="328" xr:uid="{00000000-0005-0000-0000-0000F9430000}"/>
    <cellStyle name="Обычный 5 2 25 10" xfId="43050" xr:uid="{00000000-0005-0000-0000-0000FA430000}"/>
    <cellStyle name="Обычный 5 2 25 11" xfId="48390" xr:uid="{00000000-0005-0000-0000-0000FB430000}"/>
    <cellStyle name="Обычный 5 2 25 2" xfId="795" xr:uid="{00000000-0005-0000-0000-0000FC430000}"/>
    <cellStyle name="Обычный 5 2 25 2 10" xfId="48857" xr:uid="{00000000-0005-0000-0000-0000FD430000}"/>
    <cellStyle name="Обычный 5 2 25 2 2" xfId="6136" xr:uid="{00000000-0005-0000-0000-0000FE430000}"/>
    <cellStyle name="Обычный 5 2 25 2 2 2" xfId="54198" xr:uid="{00000000-0005-0000-0000-0000FF430000}"/>
    <cellStyle name="Обычный 5 2 25 2 3" xfId="11477" xr:uid="{00000000-0005-0000-0000-000000440000}"/>
    <cellStyle name="Обычный 5 2 25 2 4" xfId="16817" xr:uid="{00000000-0005-0000-0000-000001440000}"/>
    <cellStyle name="Обычный 5 2 25 2 5" xfId="22157" xr:uid="{00000000-0005-0000-0000-000002440000}"/>
    <cellStyle name="Обычный 5 2 25 2 6" xfId="27497" xr:uid="{00000000-0005-0000-0000-000003440000}"/>
    <cellStyle name="Обычный 5 2 25 2 7" xfId="32837" xr:uid="{00000000-0005-0000-0000-000004440000}"/>
    <cellStyle name="Обычный 5 2 25 2 8" xfId="38177" xr:uid="{00000000-0005-0000-0000-000005440000}"/>
    <cellStyle name="Обычный 5 2 25 2 9" xfId="43517" xr:uid="{00000000-0005-0000-0000-000006440000}"/>
    <cellStyle name="Обычный 5 2 25 3" xfId="5669" xr:uid="{00000000-0005-0000-0000-000007440000}"/>
    <cellStyle name="Обычный 5 2 25 3 2" xfId="53731" xr:uid="{00000000-0005-0000-0000-000008440000}"/>
    <cellStyle name="Обычный 5 2 25 4" xfId="11010" xr:uid="{00000000-0005-0000-0000-000009440000}"/>
    <cellStyle name="Обычный 5 2 25 5" xfId="16350" xr:uid="{00000000-0005-0000-0000-00000A440000}"/>
    <cellStyle name="Обычный 5 2 25 6" xfId="21690" xr:uid="{00000000-0005-0000-0000-00000B440000}"/>
    <cellStyle name="Обычный 5 2 25 7" xfId="27030" xr:uid="{00000000-0005-0000-0000-00000C440000}"/>
    <cellStyle name="Обычный 5 2 25 8" xfId="32370" xr:uid="{00000000-0005-0000-0000-00000D440000}"/>
    <cellStyle name="Обычный 5 2 25 9" xfId="37710" xr:uid="{00000000-0005-0000-0000-00000E440000}"/>
    <cellStyle name="Обычный 5 2 26" xfId="338" xr:uid="{00000000-0005-0000-0000-00000F440000}"/>
    <cellStyle name="Обычный 5 2 26 10" xfId="43060" xr:uid="{00000000-0005-0000-0000-000010440000}"/>
    <cellStyle name="Обычный 5 2 26 11" xfId="48400" xr:uid="{00000000-0005-0000-0000-000011440000}"/>
    <cellStyle name="Обычный 5 2 26 2" xfId="805" xr:uid="{00000000-0005-0000-0000-000012440000}"/>
    <cellStyle name="Обычный 5 2 26 2 10" xfId="48867" xr:uid="{00000000-0005-0000-0000-000013440000}"/>
    <cellStyle name="Обычный 5 2 26 2 2" xfId="6146" xr:uid="{00000000-0005-0000-0000-000014440000}"/>
    <cellStyle name="Обычный 5 2 26 2 2 2" xfId="54208" xr:uid="{00000000-0005-0000-0000-000015440000}"/>
    <cellStyle name="Обычный 5 2 26 2 3" xfId="11487" xr:uid="{00000000-0005-0000-0000-000016440000}"/>
    <cellStyle name="Обычный 5 2 26 2 4" xfId="16827" xr:uid="{00000000-0005-0000-0000-000017440000}"/>
    <cellStyle name="Обычный 5 2 26 2 5" xfId="22167" xr:uid="{00000000-0005-0000-0000-000018440000}"/>
    <cellStyle name="Обычный 5 2 26 2 6" xfId="27507" xr:uid="{00000000-0005-0000-0000-000019440000}"/>
    <cellStyle name="Обычный 5 2 26 2 7" xfId="32847" xr:uid="{00000000-0005-0000-0000-00001A440000}"/>
    <cellStyle name="Обычный 5 2 26 2 8" xfId="38187" xr:uid="{00000000-0005-0000-0000-00001B440000}"/>
    <cellStyle name="Обычный 5 2 26 2 9" xfId="43527" xr:uid="{00000000-0005-0000-0000-00001C440000}"/>
    <cellStyle name="Обычный 5 2 26 3" xfId="5679" xr:uid="{00000000-0005-0000-0000-00001D440000}"/>
    <cellStyle name="Обычный 5 2 26 3 2" xfId="53741" xr:uid="{00000000-0005-0000-0000-00001E440000}"/>
    <cellStyle name="Обычный 5 2 26 4" xfId="11020" xr:uid="{00000000-0005-0000-0000-00001F440000}"/>
    <cellStyle name="Обычный 5 2 26 5" xfId="16360" xr:uid="{00000000-0005-0000-0000-000020440000}"/>
    <cellStyle name="Обычный 5 2 26 6" xfId="21700" xr:uid="{00000000-0005-0000-0000-000021440000}"/>
    <cellStyle name="Обычный 5 2 26 7" xfId="27040" xr:uid="{00000000-0005-0000-0000-000022440000}"/>
    <cellStyle name="Обычный 5 2 26 8" xfId="32380" xr:uid="{00000000-0005-0000-0000-000023440000}"/>
    <cellStyle name="Обычный 5 2 26 9" xfId="37720" xr:uid="{00000000-0005-0000-0000-000024440000}"/>
    <cellStyle name="Обычный 5 2 27" xfId="348" xr:uid="{00000000-0005-0000-0000-000025440000}"/>
    <cellStyle name="Обычный 5 2 27 10" xfId="43070" xr:uid="{00000000-0005-0000-0000-000026440000}"/>
    <cellStyle name="Обычный 5 2 27 11" xfId="48410" xr:uid="{00000000-0005-0000-0000-000027440000}"/>
    <cellStyle name="Обычный 5 2 27 2" xfId="815" xr:uid="{00000000-0005-0000-0000-000028440000}"/>
    <cellStyle name="Обычный 5 2 27 2 10" xfId="48877" xr:uid="{00000000-0005-0000-0000-000029440000}"/>
    <cellStyle name="Обычный 5 2 27 2 2" xfId="6156" xr:uid="{00000000-0005-0000-0000-00002A440000}"/>
    <cellStyle name="Обычный 5 2 27 2 2 2" xfId="54218" xr:uid="{00000000-0005-0000-0000-00002B440000}"/>
    <cellStyle name="Обычный 5 2 27 2 3" xfId="11497" xr:uid="{00000000-0005-0000-0000-00002C440000}"/>
    <cellStyle name="Обычный 5 2 27 2 4" xfId="16837" xr:uid="{00000000-0005-0000-0000-00002D440000}"/>
    <cellStyle name="Обычный 5 2 27 2 5" xfId="22177" xr:uid="{00000000-0005-0000-0000-00002E440000}"/>
    <cellStyle name="Обычный 5 2 27 2 6" xfId="27517" xr:uid="{00000000-0005-0000-0000-00002F440000}"/>
    <cellStyle name="Обычный 5 2 27 2 7" xfId="32857" xr:uid="{00000000-0005-0000-0000-000030440000}"/>
    <cellStyle name="Обычный 5 2 27 2 8" xfId="38197" xr:uid="{00000000-0005-0000-0000-000031440000}"/>
    <cellStyle name="Обычный 5 2 27 2 9" xfId="43537" xr:uid="{00000000-0005-0000-0000-000032440000}"/>
    <cellStyle name="Обычный 5 2 27 3" xfId="5689" xr:uid="{00000000-0005-0000-0000-000033440000}"/>
    <cellStyle name="Обычный 5 2 27 3 2" xfId="53751" xr:uid="{00000000-0005-0000-0000-000034440000}"/>
    <cellStyle name="Обычный 5 2 27 4" xfId="11030" xr:uid="{00000000-0005-0000-0000-000035440000}"/>
    <cellStyle name="Обычный 5 2 27 5" xfId="16370" xr:uid="{00000000-0005-0000-0000-000036440000}"/>
    <cellStyle name="Обычный 5 2 27 6" xfId="21710" xr:uid="{00000000-0005-0000-0000-000037440000}"/>
    <cellStyle name="Обычный 5 2 27 7" xfId="27050" xr:uid="{00000000-0005-0000-0000-000038440000}"/>
    <cellStyle name="Обычный 5 2 27 8" xfId="32390" xr:uid="{00000000-0005-0000-0000-000039440000}"/>
    <cellStyle name="Обычный 5 2 27 9" xfId="37730" xr:uid="{00000000-0005-0000-0000-00003A440000}"/>
    <cellStyle name="Обычный 5 2 28" xfId="358" xr:uid="{00000000-0005-0000-0000-00003B440000}"/>
    <cellStyle name="Обычный 5 2 28 10" xfId="43080" xr:uid="{00000000-0005-0000-0000-00003C440000}"/>
    <cellStyle name="Обычный 5 2 28 11" xfId="48420" xr:uid="{00000000-0005-0000-0000-00003D440000}"/>
    <cellStyle name="Обычный 5 2 28 2" xfId="825" xr:uid="{00000000-0005-0000-0000-00003E440000}"/>
    <cellStyle name="Обычный 5 2 28 2 10" xfId="48887" xr:uid="{00000000-0005-0000-0000-00003F440000}"/>
    <cellStyle name="Обычный 5 2 28 2 2" xfId="6166" xr:uid="{00000000-0005-0000-0000-000040440000}"/>
    <cellStyle name="Обычный 5 2 28 2 2 2" xfId="54228" xr:uid="{00000000-0005-0000-0000-000041440000}"/>
    <cellStyle name="Обычный 5 2 28 2 3" xfId="11507" xr:uid="{00000000-0005-0000-0000-000042440000}"/>
    <cellStyle name="Обычный 5 2 28 2 4" xfId="16847" xr:uid="{00000000-0005-0000-0000-000043440000}"/>
    <cellStyle name="Обычный 5 2 28 2 5" xfId="22187" xr:uid="{00000000-0005-0000-0000-000044440000}"/>
    <cellStyle name="Обычный 5 2 28 2 6" xfId="27527" xr:uid="{00000000-0005-0000-0000-000045440000}"/>
    <cellStyle name="Обычный 5 2 28 2 7" xfId="32867" xr:uid="{00000000-0005-0000-0000-000046440000}"/>
    <cellStyle name="Обычный 5 2 28 2 8" xfId="38207" xr:uid="{00000000-0005-0000-0000-000047440000}"/>
    <cellStyle name="Обычный 5 2 28 2 9" xfId="43547" xr:uid="{00000000-0005-0000-0000-000048440000}"/>
    <cellStyle name="Обычный 5 2 28 3" xfId="5699" xr:uid="{00000000-0005-0000-0000-000049440000}"/>
    <cellStyle name="Обычный 5 2 28 3 2" xfId="53761" xr:uid="{00000000-0005-0000-0000-00004A440000}"/>
    <cellStyle name="Обычный 5 2 28 4" xfId="11040" xr:uid="{00000000-0005-0000-0000-00004B440000}"/>
    <cellStyle name="Обычный 5 2 28 5" xfId="16380" xr:uid="{00000000-0005-0000-0000-00004C440000}"/>
    <cellStyle name="Обычный 5 2 28 6" xfId="21720" xr:uid="{00000000-0005-0000-0000-00004D440000}"/>
    <cellStyle name="Обычный 5 2 28 7" xfId="27060" xr:uid="{00000000-0005-0000-0000-00004E440000}"/>
    <cellStyle name="Обычный 5 2 28 8" xfId="32400" xr:uid="{00000000-0005-0000-0000-00004F440000}"/>
    <cellStyle name="Обычный 5 2 28 9" xfId="37740" xr:uid="{00000000-0005-0000-0000-000050440000}"/>
    <cellStyle name="Обычный 5 2 29" xfId="368" xr:uid="{00000000-0005-0000-0000-000051440000}"/>
    <cellStyle name="Обычный 5 2 29 10" xfId="43090" xr:uid="{00000000-0005-0000-0000-000052440000}"/>
    <cellStyle name="Обычный 5 2 29 11" xfId="48430" xr:uid="{00000000-0005-0000-0000-000053440000}"/>
    <cellStyle name="Обычный 5 2 29 2" xfId="835" xr:uid="{00000000-0005-0000-0000-000054440000}"/>
    <cellStyle name="Обычный 5 2 29 2 10" xfId="48897" xr:uid="{00000000-0005-0000-0000-000055440000}"/>
    <cellStyle name="Обычный 5 2 29 2 2" xfId="6176" xr:uid="{00000000-0005-0000-0000-000056440000}"/>
    <cellStyle name="Обычный 5 2 29 2 2 2" xfId="54238" xr:uid="{00000000-0005-0000-0000-000057440000}"/>
    <cellStyle name="Обычный 5 2 29 2 3" xfId="11517" xr:uid="{00000000-0005-0000-0000-000058440000}"/>
    <cellStyle name="Обычный 5 2 29 2 4" xfId="16857" xr:uid="{00000000-0005-0000-0000-000059440000}"/>
    <cellStyle name="Обычный 5 2 29 2 5" xfId="22197" xr:uid="{00000000-0005-0000-0000-00005A440000}"/>
    <cellStyle name="Обычный 5 2 29 2 6" xfId="27537" xr:uid="{00000000-0005-0000-0000-00005B440000}"/>
    <cellStyle name="Обычный 5 2 29 2 7" xfId="32877" xr:uid="{00000000-0005-0000-0000-00005C440000}"/>
    <cellStyle name="Обычный 5 2 29 2 8" xfId="38217" xr:uid="{00000000-0005-0000-0000-00005D440000}"/>
    <cellStyle name="Обычный 5 2 29 2 9" xfId="43557" xr:uid="{00000000-0005-0000-0000-00005E440000}"/>
    <cellStyle name="Обычный 5 2 29 3" xfId="5709" xr:uid="{00000000-0005-0000-0000-00005F440000}"/>
    <cellStyle name="Обычный 5 2 29 3 2" xfId="53771" xr:uid="{00000000-0005-0000-0000-000060440000}"/>
    <cellStyle name="Обычный 5 2 29 4" xfId="11050" xr:uid="{00000000-0005-0000-0000-000061440000}"/>
    <cellStyle name="Обычный 5 2 29 5" xfId="16390" xr:uid="{00000000-0005-0000-0000-000062440000}"/>
    <cellStyle name="Обычный 5 2 29 6" xfId="21730" xr:uid="{00000000-0005-0000-0000-000063440000}"/>
    <cellStyle name="Обычный 5 2 29 7" xfId="27070" xr:uid="{00000000-0005-0000-0000-000064440000}"/>
    <cellStyle name="Обычный 5 2 29 8" xfId="32410" xr:uid="{00000000-0005-0000-0000-000065440000}"/>
    <cellStyle name="Обычный 5 2 29 9" xfId="37750" xr:uid="{00000000-0005-0000-0000-000066440000}"/>
    <cellStyle name="Обычный 5 2 3" xfId="110" xr:uid="{00000000-0005-0000-0000-000067440000}"/>
    <cellStyle name="Обычный 5 2 3 10" xfId="42832" xr:uid="{00000000-0005-0000-0000-000068440000}"/>
    <cellStyle name="Обычный 5 2 3 11" xfId="48172" xr:uid="{00000000-0005-0000-0000-000069440000}"/>
    <cellStyle name="Обычный 5 2 3 2" xfId="577" xr:uid="{00000000-0005-0000-0000-00006A440000}"/>
    <cellStyle name="Обычный 5 2 3 2 10" xfId="48639" xr:uid="{00000000-0005-0000-0000-00006B440000}"/>
    <cellStyle name="Обычный 5 2 3 2 2" xfId="5918" xr:uid="{00000000-0005-0000-0000-00006C440000}"/>
    <cellStyle name="Обычный 5 2 3 2 2 2" xfId="53980" xr:uid="{00000000-0005-0000-0000-00006D440000}"/>
    <cellStyle name="Обычный 5 2 3 2 3" xfId="11259" xr:uid="{00000000-0005-0000-0000-00006E440000}"/>
    <cellStyle name="Обычный 5 2 3 2 4" xfId="16599" xr:uid="{00000000-0005-0000-0000-00006F440000}"/>
    <cellStyle name="Обычный 5 2 3 2 5" xfId="21939" xr:uid="{00000000-0005-0000-0000-000070440000}"/>
    <cellStyle name="Обычный 5 2 3 2 6" xfId="27279" xr:uid="{00000000-0005-0000-0000-000071440000}"/>
    <cellStyle name="Обычный 5 2 3 2 7" xfId="32619" xr:uid="{00000000-0005-0000-0000-000072440000}"/>
    <cellStyle name="Обычный 5 2 3 2 8" xfId="37959" xr:uid="{00000000-0005-0000-0000-000073440000}"/>
    <cellStyle name="Обычный 5 2 3 2 9" xfId="43299" xr:uid="{00000000-0005-0000-0000-000074440000}"/>
    <cellStyle name="Обычный 5 2 3 3" xfId="5451" xr:uid="{00000000-0005-0000-0000-000075440000}"/>
    <cellStyle name="Обычный 5 2 3 3 2" xfId="53513" xr:uid="{00000000-0005-0000-0000-000076440000}"/>
    <cellStyle name="Обычный 5 2 3 4" xfId="10792" xr:uid="{00000000-0005-0000-0000-000077440000}"/>
    <cellStyle name="Обычный 5 2 3 5" xfId="16132" xr:uid="{00000000-0005-0000-0000-000078440000}"/>
    <cellStyle name="Обычный 5 2 3 6" xfId="21472" xr:uid="{00000000-0005-0000-0000-000079440000}"/>
    <cellStyle name="Обычный 5 2 3 7" xfId="26812" xr:uid="{00000000-0005-0000-0000-00007A440000}"/>
    <cellStyle name="Обычный 5 2 3 8" xfId="32152" xr:uid="{00000000-0005-0000-0000-00007B440000}"/>
    <cellStyle name="Обычный 5 2 3 9" xfId="37492" xr:uid="{00000000-0005-0000-0000-00007C440000}"/>
    <cellStyle name="Обычный 5 2 30" xfId="378" xr:uid="{00000000-0005-0000-0000-00007D440000}"/>
    <cellStyle name="Обычный 5 2 30 10" xfId="43100" xr:uid="{00000000-0005-0000-0000-00007E440000}"/>
    <cellStyle name="Обычный 5 2 30 11" xfId="48440" xr:uid="{00000000-0005-0000-0000-00007F440000}"/>
    <cellStyle name="Обычный 5 2 30 2" xfId="845" xr:uid="{00000000-0005-0000-0000-000080440000}"/>
    <cellStyle name="Обычный 5 2 30 2 10" xfId="48907" xr:uid="{00000000-0005-0000-0000-000081440000}"/>
    <cellStyle name="Обычный 5 2 30 2 2" xfId="6186" xr:uid="{00000000-0005-0000-0000-000082440000}"/>
    <cellStyle name="Обычный 5 2 30 2 2 2" xfId="54248" xr:uid="{00000000-0005-0000-0000-000083440000}"/>
    <cellStyle name="Обычный 5 2 30 2 3" xfId="11527" xr:uid="{00000000-0005-0000-0000-000084440000}"/>
    <cellStyle name="Обычный 5 2 30 2 4" xfId="16867" xr:uid="{00000000-0005-0000-0000-000085440000}"/>
    <cellStyle name="Обычный 5 2 30 2 5" xfId="22207" xr:uid="{00000000-0005-0000-0000-000086440000}"/>
    <cellStyle name="Обычный 5 2 30 2 6" xfId="27547" xr:uid="{00000000-0005-0000-0000-000087440000}"/>
    <cellStyle name="Обычный 5 2 30 2 7" xfId="32887" xr:uid="{00000000-0005-0000-0000-000088440000}"/>
    <cellStyle name="Обычный 5 2 30 2 8" xfId="38227" xr:uid="{00000000-0005-0000-0000-000089440000}"/>
    <cellStyle name="Обычный 5 2 30 2 9" xfId="43567" xr:uid="{00000000-0005-0000-0000-00008A440000}"/>
    <cellStyle name="Обычный 5 2 30 3" xfId="5719" xr:uid="{00000000-0005-0000-0000-00008B440000}"/>
    <cellStyle name="Обычный 5 2 30 3 2" xfId="53781" xr:uid="{00000000-0005-0000-0000-00008C440000}"/>
    <cellStyle name="Обычный 5 2 30 4" xfId="11060" xr:uid="{00000000-0005-0000-0000-00008D440000}"/>
    <cellStyle name="Обычный 5 2 30 5" xfId="16400" xr:uid="{00000000-0005-0000-0000-00008E440000}"/>
    <cellStyle name="Обычный 5 2 30 6" xfId="21740" xr:uid="{00000000-0005-0000-0000-00008F440000}"/>
    <cellStyle name="Обычный 5 2 30 7" xfId="27080" xr:uid="{00000000-0005-0000-0000-000090440000}"/>
    <cellStyle name="Обычный 5 2 30 8" xfId="32420" xr:uid="{00000000-0005-0000-0000-000091440000}"/>
    <cellStyle name="Обычный 5 2 30 9" xfId="37760" xr:uid="{00000000-0005-0000-0000-000092440000}"/>
    <cellStyle name="Обычный 5 2 31" xfId="388" xr:uid="{00000000-0005-0000-0000-000093440000}"/>
    <cellStyle name="Обычный 5 2 31 10" xfId="43110" xr:uid="{00000000-0005-0000-0000-000094440000}"/>
    <cellStyle name="Обычный 5 2 31 11" xfId="48450" xr:uid="{00000000-0005-0000-0000-000095440000}"/>
    <cellStyle name="Обычный 5 2 31 2" xfId="855" xr:uid="{00000000-0005-0000-0000-000096440000}"/>
    <cellStyle name="Обычный 5 2 31 2 10" xfId="48917" xr:uid="{00000000-0005-0000-0000-000097440000}"/>
    <cellStyle name="Обычный 5 2 31 2 2" xfId="6196" xr:uid="{00000000-0005-0000-0000-000098440000}"/>
    <cellStyle name="Обычный 5 2 31 2 2 2" xfId="54258" xr:uid="{00000000-0005-0000-0000-000099440000}"/>
    <cellStyle name="Обычный 5 2 31 2 3" xfId="11537" xr:uid="{00000000-0005-0000-0000-00009A440000}"/>
    <cellStyle name="Обычный 5 2 31 2 4" xfId="16877" xr:uid="{00000000-0005-0000-0000-00009B440000}"/>
    <cellStyle name="Обычный 5 2 31 2 5" xfId="22217" xr:uid="{00000000-0005-0000-0000-00009C440000}"/>
    <cellStyle name="Обычный 5 2 31 2 6" xfId="27557" xr:uid="{00000000-0005-0000-0000-00009D440000}"/>
    <cellStyle name="Обычный 5 2 31 2 7" xfId="32897" xr:uid="{00000000-0005-0000-0000-00009E440000}"/>
    <cellStyle name="Обычный 5 2 31 2 8" xfId="38237" xr:uid="{00000000-0005-0000-0000-00009F440000}"/>
    <cellStyle name="Обычный 5 2 31 2 9" xfId="43577" xr:uid="{00000000-0005-0000-0000-0000A0440000}"/>
    <cellStyle name="Обычный 5 2 31 3" xfId="5729" xr:uid="{00000000-0005-0000-0000-0000A1440000}"/>
    <cellStyle name="Обычный 5 2 31 3 2" xfId="53791" xr:uid="{00000000-0005-0000-0000-0000A2440000}"/>
    <cellStyle name="Обычный 5 2 31 4" xfId="11070" xr:uid="{00000000-0005-0000-0000-0000A3440000}"/>
    <cellStyle name="Обычный 5 2 31 5" xfId="16410" xr:uid="{00000000-0005-0000-0000-0000A4440000}"/>
    <cellStyle name="Обычный 5 2 31 6" xfId="21750" xr:uid="{00000000-0005-0000-0000-0000A5440000}"/>
    <cellStyle name="Обычный 5 2 31 7" xfId="27090" xr:uid="{00000000-0005-0000-0000-0000A6440000}"/>
    <cellStyle name="Обычный 5 2 31 8" xfId="32430" xr:uid="{00000000-0005-0000-0000-0000A7440000}"/>
    <cellStyle name="Обычный 5 2 31 9" xfId="37770" xr:uid="{00000000-0005-0000-0000-0000A8440000}"/>
    <cellStyle name="Обычный 5 2 32" xfId="398" xr:uid="{00000000-0005-0000-0000-0000A9440000}"/>
    <cellStyle name="Обычный 5 2 32 10" xfId="43120" xr:uid="{00000000-0005-0000-0000-0000AA440000}"/>
    <cellStyle name="Обычный 5 2 32 11" xfId="48460" xr:uid="{00000000-0005-0000-0000-0000AB440000}"/>
    <cellStyle name="Обычный 5 2 32 2" xfId="865" xr:uid="{00000000-0005-0000-0000-0000AC440000}"/>
    <cellStyle name="Обычный 5 2 32 2 10" xfId="48927" xr:uid="{00000000-0005-0000-0000-0000AD440000}"/>
    <cellStyle name="Обычный 5 2 32 2 2" xfId="6206" xr:uid="{00000000-0005-0000-0000-0000AE440000}"/>
    <cellStyle name="Обычный 5 2 32 2 2 2" xfId="54268" xr:uid="{00000000-0005-0000-0000-0000AF440000}"/>
    <cellStyle name="Обычный 5 2 32 2 3" xfId="11547" xr:uid="{00000000-0005-0000-0000-0000B0440000}"/>
    <cellStyle name="Обычный 5 2 32 2 4" xfId="16887" xr:uid="{00000000-0005-0000-0000-0000B1440000}"/>
    <cellStyle name="Обычный 5 2 32 2 5" xfId="22227" xr:uid="{00000000-0005-0000-0000-0000B2440000}"/>
    <cellStyle name="Обычный 5 2 32 2 6" xfId="27567" xr:uid="{00000000-0005-0000-0000-0000B3440000}"/>
    <cellStyle name="Обычный 5 2 32 2 7" xfId="32907" xr:uid="{00000000-0005-0000-0000-0000B4440000}"/>
    <cellStyle name="Обычный 5 2 32 2 8" xfId="38247" xr:uid="{00000000-0005-0000-0000-0000B5440000}"/>
    <cellStyle name="Обычный 5 2 32 2 9" xfId="43587" xr:uid="{00000000-0005-0000-0000-0000B6440000}"/>
    <cellStyle name="Обычный 5 2 32 3" xfId="5739" xr:uid="{00000000-0005-0000-0000-0000B7440000}"/>
    <cellStyle name="Обычный 5 2 32 3 2" xfId="53801" xr:uid="{00000000-0005-0000-0000-0000B8440000}"/>
    <cellStyle name="Обычный 5 2 32 4" xfId="11080" xr:uid="{00000000-0005-0000-0000-0000B9440000}"/>
    <cellStyle name="Обычный 5 2 32 5" xfId="16420" xr:uid="{00000000-0005-0000-0000-0000BA440000}"/>
    <cellStyle name="Обычный 5 2 32 6" xfId="21760" xr:uid="{00000000-0005-0000-0000-0000BB440000}"/>
    <cellStyle name="Обычный 5 2 32 7" xfId="27100" xr:uid="{00000000-0005-0000-0000-0000BC440000}"/>
    <cellStyle name="Обычный 5 2 32 8" xfId="32440" xr:uid="{00000000-0005-0000-0000-0000BD440000}"/>
    <cellStyle name="Обычный 5 2 32 9" xfId="37780" xr:uid="{00000000-0005-0000-0000-0000BE440000}"/>
    <cellStyle name="Обычный 5 2 33" xfId="408" xr:uid="{00000000-0005-0000-0000-0000BF440000}"/>
    <cellStyle name="Обычный 5 2 33 10" xfId="43130" xr:uid="{00000000-0005-0000-0000-0000C0440000}"/>
    <cellStyle name="Обычный 5 2 33 11" xfId="48470" xr:uid="{00000000-0005-0000-0000-0000C1440000}"/>
    <cellStyle name="Обычный 5 2 33 2" xfId="875" xr:uid="{00000000-0005-0000-0000-0000C2440000}"/>
    <cellStyle name="Обычный 5 2 33 2 10" xfId="48937" xr:uid="{00000000-0005-0000-0000-0000C3440000}"/>
    <cellStyle name="Обычный 5 2 33 2 2" xfId="6216" xr:uid="{00000000-0005-0000-0000-0000C4440000}"/>
    <cellStyle name="Обычный 5 2 33 2 2 2" xfId="54278" xr:uid="{00000000-0005-0000-0000-0000C5440000}"/>
    <cellStyle name="Обычный 5 2 33 2 3" xfId="11557" xr:uid="{00000000-0005-0000-0000-0000C6440000}"/>
    <cellStyle name="Обычный 5 2 33 2 4" xfId="16897" xr:uid="{00000000-0005-0000-0000-0000C7440000}"/>
    <cellStyle name="Обычный 5 2 33 2 5" xfId="22237" xr:uid="{00000000-0005-0000-0000-0000C8440000}"/>
    <cellStyle name="Обычный 5 2 33 2 6" xfId="27577" xr:uid="{00000000-0005-0000-0000-0000C9440000}"/>
    <cellStyle name="Обычный 5 2 33 2 7" xfId="32917" xr:uid="{00000000-0005-0000-0000-0000CA440000}"/>
    <cellStyle name="Обычный 5 2 33 2 8" xfId="38257" xr:uid="{00000000-0005-0000-0000-0000CB440000}"/>
    <cellStyle name="Обычный 5 2 33 2 9" xfId="43597" xr:uid="{00000000-0005-0000-0000-0000CC440000}"/>
    <cellStyle name="Обычный 5 2 33 3" xfId="5749" xr:uid="{00000000-0005-0000-0000-0000CD440000}"/>
    <cellStyle name="Обычный 5 2 33 3 2" xfId="53811" xr:uid="{00000000-0005-0000-0000-0000CE440000}"/>
    <cellStyle name="Обычный 5 2 33 4" xfId="11090" xr:uid="{00000000-0005-0000-0000-0000CF440000}"/>
    <cellStyle name="Обычный 5 2 33 5" xfId="16430" xr:uid="{00000000-0005-0000-0000-0000D0440000}"/>
    <cellStyle name="Обычный 5 2 33 6" xfId="21770" xr:uid="{00000000-0005-0000-0000-0000D1440000}"/>
    <cellStyle name="Обычный 5 2 33 7" xfId="27110" xr:uid="{00000000-0005-0000-0000-0000D2440000}"/>
    <cellStyle name="Обычный 5 2 33 8" xfId="32450" xr:uid="{00000000-0005-0000-0000-0000D3440000}"/>
    <cellStyle name="Обычный 5 2 33 9" xfId="37790" xr:uid="{00000000-0005-0000-0000-0000D4440000}"/>
    <cellStyle name="Обычный 5 2 34" xfId="418" xr:uid="{00000000-0005-0000-0000-0000D5440000}"/>
    <cellStyle name="Обычный 5 2 34 10" xfId="43140" xr:uid="{00000000-0005-0000-0000-0000D6440000}"/>
    <cellStyle name="Обычный 5 2 34 11" xfId="48480" xr:uid="{00000000-0005-0000-0000-0000D7440000}"/>
    <cellStyle name="Обычный 5 2 34 2" xfId="885" xr:uid="{00000000-0005-0000-0000-0000D8440000}"/>
    <cellStyle name="Обычный 5 2 34 2 10" xfId="48947" xr:uid="{00000000-0005-0000-0000-0000D9440000}"/>
    <cellStyle name="Обычный 5 2 34 2 2" xfId="6226" xr:uid="{00000000-0005-0000-0000-0000DA440000}"/>
    <cellStyle name="Обычный 5 2 34 2 2 2" xfId="54288" xr:uid="{00000000-0005-0000-0000-0000DB440000}"/>
    <cellStyle name="Обычный 5 2 34 2 3" xfId="11567" xr:uid="{00000000-0005-0000-0000-0000DC440000}"/>
    <cellStyle name="Обычный 5 2 34 2 4" xfId="16907" xr:uid="{00000000-0005-0000-0000-0000DD440000}"/>
    <cellStyle name="Обычный 5 2 34 2 5" xfId="22247" xr:uid="{00000000-0005-0000-0000-0000DE440000}"/>
    <cellStyle name="Обычный 5 2 34 2 6" xfId="27587" xr:uid="{00000000-0005-0000-0000-0000DF440000}"/>
    <cellStyle name="Обычный 5 2 34 2 7" xfId="32927" xr:uid="{00000000-0005-0000-0000-0000E0440000}"/>
    <cellStyle name="Обычный 5 2 34 2 8" xfId="38267" xr:uid="{00000000-0005-0000-0000-0000E1440000}"/>
    <cellStyle name="Обычный 5 2 34 2 9" xfId="43607" xr:uid="{00000000-0005-0000-0000-0000E2440000}"/>
    <cellStyle name="Обычный 5 2 34 3" xfId="5759" xr:uid="{00000000-0005-0000-0000-0000E3440000}"/>
    <cellStyle name="Обычный 5 2 34 3 2" xfId="53821" xr:uid="{00000000-0005-0000-0000-0000E4440000}"/>
    <cellStyle name="Обычный 5 2 34 4" xfId="11100" xr:uid="{00000000-0005-0000-0000-0000E5440000}"/>
    <cellStyle name="Обычный 5 2 34 5" xfId="16440" xr:uid="{00000000-0005-0000-0000-0000E6440000}"/>
    <cellStyle name="Обычный 5 2 34 6" xfId="21780" xr:uid="{00000000-0005-0000-0000-0000E7440000}"/>
    <cellStyle name="Обычный 5 2 34 7" xfId="27120" xr:uid="{00000000-0005-0000-0000-0000E8440000}"/>
    <cellStyle name="Обычный 5 2 34 8" xfId="32460" xr:uid="{00000000-0005-0000-0000-0000E9440000}"/>
    <cellStyle name="Обычный 5 2 34 9" xfId="37800" xr:uid="{00000000-0005-0000-0000-0000EA440000}"/>
    <cellStyle name="Обычный 5 2 35" xfId="430" xr:uid="{00000000-0005-0000-0000-0000EB440000}"/>
    <cellStyle name="Обычный 5 2 35 10" xfId="43152" xr:uid="{00000000-0005-0000-0000-0000EC440000}"/>
    <cellStyle name="Обычный 5 2 35 11" xfId="48492" xr:uid="{00000000-0005-0000-0000-0000ED440000}"/>
    <cellStyle name="Обычный 5 2 35 2" xfId="897" xr:uid="{00000000-0005-0000-0000-0000EE440000}"/>
    <cellStyle name="Обычный 5 2 35 2 10" xfId="48959" xr:uid="{00000000-0005-0000-0000-0000EF440000}"/>
    <cellStyle name="Обычный 5 2 35 2 2" xfId="6238" xr:uid="{00000000-0005-0000-0000-0000F0440000}"/>
    <cellStyle name="Обычный 5 2 35 2 2 2" xfId="54300" xr:uid="{00000000-0005-0000-0000-0000F1440000}"/>
    <cellStyle name="Обычный 5 2 35 2 3" xfId="11579" xr:uid="{00000000-0005-0000-0000-0000F2440000}"/>
    <cellStyle name="Обычный 5 2 35 2 4" xfId="16919" xr:uid="{00000000-0005-0000-0000-0000F3440000}"/>
    <cellStyle name="Обычный 5 2 35 2 5" xfId="22259" xr:uid="{00000000-0005-0000-0000-0000F4440000}"/>
    <cellStyle name="Обычный 5 2 35 2 6" xfId="27599" xr:uid="{00000000-0005-0000-0000-0000F5440000}"/>
    <cellStyle name="Обычный 5 2 35 2 7" xfId="32939" xr:uid="{00000000-0005-0000-0000-0000F6440000}"/>
    <cellStyle name="Обычный 5 2 35 2 8" xfId="38279" xr:uid="{00000000-0005-0000-0000-0000F7440000}"/>
    <cellStyle name="Обычный 5 2 35 2 9" xfId="43619" xr:uid="{00000000-0005-0000-0000-0000F8440000}"/>
    <cellStyle name="Обычный 5 2 35 3" xfId="5771" xr:uid="{00000000-0005-0000-0000-0000F9440000}"/>
    <cellStyle name="Обычный 5 2 35 3 2" xfId="53833" xr:uid="{00000000-0005-0000-0000-0000FA440000}"/>
    <cellStyle name="Обычный 5 2 35 4" xfId="11112" xr:uid="{00000000-0005-0000-0000-0000FB440000}"/>
    <cellStyle name="Обычный 5 2 35 5" xfId="16452" xr:uid="{00000000-0005-0000-0000-0000FC440000}"/>
    <cellStyle name="Обычный 5 2 35 6" xfId="21792" xr:uid="{00000000-0005-0000-0000-0000FD440000}"/>
    <cellStyle name="Обычный 5 2 35 7" xfId="27132" xr:uid="{00000000-0005-0000-0000-0000FE440000}"/>
    <cellStyle name="Обычный 5 2 35 8" xfId="32472" xr:uid="{00000000-0005-0000-0000-0000FF440000}"/>
    <cellStyle name="Обычный 5 2 35 9" xfId="37812" xr:uid="{00000000-0005-0000-0000-000000450000}"/>
    <cellStyle name="Обычный 5 2 36" xfId="442" xr:uid="{00000000-0005-0000-0000-000001450000}"/>
    <cellStyle name="Обычный 5 2 36 10" xfId="43164" xr:uid="{00000000-0005-0000-0000-000002450000}"/>
    <cellStyle name="Обычный 5 2 36 11" xfId="48504" xr:uid="{00000000-0005-0000-0000-000003450000}"/>
    <cellStyle name="Обычный 5 2 36 2" xfId="909" xr:uid="{00000000-0005-0000-0000-000004450000}"/>
    <cellStyle name="Обычный 5 2 36 2 10" xfId="48971" xr:uid="{00000000-0005-0000-0000-000005450000}"/>
    <cellStyle name="Обычный 5 2 36 2 2" xfId="6250" xr:uid="{00000000-0005-0000-0000-000006450000}"/>
    <cellStyle name="Обычный 5 2 36 2 2 2" xfId="54312" xr:uid="{00000000-0005-0000-0000-000007450000}"/>
    <cellStyle name="Обычный 5 2 36 2 3" xfId="11591" xr:uid="{00000000-0005-0000-0000-000008450000}"/>
    <cellStyle name="Обычный 5 2 36 2 4" xfId="16931" xr:uid="{00000000-0005-0000-0000-000009450000}"/>
    <cellStyle name="Обычный 5 2 36 2 5" xfId="22271" xr:uid="{00000000-0005-0000-0000-00000A450000}"/>
    <cellStyle name="Обычный 5 2 36 2 6" xfId="27611" xr:uid="{00000000-0005-0000-0000-00000B450000}"/>
    <cellStyle name="Обычный 5 2 36 2 7" xfId="32951" xr:uid="{00000000-0005-0000-0000-00000C450000}"/>
    <cellStyle name="Обычный 5 2 36 2 8" xfId="38291" xr:uid="{00000000-0005-0000-0000-00000D450000}"/>
    <cellStyle name="Обычный 5 2 36 2 9" xfId="43631" xr:uid="{00000000-0005-0000-0000-00000E450000}"/>
    <cellStyle name="Обычный 5 2 36 3" xfId="5783" xr:uid="{00000000-0005-0000-0000-00000F450000}"/>
    <cellStyle name="Обычный 5 2 36 3 2" xfId="53845" xr:uid="{00000000-0005-0000-0000-000010450000}"/>
    <cellStyle name="Обычный 5 2 36 4" xfId="11124" xr:uid="{00000000-0005-0000-0000-000011450000}"/>
    <cellStyle name="Обычный 5 2 36 5" xfId="16464" xr:uid="{00000000-0005-0000-0000-000012450000}"/>
    <cellStyle name="Обычный 5 2 36 6" xfId="21804" xr:uid="{00000000-0005-0000-0000-000013450000}"/>
    <cellStyle name="Обычный 5 2 36 7" xfId="27144" xr:uid="{00000000-0005-0000-0000-000014450000}"/>
    <cellStyle name="Обычный 5 2 36 8" xfId="32484" xr:uid="{00000000-0005-0000-0000-000015450000}"/>
    <cellStyle name="Обычный 5 2 36 9" xfId="37824" xr:uid="{00000000-0005-0000-0000-000016450000}"/>
    <cellStyle name="Обычный 5 2 37" xfId="454" xr:uid="{00000000-0005-0000-0000-000017450000}"/>
    <cellStyle name="Обычный 5 2 37 10" xfId="43176" xr:uid="{00000000-0005-0000-0000-000018450000}"/>
    <cellStyle name="Обычный 5 2 37 11" xfId="48516" xr:uid="{00000000-0005-0000-0000-000019450000}"/>
    <cellStyle name="Обычный 5 2 37 2" xfId="921" xr:uid="{00000000-0005-0000-0000-00001A450000}"/>
    <cellStyle name="Обычный 5 2 37 2 10" xfId="48983" xr:uid="{00000000-0005-0000-0000-00001B450000}"/>
    <cellStyle name="Обычный 5 2 37 2 2" xfId="6262" xr:uid="{00000000-0005-0000-0000-00001C450000}"/>
    <cellStyle name="Обычный 5 2 37 2 2 2" xfId="54324" xr:uid="{00000000-0005-0000-0000-00001D450000}"/>
    <cellStyle name="Обычный 5 2 37 2 3" xfId="11603" xr:uid="{00000000-0005-0000-0000-00001E450000}"/>
    <cellStyle name="Обычный 5 2 37 2 4" xfId="16943" xr:uid="{00000000-0005-0000-0000-00001F450000}"/>
    <cellStyle name="Обычный 5 2 37 2 5" xfId="22283" xr:uid="{00000000-0005-0000-0000-000020450000}"/>
    <cellStyle name="Обычный 5 2 37 2 6" xfId="27623" xr:uid="{00000000-0005-0000-0000-000021450000}"/>
    <cellStyle name="Обычный 5 2 37 2 7" xfId="32963" xr:uid="{00000000-0005-0000-0000-000022450000}"/>
    <cellStyle name="Обычный 5 2 37 2 8" xfId="38303" xr:uid="{00000000-0005-0000-0000-000023450000}"/>
    <cellStyle name="Обычный 5 2 37 2 9" xfId="43643" xr:uid="{00000000-0005-0000-0000-000024450000}"/>
    <cellStyle name="Обычный 5 2 37 3" xfId="5795" xr:uid="{00000000-0005-0000-0000-000025450000}"/>
    <cellStyle name="Обычный 5 2 37 3 2" xfId="53857" xr:uid="{00000000-0005-0000-0000-000026450000}"/>
    <cellStyle name="Обычный 5 2 37 4" xfId="11136" xr:uid="{00000000-0005-0000-0000-000027450000}"/>
    <cellStyle name="Обычный 5 2 37 5" xfId="16476" xr:uid="{00000000-0005-0000-0000-000028450000}"/>
    <cellStyle name="Обычный 5 2 37 6" xfId="21816" xr:uid="{00000000-0005-0000-0000-000029450000}"/>
    <cellStyle name="Обычный 5 2 37 7" xfId="27156" xr:uid="{00000000-0005-0000-0000-00002A450000}"/>
    <cellStyle name="Обычный 5 2 37 8" xfId="32496" xr:uid="{00000000-0005-0000-0000-00002B450000}"/>
    <cellStyle name="Обычный 5 2 37 9" xfId="37836" xr:uid="{00000000-0005-0000-0000-00002C450000}"/>
    <cellStyle name="Обычный 5 2 38" xfId="466" xr:uid="{00000000-0005-0000-0000-00002D450000}"/>
    <cellStyle name="Обычный 5 2 38 10" xfId="43188" xr:uid="{00000000-0005-0000-0000-00002E450000}"/>
    <cellStyle name="Обычный 5 2 38 11" xfId="48528" xr:uid="{00000000-0005-0000-0000-00002F450000}"/>
    <cellStyle name="Обычный 5 2 38 2" xfId="933" xr:uid="{00000000-0005-0000-0000-000030450000}"/>
    <cellStyle name="Обычный 5 2 38 2 10" xfId="48995" xr:uid="{00000000-0005-0000-0000-000031450000}"/>
    <cellStyle name="Обычный 5 2 38 2 2" xfId="6274" xr:uid="{00000000-0005-0000-0000-000032450000}"/>
    <cellStyle name="Обычный 5 2 38 2 2 2" xfId="54336" xr:uid="{00000000-0005-0000-0000-000033450000}"/>
    <cellStyle name="Обычный 5 2 38 2 3" xfId="11615" xr:uid="{00000000-0005-0000-0000-000034450000}"/>
    <cellStyle name="Обычный 5 2 38 2 4" xfId="16955" xr:uid="{00000000-0005-0000-0000-000035450000}"/>
    <cellStyle name="Обычный 5 2 38 2 5" xfId="22295" xr:uid="{00000000-0005-0000-0000-000036450000}"/>
    <cellStyle name="Обычный 5 2 38 2 6" xfId="27635" xr:uid="{00000000-0005-0000-0000-000037450000}"/>
    <cellStyle name="Обычный 5 2 38 2 7" xfId="32975" xr:uid="{00000000-0005-0000-0000-000038450000}"/>
    <cellStyle name="Обычный 5 2 38 2 8" xfId="38315" xr:uid="{00000000-0005-0000-0000-000039450000}"/>
    <cellStyle name="Обычный 5 2 38 2 9" xfId="43655" xr:uid="{00000000-0005-0000-0000-00003A450000}"/>
    <cellStyle name="Обычный 5 2 38 3" xfId="5807" xr:uid="{00000000-0005-0000-0000-00003B450000}"/>
    <cellStyle name="Обычный 5 2 38 3 2" xfId="53869" xr:uid="{00000000-0005-0000-0000-00003C450000}"/>
    <cellStyle name="Обычный 5 2 38 4" xfId="11148" xr:uid="{00000000-0005-0000-0000-00003D450000}"/>
    <cellStyle name="Обычный 5 2 38 5" xfId="16488" xr:uid="{00000000-0005-0000-0000-00003E450000}"/>
    <cellStyle name="Обычный 5 2 38 6" xfId="21828" xr:uid="{00000000-0005-0000-0000-00003F450000}"/>
    <cellStyle name="Обычный 5 2 38 7" xfId="27168" xr:uid="{00000000-0005-0000-0000-000040450000}"/>
    <cellStyle name="Обычный 5 2 38 8" xfId="32508" xr:uid="{00000000-0005-0000-0000-000041450000}"/>
    <cellStyle name="Обычный 5 2 38 9" xfId="37848" xr:uid="{00000000-0005-0000-0000-000042450000}"/>
    <cellStyle name="Обычный 5 2 39" xfId="478" xr:uid="{00000000-0005-0000-0000-000043450000}"/>
    <cellStyle name="Обычный 5 2 39 10" xfId="43200" xr:uid="{00000000-0005-0000-0000-000044450000}"/>
    <cellStyle name="Обычный 5 2 39 11" xfId="48540" xr:uid="{00000000-0005-0000-0000-000045450000}"/>
    <cellStyle name="Обычный 5 2 39 2" xfId="945" xr:uid="{00000000-0005-0000-0000-000046450000}"/>
    <cellStyle name="Обычный 5 2 39 2 10" xfId="49007" xr:uid="{00000000-0005-0000-0000-000047450000}"/>
    <cellStyle name="Обычный 5 2 39 2 2" xfId="6286" xr:uid="{00000000-0005-0000-0000-000048450000}"/>
    <cellStyle name="Обычный 5 2 39 2 2 2" xfId="54348" xr:uid="{00000000-0005-0000-0000-000049450000}"/>
    <cellStyle name="Обычный 5 2 39 2 3" xfId="11627" xr:uid="{00000000-0005-0000-0000-00004A450000}"/>
    <cellStyle name="Обычный 5 2 39 2 4" xfId="16967" xr:uid="{00000000-0005-0000-0000-00004B450000}"/>
    <cellStyle name="Обычный 5 2 39 2 5" xfId="22307" xr:uid="{00000000-0005-0000-0000-00004C450000}"/>
    <cellStyle name="Обычный 5 2 39 2 6" xfId="27647" xr:uid="{00000000-0005-0000-0000-00004D450000}"/>
    <cellStyle name="Обычный 5 2 39 2 7" xfId="32987" xr:uid="{00000000-0005-0000-0000-00004E450000}"/>
    <cellStyle name="Обычный 5 2 39 2 8" xfId="38327" xr:uid="{00000000-0005-0000-0000-00004F450000}"/>
    <cellStyle name="Обычный 5 2 39 2 9" xfId="43667" xr:uid="{00000000-0005-0000-0000-000050450000}"/>
    <cellStyle name="Обычный 5 2 39 3" xfId="5819" xr:uid="{00000000-0005-0000-0000-000051450000}"/>
    <cellStyle name="Обычный 5 2 39 3 2" xfId="53881" xr:uid="{00000000-0005-0000-0000-000052450000}"/>
    <cellStyle name="Обычный 5 2 39 4" xfId="11160" xr:uid="{00000000-0005-0000-0000-000053450000}"/>
    <cellStyle name="Обычный 5 2 39 5" xfId="16500" xr:uid="{00000000-0005-0000-0000-000054450000}"/>
    <cellStyle name="Обычный 5 2 39 6" xfId="21840" xr:uid="{00000000-0005-0000-0000-000055450000}"/>
    <cellStyle name="Обычный 5 2 39 7" xfId="27180" xr:uid="{00000000-0005-0000-0000-000056450000}"/>
    <cellStyle name="Обычный 5 2 39 8" xfId="32520" xr:uid="{00000000-0005-0000-0000-000057450000}"/>
    <cellStyle name="Обычный 5 2 39 9" xfId="37860" xr:uid="{00000000-0005-0000-0000-000058450000}"/>
    <cellStyle name="Обычный 5 2 4" xfId="118" xr:uid="{00000000-0005-0000-0000-000059450000}"/>
    <cellStyle name="Обычный 5 2 4 10" xfId="42840" xr:uid="{00000000-0005-0000-0000-00005A450000}"/>
    <cellStyle name="Обычный 5 2 4 11" xfId="48180" xr:uid="{00000000-0005-0000-0000-00005B450000}"/>
    <cellStyle name="Обычный 5 2 4 2" xfId="585" xr:uid="{00000000-0005-0000-0000-00005C450000}"/>
    <cellStyle name="Обычный 5 2 4 2 10" xfId="48647" xr:uid="{00000000-0005-0000-0000-00005D450000}"/>
    <cellStyle name="Обычный 5 2 4 2 2" xfId="5926" xr:uid="{00000000-0005-0000-0000-00005E450000}"/>
    <cellStyle name="Обычный 5 2 4 2 2 2" xfId="53988" xr:uid="{00000000-0005-0000-0000-00005F450000}"/>
    <cellStyle name="Обычный 5 2 4 2 3" xfId="11267" xr:uid="{00000000-0005-0000-0000-000060450000}"/>
    <cellStyle name="Обычный 5 2 4 2 4" xfId="16607" xr:uid="{00000000-0005-0000-0000-000061450000}"/>
    <cellStyle name="Обычный 5 2 4 2 5" xfId="21947" xr:uid="{00000000-0005-0000-0000-000062450000}"/>
    <cellStyle name="Обычный 5 2 4 2 6" xfId="27287" xr:uid="{00000000-0005-0000-0000-000063450000}"/>
    <cellStyle name="Обычный 5 2 4 2 7" xfId="32627" xr:uid="{00000000-0005-0000-0000-000064450000}"/>
    <cellStyle name="Обычный 5 2 4 2 8" xfId="37967" xr:uid="{00000000-0005-0000-0000-000065450000}"/>
    <cellStyle name="Обычный 5 2 4 2 9" xfId="43307" xr:uid="{00000000-0005-0000-0000-000066450000}"/>
    <cellStyle name="Обычный 5 2 4 3" xfId="5459" xr:uid="{00000000-0005-0000-0000-000067450000}"/>
    <cellStyle name="Обычный 5 2 4 3 2" xfId="53521" xr:uid="{00000000-0005-0000-0000-000068450000}"/>
    <cellStyle name="Обычный 5 2 4 4" xfId="10800" xr:uid="{00000000-0005-0000-0000-000069450000}"/>
    <cellStyle name="Обычный 5 2 4 5" xfId="16140" xr:uid="{00000000-0005-0000-0000-00006A450000}"/>
    <cellStyle name="Обычный 5 2 4 6" xfId="21480" xr:uid="{00000000-0005-0000-0000-00006B450000}"/>
    <cellStyle name="Обычный 5 2 4 7" xfId="26820" xr:uid="{00000000-0005-0000-0000-00006C450000}"/>
    <cellStyle name="Обычный 5 2 4 8" xfId="32160" xr:uid="{00000000-0005-0000-0000-00006D450000}"/>
    <cellStyle name="Обычный 5 2 4 9" xfId="37500" xr:uid="{00000000-0005-0000-0000-00006E450000}"/>
    <cellStyle name="Обычный 5 2 40" xfId="490" xr:uid="{00000000-0005-0000-0000-00006F450000}"/>
    <cellStyle name="Обычный 5 2 40 10" xfId="43212" xr:uid="{00000000-0005-0000-0000-000070450000}"/>
    <cellStyle name="Обычный 5 2 40 11" xfId="48552" xr:uid="{00000000-0005-0000-0000-000071450000}"/>
    <cellStyle name="Обычный 5 2 40 2" xfId="957" xr:uid="{00000000-0005-0000-0000-000072450000}"/>
    <cellStyle name="Обычный 5 2 40 2 10" xfId="49019" xr:uid="{00000000-0005-0000-0000-000073450000}"/>
    <cellStyle name="Обычный 5 2 40 2 2" xfId="6298" xr:uid="{00000000-0005-0000-0000-000074450000}"/>
    <cellStyle name="Обычный 5 2 40 2 2 2" xfId="54360" xr:uid="{00000000-0005-0000-0000-000075450000}"/>
    <cellStyle name="Обычный 5 2 40 2 3" xfId="11639" xr:uid="{00000000-0005-0000-0000-000076450000}"/>
    <cellStyle name="Обычный 5 2 40 2 4" xfId="16979" xr:uid="{00000000-0005-0000-0000-000077450000}"/>
    <cellStyle name="Обычный 5 2 40 2 5" xfId="22319" xr:uid="{00000000-0005-0000-0000-000078450000}"/>
    <cellStyle name="Обычный 5 2 40 2 6" xfId="27659" xr:uid="{00000000-0005-0000-0000-000079450000}"/>
    <cellStyle name="Обычный 5 2 40 2 7" xfId="32999" xr:uid="{00000000-0005-0000-0000-00007A450000}"/>
    <cellStyle name="Обычный 5 2 40 2 8" xfId="38339" xr:uid="{00000000-0005-0000-0000-00007B450000}"/>
    <cellStyle name="Обычный 5 2 40 2 9" xfId="43679" xr:uid="{00000000-0005-0000-0000-00007C450000}"/>
    <cellStyle name="Обычный 5 2 40 3" xfId="5831" xr:uid="{00000000-0005-0000-0000-00007D450000}"/>
    <cellStyle name="Обычный 5 2 40 3 2" xfId="53893" xr:uid="{00000000-0005-0000-0000-00007E450000}"/>
    <cellStyle name="Обычный 5 2 40 4" xfId="11172" xr:uid="{00000000-0005-0000-0000-00007F450000}"/>
    <cellStyle name="Обычный 5 2 40 5" xfId="16512" xr:uid="{00000000-0005-0000-0000-000080450000}"/>
    <cellStyle name="Обычный 5 2 40 6" xfId="21852" xr:uid="{00000000-0005-0000-0000-000081450000}"/>
    <cellStyle name="Обычный 5 2 40 7" xfId="27192" xr:uid="{00000000-0005-0000-0000-000082450000}"/>
    <cellStyle name="Обычный 5 2 40 8" xfId="32532" xr:uid="{00000000-0005-0000-0000-000083450000}"/>
    <cellStyle name="Обычный 5 2 40 9" xfId="37872" xr:uid="{00000000-0005-0000-0000-000084450000}"/>
    <cellStyle name="Обычный 5 2 41" xfId="502" xr:uid="{00000000-0005-0000-0000-000085450000}"/>
    <cellStyle name="Обычный 5 2 41 10" xfId="43224" xr:uid="{00000000-0005-0000-0000-000086450000}"/>
    <cellStyle name="Обычный 5 2 41 11" xfId="48564" xr:uid="{00000000-0005-0000-0000-000087450000}"/>
    <cellStyle name="Обычный 5 2 41 2" xfId="969" xr:uid="{00000000-0005-0000-0000-000088450000}"/>
    <cellStyle name="Обычный 5 2 41 2 10" xfId="49031" xr:uid="{00000000-0005-0000-0000-000089450000}"/>
    <cellStyle name="Обычный 5 2 41 2 2" xfId="6310" xr:uid="{00000000-0005-0000-0000-00008A450000}"/>
    <cellStyle name="Обычный 5 2 41 2 2 2" xfId="54372" xr:uid="{00000000-0005-0000-0000-00008B450000}"/>
    <cellStyle name="Обычный 5 2 41 2 3" xfId="11651" xr:uid="{00000000-0005-0000-0000-00008C450000}"/>
    <cellStyle name="Обычный 5 2 41 2 4" xfId="16991" xr:uid="{00000000-0005-0000-0000-00008D450000}"/>
    <cellStyle name="Обычный 5 2 41 2 5" xfId="22331" xr:uid="{00000000-0005-0000-0000-00008E450000}"/>
    <cellStyle name="Обычный 5 2 41 2 6" xfId="27671" xr:uid="{00000000-0005-0000-0000-00008F450000}"/>
    <cellStyle name="Обычный 5 2 41 2 7" xfId="33011" xr:uid="{00000000-0005-0000-0000-000090450000}"/>
    <cellStyle name="Обычный 5 2 41 2 8" xfId="38351" xr:uid="{00000000-0005-0000-0000-000091450000}"/>
    <cellStyle name="Обычный 5 2 41 2 9" xfId="43691" xr:uid="{00000000-0005-0000-0000-000092450000}"/>
    <cellStyle name="Обычный 5 2 41 3" xfId="5843" xr:uid="{00000000-0005-0000-0000-000093450000}"/>
    <cellStyle name="Обычный 5 2 41 3 2" xfId="53905" xr:uid="{00000000-0005-0000-0000-000094450000}"/>
    <cellStyle name="Обычный 5 2 41 4" xfId="11184" xr:uid="{00000000-0005-0000-0000-000095450000}"/>
    <cellStyle name="Обычный 5 2 41 5" xfId="16524" xr:uid="{00000000-0005-0000-0000-000096450000}"/>
    <cellStyle name="Обычный 5 2 41 6" xfId="21864" xr:uid="{00000000-0005-0000-0000-000097450000}"/>
    <cellStyle name="Обычный 5 2 41 7" xfId="27204" xr:uid="{00000000-0005-0000-0000-000098450000}"/>
    <cellStyle name="Обычный 5 2 41 8" xfId="32544" xr:uid="{00000000-0005-0000-0000-000099450000}"/>
    <cellStyle name="Обычный 5 2 41 9" xfId="37884" xr:uid="{00000000-0005-0000-0000-00009A450000}"/>
    <cellStyle name="Обычный 5 2 42" xfId="514" xr:uid="{00000000-0005-0000-0000-00009B450000}"/>
    <cellStyle name="Обычный 5 2 42 10" xfId="43236" xr:uid="{00000000-0005-0000-0000-00009C450000}"/>
    <cellStyle name="Обычный 5 2 42 11" xfId="48576" xr:uid="{00000000-0005-0000-0000-00009D450000}"/>
    <cellStyle name="Обычный 5 2 42 2" xfId="981" xr:uid="{00000000-0005-0000-0000-00009E450000}"/>
    <cellStyle name="Обычный 5 2 42 2 10" xfId="49043" xr:uid="{00000000-0005-0000-0000-00009F450000}"/>
    <cellStyle name="Обычный 5 2 42 2 2" xfId="6322" xr:uid="{00000000-0005-0000-0000-0000A0450000}"/>
    <cellStyle name="Обычный 5 2 42 2 2 2" xfId="54384" xr:uid="{00000000-0005-0000-0000-0000A1450000}"/>
    <cellStyle name="Обычный 5 2 42 2 3" xfId="11663" xr:uid="{00000000-0005-0000-0000-0000A2450000}"/>
    <cellStyle name="Обычный 5 2 42 2 4" xfId="17003" xr:uid="{00000000-0005-0000-0000-0000A3450000}"/>
    <cellStyle name="Обычный 5 2 42 2 5" xfId="22343" xr:uid="{00000000-0005-0000-0000-0000A4450000}"/>
    <cellStyle name="Обычный 5 2 42 2 6" xfId="27683" xr:uid="{00000000-0005-0000-0000-0000A5450000}"/>
    <cellStyle name="Обычный 5 2 42 2 7" xfId="33023" xr:uid="{00000000-0005-0000-0000-0000A6450000}"/>
    <cellStyle name="Обычный 5 2 42 2 8" xfId="38363" xr:uid="{00000000-0005-0000-0000-0000A7450000}"/>
    <cellStyle name="Обычный 5 2 42 2 9" xfId="43703" xr:uid="{00000000-0005-0000-0000-0000A8450000}"/>
    <cellStyle name="Обычный 5 2 42 3" xfId="5855" xr:uid="{00000000-0005-0000-0000-0000A9450000}"/>
    <cellStyle name="Обычный 5 2 42 3 2" xfId="53917" xr:uid="{00000000-0005-0000-0000-0000AA450000}"/>
    <cellStyle name="Обычный 5 2 42 4" xfId="11196" xr:uid="{00000000-0005-0000-0000-0000AB450000}"/>
    <cellStyle name="Обычный 5 2 42 5" xfId="16536" xr:uid="{00000000-0005-0000-0000-0000AC450000}"/>
    <cellStyle name="Обычный 5 2 42 6" xfId="21876" xr:uid="{00000000-0005-0000-0000-0000AD450000}"/>
    <cellStyle name="Обычный 5 2 42 7" xfId="27216" xr:uid="{00000000-0005-0000-0000-0000AE450000}"/>
    <cellStyle name="Обычный 5 2 42 8" xfId="32556" xr:uid="{00000000-0005-0000-0000-0000AF450000}"/>
    <cellStyle name="Обычный 5 2 42 9" xfId="37896" xr:uid="{00000000-0005-0000-0000-0000B0450000}"/>
    <cellStyle name="Обычный 5 2 43" xfId="541" xr:uid="{00000000-0005-0000-0000-0000B1450000}"/>
    <cellStyle name="Обычный 5 2 43 10" xfId="48603" xr:uid="{00000000-0005-0000-0000-0000B2450000}"/>
    <cellStyle name="Обычный 5 2 43 2" xfId="5882" xr:uid="{00000000-0005-0000-0000-0000B3450000}"/>
    <cellStyle name="Обычный 5 2 43 2 2" xfId="53944" xr:uid="{00000000-0005-0000-0000-0000B4450000}"/>
    <cellStyle name="Обычный 5 2 43 3" xfId="11223" xr:uid="{00000000-0005-0000-0000-0000B5450000}"/>
    <cellStyle name="Обычный 5 2 43 4" xfId="16563" xr:uid="{00000000-0005-0000-0000-0000B6450000}"/>
    <cellStyle name="Обычный 5 2 43 5" xfId="21903" xr:uid="{00000000-0005-0000-0000-0000B7450000}"/>
    <cellStyle name="Обычный 5 2 43 6" xfId="27243" xr:uid="{00000000-0005-0000-0000-0000B8450000}"/>
    <cellStyle name="Обычный 5 2 43 7" xfId="32583" xr:uid="{00000000-0005-0000-0000-0000B9450000}"/>
    <cellStyle name="Обычный 5 2 43 8" xfId="37923" xr:uid="{00000000-0005-0000-0000-0000BA450000}"/>
    <cellStyle name="Обычный 5 2 43 9" xfId="43263" xr:uid="{00000000-0005-0000-0000-0000BB450000}"/>
    <cellStyle name="Обычный 5 2 44" xfId="993" xr:uid="{00000000-0005-0000-0000-0000BC450000}"/>
    <cellStyle name="Обычный 5 2 44 10" xfId="49055" xr:uid="{00000000-0005-0000-0000-0000BD450000}"/>
    <cellStyle name="Обычный 5 2 44 2" xfId="6334" xr:uid="{00000000-0005-0000-0000-0000BE450000}"/>
    <cellStyle name="Обычный 5 2 44 2 2" xfId="54396" xr:uid="{00000000-0005-0000-0000-0000BF450000}"/>
    <cellStyle name="Обычный 5 2 44 3" xfId="11675" xr:uid="{00000000-0005-0000-0000-0000C0450000}"/>
    <cellStyle name="Обычный 5 2 44 4" xfId="17015" xr:uid="{00000000-0005-0000-0000-0000C1450000}"/>
    <cellStyle name="Обычный 5 2 44 5" xfId="22355" xr:uid="{00000000-0005-0000-0000-0000C2450000}"/>
    <cellStyle name="Обычный 5 2 44 6" xfId="27695" xr:uid="{00000000-0005-0000-0000-0000C3450000}"/>
    <cellStyle name="Обычный 5 2 44 7" xfId="33035" xr:uid="{00000000-0005-0000-0000-0000C4450000}"/>
    <cellStyle name="Обычный 5 2 44 8" xfId="38375" xr:uid="{00000000-0005-0000-0000-0000C5450000}"/>
    <cellStyle name="Обычный 5 2 44 9" xfId="43715" xr:uid="{00000000-0005-0000-0000-0000C6450000}"/>
    <cellStyle name="Обычный 5 2 45" xfId="1017" xr:uid="{00000000-0005-0000-0000-0000C7450000}"/>
    <cellStyle name="Обычный 5 2 45 10" xfId="49079" xr:uid="{00000000-0005-0000-0000-0000C8450000}"/>
    <cellStyle name="Обычный 5 2 45 2" xfId="6358" xr:uid="{00000000-0005-0000-0000-0000C9450000}"/>
    <cellStyle name="Обычный 5 2 45 2 2" xfId="54420" xr:uid="{00000000-0005-0000-0000-0000CA450000}"/>
    <cellStyle name="Обычный 5 2 45 3" xfId="11699" xr:uid="{00000000-0005-0000-0000-0000CB450000}"/>
    <cellStyle name="Обычный 5 2 45 4" xfId="17039" xr:uid="{00000000-0005-0000-0000-0000CC450000}"/>
    <cellStyle name="Обычный 5 2 45 5" xfId="22379" xr:uid="{00000000-0005-0000-0000-0000CD450000}"/>
    <cellStyle name="Обычный 5 2 45 6" xfId="27719" xr:uid="{00000000-0005-0000-0000-0000CE450000}"/>
    <cellStyle name="Обычный 5 2 45 7" xfId="33059" xr:uid="{00000000-0005-0000-0000-0000CF450000}"/>
    <cellStyle name="Обычный 5 2 45 8" xfId="38399" xr:uid="{00000000-0005-0000-0000-0000D0450000}"/>
    <cellStyle name="Обычный 5 2 45 9" xfId="43739" xr:uid="{00000000-0005-0000-0000-0000D1450000}"/>
    <cellStyle name="Обычный 5 2 46" xfId="1041" xr:uid="{00000000-0005-0000-0000-0000D2450000}"/>
    <cellStyle name="Обычный 5 2 46 10" xfId="49103" xr:uid="{00000000-0005-0000-0000-0000D3450000}"/>
    <cellStyle name="Обычный 5 2 46 2" xfId="6382" xr:uid="{00000000-0005-0000-0000-0000D4450000}"/>
    <cellStyle name="Обычный 5 2 46 2 2" xfId="54444" xr:uid="{00000000-0005-0000-0000-0000D5450000}"/>
    <cellStyle name="Обычный 5 2 46 3" xfId="11723" xr:uid="{00000000-0005-0000-0000-0000D6450000}"/>
    <cellStyle name="Обычный 5 2 46 4" xfId="17063" xr:uid="{00000000-0005-0000-0000-0000D7450000}"/>
    <cellStyle name="Обычный 5 2 46 5" xfId="22403" xr:uid="{00000000-0005-0000-0000-0000D8450000}"/>
    <cellStyle name="Обычный 5 2 46 6" xfId="27743" xr:uid="{00000000-0005-0000-0000-0000D9450000}"/>
    <cellStyle name="Обычный 5 2 46 7" xfId="33083" xr:uid="{00000000-0005-0000-0000-0000DA450000}"/>
    <cellStyle name="Обычный 5 2 46 8" xfId="38423" xr:uid="{00000000-0005-0000-0000-0000DB450000}"/>
    <cellStyle name="Обычный 5 2 46 9" xfId="43763" xr:uid="{00000000-0005-0000-0000-0000DC450000}"/>
    <cellStyle name="Обычный 5 2 47" xfId="1066" xr:uid="{00000000-0005-0000-0000-0000DD450000}"/>
    <cellStyle name="Обычный 5 2 47 10" xfId="49129" xr:uid="{00000000-0005-0000-0000-0000DE450000}"/>
    <cellStyle name="Обычный 5 2 47 2" xfId="6408" xr:uid="{00000000-0005-0000-0000-0000DF450000}"/>
    <cellStyle name="Обычный 5 2 47 2 2" xfId="54470" xr:uid="{00000000-0005-0000-0000-0000E0450000}"/>
    <cellStyle name="Обычный 5 2 47 3" xfId="11749" xr:uid="{00000000-0005-0000-0000-0000E1450000}"/>
    <cellStyle name="Обычный 5 2 47 4" xfId="17089" xr:uid="{00000000-0005-0000-0000-0000E2450000}"/>
    <cellStyle name="Обычный 5 2 47 5" xfId="22429" xr:uid="{00000000-0005-0000-0000-0000E3450000}"/>
    <cellStyle name="Обычный 5 2 47 6" xfId="27769" xr:uid="{00000000-0005-0000-0000-0000E4450000}"/>
    <cellStyle name="Обычный 5 2 47 7" xfId="33109" xr:uid="{00000000-0005-0000-0000-0000E5450000}"/>
    <cellStyle name="Обычный 5 2 47 8" xfId="38449" xr:uid="{00000000-0005-0000-0000-0000E6450000}"/>
    <cellStyle name="Обычный 5 2 47 9" xfId="43789" xr:uid="{00000000-0005-0000-0000-0000E7450000}"/>
    <cellStyle name="Обычный 5 2 48" xfId="1092" xr:uid="{00000000-0005-0000-0000-0000E8450000}"/>
    <cellStyle name="Обычный 5 2 48 10" xfId="49155" xr:uid="{00000000-0005-0000-0000-0000E9450000}"/>
    <cellStyle name="Обычный 5 2 48 2" xfId="6434" xr:uid="{00000000-0005-0000-0000-0000EA450000}"/>
    <cellStyle name="Обычный 5 2 48 2 2" xfId="54496" xr:uid="{00000000-0005-0000-0000-0000EB450000}"/>
    <cellStyle name="Обычный 5 2 48 3" xfId="11775" xr:uid="{00000000-0005-0000-0000-0000EC450000}"/>
    <cellStyle name="Обычный 5 2 48 4" xfId="17115" xr:uid="{00000000-0005-0000-0000-0000ED450000}"/>
    <cellStyle name="Обычный 5 2 48 5" xfId="22455" xr:uid="{00000000-0005-0000-0000-0000EE450000}"/>
    <cellStyle name="Обычный 5 2 48 6" xfId="27795" xr:uid="{00000000-0005-0000-0000-0000EF450000}"/>
    <cellStyle name="Обычный 5 2 48 7" xfId="33135" xr:uid="{00000000-0005-0000-0000-0000F0450000}"/>
    <cellStyle name="Обычный 5 2 48 8" xfId="38475" xr:uid="{00000000-0005-0000-0000-0000F1450000}"/>
    <cellStyle name="Обычный 5 2 48 9" xfId="43815" xr:uid="{00000000-0005-0000-0000-0000F2450000}"/>
    <cellStyle name="Обычный 5 2 49" xfId="1118" xr:uid="{00000000-0005-0000-0000-0000F3450000}"/>
    <cellStyle name="Обычный 5 2 49 10" xfId="49181" xr:uid="{00000000-0005-0000-0000-0000F4450000}"/>
    <cellStyle name="Обычный 5 2 49 2" xfId="6460" xr:uid="{00000000-0005-0000-0000-0000F5450000}"/>
    <cellStyle name="Обычный 5 2 49 2 2" xfId="54522" xr:uid="{00000000-0005-0000-0000-0000F6450000}"/>
    <cellStyle name="Обычный 5 2 49 3" xfId="11801" xr:uid="{00000000-0005-0000-0000-0000F7450000}"/>
    <cellStyle name="Обычный 5 2 49 4" xfId="17141" xr:uid="{00000000-0005-0000-0000-0000F8450000}"/>
    <cellStyle name="Обычный 5 2 49 5" xfId="22481" xr:uid="{00000000-0005-0000-0000-0000F9450000}"/>
    <cellStyle name="Обычный 5 2 49 6" xfId="27821" xr:uid="{00000000-0005-0000-0000-0000FA450000}"/>
    <cellStyle name="Обычный 5 2 49 7" xfId="33161" xr:uid="{00000000-0005-0000-0000-0000FB450000}"/>
    <cellStyle name="Обычный 5 2 49 8" xfId="38501" xr:uid="{00000000-0005-0000-0000-0000FC450000}"/>
    <cellStyle name="Обычный 5 2 49 9" xfId="43841" xr:uid="{00000000-0005-0000-0000-0000FD450000}"/>
    <cellStyle name="Обычный 5 2 5" xfId="128" xr:uid="{00000000-0005-0000-0000-0000FE450000}"/>
    <cellStyle name="Обычный 5 2 5 10" xfId="42850" xr:uid="{00000000-0005-0000-0000-0000FF450000}"/>
    <cellStyle name="Обычный 5 2 5 11" xfId="48190" xr:uid="{00000000-0005-0000-0000-000000460000}"/>
    <cellStyle name="Обычный 5 2 5 2" xfId="595" xr:uid="{00000000-0005-0000-0000-000001460000}"/>
    <cellStyle name="Обычный 5 2 5 2 10" xfId="48657" xr:uid="{00000000-0005-0000-0000-000002460000}"/>
    <cellStyle name="Обычный 5 2 5 2 2" xfId="5936" xr:uid="{00000000-0005-0000-0000-000003460000}"/>
    <cellStyle name="Обычный 5 2 5 2 2 2" xfId="53998" xr:uid="{00000000-0005-0000-0000-000004460000}"/>
    <cellStyle name="Обычный 5 2 5 2 3" xfId="11277" xr:uid="{00000000-0005-0000-0000-000005460000}"/>
    <cellStyle name="Обычный 5 2 5 2 4" xfId="16617" xr:uid="{00000000-0005-0000-0000-000006460000}"/>
    <cellStyle name="Обычный 5 2 5 2 5" xfId="21957" xr:uid="{00000000-0005-0000-0000-000007460000}"/>
    <cellStyle name="Обычный 5 2 5 2 6" xfId="27297" xr:uid="{00000000-0005-0000-0000-000008460000}"/>
    <cellStyle name="Обычный 5 2 5 2 7" xfId="32637" xr:uid="{00000000-0005-0000-0000-000009460000}"/>
    <cellStyle name="Обычный 5 2 5 2 8" xfId="37977" xr:uid="{00000000-0005-0000-0000-00000A460000}"/>
    <cellStyle name="Обычный 5 2 5 2 9" xfId="43317" xr:uid="{00000000-0005-0000-0000-00000B460000}"/>
    <cellStyle name="Обычный 5 2 5 3" xfId="5469" xr:uid="{00000000-0005-0000-0000-00000C460000}"/>
    <cellStyle name="Обычный 5 2 5 3 2" xfId="53531" xr:uid="{00000000-0005-0000-0000-00000D460000}"/>
    <cellStyle name="Обычный 5 2 5 4" xfId="10810" xr:uid="{00000000-0005-0000-0000-00000E460000}"/>
    <cellStyle name="Обычный 5 2 5 5" xfId="16150" xr:uid="{00000000-0005-0000-0000-00000F460000}"/>
    <cellStyle name="Обычный 5 2 5 6" xfId="21490" xr:uid="{00000000-0005-0000-0000-000010460000}"/>
    <cellStyle name="Обычный 5 2 5 7" xfId="26830" xr:uid="{00000000-0005-0000-0000-000011460000}"/>
    <cellStyle name="Обычный 5 2 5 8" xfId="32170" xr:uid="{00000000-0005-0000-0000-000012460000}"/>
    <cellStyle name="Обычный 5 2 5 9" xfId="37510" xr:uid="{00000000-0005-0000-0000-000013460000}"/>
    <cellStyle name="Обычный 5 2 50" xfId="1144" xr:uid="{00000000-0005-0000-0000-000014460000}"/>
    <cellStyle name="Обычный 5 2 50 10" xfId="49207" xr:uid="{00000000-0005-0000-0000-000015460000}"/>
    <cellStyle name="Обычный 5 2 50 2" xfId="6486" xr:uid="{00000000-0005-0000-0000-000016460000}"/>
    <cellStyle name="Обычный 5 2 50 2 2" xfId="54548" xr:uid="{00000000-0005-0000-0000-000017460000}"/>
    <cellStyle name="Обычный 5 2 50 3" xfId="11827" xr:uid="{00000000-0005-0000-0000-000018460000}"/>
    <cellStyle name="Обычный 5 2 50 4" xfId="17167" xr:uid="{00000000-0005-0000-0000-000019460000}"/>
    <cellStyle name="Обычный 5 2 50 5" xfId="22507" xr:uid="{00000000-0005-0000-0000-00001A460000}"/>
    <cellStyle name="Обычный 5 2 50 6" xfId="27847" xr:uid="{00000000-0005-0000-0000-00001B460000}"/>
    <cellStyle name="Обычный 5 2 50 7" xfId="33187" xr:uid="{00000000-0005-0000-0000-00001C460000}"/>
    <cellStyle name="Обычный 5 2 50 8" xfId="38527" xr:uid="{00000000-0005-0000-0000-00001D460000}"/>
    <cellStyle name="Обычный 5 2 50 9" xfId="43867" xr:uid="{00000000-0005-0000-0000-00001E460000}"/>
    <cellStyle name="Обычный 5 2 51" xfId="1170" xr:uid="{00000000-0005-0000-0000-00001F460000}"/>
    <cellStyle name="Обычный 5 2 51 10" xfId="49233" xr:uid="{00000000-0005-0000-0000-000020460000}"/>
    <cellStyle name="Обычный 5 2 51 2" xfId="6512" xr:uid="{00000000-0005-0000-0000-000021460000}"/>
    <cellStyle name="Обычный 5 2 51 2 2" xfId="54574" xr:uid="{00000000-0005-0000-0000-000022460000}"/>
    <cellStyle name="Обычный 5 2 51 3" xfId="11853" xr:uid="{00000000-0005-0000-0000-000023460000}"/>
    <cellStyle name="Обычный 5 2 51 4" xfId="17193" xr:uid="{00000000-0005-0000-0000-000024460000}"/>
    <cellStyle name="Обычный 5 2 51 5" xfId="22533" xr:uid="{00000000-0005-0000-0000-000025460000}"/>
    <cellStyle name="Обычный 5 2 51 6" xfId="27873" xr:uid="{00000000-0005-0000-0000-000026460000}"/>
    <cellStyle name="Обычный 5 2 51 7" xfId="33213" xr:uid="{00000000-0005-0000-0000-000027460000}"/>
    <cellStyle name="Обычный 5 2 51 8" xfId="38553" xr:uid="{00000000-0005-0000-0000-000028460000}"/>
    <cellStyle name="Обычный 5 2 51 9" xfId="43893" xr:uid="{00000000-0005-0000-0000-000029460000}"/>
    <cellStyle name="Обычный 5 2 52" xfId="1196" xr:uid="{00000000-0005-0000-0000-00002A460000}"/>
    <cellStyle name="Обычный 5 2 52 10" xfId="49259" xr:uid="{00000000-0005-0000-0000-00002B460000}"/>
    <cellStyle name="Обычный 5 2 52 2" xfId="6538" xr:uid="{00000000-0005-0000-0000-00002C460000}"/>
    <cellStyle name="Обычный 5 2 52 2 2" xfId="54600" xr:uid="{00000000-0005-0000-0000-00002D460000}"/>
    <cellStyle name="Обычный 5 2 52 3" xfId="11879" xr:uid="{00000000-0005-0000-0000-00002E460000}"/>
    <cellStyle name="Обычный 5 2 52 4" xfId="17219" xr:uid="{00000000-0005-0000-0000-00002F460000}"/>
    <cellStyle name="Обычный 5 2 52 5" xfId="22559" xr:uid="{00000000-0005-0000-0000-000030460000}"/>
    <cellStyle name="Обычный 5 2 52 6" xfId="27899" xr:uid="{00000000-0005-0000-0000-000031460000}"/>
    <cellStyle name="Обычный 5 2 52 7" xfId="33239" xr:uid="{00000000-0005-0000-0000-000032460000}"/>
    <cellStyle name="Обычный 5 2 52 8" xfId="38579" xr:uid="{00000000-0005-0000-0000-000033460000}"/>
    <cellStyle name="Обычный 5 2 52 9" xfId="43919" xr:uid="{00000000-0005-0000-0000-000034460000}"/>
    <cellStyle name="Обычный 5 2 53" xfId="1222" xr:uid="{00000000-0005-0000-0000-000035460000}"/>
    <cellStyle name="Обычный 5 2 53 10" xfId="49285" xr:uid="{00000000-0005-0000-0000-000036460000}"/>
    <cellStyle name="Обычный 5 2 53 2" xfId="6564" xr:uid="{00000000-0005-0000-0000-000037460000}"/>
    <cellStyle name="Обычный 5 2 53 2 2" xfId="54626" xr:uid="{00000000-0005-0000-0000-000038460000}"/>
    <cellStyle name="Обычный 5 2 53 3" xfId="11905" xr:uid="{00000000-0005-0000-0000-000039460000}"/>
    <cellStyle name="Обычный 5 2 53 4" xfId="17245" xr:uid="{00000000-0005-0000-0000-00003A460000}"/>
    <cellStyle name="Обычный 5 2 53 5" xfId="22585" xr:uid="{00000000-0005-0000-0000-00003B460000}"/>
    <cellStyle name="Обычный 5 2 53 6" xfId="27925" xr:uid="{00000000-0005-0000-0000-00003C460000}"/>
    <cellStyle name="Обычный 5 2 53 7" xfId="33265" xr:uid="{00000000-0005-0000-0000-00003D460000}"/>
    <cellStyle name="Обычный 5 2 53 8" xfId="38605" xr:uid="{00000000-0005-0000-0000-00003E460000}"/>
    <cellStyle name="Обычный 5 2 53 9" xfId="43945" xr:uid="{00000000-0005-0000-0000-00003F460000}"/>
    <cellStyle name="Обычный 5 2 54" xfId="1248" xr:uid="{00000000-0005-0000-0000-000040460000}"/>
    <cellStyle name="Обычный 5 2 54 10" xfId="49311" xr:uid="{00000000-0005-0000-0000-000041460000}"/>
    <cellStyle name="Обычный 5 2 54 2" xfId="6590" xr:uid="{00000000-0005-0000-0000-000042460000}"/>
    <cellStyle name="Обычный 5 2 54 2 2" xfId="54652" xr:uid="{00000000-0005-0000-0000-000043460000}"/>
    <cellStyle name="Обычный 5 2 54 3" xfId="11931" xr:uid="{00000000-0005-0000-0000-000044460000}"/>
    <cellStyle name="Обычный 5 2 54 4" xfId="17271" xr:uid="{00000000-0005-0000-0000-000045460000}"/>
    <cellStyle name="Обычный 5 2 54 5" xfId="22611" xr:uid="{00000000-0005-0000-0000-000046460000}"/>
    <cellStyle name="Обычный 5 2 54 6" xfId="27951" xr:uid="{00000000-0005-0000-0000-000047460000}"/>
    <cellStyle name="Обычный 5 2 54 7" xfId="33291" xr:uid="{00000000-0005-0000-0000-000048460000}"/>
    <cellStyle name="Обычный 5 2 54 8" xfId="38631" xr:uid="{00000000-0005-0000-0000-000049460000}"/>
    <cellStyle name="Обычный 5 2 54 9" xfId="43971" xr:uid="{00000000-0005-0000-0000-00004A460000}"/>
    <cellStyle name="Обычный 5 2 55" xfId="1274" xr:uid="{00000000-0005-0000-0000-00004B460000}"/>
    <cellStyle name="Обычный 5 2 55 10" xfId="49337" xr:uid="{00000000-0005-0000-0000-00004C460000}"/>
    <cellStyle name="Обычный 5 2 55 2" xfId="6616" xr:uid="{00000000-0005-0000-0000-00004D460000}"/>
    <cellStyle name="Обычный 5 2 55 2 2" xfId="54678" xr:uid="{00000000-0005-0000-0000-00004E460000}"/>
    <cellStyle name="Обычный 5 2 55 3" xfId="11957" xr:uid="{00000000-0005-0000-0000-00004F460000}"/>
    <cellStyle name="Обычный 5 2 55 4" xfId="17297" xr:uid="{00000000-0005-0000-0000-000050460000}"/>
    <cellStyle name="Обычный 5 2 55 5" xfId="22637" xr:uid="{00000000-0005-0000-0000-000051460000}"/>
    <cellStyle name="Обычный 5 2 55 6" xfId="27977" xr:uid="{00000000-0005-0000-0000-000052460000}"/>
    <cellStyle name="Обычный 5 2 55 7" xfId="33317" xr:uid="{00000000-0005-0000-0000-000053460000}"/>
    <cellStyle name="Обычный 5 2 55 8" xfId="38657" xr:uid="{00000000-0005-0000-0000-000054460000}"/>
    <cellStyle name="Обычный 5 2 55 9" xfId="43997" xr:uid="{00000000-0005-0000-0000-000055460000}"/>
    <cellStyle name="Обычный 5 2 56" xfId="1300" xr:uid="{00000000-0005-0000-0000-000056460000}"/>
    <cellStyle name="Обычный 5 2 56 10" xfId="49363" xr:uid="{00000000-0005-0000-0000-000057460000}"/>
    <cellStyle name="Обычный 5 2 56 2" xfId="6642" xr:uid="{00000000-0005-0000-0000-000058460000}"/>
    <cellStyle name="Обычный 5 2 56 2 2" xfId="54704" xr:uid="{00000000-0005-0000-0000-000059460000}"/>
    <cellStyle name="Обычный 5 2 56 3" xfId="11983" xr:uid="{00000000-0005-0000-0000-00005A460000}"/>
    <cellStyle name="Обычный 5 2 56 4" xfId="17323" xr:uid="{00000000-0005-0000-0000-00005B460000}"/>
    <cellStyle name="Обычный 5 2 56 5" xfId="22663" xr:uid="{00000000-0005-0000-0000-00005C460000}"/>
    <cellStyle name="Обычный 5 2 56 6" xfId="28003" xr:uid="{00000000-0005-0000-0000-00005D460000}"/>
    <cellStyle name="Обычный 5 2 56 7" xfId="33343" xr:uid="{00000000-0005-0000-0000-00005E460000}"/>
    <cellStyle name="Обычный 5 2 56 8" xfId="38683" xr:uid="{00000000-0005-0000-0000-00005F460000}"/>
    <cellStyle name="Обычный 5 2 56 9" xfId="44023" xr:uid="{00000000-0005-0000-0000-000060460000}"/>
    <cellStyle name="Обычный 5 2 57" xfId="1326" xr:uid="{00000000-0005-0000-0000-000061460000}"/>
    <cellStyle name="Обычный 5 2 57 10" xfId="49389" xr:uid="{00000000-0005-0000-0000-000062460000}"/>
    <cellStyle name="Обычный 5 2 57 2" xfId="6668" xr:uid="{00000000-0005-0000-0000-000063460000}"/>
    <cellStyle name="Обычный 5 2 57 2 2" xfId="54730" xr:uid="{00000000-0005-0000-0000-000064460000}"/>
    <cellStyle name="Обычный 5 2 57 3" xfId="12009" xr:uid="{00000000-0005-0000-0000-000065460000}"/>
    <cellStyle name="Обычный 5 2 57 4" xfId="17349" xr:uid="{00000000-0005-0000-0000-000066460000}"/>
    <cellStyle name="Обычный 5 2 57 5" xfId="22689" xr:uid="{00000000-0005-0000-0000-000067460000}"/>
    <cellStyle name="Обычный 5 2 57 6" xfId="28029" xr:uid="{00000000-0005-0000-0000-000068460000}"/>
    <cellStyle name="Обычный 5 2 57 7" xfId="33369" xr:uid="{00000000-0005-0000-0000-000069460000}"/>
    <cellStyle name="Обычный 5 2 57 8" xfId="38709" xr:uid="{00000000-0005-0000-0000-00006A460000}"/>
    <cellStyle name="Обычный 5 2 57 9" xfId="44049" xr:uid="{00000000-0005-0000-0000-00006B460000}"/>
    <cellStyle name="Обычный 5 2 58" xfId="1352" xr:uid="{00000000-0005-0000-0000-00006C460000}"/>
    <cellStyle name="Обычный 5 2 58 10" xfId="49415" xr:uid="{00000000-0005-0000-0000-00006D460000}"/>
    <cellStyle name="Обычный 5 2 58 2" xfId="6694" xr:uid="{00000000-0005-0000-0000-00006E460000}"/>
    <cellStyle name="Обычный 5 2 58 2 2" xfId="54756" xr:uid="{00000000-0005-0000-0000-00006F460000}"/>
    <cellStyle name="Обычный 5 2 58 3" xfId="12035" xr:uid="{00000000-0005-0000-0000-000070460000}"/>
    <cellStyle name="Обычный 5 2 58 4" xfId="17375" xr:uid="{00000000-0005-0000-0000-000071460000}"/>
    <cellStyle name="Обычный 5 2 58 5" xfId="22715" xr:uid="{00000000-0005-0000-0000-000072460000}"/>
    <cellStyle name="Обычный 5 2 58 6" xfId="28055" xr:uid="{00000000-0005-0000-0000-000073460000}"/>
    <cellStyle name="Обычный 5 2 58 7" xfId="33395" xr:uid="{00000000-0005-0000-0000-000074460000}"/>
    <cellStyle name="Обычный 5 2 58 8" xfId="38735" xr:uid="{00000000-0005-0000-0000-000075460000}"/>
    <cellStyle name="Обычный 5 2 58 9" xfId="44075" xr:uid="{00000000-0005-0000-0000-000076460000}"/>
    <cellStyle name="Обычный 5 2 59" xfId="1378" xr:uid="{00000000-0005-0000-0000-000077460000}"/>
    <cellStyle name="Обычный 5 2 59 10" xfId="49441" xr:uid="{00000000-0005-0000-0000-000078460000}"/>
    <cellStyle name="Обычный 5 2 59 2" xfId="6720" xr:uid="{00000000-0005-0000-0000-000079460000}"/>
    <cellStyle name="Обычный 5 2 59 2 2" xfId="54782" xr:uid="{00000000-0005-0000-0000-00007A460000}"/>
    <cellStyle name="Обычный 5 2 59 3" xfId="12061" xr:uid="{00000000-0005-0000-0000-00007B460000}"/>
    <cellStyle name="Обычный 5 2 59 4" xfId="17401" xr:uid="{00000000-0005-0000-0000-00007C460000}"/>
    <cellStyle name="Обычный 5 2 59 5" xfId="22741" xr:uid="{00000000-0005-0000-0000-00007D460000}"/>
    <cellStyle name="Обычный 5 2 59 6" xfId="28081" xr:uid="{00000000-0005-0000-0000-00007E460000}"/>
    <cellStyle name="Обычный 5 2 59 7" xfId="33421" xr:uid="{00000000-0005-0000-0000-00007F460000}"/>
    <cellStyle name="Обычный 5 2 59 8" xfId="38761" xr:uid="{00000000-0005-0000-0000-000080460000}"/>
    <cellStyle name="Обычный 5 2 59 9" xfId="44101" xr:uid="{00000000-0005-0000-0000-000081460000}"/>
    <cellStyle name="Обычный 5 2 6" xfId="138" xr:uid="{00000000-0005-0000-0000-000082460000}"/>
    <cellStyle name="Обычный 5 2 6 10" xfId="42860" xr:uid="{00000000-0005-0000-0000-000083460000}"/>
    <cellStyle name="Обычный 5 2 6 11" xfId="48200" xr:uid="{00000000-0005-0000-0000-000084460000}"/>
    <cellStyle name="Обычный 5 2 6 2" xfId="605" xr:uid="{00000000-0005-0000-0000-000085460000}"/>
    <cellStyle name="Обычный 5 2 6 2 10" xfId="48667" xr:uid="{00000000-0005-0000-0000-000086460000}"/>
    <cellStyle name="Обычный 5 2 6 2 2" xfId="5946" xr:uid="{00000000-0005-0000-0000-000087460000}"/>
    <cellStyle name="Обычный 5 2 6 2 2 2" xfId="54008" xr:uid="{00000000-0005-0000-0000-000088460000}"/>
    <cellStyle name="Обычный 5 2 6 2 3" xfId="11287" xr:uid="{00000000-0005-0000-0000-000089460000}"/>
    <cellStyle name="Обычный 5 2 6 2 4" xfId="16627" xr:uid="{00000000-0005-0000-0000-00008A460000}"/>
    <cellStyle name="Обычный 5 2 6 2 5" xfId="21967" xr:uid="{00000000-0005-0000-0000-00008B460000}"/>
    <cellStyle name="Обычный 5 2 6 2 6" xfId="27307" xr:uid="{00000000-0005-0000-0000-00008C460000}"/>
    <cellStyle name="Обычный 5 2 6 2 7" xfId="32647" xr:uid="{00000000-0005-0000-0000-00008D460000}"/>
    <cellStyle name="Обычный 5 2 6 2 8" xfId="37987" xr:uid="{00000000-0005-0000-0000-00008E460000}"/>
    <cellStyle name="Обычный 5 2 6 2 9" xfId="43327" xr:uid="{00000000-0005-0000-0000-00008F460000}"/>
    <cellStyle name="Обычный 5 2 6 3" xfId="5479" xr:uid="{00000000-0005-0000-0000-000090460000}"/>
    <cellStyle name="Обычный 5 2 6 3 2" xfId="53541" xr:uid="{00000000-0005-0000-0000-000091460000}"/>
    <cellStyle name="Обычный 5 2 6 4" xfId="10820" xr:uid="{00000000-0005-0000-0000-000092460000}"/>
    <cellStyle name="Обычный 5 2 6 5" xfId="16160" xr:uid="{00000000-0005-0000-0000-000093460000}"/>
    <cellStyle name="Обычный 5 2 6 6" xfId="21500" xr:uid="{00000000-0005-0000-0000-000094460000}"/>
    <cellStyle name="Обычный 5 2 6 7" xfId="26840" xr:uid="{00000000-0005-0000-0000-000095460000}"/>
    <cellStyle name="Обычный 5 2 6 8" xfId="32180" xr:uid="{00000000-0005-0000-0000-000096460000}"/>
    <cellStyle name="Обычный 5 2 6 9" xfId="37520" xr:uid="{00000000-0005-0000-0000-000097460000}"/>
    <cellStyle name="Обычный 5 2 60" xfId="1404" xr:uid="{00000000-0005-0000-0000-000098460000}"/>
    <cellStyle name="Обычный 5 2 60 10" xfId="49467" xr:uid="{00000000-0005-0000-0000-000099460000}"/>
    <cellStyle name="Обычный 5 2 60 2" xfId="6746" xr:uid="{00000000-0005-0000-0000-00009A460000}"/>
    <cellStyle name="Обычный 5 2 60 2 2" xfId="54808" xr:uid="{00000000-0005-0000-0000-00009B460000}"/>
    <cellStyle name="Обычный 5 2 60 3" xfId="12087" xr:uid="{00000000-0005-0000-0000-00009C460000}"/>
    <cellStyle name="Обычный 5 2 60 4" xfId="17427" xr:uid="{00000000-0005-0000-0000-00009D460000}"/>
    <cellStyle name="Обычный 5 2 60 5" xfId="22767" xr:uid="{00000000-0005-0000-0000-00009E460000}"/>
    <cellStyle name="Обычный 5 2 60 6" xfId="28107" xr:uid="{00000000-0005-0000-0000-00009F460000}"/>
    <cellStyle name="Обычный 5 2 60 7" xfId="33447" xr:uid="{00000000-0005-0000-0000-0000A0460000}"/>
    <cellStyle name="Обычный 5 2 60 8" xfId="38787" xr:uid="{00000000-0005-0000-0000-0000A1460000}"/>
    <cellStyle name="Обычный 5 2 60 9" xfId="44127" xr:uid="{00000000-0005-0000-0000-0000A2460000}"/>
    <cellStyle name="Обычный 5 2 61" xfId="1430" xr:uid="{00000000-0005-0000-0000-0000A3460000}"/>
    <cellStyle name="Обычный 5 2 61 10" xfId="49493" xr:uid="{00000000-0005-0000-0000-0000A4460000}"/>
    <cellStyle name="Обычный 5 2 61 2" xfId="6772" xr:uid="{00000000-0005-0000-0000-0000A5460000}"/>
    <cellStyle name="Обычный 5 2 61 2 2" xfId="54834" xr:uid="{00000000-0005-0000-0000-0000A6460000}"/>
    <cellStyle name="Обычный 5 2 61 3" xfId="12113" xr:uid="{00000000-0005-0000-0000-0000A7460000}"/>
    <cellStyle name="Обычный 5 2 61 4" xfId="17453" xr:uid="{00000000-0005-0000-0000-0000A8460000}"/>
    <cellStyle name="Обычный 5 2 61 5" xfId="22793" xr:uid="{00000000-0005-0000-0000-0000A9460000}"/>
    <cellStyle name="Обычный 5 2 61 6" xfId="28133" xr:uid="{00000000-0005-0000-0000-0000AA460000}"/>
    <cellStyle name="Обычный 5 2 61 7" xfId="33473" xr:uid="{00000000-0005-0000-0000-0000AB460000}"/>
    <cellStyle name="Обычный 5 2 61 8" xfId="38813" xr:uid="{00000000-0005-0000-0000-0000AC460000}"/>
    <cellStyle name="Обычный 5 2 61 9" xfId="44153" xr:uid="{00000000-0005-0000-0000-0000AD460000}"/>
    <cellStyle name="Обычный 5 2 62" xfId="1456" xr:uid="{00000000-0005-0000-0000-0000AE460000}"/>
    <cellStyle name="Обычный 5 2 62 10" xfId="49519" xr:uid="{00000000-0005-0000-0000-0000AF460000}"/>
    <cellStyle name="Обычный 5 2 62 2" xfId="6798" xr:uid="{00000000-0005-0000-0000-0000B0460000}"/>
    <cellStyle name="Обычный 5 2 62 2 2" xfId="54860" xr:uid="{00000000-0005-0000-0000-0000B1460000}"/>
    <cellStyle name="Обычный 5 2 62 3" xfId="12139" xr:uid="{00000000-0005-0000-0000-0000B2460000}"/>
    <cellStyle name="Обычный 5 2 62 4" xfId="17479" xr:uid="{00000000-0005-0000-0000-0000B3460000}"/>
    <cellStyle name="Обычный 5 2 62 5" xfId="22819" xr:uid="{00000000-0005-0000-0000-0000B4460000}"/>
    <cellStyle name="Обычный 5 2 62 6" xfId="28159" xr:uid="{00000000-0005-0000-0000-0000B5460000}"/>
    <cellStyle name="Обычный 5 2 62 7" xfId="33499" xr:uid="{00000000-0005-0000-0000-0000B6460000}"/>
    <cellStyle name="Обычный 5 2 62 8" xfId="38839" xr:uid="{00000000-0005-0000-0000-0000B7460000}"/>
    <cellStyle name="Обычный 5 2 62 9" xfId="44179" xr:uid="{00000000-0005-0000-0000-0000B8460000}"/>
    <cellStyle name="Обычный 5 2 63" xfId="1482" xr:uid="{00000000-0005-0000-0000-0000B9460000}"/>
    <cellStyle name="Обычный 5 2 63 10" xfId="49545" xr:uid="{00000000-0005-0000-0000-0000BA460000}"/>
    <cellStyle name="Обычный 5 2 63 2" xfId="6824" xr:uid="{00000000-0005-0000-0000-0000BB460000}"/>
    <cellStyle name="Обычный 5 2 63 2 2" xfId="54886" xr:uid="{00000000-0005-0000-0000-0000BC460000}"/>
    <cellStyle name="Обычный 5 2 63 3" xfId="12165" xr:uid="{00000000-0005-0000-0000-0000BD460000}"/>
    <cellStyle name="Обычный 5 2 63 4" xfId="17505" xr:uid="{00000000-0005-0000-0000-0000BE460000}"/>
    <cellStyle name="Обычный 5 2 63 5" xfId="22845" xr:uid="{00000000-0005-0000-0000-0000BF460000}"/>
    <cellStyle name="Обычный 5 2 63 6" xfId="28185" xr:uid="{00000000-0005-0000-0000-0000C0460000}"/>
    <cellStyle name="Обычный 5 2 63 7" xfId="33525" xr:uid="{00000000-0005-0000-0000-0000C1460000}"/>
    <cellStyle name="Обычный 5 2 63 8" xfId="38865" xr:uid="{00000000-0005-0000-0000-0000C2460000}"/>
    <cellStyle name="Обычный 5 2 63 9" xfId="44205" xr:uid="{00000000-0005-0000-0000-0000C3460000}"/>
    <cellStyle name="Обычный 5 2 64" xfId="1508" xr:uid="{00000000-0005-0000-0000-0000C4460000}"/>
    <cellStyle name="Обычный 5 2 64 10" xfId="49571" xr:uid="{00000000-0005-0000-0000-0000C5460000}"/>
    <cellStyle name="Обычный 5 2 64 2" xfId="6850" xr:uid="{00000000-0005-0000-0000-0000C6460000}"/>
    <cellStyle name="Обычный 5 2 64 2 2" xfId="54912" xr:uid="{00000000-0005-0000-0000-0000C7460000}"/>
    <cellStyle name="Обычный 5 2 64 3" xfId="12191" xr:uid="{00000000-0005-0000-0000-0000C8460000}"/>
    <cellStyle name="Обычный 5 2 64 4" xfId="17531" xr:uid="{00000000-0005-0000-0000-0000C9460000}"/>
    <cellStyle name="Обычный 5 2 64 5" xfId="22871" xr:uid="{00000000-0005-0000-0000-0000CA460000}"/>
    <cellStyle name="Обычный 5 2 64 6" xfId="28211" xr:uid="{00000000-0005-0000-0000-0000CB460000}"/>
    <cellStyle name="Обычный 5 2 64 7" xfId="33551" xr:uid="{00000000-0005-0000-0000-0000CC460000}"/>
    <cellStyle name="Обычный 5 2 64 8" xfId="38891" xr:uid="{00000000-0005-0000-0000-0000CD460000}"/>
    <cellStyle name="Обычный 5 2 64 9" xfId="44231" xr:uid="{00000000-0005-0000-0000-0000CE460000}"/>
    <cellStyle name="Обычный 5 2 65" xfId="1534" xr:uid="{00000000-0005-0000-0000-0000CF460000}"/>
    <cellStyle name="Обычный 5 2 65 10" xfId="49597" xr:uid="{00000000-0005-0000-0000-0000D0460000}"/>
    <cellStyle name="Обычный 5 2 65 2" xfId="6876" xr:uid="{00000000-0005-0000-0000-0000D1460000}"/>
    <cellStyle name="Обычный 5 2 65 2 2" xfId="54938" xr:uid="{00000000-0005-0000-0000-0000D2460000}"/>
    <cellStyle name="Обычный 5 2 65 3" xfId="12217" xr:uid="{00000000-0005-0000-0000-0000D3460000}"/>
    <cellStyle name="Обычный 5 2 65 4" xfId="17557" xr:uid="{00000000-0005-0000-0000-0000D4460000}"/>
    <cellStyle name="Обычный 5 2 65 5" xfId="22897" xr:uid="{00000000-0005-0000-0000-0000D5460000}"/>
    <cellStyle name="Обычный 5 2 65 6" xfId="28237" xr:uid="{00000000-0005-0000-0000-0000D6460000}"/>
    <cellStyle name="Обычный 5 2 65 7" xfId="33577" xr:uid="{00000000-0005-0000-0000-0000D7460000}"/>
    <cellStyle name="Обычный 5 2 65 8" xfId="38917" xr:uid="{00000000-0005-0000-0000-0000D8460000}"/>
    <cellStyle name="Обычный 5 2 65 9" xfId="44257" xr:uid="{00000000-0005-0000-0000-0000D9460000}"/>
    <cellStyle name="Обычный 5 2 66" xfId="1560" xr:uid="{00000000-0005-0000-0000-0000DA460000}"/>
    <cellStyle name="Обычный 5 2 66 10" xfId="49623" xr:uid="{00000000-0005-0000-0000-0000DB460000}"/>
    <cellStyle name="Обычный 5 2 66 2" xfId="6902" xr:uid="{00000000-0005-0000-0000-0000DC460000}"/>
    <cellStyle name="Обычный 5 2 66 2 2" xfId="54964" xr:uid="{00000000-0005-0000-0000-0000DD460000}"/>
    <cellStyle name="Обычный 5 2 66 3" xfId="12243" xr:uid="{00000000-0005-0000-0000-0000DE460000}"/>
    <cellStyle name="Обычный 5 2 66 4" xfId="17583" xr:uid="{00000000-0005-0000-0000-0000DF460000}"/>
    <cellStyle name="Обычный 5 2 66 5" xfId="22923" xr:uid="{00000000-0005-0000-0000-0000E0460000}"/>
    <cellStyle name="Обычный 5 2 66 6" xfId="28263" xr:uid="{00000000-0005-0000-0000-0000E1460000}"/>
    <cellStyle name="Обычный 5 2 66 7" xfId="33603" xr:uid="{00000000-0005-0000-0000-0000E2460000}"/>
    <cellStyle name="Обычный 5 2 66 8" xfId="38943" xr:uid="{00000000-0005-0000-0000-0000E3460000}"/>
    <cellStyle name="Обычный 5 2 66 9" xfId="44283" xr:uid="{00000000-0005-0000-0000-0000E4460000}"/>
    <cellStyle name="Обычный 5 2 67" xfId="1586" xr:uid="{00000000-0005-0000-0000-0000E5460000}"/>
    <cellStyle name="Обычный 5 2 67 10" xfId="49649" xr:uid="{00000000-0005-0000-0000-0000E6460000}"/>
    <cellStyle name="Обычный 5 2 67 2" xfId="6928" xr:uid="{00000000-0005-0000-0000-0000E7460000}"/>
    <cellStyle name="Обычный 5 2 67 2 2" xfId="54990" xr:uid="{00000000-0005-0000-0000-0000E8460000}"/>
    <cellStyle name="Обычный 5 2 67 3" xfId="12269" xr:uid="{00000000-0005-0000-0000-0000E9460000}"/>
    <cellStyle name="Обычный 5 2 67 4" xfId="17609" xr:uid="{00000000-0005-0000-0000-0000EA460000}"/>
    <cellStyle name="Обычный 5 2 67 5" xfId="22949" xr:uid="{00000000-0005-0000-0000-0000EB460000}"/>
    <cellStyle name="Обычный 5 2 67 6" xfId="28289" xr:uid="{00000000-0005-0000-0000-0000EC460000}"/>
    <cellStyle name="Обычный 5 2 67 7" xfId="33629" xr:uid="{00000000-0005-0000-0000-0000ED460000}"/>
    <cellStyle name="Обычный 5 2 67 8" xfId="38969" xr:uid="{00000000-0005-0000-0000-0000EE460000}"/>
    <cellStyle name="Обычный 5 2 67 9" xfId="44309" xr:uid="{00000000-0005-0000-0000-0000EF460000}"/>
    <cellStyle name="Обычный 5 2 68" xfId="1612" xr:uid="{00000000-0005-0000-0000-0000F0460000}"/>
    <cellStyle name="Обычный 5 2 68 10" xfId="49675" xr:uid="{00000000-0005-0000-0000-0000F1460000}"/>
    <cellStyle name="Обычный 5 2 68 2" xfId="6954" xr:uid="{00000000-0005-0000-0000-0000F2460000}"/>
    <cellStyle name="Обычный 5 2 68 2 2" xfId="55016" xr:uid="{00000000-0005-0000-0000-0000F3460000}"/>
    <cellStyle name="Обычный 5 2 68 3" xfId="12295" xr:uid="{00000000-0005-0000-0000-0000F4460000}"/>
    <cellStyle name="Обычный 5 2 68 4" xfId="17635" xr:uid="{00000000-0005-0000-0000-0000F5460000}"/>
    <cellStyle name="Обычный 5 2 68 5" xfId="22975" xr:uid="{00000000-0005-0000-0000-0000F6460000}"/>
    <cellStyle name="Обычный 5 2 68 6" xfId="28315" xr:uid="{00000000-0005-0000-0000-0000F7460000}"/>
    <cellStyle name="Обычный 5 2 68 7" xfId="33655" xr:uid="{00000000-0005-0000-0000-0000F8460000}"/>
    <cellStyle name="Обычный 5 2 68 8" xfId="38995" xr:uid="{00000000-0005-0000-0000-0000F9460000}"/>
    <cellStyle name="Обычный 5 2 68 9" xfId="44335" xr:uid="{00000000-0005-0000-0000-0000FA460000}"/>
    <cellStyle name="Обычный 5 2 69" xfId="1638" xr:uid="{00000000-0005-0000-0000-0000FB460000}"/>
    <cellStyle name="Обычный 5 2 69 10" xfId="49701" xr:uid="{00000000-0005-0000-0000-0000FC460000}"/>
    <cellStyle name="Обычный 5 2 69 2" xfId="6980" xr:uid="{00000000-0005-0000-0000-0000FD460000}"/>
    <cellStyle name="Обычный 5 2 69 2 2" xfId="55042" xr:uid="{00000000-0005-0000-0000-0000FE460000}"/>
    <cellStyle name="Обычный 5 2 69 3" xfId="12321" xr:uid="{00000000-0005-0000-0000-0000FF460000}"/>
    <cellStyle name="Обычный 5 2 69 4" xfId="17661" xr:uid="{00000000-0005-0000-0000-000000470000}"/>
    <cellStyle name="Обычный 5 2 69 5" xfId="23001" xr:uid="{00000000-0005-0000-0000-000001470000}"/>
    <cellStyle name="Обычный 5 2 69 6" xfId="28341" xr:uid="{00000000-0005-0000-0000-000002470000}"/>
    <cellStyle name="Обычный 5 2 69 7" xfId="33681" xr:uid="{00000000-0005-0000-0000-000003470000}"/>
    <cellStyle name="Обычный 5 2 69 8" xfId="39021" xr:uid="{00000000-0005-0000-0000-000004470000}"/>
    <cellStyle name="Обычный 5 2 69 9" xfId="44361" xr:uid="{00000000-0005-0000-0000-000005470000}"/>
    <cellStyle name="Обычный 5 2 7" xfId="148" xr:uid="{00000000-0005-0000-0000-000006470000}"/>
    <cellStyle name="Обычный 5 2 7 10" xfId="42870" xr:uid="{00000000-0005-0000-0000-000007470000}"/>
    <cellStyle name="Обычный 5 2 7 11" xfId="48210" xr:uid="{00000000-0005-0000-0000-000008470000}"/>
    <cellStyle name="Обычный 5 2 7 2" xfId="615" xr:uid="{00000000-0005-0000-0000-000009470000}"/>
    <cellStyle name="Обычный 5 2 7 2 10" xfId="48677" xr:uid="{00000000-0005-0000-0000-00000A470000}"/>
    <cellStyle name="Обычный 5 2 7 2 2" xfId="5956" xr:uid="{00000000-0005-0000-0000-00000B470000}"/>
    <cellStyle name="Обычный 5 2 7 2 2 2" xfId="54018" xr:uid="{00000000-0005-0000-0000-00000C470000}"/>
    <cellStyle name="Обычный 5 2 7 2 3" xfId="11297" xr:uid="{00000000-0005-0000-0000-00000D470000}"/>
    <cellStyle name="Обычный 5 2 7 2 4" xfId="16637" xr:uid="{00000000-0005-0000-0000-00000E470000}"/>
    <cellStyle name="Обычный 5 2 7 2 5" xfId="21977" xr:uid="{00000000-0005-0000-0000-00000F470000}"/>
    <cellStyle name="Обычный 5 2 7 2 6" xfId="27317" xr:uid="{00000000-0005-0000-0000-000010470000}"/>
    <cellStyle name="Обычный 5 2 7 2 7" xfId="32657" xr:uid="{00000000-0005-0000-0000-000011470000}"/>
    <cellStyle name="Обычный 5 2 7 2 8" xfId="37997" xr:uid="{00000000-0005-0000-0000-000012470000}"/>
    <cellStyle name="Обычный 5 2 7 2 9" xfId="43337" xr:uid="{00000000-0005-0000-0000-000013470000}"/>
    <cellStyle name="Обычный 5 2 7 3" xfId="5489" xr:uid="{00000000-0005-0000-0000-000014470000}"/>
    <cellStyle name="Обычный 5 2 7 3 2" xfId="53551" xr:uid="{00000000-0005-0000-0000-000015470000}"/>
    <cellStyle name="Обычный 5 2 7 4" xfId="10830" xr:uid="{00000000-0005-0000-0000-000016470000}"/>
    <cellStyle name="Обычный 5 2 7 5" xfId="16170" xr:uid="{00000000-0005-0000-0000-000017470000}"/>
    <cellStyle name="Обычный 5 2 7 6" xfId="21510" xr:uid="{00000000-0005-0000-0000-000018470000}"/>
    <cellStyle name="Обычный 5 2 7 7" xfId="26850" xr:uid="{00000000-0005-0000-0000-000019470000}"/>
    <cellStyle name="Обычный 5 2 7 8" xfId="32190" xr:uid="{00000000-0005-0000-0000-00001A470000}"/>
    <cellStyle name="Обычный 5 2 7 9" xfId="37530" xr:uid="{00000000-0005-0000-0000-00001B470000}"/>
    <cellStyle name="Обычный 5 2 70" xfId="1664" xr:uid="{00000000-0005-0000-0000-00001C470000}"/>
    <cellStyle name="Обычный 5 2 70 10" xfId="49727" xr:uid="{00000000-0005-0000-0000-00001D470000}"/>
    <cellStyle name="Обычный 5 2 70 2" xfId="7006" xr:uid="{00000000-0005-0000-0000-00001E470000}"/>
    <cellStyle name="Обычный 5 2 70 2 2" xfId="55068" xr:uid="{00000000-0005-0000-0000-00001F470000}"/>
    <cellStyle name="Обычный 5 2 70 3" xfId="12347" xr:uid="{00000000-0005-0000-0000-000020470000}"/>
    <cellStyle name="Обычный 5 2 70 4" xfId="17687" xr:uid="{00000000-0005-0000-0000-000021470000}"/>
    <cellStyle name="Обычный 5 2 70 5" xfId="23027" xr:uid="{00000000-0005-0000-0000-000022470000}"/>
    <cellStyle name="Обычный 5 2 70 6" xfId="28367" xr:uid="{00000000-0005-0000-0000-000023470000}"/>
    <cellStyle name="Обычный 5 2 70 7" xfId="33707" xr:uid="{00000000-0005-0000-0000-000024470000}"/>
    <cellStyle name="Обычный 5 2 70 8" xfId="39047" xr:uid="{00000000-0005-0000-0000-000025470000}"/>
    <cellStyle name="Обычный 5 2 70 9" xfId="44387" xr:uid="{00000000-0005-0000-0000-000026470000}"/>
    <cellStyle name="Обычный 5 2 71" xfId="1690" xr:uid="{00000000-0005-0000-0000-000027470000}"/>
    <cellStyle name="Обычный 5 2 71 10" xfId="49753" xr:uid="{00000000-0005-0000-0000-000028470000}"/>
    <cellStyle name="Обычный 5 2 71 2" xfId="7032" xr:uid="{00000000-0005-0000-0000-000029470000}"/>
    <cellStyle name="Обычный 5 2 71 2 2" xfId="55094" xr:uid="{00000000-0005-0000-0000-00002A470000}"/>
    <cellStyle name="Обычный 5 2 71 3" xfId="12373" xr:uid="{00000000-0005-0000-0000-00002B470000}"/>
    <cellStyle name="Обычный 5 2 71 4" xfId="17713" xr:uid="{00000000-0005-0000-0000-00002C470000}"/>
    <cellStyle name="Обычный 5 2 71 5" xfId="23053" xr:uid="{00000000-0005-0000-0000-00002D470000}"/>
    <cellStyle name="Обычный 5 2 71 6" xfId="28393" xr:uid="{00000000-0005-0000-0000-00002E470000}"/>
    <cellStyle name="Обычный 5 2 71 7" xfId="33733" xr:uid="{00000000-0005-0000-0000-00002F470000}"/>
    <cellStyle name="Обычный 5 2 71 8" xfId="39073" xr:uid="{00000000-0005-0000-0000-000030470000}"/>
    <cellStyle name="Обычный 5 2 71 9" xfId="44413" xr:uid="{00000000-0005-0000-0000-000031470000}"/>
    <cellStyle name="Обычный 5 2 72" xfId="1716" xr:uid="{00000000-0005-0000-0000-000032470000}"/>
    <cellStyle name="Обычный 5 2 72 10" xfId="49779" xr:uid="{00000000-0005-0000-0000-000033470000}"/>
    <cellStyle name="Обычный 5 2 72 2" xfId="7058" xr:uid="{00000000-0005-0000-0000-000034470000}"/>
    <cellStyle name="Обычный 5 2 72 2 2" xfId="55120" xr:uid="{00000000-0005-0000-0000-000035470000}"/>
    <cellStyle name="Обычный 5 2 72 3" xfId="12399" xr:uid="{00000000-0005-0000-0000-000036470000}"/>
    <cellStyle name="Обычный 5 2 72 4" xfId="17739" xr:uid="{00000000-0005-0000-0000-000037470000}"/>
    <cellStyle name="Обычный 5 2 72 5" xfId="23079" xr:uid="{00000000-0005-0000-0000-000038470000}"/>
    <cellStyle name="Обычный 5 2 72 6" xfId="28419" xr:uid="{00000000-0005-0000-0000-000039470000}"/>
    <cellStyle name="Обычный 5 2 72 7" xfId="33759" xr:uid="{00000000-0005-0000-0000-00003A470000}"/>
    <cellStyle name="Обычный 5 2 72 8" xfId="39099" xr:uid="{00000000-0005-0000-0000-00003B470000}"/>
    <cellStyle name="Обычный 5 2 72 9" xfId="44439" xr:uid="{00000000-0005-0000-0000-00003C470000}"/>
    <cellStyle name="Обычный 5 2 73" xfId="1742" xr:uid="{00000000-0005-0000-0000-00003D470000}"/>
    <cellStyle name="Обычный 5 2 73 10" xfId="49805" xr:uid="{00000000-0005-0000-0000-00003E470000}"/>
    <cellStyle name="Обычный 5 2 73 2" xfId="7084" xr:uid="{00000000-0005-0000-0000-00003F470000}"/>
    <cellStyle name="Обычный 5 2 73 2 2" xfId="55146" xr:uid="{00000000-0005-0000-0000-000040470000}"/>
    <cellStyle name="Обычный 5 2 73 3" xfId="12425" xr:uid="{00000000-0005-0000-0000-000041470000}"/>
    <cellStyle name="Обычный 5 2 73 4" xfId="17765" xr:uid="{00000000-0005-0000-0000-000042470000}"/>
    <cellStyle name="Обычный 5 2 73 5" xfId="23105" xr:uid="{00000000-0005-0000-0000-000043470000}"/>
    <cellStyle name="Обычный 5 2 73 6" xfId="28445" xr:uid="{00000000-0005-0000-0000-000044470000}"/>
    <cellStyle name="Обычный 5 2 73 7" xfId="33785" xr:uid="{00000000-0005-0000-0000-000045470000}"/>
    <cellStyle name="Обычный 5 2 73 8" xfId="39125" xr:uid="{00000000-0005-0000-0000-000046470000}"/>
    <cellStyle name="Обычный 5 2 73 9" xfId="44465" xr:uid="{00000000-0005-0000-0000-000047470000}"/>
    <cellStyle name="Обычный 5 2 74" xfId="1768" xr:uid="{00000000-0005-0000-0000-000048470000}"/>
    <cellStyle name="Обычный 5 2 74 10" xfId="49831" xr:uid="{00000000-0005-0000-0000-000049470000}"/>
    <cellStyle name="Обычный 5 2 74 2" xfId="7110" xr:uid="{00000000-0005-0000-0000-00004A470000}"/>
    <cellStyle name="Обычный 5 2 74 2 2" xfId="55172" xr:uid="{00000000-0005-0000-0000-00004B470000}"/>
    <cellStyle name="Обычный 5 2 74 3" xfId="12451" xr:uid="{00000000-0005-0000-0000-00004C470000}"/>
    <cellStyle name="Обычный 5 2 74 4" xfId="17791" xr:uid="{00000000-0005-0000-0000-00004D470000}"/>
    <cellStyle name="Обычный 5 2 74 5" xfId="23131" xr:uid="{00000000-0005-0000-0000-00004E470000}"/>
    <cellStyle name="Обычный 5 2 74 6" xfId="28471" xr:uid="{00000000-0005-0000-0000-00004F470000}"/>
    <cellStyle name="Обычный 5 2 74 7" xfId="33811" xr:uid="{00000000-0005-0000-0000-000050470000}"/>
    <cellStyle name="Обычный 5 2 74 8" xfId="39151" xr:uid="{00000000-0005-0000-0000-000051470000}"/>
    <cellStyle name="Обычный 5 2 74 9" xfId="44491" xr:uid="{00000000-0005-0000-0000-000052470000}"/>
    <cellStyle name="Обычный 5 2 75" xfId="1794" xr:uid="{00000000-0005-0000-0000-000053470000}"/>
    <cellStyle name="Обычный 5 2 75 10" xfId="49857" xr:uid="{00000000-0005-0000-0000-000054470000}"/>
    <cellStyle name="Обычный 5 2 75 2" xfId="7136" xr:uid="{00000000-0005-0000-0000-000055470000}"/>
    <cellStyle name="Обычный 5 2 75 2 2" xfId="55198" xr:uid="{00000000-0005-0000-0000-000056470000}"/>
    <cellStyle name="Обычный 5 2 75 3" xfId="12477" xr:uid="{00000000-0005-0000-0000-000057470000}"/>
    <cellStyle name="Обычный 5 2 75 4" xfId="17817" xr:uid="{00000000-0005-0000-0000-000058470000}"/>
    <cellStyle name="Обычный 5 2 75 5" xfId="23157" xr:uid="{00000000-0005-0000-0000-000059470000}"/>
    <cellStyle name="Обычный 5 2 75 6" xfId="28497" xr:uid="{00000000-0005-0000-0000-00005A470000}"/>
    <cellStyle name="Обычный 5 2 75 7" xfId="33837" xr:uid="{00000000-0005-0000-0000-00005B470000}"/>
    <cellStyle name="Обычный 5 2 75 8" xfId="39177" xr:uid="{00000000-0005-0000-0000-00005C470000}"/>
    <cellStyle name="Обычный 5 2 75 9" xfId="44517" xr:uid="{00000000-0005-0000-0000-00005D470000}"/>
    <cellStyle name="Обычный 5 2 76" xfId="1820" xr:uid="{00000000-0005-0000-0000-00005E470000}"/>
    <cellStyle name="Обычный 5 2 76 10" xfId="49883" xr:uid="{00000000-0005-0000-0000-00005F470000}"/>
    <cellStyle name="Обычный 5 2 76 2" xfId="7162" xr:uid="{00000000-0005-0000-0000-000060470000}"/>
    <cellStyle name="Обычный 5 2 76 2 2" xfId="55224" xr:uid="{00000000-0005-0000-0000-000061470000}"/>
    <cellStyle name="Обычный 5 2 76 3" xfId="12503" xr:uid="{00000000-0005-0000-0000-000062470000}"/>
    <cellStyle name="Обычный 5 2 76 4" xfId="17843" xr:uid="{00000000-0005-0000-0000-000063470000}"/>
    <cellStyle name="Обычный 5 2 76 5" xfId="23183" xr:uid="{00000000-0005-0000-0000-000064470000}"/>
    <cellStyle name="Обычный 5 2 76 6" xfId="28523" xr:uid="{00000000-0005-0000-0000-000065470000}"/>
    <cellStyle name="Обычный 5 2 76 7" xfId="33863" xr:uid="{00000000-0005-0000-0000-000066470000}"/>
    <cellStyle name="Обычный 5 2 76 8" xfId="39203" xr:uid="{00000000-0005-0000-0000-000067470000}"/>
    <cellStyle name="Обычный 5 2 76 9" xfId="44543" xr:uid="{00000000-0005-0000-0000-000068470000}"/>
    <cellStyle name="Обычный 5 2 77" xfId="1846" xr:uid="{00000000-0005-0000-0000-000069470000}"/>
    <cellStyle name="Обычный 5 2 77 10" xfId="49909" xr:uid="{00000000-0005-0000-0000-00006A470000}"/>
    <cellStyle name="Обычный 5 2 77 2" xfId="7188" xr:uid="{00000000-0005-0000-0000-00006B470000}"/>
    <cellStyle name="Обычный 5 2 77 2 2" xfId="55250" xr:uid="{00000000-0005-0000-0000-00006C470000}"/>
    <cellStyle name="Обычный 5 2 77 3" xfId="12529" xr:uid="{00000000-0005-0000-0000-00006D470000}"/>
    <cellStyle name="Обычный 5 2 77 4" xfId="17869" xr:uid="{00000000-0005-0000-0000-00006E470000}"/>
    <cellStyle name="Обычный 5 2 77 5" xfId="23209" xr:uid="{00000000-0005-0000-0000-00006F470000}"/>
    <cellStyle name="Обычный 5 2 77 6" xfId="28549" xr:uid="{00000000-0005-0000-0000-000070470000}"/>
    <cellStyle name="Обычный 5 2 77 7" xfId="33889" xr:uid="{00000000-0005-0000-0000-000071470000}"/>
    <cellStyle name="Обычный 5 2 77 8" xfId="39229" xr:uid="{00000000-0005-0000-0000-000072470000}"/>
    <cellStyle name="Обычный 5 2 77 9" xfId="44569" xr:uid="{00000000-0005-0000-0000-000073470000}"/>
    <cellStyle name="Обычный 5 2 78" xfId="1872" xr:uid="{00000000-0005-0000-0000-000074470000}"/>
    <cellStyle name="Обычный 5 2 78 10" xfId="49935" xr:uid="{00000000-0005-0000-0000-000075470000}"/>
    <cellStyle name="Обычный 5 2 78 2" xfId="7214" xr:uid="{00000000-0005-0000-0000-000076470000}"/>
    <cellStyle name="Обычный 5 2 78 2 2" xfId="55276" xr:uid="{00000000-0005-0000-0000-000077470000}"/>
    <cellStyle name="Обычный 5 2 78 3" xfId="12555" xr:uid="{00000000-0005-0000-0000-000078470000}"/>
    <cellStyle name="Обычный 5 2 78 4" xfId="17895" xr:uid="{00000000-0005-0000-0000-000079470000}"/>
    <cellStyle name="Обычный 5 2 78 5" xfId="23235" xr:uid="{00000000-0005-0000-0000-00007A470000}"/>
    <cellStyle name="Обычный 5 2 78 6" xfId="28575" xr:uid="{00000000-0005-0000-0000-00007B470000}"/>
    <cellStyle name="Обычный 5 2 78 7" xfId="33915" xr:uid="{00000000-0005-0000-0000-00007C470000}"/>
    <cellStyle name="Обычный 5 2 78 8" xfId="39255" xr:uid="{00000000-0005-0000-0000-00007D470000}"/>
    <cellStyle name="Обычный 5 2 78 9" xfId="44595" xr:uid="{00000000-0005-0000-0000-00007E470000}"/>
    <cellStyle name="Обычный 5 2 79" xfId="1898" xr:uid="{00000000-0005-0000-0000-00007F470000}"/>
    <cellStyle name="Обычный 5 2 79 10" xfId="49961" xr:uid="{00000000-0005-0000-0000-000080470000}"/>
    <cellStyle name="Обычный 5 2 79 2" xfId="7240" xr:uid="{00000000-0005-0000-0000-000081470000}"/>
    <cellStyle name="Обычный 5 2 79 2 2" xfId="55302" xr:uid="{00000000-0005-0000-0000-000082470000}"/>
    <cellStyle name="Обычный 5 2 79 3" xfId="12581" xr:uid="{00000000-0005-0000-0000-000083470000}"/>
    <cellStyle name="Обычный 5 2 79 4" xfId="17921" xr:uid="{00000000-0005-0000-0000-000084470000}"/>
    <cellStyle name="Обычный 5 2 79 5" xfId="23261" xr:uid="{00000000-0005-0000-0000-000085470000}"/>
    <cellStyle name="Обычный 5 2 79 6" xfId="28601" xr:uid="{00000000-0005-0000-0000-000086470000}"/>
    <cellStyle name="Обычный 5 2 79 7" xfId="33941" xr:uid="{00000000-0005-0000-0000-000087470000}"/>
    <cellStyle name="Обычный 5 2 79 8" xfId="39281" xr:uid="{00000000-0005-0000-0000-000088470000}"/>
    <cellStyle name="Обычный 5 2 79 9" xfId="44621" xr:uid="{00000000-0005-0000-0000-000089470000}"/>
    <cellStyle name="Обычный 5 2 8" xfId="158" xr:uid="{00000000-0005-0000-0000-00008A470000}"/>
    <cellStyle name="Обычный 5 2 8 10" xfId="42880" xr:uid="{00000000-0005-0000-0000-00008B470000}"/>
    <cellStyle name="Обычный 5 2 8 11" xfId="48220" xr:uid="{00000000-0005-0000-0000-00008C470000}"/>
    <cellStyle name="Обычный 5 2 8 2" xfId="625" xr:uid="{00000000-0005-0000-0000-00008D470000}"/>
    <cellStyle name="Обычный 5 2 8 2 10" xfId="48687" xr:uid="{00000000-0005-0000-0000-00008E470000}"/>
    <cellStyle name="Обычный 5 2 8 2 2" xfId="5966" xr:uid="{00000000-0005-0000-0000-00008F470000}"/>
    <cellStyle name="Обычный 5 2 8 2 2 2" xfId="54028" xr:uid="{00000000-0005-0000-0000-000090470000}"/>
    <cellStyle name="Обычный 5 2 8 2 3" xfId="11307" xr:uid="{00000000-0005-0000-0000-000091470000}"/>
    <cellStyle name="Обычный 5 2 8 2 4" xfId="16647" xr:uid="{00000000-0005-0000-0000-000092470000}"/>
    <cellStyle name="Обычный 5 2 8 2 5" xfId="21987" xr:uid="{00000000-0005-0000-0000-000093470000}"/>
    <cellStyle name="Обычный 5 2 8 2 6" xfId="27327" xr:uid="{00000000-0005-0000-0000-000094470000}"/>
    <cellStyle name="Обычный 5 2 8 2 7" xfId="32667" xr:uid="{00000000-0005-0000-0000-000095470000}"/>
    <cellStyle name="Обычный 5 2 8 2 8" xfId="38007" xr:uid="{00000000-0005-0000-0000-000096470000}"/>
    <cellStyle name="Обычный 5 2 8 2 9" xfId="43347" xr:uid="{00000000-0005-0000-0000-000097470000}"/>
    <cellStyle name="Обычный 5 2 8 3" xfId="5499" xr:uid="{00000000-0005-0000-0000-000098470000}"/>
    <cellStyle name="Обычный 5 2 8 3 2" xfId="53561" xr:uid="{00000000-0005-0000-0000-000099470000}"/>
    <cellStyle name="Обычный 5 2 8 4" xfId="10840" xr:uid="{00000000-0005-0000-0000-00009A470000}"/>
    <cellStyle name="Обычный 5 2 8 5" xfId="16180" xr:uid="{00000000-0005-0000-0000-00009B470000}"/>
    <cellStyle name="Обычный 5 2 8 6" xfId="21520" xr:uid="{00000000-0005-0000-0000-00009C470000}"/>
    <cellStyle name="Обычный 5 2 8 7" xfId="26860" xr:uid="{00000000-0005-0000-0000-00009D470000}"/>
    <cellStyle name="Обычный 5 2 8 8" xfId="32200" xr:uid="{00000000-0005-0000-0000-00009E470000}"/>
    <cellStyle name="Обычный 5 2 8 9" xfId="37540" xr:uid="{00000000-0005-0000-0000-00009F470000}"/>
    <cellStyle name="Обычный 5 2 80" xfId="1924" xr:uid="{00000000-0005-0000-0000-0000A0470000}"/>
    <cellStyle name="Обычный 5 2 80 10" xfId="49987" xr:uid="{00000000-0005-0000-0000-0000A1470000}"/>
    <cellStyle name="Обычный 5 2 80 2" xfId="7266" xr:uid="{00000000-0005-0000-0000-0000A2470000}"/>
    <cellStyle name="Обычный 5 2 80 2 2" xfId="55328" xr:uid="{00000000-0005-0000-0000-0000A3470000}"/>
    <cellStyle name="Обычный 5 2 80 3" xfId="12607" xr:uid="{00000000-0005-0000-0000-0000A4470000}"/>
    <cellStyle name="Обычный 5 2 80 4" xfId="17947" xr:uid="{00000000-0005-0000-0000-0000A5470000}"/>
    <cellStyle name="Обычный 5 2 80 5" xfId="23287" xr:uid="{00000000-0005-0000-0000-0000A6470000}"/>
    <cellStyle name="Обычный 5 2 80 6" xfId="28627" xr:uid="{00000000-0005-0000-0000-0000A7470000}"/>
    <cellStyle name="Обычный 5 2 80 7" xfId="33967" xr:uid="{00000000-0005-0000-0000-0000A8470000}"/>
    <cellStyle name="Обычный 5 2 80 8" xfId="39307" xr:uid="{00000000-0005-0000-0000-0000A9470000}"/>
    <cellStyle name="Обычный 5 2 80 9" xfId="44647" xr:uid="{00000000-0005-0000-0000-0000AA470000}"/>
    <cellStyle name="Обычный 5 2 81" xfId="1952" xr:uid="{00000000-0005-0000-0000-0000AB470000}"/>
    <cellStyle name="Обычный 5 2 81 10" xfId="50015" xr:uid="{00000000-0005-0000-0000-0000AC470000}"/>
    <cellStyle name="Обычный 5 2 81 2" xfId="7294" xr:uid="{00000000-0005-0000-0000-0000AD470000}"/>
    <cellStyle name="Обычный 5 2 81 2 2" xfId="55356" xr:uid="{00000000-0005-0000-0000-0000AE470000}"/>
    <cellStyle name="Обычный 5 2 81 3" xfId="12635" xr:uid="{00000000-0005-0000-0000-0000AF470000}"/>
    <cellStyle name="Обычный 5 2 81 4" xfId="17975" xr:uid="{00000000-0005-0000-0000-0000B0470000}"/>
    <cellStyle name="Обычный 5 2 81 5" xfId="23315" xr:uid="{00000000-0005-0000-0000-0000B1470000}"/>
    <cellStyle name="Обычный 5 2 81 6" xfId="28655" xr:uid="{00000000-0005-0000-0000-0000B2470000}"/>
    <cellStyle name="Обычный 5 2 81 7" xfId="33995" xr:uid="{00000000-0005-0000-0000-0000B3470000}"/>
    <cellStyle name="Обычный 5 2 81 8" xfId="39335" xr:uid="{00000000-0005-0000-0000-0000B4470000}"/>
    <cellStyle name="Обычный 5 2 81 9" xfId="44675" xr:uid="{00000000-0005-0000-0000-0000B5470000}"/>
    <cellStyle name="Обычный 5 2 82" xfId="1979" xr:uid="{00000000-0005-0000-0000-0000B6470000}"/>
    <cellStyle name="Обычный 5 2 82 10" xfId="50043" xr:uid="{00000000-0005-0000-0000-0000B7470000}"/>
    <cellStyle name="Обычный 5 2 82 2" xfId="7322" xr:uid="{00000000-0005-0000-0000-0000B8470000}"/>
    <cellStyle name="Обычный 5 2 82 2 2" xfId="55384" xr:uid="{00000000-0005-0000-0000-0000B9470000}"/>
    <cellStyle name="Обычный 5 2 82 3" xfId="12663" xr:uid="{00000000-0005-0000-0000-0000BA470000}"/>
    <cellStyle name="Обычный 5 2 82 4" xfId="18003" xr:uid="{00000000-0005-0000-0000-0000BB470000}"/>
    <cellStyle name="Обычный 5 2 82 5" xfId="23343" xr:uid="{00000000-0005-0000-0000-0000BC470000}"/>
    <cellStyle name="Обычный 5 2 82 6" xfId="28683" xr:uid="{00000000-0005-0000-0000-0000BD470000}"/>
    <cellStyle name="Обычный 5 2 82 7" xfId="34023" xr:uid="{00000000-0005-0000-0000-0000BE470000}"/>
    <cellStyle name="Обычный 5 2 82 8" xfId="39363" xr:uid="{00000000-0005-0000-0000-0000BF470000}"/>
    <cellStyle name="Обычный 5 2 82 9" xfId="44703" xr:uid="{00000000-0005-0000-0000-0000C0470000}"/>
    <cellStyle name="Обычный 5 2 83" xfId="2007" xr:uid="{00000000-0005-0000-0000-0000C1470000}"/>
    <cellStyle name="Обычный 5 2 83 10" xfId="50071" xr:uid="{00000000-0005-0000-0000-0000C2470000}"/>
    <cellStyle name="Обычный 5 2 83 2" xfId="7350" xr:uid="{00000000-0005-0000-0000-0000C3470000}"/>
    <cellStyle name="Обычный 5 2 83 2 2" xfId="55412" xr:uid="{00000000-0005-0000-0000-0000C4470000}"/>
    <cellStyle name="Обычный 5 2 83 3" xfId="12691" xr:uid="{00000000-0005-0000-0000-0000C5470000}"/>
    <cellStyle name="Обычный 5 2 83 4" xfId="18031" xr:uid="{00000000-0005-0000-0000-0000C6470000}"/>
    <cellStyle name="Обычный 5 2 83 5" xfId="23371" xr:uid="{00000000-0005-0000-0000-0000C7470000}"/>
    <cellStyle name="Обычный 5 2 83 6" xfId="28711" xr:uid="{00000000-0005-0000-0000-0000C8470000}"/>
    <cellStyle name="Обычный 5 2 83 7" xfId="34051" xr:uid="{00000000-0005-0000-0000-0000C9470000}"/>
    <cellStyle name="Обычный 5 2 83 8" xfId="39391" xr:uid="{00000000-0005-0000-0000-0000CA470000}"/>
    <cellStyle name="Обычный 5 2 83 9" xfId="44731" xr:uid="{00000000-0005-0000-0000-0000CB470000}"/>
    <cellStyle name="Обычный 5 2 84" xfId="2035" xr:uid="{00000000-0005-0000-0000-0000CC470000}"/>
    <cellStyle name="Обычный 5 2 84 10" xfId="50099" xr:uid="{00000000-0005-0000-0000-0000CD470000}"/>
    <cellStyle name="Обычный 5 2 84 2" xfId="7378" xr:uid="{00000000-0005-0000-0000-0000CE470000}"/>
    <cellStyle name="Обычный 5 2 84 2 2" xfId="55440" xr:uid="{00000000-0005-0000-0000-0000CF470000}"/>
    <cellStyle name="Обычный 5 2 84 3" xfId="12719" xr:uid="{00000000-0005-0000-0000-0000D0470000}"/>
    <cellStyle name="Обычный 5 2 84 4" xfId="18059" xr:uid="{00000000-0005-0000-0000-0000D1470000}"/>
    <cellStyle name="Обычный 5 2 84 5" xfId="23399" xr:uid="{00000000-0005-0000-0000-0000D2470000}"/>
    <cellStyle name="Обычный 5 2 84 6" xfId="28739" xr:uid="{00000000-0005-0000-0000-0000D3470000}"/>
    <cellStyle name="Обычный 5 2 84 7" xfId="34079" xr:uid="{00000000-0005-0000-0000-0000D4470000}"/>
    <cellStyle name="Обычный 5 2 84 8" xfId="39419" xr:uid="{00000000-0005-0000-0000-0000D5470000}"/>
    <cellStyle name="Обычный 5 2 84 9" xfId="44759" xr:uid="{00000000-0005-0000-0000-0000D6470000}"/>
    <cellStyle name="Обычный 5 2 85" xfId="2063" xr:uid="{00000000-0005-0000-0000-0000D7470000}"/>
    <cellStyle name="Обычный 5 2 85 10" xfId="50127" xr:uid="{00000000-0005-0000-0000-0000D8470000}"/>
    <cellStyle name="Обычный 5 2 85 2" xfId="7406" xr:uid="{00000000-0005-0000-0000-0000D9470000}"/>
    <cellStyle name="Обычный 5 2 85 2 2" xfId="55468" xr:uid="{00000000-0005-0000-0000-0000DA470000}"/>
    <cellStyle name="Обычный 5 2 85 3" xfId="12747" xr:uid="{00000000-0005-0000-0000-0000DB470000}"/>
    <cellStyle name="Обычный 5 2 85 4" xfId="18087" xr:uid="{00000000-0005-0000-0000-0000DC470000}"/>
    <cellStyle name="Обычный 5 2 85 5" xfId="23427" xr:uid="{00000000-0005-0000-0000-0000DD470000}"/>
    <cellStyle name="Обычный 5 2 85 6" xfId="28767" xr:uid="{00000000-0005-0000-0000-0000DE470000}"/>
    <cellStyle name="Обычный 5 2 85 7" xfId="34107" xr:uid="{00000000-0005-0000-0000-0000DF470000}"/>
    <cellStyle name="Обычный 5 2 85 8" xfId="39447" xr:uid="{00000000-0005-0000-0000-0000E0470000}"/>
    <cellStyle name="Обычный 5 2 85 9" xfId="44787" xr:uid="{00000000-0005-0000-0000-0000E1470000}"/>
    <cellStyle name="Обычный 5 2 86" xfId="2091" xr:uid="{00000000-0005-0000-0000-0000E2470000}"/>
    <cellStyle name="Обычный 5 2 86 10" xfId="50155" xr:uid="{00000000-0005-0000-0000-0000E3470000}"/>
    <cellStyle name="Обычный 5 2 86 2" xfId="7434" xr:uid="{00000000-0005-0000-0000-0000E4470000}"/>
    <cellStyle name="Обычный 5 2 86 2 2" xfId="55496" xr:uid="{00000000-0005-0000-0000-0000E5470000}"/>
    <cellStyle name="Обычный 5 2 86 3" xfId="12775" xr:uid="{00000000-0005-0000-0000-0000E6470000}"/>
    <cellStyle name="Обычный 5 2 86 4" xfId="18115" xr:uid="{00000000-0005-0000-0000-0000E7470000}"/>
    <cellStyle name="Обычный 5 2 86 5" xfId="23455" xr:uid="{00000000-0005-0000-0000-0000E8470000}"/>
    <cellStyle name="Обычный 5 2 86 6" xfId="28795" xr:uid="{00000000-0005-0000-0000-0000E9470000}"/>
    <cellStyle name="Обычный 5 2 86 7" xfId="34135" xr:uid="{00000000-0005-0000-0000-0000EA470000}"/>
    <cellStyle name="Обычный 5 2 86 8" xfId="39475" xr:uid="{00000000-0005-0000-0000-0000EB470000}"/>
    <cellStyle name="Обычный 5 2 86 9" xfId="44815" xr:uid="{00000000-0005-0000-0000-0000EC470000}"/>
    <cellStyle name="Обычный 5 2 87" xfId="2119" xr:uid="{00000000-0005-0000-0000-0000ED470000}"/>
    <cellStyle name="Обычный 5 2 87 10" xfId="50183" xr:uid="{00000000-0005-0000-0000-0000EE470000}"/>
    <cellStyle name="Обычный 5 2 87 2" xfId="7462" xr:uid="{00000000-0005-0000-0000-0000EF470000}"/>
    <cellStyle name="Обычный 5 2 87 2 2" xfId="55524" xr:uid="{00000000-0005-0000-0000-0000F0470000}"/>
    <cellStyle name="Обычный 5 2 87 3" xfId="12803" xr:uid="{00000000-0005-0000-0000-0000F1470000}"/>
    <cellStyle name="Обычный 5 2 87 4" xfId="18143" xr:uid="{00000000-0005-0000-0000-0000F2470000}"/>
    <cellStyle name="Обычный 5 2 87 5" xfId="23483" xr:uid="{00000000-0005-0000-0000-0000F3470000}"/>
    <cellStyle name="Обычный 5 2 87 6" xfId="28823" xr:uid="{00000000-0005-0000-0000-0000F4470000}"/>
    <cellStyle name="Обычный 5 2 87 7" xfId="34163" xr:uid="{00000000-0005-0000-0000-0000F5470000}"/>
    <cellStyle name="Обычный 5 2 87 8" xfId="39503" xr:uid="{00000000-0005-0000-0000-0000F6470000}"/>
    <cellStyle name="Обычный 5 2 87 9" xfId="44843" xr:uid="{00000000-0005-0000-0000-0000F7470000}"/>
    <cellStyle name="Обычный 5 2 88" xfId="2149" xr:uid="{00000000-0005-0000-0000-0000F8470000}"/>
    <cellStyle name="Обычный 5 2 88 10" xfId="50213" xr:uid="{00000000-0005-0000-0000-0000F9470000}"/>
    <cellStyle name="Обычный 5 2 88 2" xfId="7492" xr:uid="{00000000-0005-0000-0000-0000FA470000}"/>
    <cellStyle name="Обычный 5 2 88 2 2" xfId="55554" xr:uid="{00000000-0005-0000-0000-0000FB470000}"/>
    <cellStyle name="Обычный 5 2 88 3" xfId="12833" xr:uid="{00000000-0005-0000-0000-0000FC470000}"/>
    <cellStyle name="Обычный 5 2 88 4" xfId="18173" xr:uid="{00000000-0005-0000-0000-0000FD470000}"/>
    <cellStyle name="Обычный 5 2 88 5" xfId="23513" xr:uid="{00000000-0005-0000-0000-0000FE470000}"/>
    <cellStyle name="Обычный 5 2 88 6" xfId="28853" xr:uid="{00000000-0005-0000-0000-0000FF470000}"/>
    <cellStyle name="Обычный 5 2 88 7" xfId="34193" xr:uid="{00000000-0005-0000-0000-000000480000}"/>
    <cellStyle name="Обычный 5 2 88 8" xfId="39533" xr:uid="{00000000-0005-0000-0000-000001480000}"/>
    <cellStyle name="Обычный 5 2 88 9" xfId="44873" xr:uid="{00000000-0005-0000-0000-000002480000}"/>
    <cellStyle name="Обычный 5 2 89" xfId="2179" xr:uid="{00000000-0005-0000-0000-000003480000}"/>
    <cellStyle name="Обычный 5 2 89 10" xfId="50243" xr:uid="{00000000-0005-0000-0000-000004480000}"/>
    <cellStyle name="Обычный 5 2 89 2" xfId="7522" xr:uid="{00000000-0005-0000-0000-000005480000}"/>
    <cellStyle name="Обычный 5 2 89 2 2" xfId="55584" xr:uid="{00000000-0005-0000-0000-000006480000}"/>
    <cellStyle name="Обычный 5 2 89 3" xfId="12863" xr:uid="{00000000-0005-0000-0000-000007480000}"/>
    <cellStyle name="Обычный 5 2 89 4" xfId="18203" xr:uid="{00000000-0005-0000-0000-000008480000}"/>
    <cellStyle name="Обычный 5 2 89 5" xfId="23543" xr:uid="{00000000-0005-0000-0000-000009480000}"/>
    <cellStyle name="Обычный 5 2 89 6" xfId="28883" xr:uid="{00000000-0005-0000-0000-00000A480000}"/>
    <cellStyle name="Обычный 5 2 89 7" xfId="34223" xr:uid="{00000000-0005-0000-0000-00000B480000}"/>
    <cellStyle name="Обычный 5 2 89 8" xfId="39563" xr:uid="{00000000-0005-0000-0000-00000C480000}"/>
    <cellStyle name="Обычный 5 2 89 9" xfId="44903" xr:uid="{00000000-0005-0000-0000-00000D480000}"/>
    <cellStyle name="Обычный 5 2 9" xfId="168" xr:uid="{00000000-0005-0000-0000-00000E480000}"/>
    <cellStyle name="Обычный 5 2 9 10" xfId="42890" xr:uid="{00000000-0005-0000-0000-00000F480000}"/>
    <cellStyle name="Обычный 5 2 9 11" xfId="48230" xr:uid="{00000000-0005-0000-0000-000010480000}"/>
    <cellStyle name="Обычный 5 2 9 2" xfId="635" xr:uid="{00000000-0005-0000-0000-000011480000}"/>
    <cellStyle name="Обычный 5 2 9 2 10" xfId="48697" xr:uid="{00000000-0005-0000-0000-000012480000}"/>
    <cellStyle name="Обычный 5 2 9 2 2" xfId="5976" xr:uid="{00000000-0005-0000-0000-000013480000}"/>
    <cellStyle name="Обычный 5 2 9 2 2 2" xfId="54038" xr:uid="{00000000-0005-0000-0000-000014480000}"/>
    <cellStyle name="Обычный 5 2 9 2 3" xfId="11317" xr:uid="{00000000-0005-0000-0000-000015480000}"/>
    <cellStyle name="Обычный 5 2 9 2 4" xfId="16657" xr:uid="{00000000-0005-0000-0000-000016480000}"/>
    <cellStyle name="Обычный 5 2 9 2 5" xfId="21997" xr:uid="{00000000-0005-0000-0000-000017480000}"/>
    <cellStyle name="Обычный 5 2 9 2 6" xfId="27337" xr:uid="{00000000-0005-0000-0000-000018480000}"/>
    <cellStyle name="Обычный 5 2 9 2 7" xfId="32677" xr:uid="{00000000-0005-0000-0000-000019480000}"/>
    <cellStyle name="Обычный 5 2 9 2 8" xfId="38017" xr:uid="{00000000-0005-0000-0000-00001A480000}"/>
    <cellStyle name="Обычный 5 2 9 2 9" xfId="43357" xr:uid="{00000000-0005-0000-0000-00001B480000}"/>
    <cellStyle name="Обычный 5 2 9 3" xfId="5509" xr:uid="{00000000-0005-0000-0000-00001C480000}"/>
    <cellStyle name="Обычный 5 2 9 3 2" xfId="53571" xr:uid="{00000000-0005-0000-0000-00001D480000}"/>
    <cellStyle name="Обычный 5 2 9 4" xfId="10850" xr:uid="{00000000-0005-0000-0000-00001E480000}"/>
    <cellStyle name="Обычный 5 2 9 5" xfId="16190" xr:uid="{00000000-0005-0000-0000-00001F480000}"/>
    <cellStyle name="Обычный 5 2 9 6" xfId="21530" xr:uid="{00000000-0005-0000-0000-000020480000}"/>
    <cellStyle name="Обычный 5 2 9 7" xfId="26870" xr:uid="{00000000-0005-0000-0000-000021480000}"/>
    <cellStyle name="Обычный 5 2 9 8" xfId="32210" xr:uid="{00000000-0005-0000-0000-000022480000}"/>
    <cellStyle name="Обычный 5 2 9 9" xfId="37550" xr:uid="{00000000-0005-0000-0000-000023480000}"/>
    <cellStyle name="Обычный 5 2 90" xfId="2209" xr:uid="{00000000-0005-0000-0000-000024480000}"/>
    <cellStyle name="Обычный 5 2 90 10" xfId="50273" xr:uid="{00000000-0005-0000-0000-000025480000}"/>
    <cellStyle name="Обычный 5 2 90 2" xfId="7552" xr:uid="{00000000-0005-0000-0000-000026480000}"/>
    <cellStyle name="Обычный 5 2 90 2 2" xfId="55614" xr:uid="{00000000-0005-0000-0000-000027480000}"/>
    <cellStyle name="Обычный 5 2 90 3" xfId="12893" xr:uid="{00000000-0005-0000-0000-000028480000}"/>
    <cellStyle name="Обычный 5 2 90 4" xfId="18233" xr:uid="{00000000-0005-0000-0000-000029480000}"/>
    <cellStyle name="Обычный 5 2 90 5" xfId="23573" xr:uid="{00000000-0005-0000-0000-00002A480000}"/>
    <cellStyle name="Обычный 5 2 90 6" xfId="28913" xr:uid="{00000000-0005-0000-0000-00002B480000}"/>
    <cellStyle name="Обычный 5 2 90 7" xfId="34253" xr:uid="{00000000-0005-0000-0000-00002C480000}"/>
    <cellStyle name="Обычный 5 2 90 8" xfId="39593" xr:uid="{00000000-0005-0000-0000-00002D480000}"/>
    <cellStyle name="Обычный 5 2 90 9" xfId="44933" xr:uid="{00000000-0005-0000-0000-00002E480000}"/>
    <cellStyle name="Обычный 5 2 91" xfId="2239" xr:uid="{00000000-0005-0000-0000-00002F480000}"/>
    <cellStyle name="Обычный 5 2 91 10" xfId="50303" xr:uid="{00000000-0005-0000-0000-000030480000}"/>
    <cellStyle name="Обычный 5 2 91 2" xfId="7582" xr:uid="{00000000-0005-0000-0000-000031480000}"/>
    <cellStyle name="Обычный 5 2 91 2 2" xfId="55644" xr:uid="{00000000-0005-0000-0000-000032480000}"/>
    <cellStyle name="Обычный 5 2 91 3" xfId="12923" xr:uid="{00000000-0005-0000-0000-000033480000}"/>
    <cellStyle name="Обычный 5 2 91 4" xfId="18263" xr:uid="{00000000-0005-0000-0000-000034480000}"/>
    <cellStyle name="Обычный 5 2 91 5" xfId="23603" xr:uid="{00000000-0005-0000-0000-000035480000}"/>
    <cellStyle name="Обычный 5 2 91 6" xfId="28943" xr:uid="{00000000-0005-0000-0000-000036480000}"/>
    <cellStyle name="Обычный 5 2 91 7" xfId="34283" xr:uid="{00000000-0005-0000-0000-000037480000}"/>
    <cellStyle name="Обычный 5 2 91 8" xfId="39623" xr:uid="{00000000-0005-0000-0000-000038480000}"/>
    <cellStyle name="Обычный 5 2 91 9" xfId="44963" xr:uid="{00000000-0005-0000-0000-000039480000}"/>
    <cellStyle name="Обычный 5 2 92" xfId="2269" xr:uid="{00000000-0005-0000-0000-00003A480000}"/>
    <cellStyle name="Обычный 5 2 92 10" xfId="50333" xr:uid="{00000000-0005-0000-0000-00003B480000}"/>
    <cellStyle name="Обычный 5 2 92 2" xfId="7612" xr:uid="{00000000-0005-0000-0000-00003C480000}"/>
    <cellStyle name="Обычный 5 2 92 2 2" xfId="55674" xr:uid="{00000000-0005-0000-0000-00003D480000}"/>
    <cellStyle name="Обычный 5 2 92 3" xfId="12953" xr:uid="{00000000-0005-0000-0000-00003E480000}"/>
    <cellStyle name="Обычный 5 2 92 4" xfId="18293" xr:uid="{00000000-0005-0000-0000-00003F480000}"/>
    <cellStyle name="Обычный 5 2 92 5" xfId="23633" xr:uid="{00000000-0005-0000-0000-000040480000}"/>
    <cellStyle name="Обычный 5 2 92 6" xfId="28973" xr:uid="{00000000-0005-0000-0000-000041480000}"/>
    <cellStyle name="Обычный 5 2 92 7" xfId="34313" xr:uid="{00000000-0005-0000-0000-000042480000}"/>
    <cellStyle name="Обычный 5 2 92 8" xfId="39653" xr:uid="{00000000-0005-0000-0000-000043480000}"/>
    <cellStyle name="Обычный 5 2 92 9" xfId="44993" xr:uid="{00000000-0005-0000-0000-000044480000}"/>
    <cellStyle name="Обычный 5 2 93" xfId="2299" xr:uid="{00000000-0005-0000-0000-000045480000}"/>
    <cellStyle name="Обычный 5 2 93 10" xfId="50363" xr:uid="{00000000-0005-0000-0000-000046480000}"/>
    <cellStyle name="Обычный 5 2 93 2" xfId="7642" xr:uid="{00000000-0005-0000-0000-000047480000}"/>
    <cellStyle name="Обычный 5 2 93 2 2" xfId="55704" xr:uid="{00000000-0005-0000-0000-000048480000}"/>
    <cellStyle name="Обычный 5 2 93 3" xfId="12983" xr:uid="{00000000-0005-0000-0000-000049480000}"/>
    <cellStyle name="Обычный 5 2 93 4" xfId="18323" xr:uid="{00000000-0005-0000-0000-00004A480000}"/>
    <cellStyle name="Обычный 5 2 93 5" xfId="23663" xr:uid="{00000000-0005-0000-0000-00004B480000}"/>
    <cellStyle name="Обычный 5 2 93 6" xfId="29003" xr:uid="{00000000-0005-0000-0000-00004C480000}"/>
    <cellStyle name="Обычный 5 2 93 7" xfId="34343" xr:uid="{00000000-0005-0000-0000-00004D480000}"/>
    <cellStyle name="Обычный 5 2 93 8" xfId="39683" xr:uid="{00000000-0005-0000-0000-00004E480000}"/>
    <cellStyle name="Обычный 5 2 93 9" xfId="45023" xr:uid="{00000000-0005-0000-0000-00004F480000}"/>
    <cellStyle name="Обычный 5 2 94" xfId="2329" xr:uid="{00000000-0005-0000-0000-000050480000}"/>
    <cellStyle name="Обычный 5 2 94 10" xfId="50393" xr:uid="{00000000-0005-0000-0000-000051480000}"/>
    <cellStyle name="Обычный 5 2 94 2" xfId="7672" xr:uid="{00000000-0005-0000-0000-000052480000}"/>
    <cellStyle name="Обычный 5 2 94 2 2" xfId="55734" xr:uid="{00000000-0005-0000-0000-000053480000}"/>
    <cellStyle name="Обычный 5 2 94 3" xfId="13013" xr:uid="{00000000-0005-0000-0000-000054480000}"/>
    <cellStyle name="Обычный 5 2 94 4" xfId="18353" xr:uid="{00000000-0005-0000-0000-000055480000}"/>
    <cellStyle name="Обычный 5 2 94 5" xfId="23693" xr:uid="{00000000-0005-0000-0000-000056480000}"/>
    <cellStyle name="Обычный 5 2 94 6" xfId="29033" xr:uid="{00000000-0005-0000-0000-000057480000}"/>
    <cellStyle name="Обычный 5 2 94 7" xfId="34373" xr:uid="{00000000-0005-0000-0000-000058480000}"/>
    <cellStyle name="Обычный 5 2 94 8" xfId="39713" xr:uid="{00000000-0005-0000-0000-000059480000}"/>
    <cellStyle name="Обычный 5 2 94 9" xfId="45053" xr:uid="{00000000-0005-0000-0000-00005A480000}"/>
    <cellStyle name="Обычный 5 2 95" xfId="2359" xr:uid="{00000000-0005-0000-0000-00005B480000}"/>
    <cellStyle name="Обычный 5 2 95 10" xfId="50423" xr:uid="{00000000-0005-0000-0000-00005C480000}"/>
    <cellStyle name="Обычный 5 2 95 2" xfId="7702" xr:uid="{00000000-0005-0000-0000-00005D480000}"/>
    <cellStyle name="Обычный 5 2 95 2 2" xfId="55764" xr:uid="{00000000-0005-0000-0000-00005E480000}"/>
    <cellStyle name="Обычный 5 2 95 3" xfId="13043" xr:uid="{00000000-0005-0000-0000-00005F480000}"/>
    <cellStyle name="Обычный 5 2 95 4" xfId="18383" xr:uid="{00000000-0005-0000-0000-000060480000}"/>
    <cellStyle name="Обычный 5 2 95 5" xfId="23723" xr:uid="{00000000-0005-0000-0000-000061480000}"/>
    <cellStyle name="Обычный 5 2 95 6" xfId="29063" xr:uid="{00000000-0005-0000-0000-000062480000}"/>
    <cellStyle name="Обычный 5 2 95 7" xfId="34403" xr:uid="{00000000-0005-0000-0000-000063480000}"/>
    <cellStyle name="Обычный 5 2 95 8" xfId="39743" xr:uid="{00000000-0005-0000-0000-000064480000}"/>
    <cellStyle name="Обычный 5 2 95 9" xfId="45083" xr:uid="{00000000-0005-0000-0000-000065480000}"/>
    <cellStyle name="Обычный 5 2 96" xfId="2389" xr:uid="{00000000-0005-0000-0000-000066480000}"/>
    <cellStyle name="Обычный 5 2 96 10" xfId="50453" xr:uid="{00000000-0005-0000-0000-000067480000}"/>
    <cellStyle name="Обычный 5 2 96 2" xfId="7732" xr:uid="{00000000-0005-0000-0000-000068480000}"/>
    <cellStyle name="Обычный 5 2 96 2 2" xfId="55794" xr:uid="{00000000-0005-0000-0000-000069480000}"/>
    <cellStyle name="Обычный 5 2 96 3" xfId="13073" xr:uid="{00000000-0005-0000-0000-00006A480000}"/>
    <cellStyle name="Обычный 5 2 96 4" xfId="18413" xr:uid="{00000000-0005-0000-0000-00006B480000}"/>
    <cellStyle name="Обычный 5 2 96 5" xfId="23753" xr:uid="{00000000-0005-0000-0000-00006C480000}"/>
    <cellStyle name="Обычный 5 2 96 6" xfId="29093" xr:uid="{00000000-0005-0000-0000-00006D480000}"/>
    <cellStyle name="Обычный 5 2 96 7" xfId="34433" xr:uid="{00000000-0005-0000-0000-00006E480000}"/>
    <cellStyle name="Обычный 5 2 96 8" xfId="39773" xr:uid="{00000000-0005-0000-0000-00006F480000}"/>
    <cellStyle name="Обычный 5 2 96 9" xfId="45113" xr:uid="{00000000-0005-0000-0000-000070480000}"/>
    <cellStyle name="Обычный 5 2 97" xfId="2419" xr:uid="{00000000-0005-0000-0000-000071480000}"/>
    <cellStyle name="Обычный 5 2 97 10" xfId="50483" xr:uid="{00000000-0005-0000-0000-000072480000}"/>
    <cellStyle name="Обычный 5 2 97 2" xfId="7762" xr:uid="{00000000-0005-0000-0000-000073480000}"/>
    <cellStyle name="Обычный 5 2 97 2 2" xfId="55824" xr:uid="{00000000-0005-0000-0000-000074480000}"/>
    <cellStyle name="Обычный 5 2 97 3" xfId="13103" xr:uid="{00000000-0005-0000-0000-000075480000}"/>
    <cellStyle name="Обычный 5 2 97 4" xfId="18443" xr:uid="{00000000-0005-0000-0000-000076480000}"/>
    <cellStyle name="Обычный 5 2 97 5" xfId="23783" xr:uid="{00000000-0005-0000-0000-000077480000}"/>
    <cellStyle name="Обычный 5 2 97 6" xfId="29123" xr:uid="{00000000-0005-0000-0000-000078480000}"/>
    <cellStyle name="Обычный 5 2 97 7" xfId="34463" xr:uid="{00000000-0005-0000-0000-000079480000}"/>
    <cellStyle name="Обычный 5 2 97 8" xfId="39803" xr:uid="{00000000-0005-0000-0000-00007A480000}"/>
    <cellStyle name="Обычный 5 2 97 9" xfId="45143" xr:uid="{00000000-0005-0000-0000-00007B480000}"/>
    <cellStyle name="Обычный 5 2 98" xfId="2449" xr:uid="{00000000-0005-0000-0000-00007C480000}"/>
    <cellStyle name="Обычный 5 2 98 10" xfId="50513" xr:uid="{00000000-0005-0000-0000-00007D480000}"/>
    <cellStyle name="Обычный 5 2 98 2" xfId="7792" xr:uid="{00000000-0005-0000-0000-00007E480000}"/>
    <cellStyle name="Обычный 5 2 98 2 2" xfId="55854" xr:uid="{00000000-0005-0000-0000-00007F480000}"/>
    <cellStyle name="Обычный 5 2 98 3" xfId="13133" xr:uid="{00000000-0005-0000-0000-000080480000}"/>
    <cellStyle name="Обычный 5 2 98 4" xfId="18473" xr:uid="{00000000-0005-0000-0000-000081480000}"/>
    <cellStyle name="Обычный 5 2 98 5" xfId="23813" xr:uid="{00000000-0005-0000-0000-000082480000}"/>
    <cellStyle name="Обычный 5 2 98 6" xfId="29153" xr:uid="{00000000-0005-0000-0000-000083480000}"/>
    <cellStyle name="Обычный 5 2 98 7" xfId="34493" xr:uid="{00000000-0005-0000-0000-000084480000}"/>
    <cellStyle name="Обычный 5 2 98 8" xfId="39833" xr:uid="{00000000-0005-0000-0000-000085480000}"/>
    <cellStyle name="Обычный 5 2 98 9" xfId="45173" xr:uid="{00000000-0005-0000-0000-000086480000}"/>
    <cellStyle name="Обычный 5 2 99" xfId="2479" xr:uid="{00000000-0005-0000-0000-000087480000}"/>
    <cellStyle name="Обычный 5 2 99 10" xfId="50543" xr:uid="{00000000-0005-0000-0000-000088480000}"/>
    <cellStyle name="Обычный 5 2 99 2" xfId="7822" xr:uid="{00000000-0005-0000-0000-000089480000}"/>
    <cellStyle name="Обычный 5 2 99 2 2" xfId="55884" xr:uid="{00000000-0005-0000-0000-00008A480000}"/>
    <cellStyle name="Обычный 5 2 99 3" xfId="13163" xr:uid="{00000000-0005-0000-0000-00008B480000}"/>
    <cellStyle name="Обычный 5 2 99 4" xfId="18503" xr:uid="{00000000-0005-0000-0000-00008C480000}"/>
    <cellStyle name="Обычный 5 2 99 5" xfId="23843" xr:uid="{00000000-0005-0000-0000-00008D480000}"/>
    <cellStyle name="Обычный 5 2 99 6" xfId="29183" xr:uid="{00000000-0005-0000-0000-00008E480000}"/>
    <cellStyle name="Обычный 5 2 99 7" xfId="34523" xr:uid="{00000000-0005-0000-0000-00008F480000}"/>
    <cellStyle name="Обычный 5 2 99 8" xfId="39863" xr:uid="{00000000-0005-0000-0000-000090480000}"/>
    <cellStyle name="Обычный 5 2 99 9" xfId="45203" xr:uid="{00000000-0005-0000-0000-000091480000}"/>
    <cellStyle name="Обычный 5 20" xfId="214" xr:uid="{00000000-0005-0000-0000-000092480000}"/>
    <cellStyle name="Обычный 5 20 10" xfId="42936" xr:uid="{00000000-0005-0000-0000-000093480000}"/>
    <cellStyle name="Обычный 5 20 11" xfId="48276" xr:uid="{00000000-0005-0000-0000-000094480000}"/>
    <cellStyle name="Обычный 5 20 2" xfId="681" xr:uid="{00000000-0005-0000-0000-000095480000}"/>
    <cellStyle name="Обычный 5 20 2 10" xfId="48743" xr:uid="{00000000-0005-0000-0000-000096480000}"/>
    <cellStyle name="Обычный 5 20 2 2" xfId="6022" xr:uid="{00000000-0005-0000-0000-000097480000}"/>
    <cellStyle name="Обычный 5 20 2 2 2" xfId="54084" xr:uid="{00000000-0005-0000-0000-000098480000}"/>
    <cellStyle name="Обычный 5 20 2 3" xfId="11363" xr:uid="{00000000-0005-0000-0000-000099480000}"/>
    <cellStyle name="Обычный 5 20 2 4" xfId="16703" xr:uid="{00000000-0005-0000-0000-00009A480000}"/>
    <cellStyle name="Обычный 5 20 2 5" xfId="22043" xr:uid="{00000000-0005-0000-0000-00009B480000}"/>
    <cellStyle name="Обычный 5 20 2 6" xfId="27383" xr:uid="{00000000-0005-0000-0000-00009C480000}"/>
    <cellStyle name="Обычный 5 20 2 7" xfId="32723" xr:uid="{00000000-0005-0000-0000-00009D480000}"/>
    <cellStyle name="Обычный 5 20 2 8" xfId="38063" xr:uid="{00000000-0005-0000-0000-00009E480000}"/>
    <cellStyle name="Обычный 5 20 2 9" xfId="43403" xr:uid="{00000000-0005-0000-0000-00009F480000}"/>
    <cellStyle name="Обычный 5 20 3" xfId="5555" xr:uid="{00000000-0005-0000-0000-0000A0480000}"/>
    <cellStyle name="Обычный 5 20 3 2" xfId="53617" xr:uid="{00000000-0005-0000-0000-0000A1480000}"/>
    <cellStyle name="Обычный 5 20 4" xfId="10896" xr:uid="{00000000-0005-0000-0000-0000A2480000}"/>
    <cellStyle name="Обычный 5 20 5" xfId="16236" xr:uid="{00000000-0005-0000-0000-0000A3480000}"/>
    <cellStyle name="Обычный 5 20 6" xfId="21576" xr:uid="{00000000-0005-0000-0000-0000A4480000}"/>
    <cellStyle name="Обычный 5 20 7" xfId="26916" xr:uid="{00000000-0005-0000-0000-0000A5480000}"/>
    <cellStyle name="Обычный 5 20 8" xfId="32256" xr:uid="{00000000-0005-0000-0000-0000A6480000}"/>
    <cellStyle name="Обычный 5 20 9" xfId="37596" xr:uid="{00000000-0005-0000-0000-0000A7480000}"/>
    <cellStyle name="Обычный 5 200" xfId="26762" xr:uid="{00000000-0005-0000-0000-0000A8480000}"/>
    <cellStyle name="Обычный 5 201" xfId="32102" xr:uid="{00000000-0005-0000-0000-0000A9480000}"/>
    <cellStyle name="Обычный 5 202" xfId="37442" xr:uid="{00000000-0005-0000-0000-0000AA480000}"/>
    <cellStyle name="Обычный 5 203" xfId="42782" xr:uid="{00000000-0005-0000-0000-0000AB480000}"/>
    <cellStyle name="Обычный 5 204" xfId="48122" xr:uid="{00000000-0005-0000-0000-0000AC480000}"/>
    <cellStyle name="Обычный 5 21" xfId="224" xr:uid="{00000000-0005-0000-0000-0000AD480000}"/>
    <cellStyle name="Обычный 5 21 10" xfId="42946" xr:uid="{00000000-0005-0000-0000-0000AE480000}"/>
    <cellStyle name="Обычный 5 21 11" xfId="48286" xr:uid="{00000000-0005-0000-0000-0000AF480000}"/>
    <cellStyle name="Обычный 5 21 2" xfId="691" xr:uid="{00000000-0005-0000-0000-0000B0480000}"/>
    <cellStyle name="Обычный 5 21 2 10" xfId="48753" xr:uid="{00000000-0005-0000-0000-0000B1480000}"/>
    <cellStyle name="Обычный 5 21 2 2" xfId="6032" xr:uid="{00000000-0005-0000-0000-0000B2480000}"/>
    <cellStyle name="Обычный 5 21 2 2 2" xfId="54094" xr:uid="{00000000-0005-0000-0000-0000B3480000}"/>
    <cellStyle name="Обычный 5 21 2 3" xfId="11373" xr:uid="{00000000-0005-0000-0000-0000B4480000}"/>
    <cellStyle name="Обычный 5 21 2 4" xfId="16713" xr:uid="{00000000-0005-0000-0000-0000B5480000}"/>
    <cellStyle name="Обычный 5 21 2 5" xfId="22053" xr:uid="{00000000-0005-0000-0000-0000B6480000}"/>
    <cellStyle name="Обычный 5 21 2 6" xfId="27393" xr:uid="{00000000-0005-0000-0000-0000B7480000}"/>
    <cellStyle name="Обычный 5 21 2 7" xfId="32733" xr:uid="{00000000-0005-0000-0000-0000B8480000}"/>
    <cellStyle name="Обычный 5 21 2 8" xfId="38073" xr:uid="{00000000-0005-0000-0000-0000B9480000}"/>
    <cellStyle name="Обычный 5 21 2 9" xfId="43413" xr:uid="{00000000-0005-0000-0000-0000BA480000}"/>
    <cellStyle name="Обычный 5 21 3" xfId="5565" xr:uid="{00000000-0005-0000-0000-0000BB480000}"/>
    <cellStyle name="Обычный 5 21 3 2" xfId="53627" xr:uid="{00000000-0005-0000-0000-0000BC480000}"/>
    <cellStyle name="Обычный 5 21 4" xfId="10906" xr:uid="{00000000-0005-0000-0000-0000BD480000}"/>
    <cellStyle name="Обычный 5 21 5" xfId="16246" xr:uid="{00000000-0005-0000-0000-0000BE480000}"/>
    <cellStyle name="Обычный 5 21 6" xfId="21586" xr:uid="{00000000-0005-0000-0000-0000BF480000}"/>
    <cellStyle name="Обычный 5 21 7" xfId="26926" xr:uid="{00000000-0005-0000-0000-0000C0480000}"/>
    <cellStyle name="Обычный 5 21 8" xfId="32266" xr:uid="{00000000-0005-0000-0000-0000C1480000}"/>
    <cellStyle name="Обычный 5 21 9" xfId="37606" xr:uid="{00000000-0005-0000-0000-0000C2480000}"/>
    <cellStyle name="Обычный 5 22" xfId="234" xr:uid="{00000000-0005-0000-0000-0000C3480000}"/>
    <cellStyle name="Обычный 5 22 10" xfId="42956" xr:uid="{00000000-0005-0000-0000-0000C4480000}"/>
    <cellStyle name="Обычный 5 22 11" xfId="48296" xr:uid="{00000000-0005-0000-0000-0000C5480000}"/>
    <cellStyle name="Обычный 5 22 2" xfId="701" xr:uid="{00000000-0005-0000-0000-0000C6480000}"/>
    <cellStyle name="Обычный 5 22 2 10" xfId="48763" xr:uid="{00000000-0005-0000-0000-0000C7480000}"/>
    <cellStyle name="Обычный 5 22 2 2" xfId="6042" xr:uid="{00000000-0005-0000-0000-0000C8480000}"/>
    <cellStyle name="Обычный 5 22 2 2 2" xfId="54104" xr:uid="{00000000-0005-0000-0000-0000C9480000}"/>
    <cellStyle name="Обычный 5 22 2 3" xfId="11383" xr:uid="{00000000-0005-0000-0000-0000CA480000}"/>
    <cellStyle name="Обычный 5 22 2 4" xfId="16723" xr:uid="{00000000-0005-0000-0000-0000CB480000}"/>
    <cellStyle name="Обычный 5 22 2 5" xfId="22063" xr:uid="{00000000-0005-0000-0000-0000CC480000}"/>
    <cellStyle name="Обычный 5 22 2 6" xfId="27403" xr:uid="{00000000-0005-0000-0000-0000CD480000}"/>
    <cellStyle name="Обычный 5 22 2 7" xfId="32743" xr:uid="{00000000-0005-0000-0000-0000CE480000}"/>
    <cellStyle name="Обычный 5 22 2 8" xfId="38083" xr:uid="{00000000-0005-0000-0000-0000CF480000}"/>
    <cellStyle name="Обычный 5 22 2 9" xfId="43423" xr:uid="{00000000-0005-0000-0000-0000D0480000}"/>
    <cellStyle name="Обычный 5 22 3" xfId="5575" xr:uid="{00000000-0005-0000-0000-0000D1480000}"/>
    <cellStyle name="Обычный 5 22 3 2" xfId="53637" xr:uid="{00000000-0005-0000-0000-0000D2480000}"/>
    <cellStyle name="Обычный 5 22 4" xfId="10916" xr:uid="{00000000-0005-0000-0000-0000D3480000}"/>
    <cellStyle name="Обычный 5 22 5" xfId="16256" xr:uid="{00000000-0005-0000-0000-0000D4480000}"/>
    <cellStyle name="Обычный 5 22 6" xfId="21596" xr:uid="{00000000-0005-0000-0000-0000D5480000}"/>
    <cellStyle name="Обычный 5 22 7" xfId="26936" xr:uid="{00000000-0005-0000-0000-0000D6480000}"/>
    <cellStyle name="Обычный 5 22 8" xfId="32276" xr:uid="{00000000-0005-0000-0000-0000D7480000}"/>
    <cellStyle name="Обычный 5 22 9" xfId="37616" xr:uid="{00000000-0005-0000-0000-0000D8480000}"/>
    <cellStyle name="Обычный 5 23" xfId="244" xr:uid="{00000000-0005-0000-0000-0000D9480000}"/>
    <cellStyle name="Обычный 5 23 10" xfId="42966" xr:uid="{00000000-0005-0000-0000-0000DA480000}"/>
    <cellStyle name="Обычный 5 23 11" xfId="48306" xr:uid="{00000000-0005-0000-0000-0000DB480000}"/>
    <cellStyle name="Обычный 5 23 2" xfId="711" xr:uid="{00000000-0005-0000-0000-0000DC480000}"/>
    <cellStyle name="Обычный 5 23 2 10" xfId="48773" xr:uid="{00000000-0005-0000-0000-0000DD480000}"/>
    <cellStyle name="Обычный 5 23 2 2" xfId="6052" xr:uid="{00000000-0005-0000-0000-0000DE480000}"/>
    <cellStyle name="Обычный 5 23 2 2 2" xfId="54114" xr:uid="{00000000-0005-0000-0000-0000DF480000}"/>
    <cellStyle name="Обычный 5 23 2 3" xfId="11393" xr:uid="{00000000-0005-0000-0000-0000E0480000}"/>
    <cellStyle name="Обычный 5 23 2 4" xfId="16733" xr:uid="{00000000-0005-0000-0000-0000E1480000}"/>
    <cellStyle name="Обычный 5 23 2 5" xfId="22073" xr:uid="{00000000-0005-0000-0000-0000E2480000}"/>
    <cellStyle name="Обычный 5 23 2 6" xfId="27413" xr:uid="{00000000-0005-0000-0000-0000E3480000}"/>
    <cellStyle name="Обычный 5 23 2 7" xfId="32753" xr:uid="{00000000-0005-0000-0000-0000E4480000}"/>
    <cellStyle name="Обычный 5 23 2 8" xfId="38093" xr:uid="{00000000-0005-0000-0000-0000E5480000}"/>
    <cellStyle name="Обычный 5 23 2 9" xfId="43433" xr:uid="{00000000-0005-0000-0000-0000E6480000}"/>
    <cellStyle name="Обычный 5 23 3" xfId="5585" xr:uid="{00000000-0005-0000-0000-0000E7480000}"/>
    <cellStyle name="Обычный 5 23 3 2" xfId="53647" xr:uid="{00000000-0005-0000-0000-0000E8480000}"/>
    <cellStyle name="Обычный 5 23 4" xfId="10926" xr:uid="{00000000-0005-0000-0000-0000E9480000}"/>
    <cellStyle name="Обычный 5 23 5" xfId="16266" xr:uid="{00000000-0005-0000-0000-0000EA480000}"/>
    <cellStyle name="Обычный 5 23 6" xfId="21606" xr:uid="{00000000-0005-0000-0000-0000EB480000}"/>
    <cellStyle name="Обычный 5 23 7" xfId="26946" xr:uid="{00000000-0005-0000-0000-0000EC480000}"/>
    <cellStyle name="Обычный 5 23 8" xfId="32286" xr:uid="{00000000-0005-0000-0000-0000ED480000}"/>
    <cellStyle name="Обычный 5 23 9" xfId="37626" xr:uid="{00000000-0005-0000-0000-0000EE480000}"/>
    <cellStyle name="Обычный 5 24" xfId="254" xr:uid="{00000000-0005-0000-0000-0000EF480000}"/>
    <cellStyle name="Обычный 5 24 10" xfId="42976" xr:uid="{00000000-0005-0000-0000-0000F0480000}"/>
    <cellStyle name="Обычный 5 24 11" xfId="48316" xr:uid="{00000000-0005-0000-0000-0000F1480000}"/>
    <cellStyle name="Обычный 5 24 2" xfId="721" xr:uid="{00000000-0005-0000-0000-0000F2480000}"/>
    <cellStyle name="Обычный 5 24 2 10" xfId="48783" xr:uid="{00000000-0005-0000-0000-0000F3480000}"/>
    <cellStyle name="Обычный 5 24 2 2" xfId="6062" xr:uid="{00000000-0005-0000-0000-0000F4480000}"/>
    <cellStyle name="Обычный 5 24 2 2 2" xfId="54124" xr:uid="{00000000-0005-0000-0000-0000F5480000}"/>
    <cellStyle name="Обычный 5 24 2 3" xfId="11403" xr:uid="{00000000-0005-0000-0000-0000F6480000}"/>
    <cellStyle name="Обычный 5 24 2 4" xfId="16743" xr:uid="{00000000-0005-0000-0000-0000F7480000}"/>
    <cellStyle name="Обычный 5 24 2 5" xfId="22083" xr:uid="{00000000-0005-0000-0000-0000F8480000}"/>
    <cellStyle name="Обычный 5 24 2 6" xfId="27423" xr:uid="{00000000-0005-0000-0000-0000F9480000}"/>
    <cellStyle name="Обычный 5 24 2 7" xfId="32763" xr:uid="{00000000-0005-0000-0000-0000FA480000}"/>
    <cellStyle name="Обычный 5 24 2 8" xfId="38103" xr:uid="{00000000-0005-0000-0000-0000FB480000}"/>
    <cellStyle name="Обычный 5 24 2 9" xfId="43443" xr:uid="{00000000-0005-0000-0000-0000FC480000}"/>
    <cellStyle name="Обычный 5 24 3" xfId="5595" xr:uid="{00000000-0005-0000-0000-0000FD480000}"/>
    <cellStyle name="Обычный 5 24 3 2" xfId="53657" xr:uid="{00000000-0005-0000-0000-0000FE480000}"/>
    <cellStyle name="Обычный 5 24 4" xfId="10936" xr:uid="{00000000-0005-0000-0000-0000FF480000}"/>
    <cellStyle name="Обычный 5 24 5" xfId="16276" xr:uid="{00000000-0005-0000-0000-000000490000}"/>
    <cellStyle name="Обычный 5 24 6" xfId="21616" xr:uid="{00000000-0005-0000-0000-000001490000}"/>
    <cellStyle name="Обычный 5 24 7" xfId="26956" xr:uid="{00000000-0005-0000-0000-000002490000}"/>
    <cellStyle name="Обычный 5 24 8" xfId="32296" xr:uid="{00000000-0005-0000-0000-000003490000}"/>
    <cellStyle name="Обычный 5 24 9" xfId="37636" xr:uid="{00000000-0005-0000-0000-000004490000}"/>
    <cellStyle name="Обычный 5 25" xfId="264" xr:uid="{00000000-0005-0000-0000-000005490000}"/>
    <cellStyle name="Обычный 5 25 10" xfId="42986" xr:uid="{00000000-0005-0000-0000-000006490000}"/>
    <cellStyle name="Обычный 5 25 11" xfId="48326" xr:uid="{00000000-0005-0000-0000-000007490000}"/>
    <cellStyle name="Обычный 5 25 2" xfId="731" xr:uid="{00000000-0005-0000-0000-000008490000}"/>
    <cellStyle name="Обычный 5 25 2 10" xfId="48793" xr:uid="{00000000-0005-0000-0000-000009490000}"/>
    <cellStyle name="Обычный 5 25 2 2" xfId="6072" xr:uid="{00000000-0005-0000-0000-00000A490000}"/>
    <cellStyle name="Обычный 5 25 2 2 2" xfId="54134" xr:uid="{00000000-0005-0000-0000-00000B490000}"/>
    <cellStyle name="Обычный 5 25 2 3" xfId="11413" xr:uid="{00000000-0005-0000-0000-00000C490000}"/>
    <cellStyle name="Обычный 5 25 2 4" xfId="16753" xr:uid="{00000000-0005-0000-0000-00000D490000}"/>
    <cellStyle name="Обычный 5 25 2 5" xfId="22093" xr:uid="{00000000-0005-0000-0000-00000E490000}"/>
    <cellStyle name="Обычный 5 25 2 6" xfId="27433" xr:uid="{00000000-0005-0000-0000-00000F490000}"/>
    <cellStyle name="Обычный 5 25 2 7" xfId="32773" xr:uid="{00000000-0005-0000-0000-000010490000}"/>
    <cellStyle name="Обычный 5 25 2 8" xfId="38113" xr:uid="{00000000-0005-0000-0000-000011490000}"/>
    <cellStyle name="Обычный 5 25 2 9" xfId="43453" xr:uid="{00000000-0005-0000-0000-000012490000}"/>
    <cellStyle name="Обычный 5 25 3" xfId="5605" xr:uid="{00000000-0005-0000-0000-000013490000}"/>
    <cellStyle name="Обычный 5 25 3 2" xfId="53667" xr:uid="{00000000-0005-0000-0000-000014490000}"/>
    <cellStyle name="Обычный 5 25 4" xfId="10946" xr:uid="{00000000-0005-0000-0000-000015490000}"/>
    <cellStyle name="Обычный 5 25 5" xfId="16286" xr:uid="{00000000-0005-0000-0000-000016490000}"/>
    <cellStyle name="Обычный 5 25 6" xfId="21626" xr:uid="{00000000-0005-0000-0000-000017490000}"/>
    <cellStyle name="Обычный 5 25 7" xfId="26966" xr:uid="{00000000-0005-0000-0000-000018490000}"/>
    <cellStyle name="Обычный 5 25 8" xfId="32306" xr:uid="{00000000-0005-0000-0000-000019490000}"/>
    <cellStyle name="Обычный 5 25 9" xfId="37646" xr:uid="{00000000-0005-0000-0000-00001A490000}"/>
    <cellStyle name="Обычный 5 26" xfId="274" xr:uid="{00000000-0005-0000-0000-00001B490000}"/>
    <cellStyle name="Обычный 5 26 10" xfId="42996" xr:uid="{00000000-0005-0000-0000-00001C490000}"/>
    <cellStyle name="Обычный 5 26 11" xfId="48336" xr:uid="{00000000-0005-0000-0000-00001D490000}"/>
    <cellStyle name="Обычный 5 26 2" xfId="741" xr:uid="{00000000-0005-0000-0000-00001E490000}"/>
    <cellStyle name="Обычный 5 26 2 10" xfId="48803" xr:uid="{00000000-0005-0000-0000-00001F490000}"/>
    <cellStyle name="Обычный 5 26 2 2" xfId="6082" xr:uid="{00000000-0005-0000-0000-000020490000}"/>
    <cellStyle name="Обычный 5 26 2 2 2" xfId="54144" xr:uid="{00000000-0005-0000-0000-000021490000}"/>
    <cellStyle name="Обычный 5 26 2 3" xfId="11423" xr:uid="{00000000-0005-0000-0000-000022490000}"/>
    <cellStyle name="Обычный 5 26 2 4" xfId="16763" xr:uid="{00000000-0005-0000-0000-000023490000}"/>
    <cellStyle name="Обычный 5 26 2 5" xfId="22103" xr:uid="{00000000-0005-0000-0000-000024490000}"/>
    <cellStyle name="Обычный 5 26 2 6" xfId="27443" xr:uid="{00000000-0005-0000-0000-000025490000}"/>
    <cellStyle name="Обычный 5 26 2 7" xfId="32783" xr:uid="{00000000-0005-0000-0000-000026490000}"/>
    <cellStyle name="Обычный 5 26 2 8" xfId="38123" xr:uid="{00000000-0005-0000-0000-000027490000}"/>
    <cellStyle name="Обычный 5 26 2 9" xfId="43463" xr:uid="{00000000-0005-0000-0000-000028490000}"/>
    <cellStyle name="Обычный 5 26 3" xfId="5615" xr:uid="{00000000-0005-0000-0000-000029490000}"/>
    <cellStyle name="Обычный 5 26 3 2" xfId="53677" xr:uid="{00000000-0005-0000-0000-00002A490000}"/>
    <cellStyle name="Обычный 5 26 4" xfId="10956" xr:uid="{00000000-0005-0000-0000-00002B490000}"/>
    <cellStyle name="Обычный 5 26 5" xfId="16296" xr:uid="{00000000-0005-0000-0000-00002C490000}"/>
    <cellStyle name="Обычный 5 26 6" xfId="21636" xr:uid="{00000000-0005-0000-0000-00002D490000}"/>
    <cellStyle name="Обычный 5 26 7" xfId="26976" xr:uid="{00000000-0005-0000-0000-00002E490000}"/>
    <cellStyle name="Обычный 5 26 8" xfId="32316" xr:uid="{00000000-0005-0000-0000-00002F490000}"/>
    <cellStyle name="Обычный 5 26 9" xfId="37656" xr:uid="{00000000-0005-0000-0000-000030490000}"/>
    <cellStyle name="Обычный 5 27" xfId="284" xr:uid="{00000000-0005-0000-0000-000031490000}"/>
    <cellStyle name="Обычный 5 27 10" xfId="43006" xr:uid="{00000000-0005-0000-0000-000032490000}"/>
    <cellStyle name="Обычный 5 27 11" xfId="48346" xr:uid="{00000000-0005-0000-0000-000033490000}"/>
    <cellStyle name="Обычный 5 27 2" xfId="751" xr:uid="{00000000-0005-0000-0000-000034490000}"/>
    <cellStyle name="Обычный 5 27 2 10" xfId="48813" xr:uid="{00000000-0005-0000-0000-000035490000}"/>
    <cellStyle name="Обычный 5 27 2 2" xfId="6092" xr:uid="{00000000-0005-0000-0000-000036490000}"/>
    <cellStyle name="Обычный 5 27 2 2 2" xfId="54154" xr:uid="{00000000-0005-0000-0000-000037490000}"/>
    <cellStyle name="Обычный 5 27 2 3" xfId="11433" xr:uid="{00000000-0005-0000-0000-000038490000}"/>
    <cellStyle name="Обычный 5 27 2 4" xfId="16773" xr:uid="{00000000-0005-0000-0000-000039490000}"/>
    <cellStyle name="Обычный 5 27 2 5" xfId="22113" xr:uid="{00000000-0005-0000-0000-00003A490000}"/>
    <cellStyle name="Обычный 5 27 2 6" xfId="27453" xr:uid="{00000000-0005-0000-0000-00003B490000}"/>
    <cellStyle name="Обычный 5 27 2 7" xfId="32793" xr:uid="{00000000-0005-0000-0000-00003C490000}"/>
    <cellStyle name="Обычный 5 27 2 8" xfId="38133" xr:uid="{00000000-0005-0000-0000-00003D490000}"/>
    <cellStyle name="Обычный 5 27 2 9" xfId="43473" xr:uid="{00000000-0005-0000-0000-00003E490000}"/>
    <cellStyle name="Обычный 5 27 3" xfId="5625" xr:uid="{00000000-0005-0000-0000-00003F490000}"/>
    <cellStyle name="Обычный 5 27 3 2" xfId="53687" xr:uid="{00000000-0005-0000-0000-000040490000}"/>
    <cellStyle name="Обычный 5 27 4" xfId="10966" xr:uid="{00000000-0005-0000-0000-000041490000}"/>
    <cellStyle name="Обычный 5 27 5" xfId="16306" xr:uid="{00000000-0005-0000-0000-000042490000}"/>
    <cellStyle name="Обычный 5 27 6" xfId="21646" xr:uid="{00000000-0005-0000-0000-000043490000}"/>
    <cellStyle name="Обычный 5 27 7" xfId="26986" xr:uid="{00000000-0005-0000-0000-000044490000}"/>
    <cellStyle name="Обычный 5 27 8" xfId="32326" xr:uid="{00000000-0005-0000-0000-000045490000}"/>
    <cellStyle name="Обычный 5 27 9" xfId="37666" xr:uid="{00000000-0005-0000-0000-000046490000}"/>
    <cellStyle name="Обычный 5 28" xfId="294" xr:uid="{00000000-0005-0000-0000-000047490000}"/>
    <cellStyle name="Обычный 5 28 10" xfId="43016" xr:uid="{00000000-0005-0000-0000-000048490000}"/>
    <cellStyle name="Обычный 5 28 11" xfId="48356" xr:uid="{00000000-0005-0000-0000-000049490000}"/>
    <cellStyle name="Обычный 5 28 2" xfId="761" xr:uid="{00000000-0005-0000-0000-00004A490000}"/>
    <cellStyle name="Обычный 5 28 2 10" xfId="48823" xr:uid="{00000000-0005-0000-0000-00004B490000}"/>
    <cellStyle name="Обычный 5 28 2 2" xfId="6102" xr:uid="{00000000-0005-0000-0000-00004C490000}"/>
    <cellStyle name="Обычный 5 28 2 2 2" xfId="54164" xr:uid="{00000000-0005-0000-0000-00004D490000}"/>
    <cellStyle name="Обычный 5 28 2 3" xfId="11443" xr:uid="{00000000-0005-0000-0000-00004E490000}"/>
    <cellStyle name="Обычный 5 28 2 4" xfId="16783" xr:uid="{00000000-0005-0000-0000-00004F490000}"/>
    <cellStyle name="Обычный 5 28 2 5" xfId="22123" xr:uid="{00000000-0005-0000-0000-000050490000}"/>
    <cellStyle name="Обычный 5 28 2 6" xfId="27463" xr:uid="{00000000-0005-0000-0000-000051490000}"/>
    <cellStyle name="Обычный 5 28 2 7" xfId="32803" xr:uid="{00000000-0005-0000-0000-000052490000}"/>
    <cellStyle name="Обычный 5 28 2 8" xfId="38143" xr:uid="{00000000-0005-0000-0000-000053490000}"/>
    <cellStyle name="Обычный 5 28 2 9" xfId="43483" xr:uid="{00000000-0005-0000-0000-000054490000}"/>
    <cellStyle name="Обычный 5 28 3" xfId="5635" xr:uid="{00000000-0005-0000-0000-000055490000}"/>
    <cellStyle name="Обычный 5 28 3 2" xfId="53697" xr:uid="{00000000-0005-0000-0000-000056490000}"/>
    <cellStyle name="Обычный 5 28 4" xfId="10976" xr:uid="{00000000-0005-0000-0000-000057490000}"/>
    <cellStyle name="Обычный 5 28 5" xfId="16316" xr:uid="{00000000-0005-0000-0000-000058490000}"/>
    <cellStyle name="Обычный 5 28 6" xfId="21656" xr:uid="{00000000-0005-0000-0000-000059490000}"/>
    <cellStyle name="Обычный 5 28 7" xfId="26996" xr:uid="{00000000-0005-0000-0000-00005A490000}"/>
    <cellStyle name="Обычный 5 28 8" xfId="32336" xr:uid="{00000000-0005-0000-0000-00005B490000}"/>
    <cellStyle name="Обычный 5 28 9" xfId="37676" xr:uid="{00000000-0005-0000-0000-00005C490000}"/>
    <cellStyle name="Обычный 5 29" xfId="304" xr:uid="{00000000-0005-0000-0000-00005D490000}"/>
    <cellStyle name="Обычный 5 29 10" xfId="43026" xr:uid="{00000000-0005-0000-0000-00005E490000}"/>
    <cellStyle name="Обычный 5 29 11" xfId="48366" xr:uid="{00000000-0005-0000-0000-00005F490000}"/>
    <cellStyle name="Обычный 5 29 2" xfId="771" xr:uid="{00000000-0005-0000-0000-000060490000}"/>
    <cellStyle name="Обычный 5 29 2 10" xfId="48833" xr:uid="{00000000-0005-0000-0000-000061490000}"/>
    <cellStyle name="Обычный 5 29 2 2" xfId="6112" xr:uid="{00000000-0005-0000-0000-000062490000}"/>
    <cellStyle name="Обычный 5 29 2 2 2" xfId="54174" xr:uid="{00000000-0005-0000-0000-000063490000}"/>
    <cellStyle name="Обычный 5 29 2 3" xfId="11453" xr:uid="{00000000-0005-0000-0000-000064490000}"/>
    <cellStyle name="Обычный 5 29 2 4" xfId="16793" xr:uid="{00000000-0005-0000-0000-000065490000}"/>
    <cellStyle name="Обычный 5 29 2 5" xfId="22133" xr:uid="{00000000-0005-0000-0000-000066490000}"/>
    <cellStyle name="Обычный 5 29 2 6" xfId="27473" xr:uid="{00000000-0005-0000-0000-000067490000}"/>
    <cellStyle name="Обычный 5 29 2 7" xfId="32813" xr:uid="{00000000-0005-0000-0000-000068490000}"/>
    <cellStyle name="Обычный 5 29 2 8" xfId="38153" xr:uid="{00000000-0005-0000-0000-000069490000}"/>
    <cellStyle name="Обычный 5 29 2 9" xfId="43493" xr:uid="{00000000-0005-0000-0000-00006A490000}"/>
    <cellStyle name="Обычный 5 29 3" xfId="5645" xr:uid="{00000000-0005-0000-0000-00006B490000}"/>
    <cellStyle name="Обычный 5 29 3 2" xfId="53707" xr:uid="{00000000-0005-0000-0000-00006C490000}"/>
    <cellStyle name="Обычный 5 29 4" xfId="10986" xr:uid="{00000000-0005-0000-0000-00006D490000}"/>
    <cellStyle name="Обычный 5 29 5" xfId="16326" xr:uid="{00000000-0005-0000-0000-00006E490000}"/>
    <cellStyle name="Обычный 5 29 6" xfId="21666" xr:uid="{00000000-0005-0000-0000-00006F490000}"/>
    <cellStyle name="Обычный 5 29 7" xfId="27006" xr:uid="{00000000-0005-0000-0000-000070490000}"/>
    <cellStyle name="Обычный 5 29 8" xfId="32346" xr:uid="{00000000-0005-0000-0000-000071490000}"/>
    <cellStyle name="Обычный 5 29 9" xfId="37686" xr:uid="{00000000-0005-0000-0000-000072490000}"/>
    <cellStyle name="Обычный 5 3" xfId="78" xr:uid="{00000000-0005-0000-0000-000073490000}"/>
    <cellStyle name="Обычный 5 3 10" xfId="1178" xr:uid="{00000000-0005-0000-0000-000074490000}"/>
    <cellStyle name="Обычный 5 3 10 10" xfId="49241" xr:uid="{00000000-0005-0000-0000-000075490000}"/>
    <cellStyle name="Обычный 5 3 10 2" xfId="6520" xr:uid="{00000000-0005-0000-0000-000076490000}"/>
    <cellStyle name="Обычный 5 3 10 2 2" xfId="54582" xr:uid="{00000000-0005-0000-0000-000077490000}"/>
    <cellStyle name="Обычный 5 3 10 3" xfId="11861" xr:uid="{00000000-0005-0000-0000-000078490000}"/>
    <cellStyle name="Обычный 5 3 10 4" xfId="17201" xr:uid="{00000000-0005-0000-0000-000079490000}"/>
    <cellStyle name="Обычный 5 3 10 5" xfId="22541" xr:uid="{00000000-0005-0000-0000-00007A490000}"/>
    <cellStyle name="Обычный 5 3 10 6" xfId="27881" xr:uid="{00000000-0005-0000-0000-00007B490000}"/>
    <cellStyle name="Обычный 5 3 10 7" xfId="33221" xr:uid="{00000000-0005-0000-0000-00007C490000}"/>
    <cellStyle name="Обычный 5 3 10 8" xfId="38561" xr:uid="{00000000-0005-0000-0000-00007D490000}"/>
    <cellStyle name="Обычный 5 3 10 9" xfId="43901" xr:uid="{00000000-0005-0000-0000-00007E490000}"/>
    <cellStyle name="Обычный 5 3 100" xfId="3836" xr:uid="{00000000-0005-0000-0000-00007F490000}"/>
    <cellStyle name="Обычный 5 3 100 10" xfId="51899" xr:uid="{00000000-0005-0000-0000-000080490000}"/>
    <cellStyle name="Обычный 5 3 100 2" xfId="9179" xr:uid="{00000000-0005-0000-0000-000081490000}"/>
    <cellStyle name="Обычный 5 3 100 2 2" xfId="57240" xr:uid="{00000000-0005-0000-0000-000082490000}"/>
    <cellStyle name="Обычный 5 3 100 3" xfId="14519" xr:uid="{00000000-0005-0000-0000-000083490000}"/>
    <cellStyle name="Обычный 5 3 100 4" xfId="19859" xr:uid="{00000000-0005-0000-0000-000084490000}"/>
    <cellStyle name="Обычный 5 3 100 5" xfId="25199" xr:uid="{00000000-0005-0000-0000-000085490000}"/>
    <cellStyle name="Обычный 5 3 100 6" xfId="30539" xr:uid="{00000000-0005-0000-0000-000086490000}"/>
    <cellStyle name="Обычный 5 3 100 7" xfId="35879" xr:uid="{00000000-0005-0000-0000-000087490000}"/>
    <cellStyle name="Обычный 5 3 100 8" xfId="41219" xr:uid="{00000000-0005-0000-0000-000088490000}"/>
    <cellStyle name="Обычный 5 3 100 9" xfId="46559" xr:uid="{00000000-0005-0000-0000-000089490000}"/>
    <cellStyle name="Обычный 5 3 101" xfId="3868" xr:uid="{00000000-0005-0000-0000-00008A490000}"/>
    <cellStyle name="Обычный 5 3 101 10" xfId="51931" xr:uid="{00000000-0005-0000-0000-00008B490000}"/>
    <cellStyle name="Обычный 5 3 101 2" xfId="9211" xr:uid="{00000000-0005-0000-0000-00008C490000}"/>
    <cellStyle name="Обычный 5 3 101 2 2" xfId="57272" xr:uid="{00000000-0005-0000-0000-00008D490000}"/>
    <cellStyle name="Обычный 5 3 101 3" xfId="14551" xr:uid="{00000000-0005-0000-0000-00008E490000}"/>
    <cellStyle name="Обычный 5 3 101 4" xfId="19891" xr:uid="{00000000-0005-0000-0000-00008F490000}"/>
    <cellStyle name="Обычный 5 3 101 5" xfId="25231" xr:uid="{00000000-0005-0000-0000-000090490000}"/>
    <cellStyle name="Обычный 5 3 101 6" xfId="30571" xr:uid="{00000000-0005-0000-0000-000091490000}"/>
    <cellStyle name="Обычный 5 3 101 7" xfId="35911" xr:uid="{00000000-0005-0000-0000-000092490000}"/>
    <cellStyle name="Обычный 5 3 101 8" xfId="41251" xr:uid="{00000000-0005-0000-0000-000093490000}"/>
    <cellStyle name="Обычный 5 3 101 9" xfId="46591" xr:uid="{00000000-0005-0000-0000-000094490000}"/>
    <cellStyle name="Обычный 5 3 102" xfId="3900" xr:uid="{00000000-0005-0000-0000-000095490000}"/>
    <cellStyle name="Обычный 5 3 102 10" xfId="51963" xr:uid="{00000000-0005-0000-0000-000096490000}"/>
    <cellStyle name="Обычный 5 3 102 2" xfId="9243" xr:uid="{00000000-0005-0000-0000-000097490000}"/>
    <cellStyle name="Обычный 5 3 102 2 2" xfId="57304" xr:uid="{00000000-0005-0000-0000-000098490000}"/>
    <cellStyle name="Обычный 5 3 102 3" xfId="14583" xr:uid="{00000000-0005-0000-0000-000099490000}"/>
    <cellStyle name="Обычный 5 3 102 4" xfId="19923" xr:uid="{00000000-0005-0000-0000-00009A490000}"/>
    <cellStyle name="Обычный 5 3 102 5" xfId="25263" xr:uid="{00000000-0005-0000-0000-00009B490000}"/>
    <cellStyle name="Обычный 5 3 102 6" xfId="30603" xr:uid="{00000000-0005-0000-0000-00009C490000}"/>
    <cellStyle name="Обычный 5 3 102 7" xfId="35943" xr:uid="{00000000-0005-0000-0000-00009D490000}"/>
    <cellStyle name="Обычный 5 3 102 8" xfId="41283" xr:uid="{00000000-0005-0000-0000-00009E490000}"/>
    <cellStyle name="Обычный 5 3 102 9" xfId="46623" xr:uid="{00000000-0005-0000-0000-00009F490000}"/>
    <cellStyle name="Обычный 5 3 103" xfId="3932" xr:uid="{00000000-0005-0000-0000-0000A0490000}"/>
    <cellStyle name="Обычный 5 3 103 10" xfId="51995" xr:uid="{00000000-0005-0000-0000-0000A1490000}"/>
    <cellStyle name="Обычный 5 3 103 2" xfId="9275" xr:uid="{00000000-0005-0000-0000-0000A2490000}"/>
    <cellStyle name="Обычный 5 3 103 2 2" xfId="57336" xr:uid="{00000000-0005-0000-0000-0000A3490000}"/>
    <cellStyle name="Обычный 5 3 103 3" xfId="14615" xr:uid="{00000000-0005-0000-0000-0000A4490000}"/>
    <cellStyle name="Обычный 5 3 103 4" xfId="19955" xr:uid="{00000000-0005-0000-0000-0000A5490000}"/>
    <cellStyle name="Обычный 5 3 103 5" xfId="25295" xr:uid="{00000000-0005-0000-0000-0000A6490000}"/>
    <cellStyle name="Обычный 5 3 103 6" xfId="30635" xr:uid="{00000000-0005-0000-0000-0000A7490000}"/>
    <cellStyle name="Обычный 5 3 103 7" xfId="35975" xr:uid="{00000000-0005-0000-0000-0000A8490000}"/>
    <cellStyle name="Обычный 5 3 103 8" xfId="41315" xr:uid="{00000000-0005-0000-0000-0000A9490000}"/>
    <cellStyle name="Обычный 5 3 103 9" xfId="46655" xr:uid="{00000000-0005-0000-0000-0000AA490000}"/>
    <cellStyle name="Обычный 5 3 104" xfId="3964" xr:uid="{00000000-0005-0000-0000-0000AB490000}"/>
    <cellStyle name="Обычный 5 3 104 10" xfId="52027" xr:uid="{00000000-0005-0000-0000-0000AC490000}"/>
    <cellStyle name="Обычный 5 3 104 2" xfId="9307" xr:uid="{00000000-0005-0000-0000-0000AD490000}"/>
    <cellStyle name="Обычный 5 3 104 2 2" xfId="57368" xr:uid="{00000000-0005-0000-0000-0000AE490000}"/>
    <cellStyle name="Обычный 5 3 104 3" xfId="14647" xr:uid="{00000000-0005-0000-0000-0000AF490000}"/>
    <cellStyle name="Обычный 5 3 104 4" xfId="19987" xr:uid="{00000000-0005-0000-0000-0000B0490000}"/>
    <cellStyle name="Обычный 5 3 104 5" xfId="25327" xr:uid="{00000000-0005-0000-0000-0000B1490000}"/>
    <cellStyle name="Обычный 5 3 104 6" xfId="30667" xr:uid="{00000000-0005-0000-0000-0000B2490000}"/>
    <cellStyle name="Обычный 5 3 104 7" xfId="36007" xr:uid="{00000000-0005-0000-0000-0000B3490000}"/>
    <cellStyle name="Обычный 5 3 104 8" xfId="41347" xr:uid="{00000000-0005-0000-0000-0000B4490000}"/>
    <cellStyle name="Обычный 5 3 104 9" xfId="46687" xr:uid="{00000000-0005-0000-0000-0000B5490000}"/>
    <cellStyle name="Обычный 5 3 105" xfId="3996" xr:uid="{00000000-0005-0000-0000-0000B6490000}"/>
    <cellStyle name="Обычный 5 3 105 10" xfId="52059" xr:uid="{00000000-0005-0000-0000-0000B7490000}"/>
    <cellStyle name="Обычный 5 3 105 2" xfId="9339" xr:uid="{00000000-0005-0000-0000-0000B8490000}"/>
    <cellStyle name="Обычный 5 3 105 2 2" xfId="57400" xr:uid="{00000000-0005-0000-0000-0000B9490000}"/>
    <cellStyle name="Обычный 5 3 105 3" xfId="14679" xr:uid="{00000000-0005-0000-0000-0000BA490000}"/>
    <cellStyle name="Обычный 5 3 105 4" xfId="20019" xr:uid="{00000000-0005-0000-0000-0000BB490000}"/>
    <cellStyle name="Обычный 5 3 105 5" xfId="25359" xr:uid="{00000000-0005-0000-0000-0000BC490000}"/>
    <cellStyle name="Обычный 5 3 105 6" xfId="30699" xr:uid="{00000000-0005-0000-0000-0000BD490000}"/>
    <cellStyle name="Обычный 5 3 105 7" xfId="36039" xr:uid="{00000000-0005-0000-0000-0000BE490000}"/>
    <cellStyle name="Обычный 5 3 105 8" xfId="41379" xr:uid="{00000000-0005-0000-0000-0000BF490000}"/>
    <cellStyle name="Обычный 5 3 105 9" xfId="46719" xr:uid="{00000000-0005-0000-0000-0000C0490000}"/>
    <cellStyle name="Обычный 5 3 106" xfId="4028" xr:uid="{00000000-0005-0000-0000-0000C1490000}"/>
    <cellStyle name="Обычный 5 3 106 10" xfId="52091" xr:uid="{00000000-0005-0000-0000-0000C2490000}"/>
    <cellStyle name="Обычный 5 3 106 2" xfId="9371" xr:uid="{00000000-0005-0000-0000-0000C3490000}"/>
    <cellStyle name="Обычный 5 3 106 2 2" xfId="57432" xr:uid="{00000000-0005-0000-0000-0000C4490000}"/>
    <cellStyle name="Обычный 5 3 106 3" xfId="14711" xr:uid="{00000000-0005-0000-0000-0000C5490000}"/>
    <cellStyle name="Обычный 5 3 106 4" xfId="20051" xr:uid="{00000000-0005-0000-0000-0000C6490000}"/>
    <cellStyle name="Обычный 5 3 106 5" xfId="25391" xr:uid="{00000000-0005-0000-0000-0000C7490000}"/>
    <cellStyle name="Обычный 5 3 106 6" xfId="30731" xr:uid="{00000000-0005-0000-0000-0000C8490000}"/>
    <cellStyle name="Обычный 5 3 106 7" xfId="36071" xr:uid="{00000000-0005-0000-0000-0000C9490000}"/>
    <cellStyle name="Обычный 5 3 106 8" xfId="41411" xr:uid="{00000000-0005-0000-0000-0000CA490000}"/>
    <cellStyle name="Обычный 5 3 106 9" xfId="46751" xr:uid="{00000000-0005-0000-0000-0000CB490000}"/>
    <cellStyle name="Обычный 5 3 107" xfId="4060" xr:uid="{00000000-0005-0000-0000-0000CC490000}"/>
    <cellStyle name="Обычный 5 3 107 10" xfId="52123" xr:uid="{00000000-0005-0000-0000-0000CD490000}"/>
    <cellStyle name="Обычный 5 3 107 2" xfId="9403" xr:uid="{00000000-0005-0000-0000-0000CE490000}"/>
    <cellStyle name="Обычный 5 3 107 2 2" xfId="57464" xr:uid="{00000000-0005-0000-0000-0000CF490000}"/>
    <cellStyle name="Обычный 5 3 107 3" xfId="14743" xr:uid="{00000000-0005-0000-0000-0000D0490000}"/>
    <cellStyle name="Обычный 5 3 107 4" xfId="20083" xr:uid="{00000000-0005-0000-0000-0000D1490000}"/>
    <cellStyle name="Обычный 5 3 107 5" xfId="25423" xr:uid="{00000000-0005-0000-0000-0000D2490000}"/>
    <cellStyle name="Обычный 5 3 107 6" xfId="30763" xr:uid="{00000000-0005-0000-0000-0000D3490000}"/>
    <cellStyle name="Обычный 5 3 107 7" xfId="36103" xr:uid="{00000000-0005-0000-0000-0000D4490000}"/>
    <cellStyle name="Обычный 5 3 107 8" xfId="41443" xr:uid="{00000000-0005-0000-0000-0000D5490000}"/>
    <cellStyle name="Обычный 5 3 107 9" xfId="46783" xr:uid="{00000000-0005-0000-0000-0000D6490000}"/>
    <cellStyle name="Обычный 5 3 108" xfId="4092" xr:uid="{00000000-0005-0000-0000-0000D7490000}"/>
    <cellStyle name="Обычный 5 3 108 10" xfId="52155" xr:uid="{00000000-0005-0000-0000-0000D8490000}"/>
    <cellStyle name="Обычный 5 3 108 2" xfId="9435" xr:uid="{00000000-0005-0000-0000-0000D9490000}"/>
    <cellStyle name="Обычный 5 3 108 2 2" xfId="57496" xr:uid="{00000000-0005-0000-0000-0000DA490000}"/>
    <cellStyle name="Обычный 5 3 108 3" xfId="14775" xr:uid="{00000000-0005-0000-0000-0000DB490000}"/>
    <cellStyle name="Обычный 5 3 108 4" xfId="20115" xr:uid="{00000000-0005-0000-0000-0000DC490000}"/>
    <cellStyle name="Обычный 5 3 108 5" xfId="25455" xr:uid="{00000000-0005-0000-0000-0000DD490000}"/>
    <cellStyle name="Обычный 5 3 108 6" xfId="30795" xr:uid="{00000000-0005-0000-0000-0000DE490000}"/>
    <cellStyle name="Обычный 5 3 108 7" xfId="36135" xr:uid="{00000000-0005-0000-0000-0000DF490000}"/>
    <cellStyle name="Обычный 5 3 108 8" xfId="41475" xr:uid="{00000000-0005-0000-0000-0000E0490000}"/>
    <cellStyle name="Обычный 5 3 108 9" xfId="46815" xr:uid="{00000000-0005-0000-0000-0000E1490000}"/>
    <cellStyle name="Обычный 5 3 109" xfId="4124" xr:uid="{00000000-0005-0000-0000-0000E2490000}"/>
    <cellStyle name="Обычный 5 3 109 10" xfId="52187" xr:uid="{00000000-0005-0000-0000-0000E3490000}"/>
    <cellStyle name="Обычный 5 3 109 2" xfId="9467" xr:uid="{00000000-0005-0000-0000-0000E4490000}"/>
    <cellStyle name="Обычный 5 3 109 2 2" xfId="57528" xr:uid="{00000000-0005-0000-0000-0000E5490000}"/>
    <cellStyle name="Обычный 5 3 109 3" xfId="14807" xr:uid="{00000000-0005-0000-0000-0000E6490000}"/>
    <cellStyle name="Обычный 5 3 109 4" xfId="20147" xr:uid="{00000000-0005-0000-0000-0000E7490000}"/>
    <cellStyle name="Обычный 5 3 109 5" xfId="25487" xr:uid="{00000000-0005-0000-0000-0000E8490000}"/>
    <cellStyle name="Обычный 5 3 109 6" xfId="30827" xr:uid="{00000000-0005-0000-0000-0000E9490000}"/>
    <cellStyle name="Обычный 5 3 109 7" xfId="36167" xr:uid="{00000000-0005-0000-0000-0000EA490000}"/>
    <cellStyle name="Обычный 5 3 109 8" xfId="41507" xr:uid="{00000000-0005-0000-0000-0000EB490000}"/>
    <cellStyle name="Обычный 5 3 109 9" xfId="46847" xr:uid="{00000000-0005-0000-0000-0000EC490000}"/>
    <cellStyle name="Обычный 5 3 11" xfId="1204" xr:uid="{00000000-0005-0000-0000-0000ED490000}"/>
    <cellStyle name="Обычный 5 3 11 10" xfId="49267" xr:uid="{00000000-0005-0000-0000-0000EE490000}"/>
    <cellStyle name="Обычный 5 3 11 2" xfId="6546" xr:uid="{00000000-0005-0000-0000-0000EF490000}"/>
    <cellStyle name="Обычный 5 3 11 2 2" xfId="54608" xr:uid="{00000000-0005-0000-0000-0000F0490000}"/>
    <cellStyle name="Обычный 5 3 11 3" xfId="11887" xr:uid="{00000000-0005-0000-0000-0000F1490000}"/>
    <cellStyle name="Обычный 5 3 11 4" xfId="17227" xr:uid="{00000000-0005-0000-0000-0000F2490000}"/>
    <cellStyle name="Обычный 5 3 11 5" xfId="22567" xr:uid="{00000000-0005-0000-0000-0000F3490000}"/>
    <cellStyle name="Обычный 5 3 11 6" xfId="27907" xr:uid="{00000000-0005-0000-0000-0000F4490000}"/>
    <cellStyle name="Обычный 5 3 11 7" xfId="33247" xr:uid="{00000000-0005-0000-0000-0000F5490000}"/>
    <cellStyle name="Обычный 5 3 11 8" xfId="38587" xr:uid="{00000000-0005-0000-0000-0000F6490000}"/>
    <cellStyle name="Обычный 5 3 11 9" xfId="43927" xr:uid="{00000000-0005-0000-0000-0000F7490000}"/>
    <cellStyle name="Обычный 5 3 110" xfId="4156" xr:uid="{00000000-0005-0000-0000-0000F8490000}"/>
    <cellStyle name="Обычный 5 3 110 10" xfId="52219" xr:uid="{00000000-0005-0000-0000-0000F9490000}"/>
    <cellStyle name="Обычный 5 3 110 2" xfId="9499" xr:uid="{00000000-0005-0000-0000-0000FA490000}"/>
    <cellStyle name="Обычный 5 3 110 2 2" xfId="57560" xr:uid="{00000000-0005-0000-0000-0000FB490000}"/>
    <cellStyle name="Обычный 5 3 110 3" xfId="14839" xr:uid="{00000000-0005-0000-0000-0000FC490000}"/>
    <cellStyle name="Обычный 5 3 110 4" xfId="20179" xr:uid="{00000000-0005-0000-0000-0000FD490000}"/>
    <cellStyle name="Обычный 5 3 110 5" xfId="25519" xr:uid="{00000000-0005-0000-0000-0000FE490000}"/>
    <cellStyle name="Обычный 5 3 110 6" xfId="30859" xr:uid="{00000000-0005-0000-0000-0000FF490000}"/>
    <cellStyle name="Обычный 5 3 110 7" xfId="36199" xr:uid="{00000000-0005-0000-0000-0000004A0000}"/>
    <cellStyle name="Обычный 5 3 110 8" xfId="41539" xr:uid="{00000000-0005-0000-0000-0000014A0000}"/>
    <cellStyle name="Обычный 5 3 110 9" xfId="46879" xr:uid="{00000000-0005-0000-0000-0000024A0000}"/>
    <cellStyle name="Обычный 5 3 111" xfId="4188" xr:uid="{00000000-0005-0000-0000-0000034A0000}"/>
    <cellStyle name="Обычный 5 3 111 10" xfId="52251" xr:uid="{00000000-0005-0000-0000-0000044A0000}"/>
    <cellStyle name="Обычный 5 3 111 2" xfId="9531" xr:uid="{00000000-0005-0000-0000-0000054A0000}"/>
    <cellStyle name="Обычный 5 3 111 2 2" xfId="57592" xr:uid="{00000000-0005-0000-0000-0000064A0000}"/>
    <cellStyle name="Обычный 5 3 111 3" xfId="14871" xr:uid="{00000000-0005-0000-0000-0000074A0000}"/>
    <cellStyle name="Обычный 5 3 111 4" xfId="20211" xr:uid="{00000000-0005-0000-0000-0000084A0000}"/>
    <cellStyle name="Обычный 5 3 111 5" xfId="25551" xr:uid="{00000000-0005-0000-0000-0000094A0000}"/>
    <cellStyle name="Обычный 5 3 111 6" xfId="30891" xr:uid="{00000000-0005-0000-0000-00000A4A0000}"/>
    <cellStyle name="Обычный 5 3 111 7" xfId="36231" xr:uid="{00000000-0005-0000-0000-00000B4A0000}"/>
    <cellStyle name="Обычный 5 3 111 8" xfId="41571" xr:uid="{00000000-0005-0000-0000-00000C4A0000}"/>
    <cellStyle name="Обычный 5 3 111 9" xfId="46911" xr:uid="{00000000-0005-0000-0000-00000D4A0000}"/>
    <cellStyle name="Обычный 5 3 112" xfId="4220" xr:uid="{00000000-0005-0000-0000-00000E4A0000}"/>
    <cellStyle name="Обычный 5 3 112 10" xfId="52283" xr:uid="{00000000-0005-0000-0000-00000F4A0000}"/>
    <cellStyle name="Обычный 5 3 112 2" xfId="9563" xr:uid="{00000000-0005-0000-0000-0000104A0000}"/>
    <cellStyle name="Обычный 5 3 112 2 2" xfId="57624" xr:uid="{00000000-0005-0000-0000-0000114A0000}"/>
    <cellStyle name="Обычный 5 3 112 3" xfId="14903" xr:uid="{00000000-0005-0000-0000-0000124A0000}"/>
    <cellStyle name="Обычный 5 3 112 4" xfId="20243" xr:uid="{00000000-0005-0000-0000-0000134A0000}"/>
    <cellStyle name="Обычный 5 3 112 5" xfId="25583" xr:uid="{00000000-0005-0000-0000-0000144A0000}"/>
    <cellStyle name="Обычный 5 3 112 6" xfId="30923" xr:uid="{00000000-0005-0000-0000-0000154A0000}"/>
    <cellStyle name="Обычный 5 3 112 7" xfId="36263" xr:uid="{00000000-0005-0000-0000-0000164A0000}"/>
    <cellStyle name="Обычный 5 3 112 8" xfId="41603" xr:uid="{00000000-0005-0000-0000-0000174A0000}"/>
    <cellStyle name="Обычный 5 3 112 9" xfId="46943" xr:uid="{00000000-0005-0000-0000-0000184A0000}"/>
    <cellStyle name="Обычный 5 3 113" xfId="4252" xr:uid="{00000000-0005-0000-0000-0000194A0000}"/>
    <cellStyle name="Обычный 5 3 113 10" xfId="52315" xr:uid="{00000000-0005-0000-0000-00001A4A0000}"/>
    <cellStyle name="Обычный 5 3 113 2" xfId="9595" xr:uid="{00000000-0005-0000-0000-00001B4A0000}"/>
    <cellStyle name="Обычный 5 3 113 2 2" xfId="57656" xr:uid="{00000000-0005-0000-0000-00001C4A0000}"/>
    <cellStyle name="Обычный 5 3 113 3" xfId="14935" xr:uid="{00000000-0005-0000-0000-00001D4A0000}"/>
    <cellStyle name="Обычный 5 3 113 4" xfId="20275" xr:uid="{00000000-0005-0000-0000-00001E4A0000}"/>
    <cellStyle name="Обычный 5 3 113 5" xfId="25615" xr:uid="{00000000-0005-0000-0000-00001F4A0000}"/>
    <cellStyle name="Обычный 5 3 113 6" xfId="30955" xr:uid="{00000000-0005-0000-0000-0000204A0000}"/>
    <cellStyle name="Обычный 5 3 113 7" xfId="36295" xr:uid="{00000000-0005-0000-0000-0000214A0000}"/>
    <cellStyle name="Обычный 5 3 113 8" xfId="41635" xr:uid="{00000000-0005-0000-0000-0000224A0000}"/>
    <cellStyle name="Обычный 5 3 113 9" xfId="46975" xr:uid="{00000000-0005-0000-0000-0000234A0000}"/>
    <cellStyle name="Обычный 5 3 114" xfId="4284" xr:uid="{00000000-0005-0000-0000-0000244A0000}"/>
    <cellStyle name="Обычный 5 3 114 10" xfId="52347" xr:uid="{00000000-0005-0000-0000-0000254A0000}"/>
    <cellStyle name="Обычный 5 3 114 2" xfId="9627" xr:uid="{00000000-0005-0000-0000-0000264A0000}"/>
    <cellStyle name="Обычный 5 3 114 2 2" xfId="57688" xr:uid="{00000000-0005-0000-0000-0000274A0000}"/>
    <cellStyle name="Обычный 5 3 114 3" xfId="14967" xr:uid="{00000000-0005-0000-0000-0000284A0000}"/>
    <cellStyle name="Обычный 5 3 114 4" xfId="20307" xr:uid="{00000000-0005-0000-0000-0000294A0000}"/>
    <cellStyle name="Обычный 5 3 114 5" xfId="25647" xr:uid="{00000000-0005-0000-0000-00002A4A0000}"/>
    <cellStyle name="Обычный 5 3 114 6" xfId="30987" xr:uid="{00000000-0005-0000-0000-00002B4A0000}"/>
    <cellStyle name="Обычный 5 3 114 7" xfId="36327" xr:uid="{00000000-0005-0000-0000-00002C4A0000}"/>
    <cellStyle name="Обычный 5 3 114 8" xfId="41667" xr:uid="{00000000-0005-0000-0000-00002D4A0000}"/>
    <cellStyle name="Обычный 5 3 114 9" xfId="47007" xr:uid="{00000000-0005-0000-0000-00002E4A0000}"/>
    <cellStyle name="Обычный 5 3 115" xfId="4316" xr:uid="{00000000-0005-0000-0000-00002F4A0000}"/>
    <cellStyle name="Обычный 5 3 115 10" xfId="52379" xr:uid="{00000000-0005-0000-0000-0000304A0000}"/>
    <cellStyle name="Обычный 5 3 115 2" xfId="9659" xr:uid="{00000000-0005-0000-0000-0000314A0000}"/>
    <cellStyle name="Обычный 5 3 115 2 2" xfId="57720" xr:uid="{00000000-0005-0000-0000-0000324A0000}"/>
    <cellStyle name="Обычный 5 3 115 3" xfId="14999" xr:uid="{00000000-0005-0000-0000-0000334A0000}"/>
    <cellStyle name="Обычный 5 3 115 4" xfId="20339" xr:uid="{00000000-0005-0000-0000-0000344A0000}"/>
    <cellStyle name="Обычный 5 3 115 5" xfId="25679" xr:uid="{00000000-0005-0000-0000-0000354A0000}"/>
    <cellStyle name="Обычный 5 3 115 6" xfId="31019" xr:uid="{00000000-0005-0000-0000-0000364A0000}"/>
    <cellStyle name="Обычный 5 3 115 7" xfId="36359" xr:uid="{00000000-0005-0000-0000-0000374A0000}"/>
    <cellStyle name="Обычный 5 3 115 8" xfId="41699" xr:uid="{00000000-0005-0000-0000-0000384A0000}"/>
    <cellStyle name="Обычный 5 3 115 9" xfId="47039" xr:uid="{00000000-0005-0000-0000-0000394A0000}"/>
    <cellStyle name="Обычный 5 3 116" xfId="4348" xr:uid="{00000000-0005-0000-0000-00003A4A0000}"/>
    <cellStyle name="Обычный 5 3 116 10" xfId="52411" xr:uid="{00000000-0005-0000-0000-00003B4A0000}"/>
    <cellStyle name="Обычный 5 3 116 2" xfId="9691" xr:uid="{00000000-0005-0000-0000-00003C4A0000}"/>
    <cellStyle name="Обычный 5 3 116 2 2" xfId="57752" xr:uid="{00000000-0005-0000-0000-00003D4A0000}"/>
    <cellStyle name="Обычный 5 3 116 3" xfId="15031" xr:uid="{00000000-0005-0000-0000-00003E4A0000}"/>
    <cellStyle name="Обычный 5 3 116 4" xfId="20371" xr:uid="{00000000-0005-0000-0000-00003F4A0000}"/>
    <cellStyle name="Обычный 5 3 116 5" xfId="25711" xr:uid="{00000000-0005-0000-0000-0000404A0000}"/>
    <cellStyle name="Обычный 5 3 116 6" xfId="31051" xr:uid="{00000000-0005-0000-0000-0000414A0000}"/>
    <cellStyle name="Обычный 5 3 116 7" xfId="36391" xr:uid="{00000000-0005-0000-0000-0000424A0000}"/>
    <cellStyle name="Обычный 5 3 116 8" xfId="41731" xr:uid="{00000000-0005-0000-0000-0000434A0000}"/>
    <cellStyle name="Обычный 5 3 116 9" xfId="47071" xr:uid="{00000000-0005-0000-0000-0000444A0000}"/>
    <cellStyle name="Обычный 5 3 117" xfId="4380" xr:uid="{00000000-0005-0000-0000-0000454A0000}"/>
    <cellStyle name="Обычный 5 3 117 10" xfId="52443" xr:uid="{00000000-0005-0000-0000-0000464A0000}"/>
    <cellStyle name="Обычный 5 3 117 2" xfId="9723" xr:uid="{00000000-0005-0000-0000-0000474A0000}"/>
    <cellStyle name="Обычный 5 3 117 2 2" xfId="57784" xr:uid="{00000000-0005-0000-0000-0000484A0000}"/>
    <cellStyle name="Обычный 5 3 117 3" xfId="15063" xr:uid="{00000000-0005-0000-0000-0000494A0000}"/>
    <cellStyle name="Обычный 5 3 117 4" xfId="20403" xr:uid="{00000000-0005-0000-0000-00004A4A0000}"/>
    <cellStyle name="Обычный 5 3 117 5" xfId="25743" xr:uid="{00000000-0005-0000-0000-00004B4A0000}"/>
    <cellStyle name="Обычный 5 3 117 6" xfId="31083" xr:uid="{00000000-0005-0000-0000-00004C4A0000}"/>
    <cellStyle name="Обычный 5 3 117 7" xfId="36423" xr:uid="{00000000-0005-0000-0000-00004D4A0000}"/>
    <cellStyle name="Обычный 5 3 117 8" xfId="41763" xr:uid="{00000000-0005-0000-0000-00004E4A0000}"/>
    <cellStyle name="Обычный 5 3 117 9" xfId="47103" xr:uid="{00000000-0005-0000-0000-00004F4A0000}"/>
    <cellStyle name="Обычный 5 3 118" xfId="4412" xr:uid="{00000000-0005-0000-0000-0000504A0000}"/>
    <cellStyle name="Обычный 5 3 118 10" xfId="52475" xr:uid="{00000000-0005-0000-0000-0000514A0000}"/>
    <cellStyle name="Обычный 5 3 118 2" xfId="9755" xr:uid="{00000000-0005-0000-0000-0000524A0000}"/>
    <cellStyle name="Обычный 5 3 118 2 2" xfId="57816" xr:uid="{00000000-0005-0000-0000-0000534A0000}"/>
    <cellStyle name="Обычный 5 3 118 3" xfId="15095" xr:uid="{00000000-0005-0000-0000-0000544A0000}"/>
    <cellStyle name="Обычный 5 3 118 4" xfId="20435" xr:uid="{00000000-0005-0000-0000-0000554A0000}"/>
    <cellStyle name="Обычный 5 3 118 5" xfId="25775" xr:uid="{00000000-0005-0000-0000-0000564A0000}"/>
    <cellStyle name="Обычный 5 3 118 6" xfId="31115" xr:uid="{00000000-0005-0000-0000-0000574A0000}"/>
    <cellStyle name="Обычный 5 3 118 7" xfId="36455" xr:uid="{00000000-0005-0000-0000-0000584A0000}"/>
    <cellStyle name="Обычный 5 3 118 8" xfId="41795" xr:uid="{00000000-0005-0000-0000-0000594A0000}"/>
    <cellStyle name="Обычный 5 3 118 9" xfId="47135" xr:uid="{00000000-0005-0000-0000-00005A4A0000}"/>
    <cellStyle name="Обычный 5 3 119" xfId="4444" xr:uid="{00000000-0005-0000-0000-00005B4A0000}"/>
    <cellStyle name="Обычный 5 3 119 10" xfId="52507" xr:uid="{00000000-0005-0000-0000-00005C4A0000}"/>
    <cellStyle name="Обычный 5 3 119 2" xfId="9787" xr:uid="{00000000-0005-0000-0000-00005D4A0000}"/>
    <cellStyle name="Обычный 5 3 119 2 2" xfId="57848" xr:uid="{00000000-0005-0000-0000-00005E4A0000}"/>
    <cellStyle name="Обычный 5 3 119 3" xfId="15127" xr:uid="{00000000-0005-0000-0000-00005F4A0000}"/>
    <cellStyle name="Обычный 5 3 119 4" xfId="20467" xr:uid="{00000000-0005-0000-0000-0000604A0000}"/>
    <cellStyle name="Обычный 5 3 119 5" xfId="25807" xr:uid="{00000000-0005-0000-0000-0000614A0000}"/>
    <cellStyle name="Обычный 5 3 119 6" xfId="31147" xr:uid="{00000000-0005-0000-0000-0000624A0000}"/>
    <cellStyle name="Обычный 5 3 119 7" xfId="36487" xr:uid="{00000000-0005-0000-0000-0000634A0000}"/>
    <cellStyle name="Обычный 5 3 119 8" xfId="41827" xr:uid="{00000000-0005-0000-0000-0000644A0000}"/>
    <cellStyle name="Обычный 5 3 119 9" xfId="47167" xr:uid="{00000000-0005-0000-0000-0000654A0000}"/>
    <cellStyle name="Обычный 5 3 12" xfId="1230" xr:uid="{00000000-0005-0000-0000-0000664A0000}"/>
    <cellStyle name="Обычный 5 3 12 10" xfId="49293" xr:uid="{00000000-0005-0000-0000-0000674A0000}"/>
    <cellStyle name="Обычный 5 3 12 2" xfId="6572" xr:uid="{00000000-0005-0000-0000-0000684A0000}"/>
    <cellStyle name="Обычный 5 3 12 2 2" xfId="54634" xr:uid="{00000000-0005-0000-0000-0000694A0000}"/>
    <cellStyle name="Обычный 5 3 12 3" xfId="11913" xr:uid="{00000000-0005-0000-0000-00006A4A0000}"/>
    <cellStyle name="Обычный 5 3 12 4" xfId="17253" xr:uid="{00000000-0005-0000-0000-00006B4A0000}"/>
    <cellStyle name="Обычный 5 3 12 5" xfId="22593" xr:uid="{00000000-0005-0000-0000-00006C4A0000}"/>
    <cellStyle name="Обычный 5 3 12 6" xfId="27933" xr:uid="{00000000-0005-0000-0000-00006D4A0000}"/>
    <cellStyle name="Обычный 5 3 12 7" xfId="33273" xr:uid="{00000000-0005-0000-0000-00006E4A0000}"/>
    <cellStyle name="Обычный 5 3 12 8" xfId="38613" xr:uid="{00000000-0005-0000-0000-00006F4A0000}"/>
    <cellStyle name="Обычный 5 3 12 9" xfId="43953" xr:uid="{00000000-0005-0000-0000-0000704A0000}"/>
    <cellStyle name="Обычный 5 3 120" xfId="4476" xr:uid="{00000000-0005-0000-0000-0000714A0000}"/>
    <cellStyle name="Обычный 5 3 120 10" xfId="52539" xr:uid="{00000000-0005-0000-0000-0000724A0000}"/>
    <cellStyle name="Обычный 5 3 120 2" xfId="9819" xr:uid="{00000000-0005-0000-0000-0000734A0000}"/>
    <cellStyle name="Обычный 5 3 120 2 2" xfId="57880" xr:uid="{00000000-0005-0000-0000-0000744A0000}"/>
    <cellStyle name="Обычный 5 3 120 3" xfId="15159" xr:uid="{00000000-0005-0000-0000-0000754A0000}"/>
    <cellStyle name="Обычный 5 3 120 4" xfId="20499" xr:uid="{00000000-0005-0000-0000-0000764A0000}"/>
    <cellStyle name="Обычный 5 3 120 5" xfId="25839" xr:uid="{00000000-0005-0000-0000-0000774A0000}"/>
    <cellStyle name="Обычный 5 3 120 6" xfId="31179" xr:uid="{00000000-0005-0000-0000-0000784A0000}"/>
    <cellStyle name="Обычный 5 3 120 7" xfId="36519" xr:uid="{00000000-0005-0000-0000-0000794A0000}"/>
    <cellStyle name="Обычный 5 3 120 8" xfId="41859" xr:uid="{00000000-0005-0000-0000-00007A4A0000}"/>
    <cellStyle name="Обычный 5 3 120 9" xfId="47199" xr:uid="{00000000-0005-0000-0000-00007B4A0000}"/>
    <cellStyle name="Обычный 5 3 121" xfId="4508" xr:uid="{00000000-0005-0000-0000-00007C4A0000}"/>
    <cellStyle name="Обычный 5 3 121 10" xfId="52571" xr:uid="{00000000-0005-0000-0000-00007D4A0000}"/>
    <cellStyle name="Обычный 5 3 121 2" xfId="9851" xr:uid="{00000000-0005-0000-0000-00007E4A0000}"/>
    <cellStyle name="Обычный 5 3 121 2 2" xfId="57912" xr:uid="{00000000-0005-0000-0000-00007F4A0000}"/>
    <cellStyle name="Обычный 5 3 121 3" xfId="15191" xr:uid="{00000000-0005-0000-0000-0000804A0000}"/>
    <cellStyle name="Обычный 5 3 121 4" xfId="20531" xr:uid="{00000000-0005-0000-0000-0000814A0000}"/>
    <cellStyle name="Обычный 5 3 121 5" xfId="25871" xr:uid="{00000000-0005-0000-0000-0000824A0000}"/>
    <cellStyle name="Обычный 5 3 121 6" xfId="31211" xr:uid="{00000000-0005-0000-0000-0000834A0000}"/>
    <cellStyle name="Обычный 5 3 121 7" xfId="36551" xr:uid="{00000000-0005-0000-0000-0000844A0000}"/>
    <cellStyle name="Обычный 5 3 121 8" xfId="41891" xr:uid="{00000000-0005-0000-0000-0000854A0000}"/>
    <cellStyle name="Обычный 5 3 121 9" xfId="47231" xr:uid="{00000000-0005-0000-0000-0000864A0000}"/>
    <cellStyle name="Обычный 5 3 122" xfId="4540" xr:uid="{00000000-0005-0000-0000-0000874A0000}"/>
    <cellStyle name="Обычный 5 3 122 10" xfId="52603" xr:uid="{00000000-0005-0000-0000-0000884A0000}"/>
    <cellStyle name="Обычный 5 3 122 2" xfId="9883" xr:uid="{00000000-0005-0000-0000-0000894A0000}"/>
    <cellStyle name="Обычный 5 3 122 2 2" xfId="57944" xr:uid="{00000000-0005-0000-0000-00008A4A0000}"/>
    <cellStyle name="Обычный 5 3 122 3" xfId="15223" xr:uid="{00000000-0005-0000-0000-00008B4A0000}"/>
    <cellStyle name="Обычный 5 3 122 4" xfId="20563" xr:uid="{00000000-0005-0000-0000-00008C4A0000}"/>
    <cellStyle name="Обычный 5 3 122 5" xfId="25903" xr:uid="{00000000-0005-0000-0000-00008D4A0000}"/>
    <cellStyle name="Обычный 5 3 122 6" xfId="31243" xr:uid="{00000000-0005-0000-0000-00008E4A0000}"/>
    <cellStyle name="Обычный 5 3 122 7" xfId="36583" xr:uid="{00000000-0005-0000-0000-00008F4A0000}"/>
    <cellStyle name="Обычный 5 3 122 8" xfId="41923" xr:uid="{00000000-0005-0000-0000-0000904A0000}"/>
    <cellStyle name="Обычный 5 3 122 9" xfId="47263" xr:uid="{00000000-0005-0000-0000-0000914A0000}"/>
    <cellStyle name="Обычный 5 3 123" xfId="4572" xr:uid="{00000000-0005-0000-0000-0000924A0000}"/>
    <cellStyle name="Обычный 5 3 123 10" xfId="52635" xr:uid="{00000000-0005-0000-0000-0000934A0000}"/>
    <cellStyle name="Обычный 5 3 123 2" xfId="9915" xr:uid="{00000000-0005-0000-0000-0000944A0000}"/>
    <cellStyle name="Обычный 5 3 123 2 2" xfId="57976" xr:uid="{00000000-0005-0000-0000-0000954A0000}"/>
    <cellStyle name="Обычный 5 3 123 3" xfId="15255" xr:uid="{00000000-0005-0000-0000-0000964A0000}"/>
    <cellStyle name="Обычный 5 3 123 4" xfId="20595" xr:uid="{00000000-0005-0000-0000-0000974A0000}"/>
    <cellStyle name="Обычный 5 3 123 5" xfId="25935" xr:uid="{00000000-0005-0000-0000-0000984A0000}"/>
    <cellStyle name="Обычный 5 3 123 6" xfId="31275" xr:uid="{00000000-0005-0000-0000-0000994A0000}"/>
    <cellStyle name="Обычный 5 3 123 7" xfId="36615" xr:uid="{00000000-0005-0000-0000-00009A4A0000}"/>
    <cellStyle name="Обычный 5 3 123 8" xfId="41955" xr:uid="{00000000-0005-0000-0000-00009B4A0000}"/>
    <cellStyle name="Обычный 5 3 123 9" xfId="47295" xr:uid="{00000000-0005-0000-0000-00009C4A0000}"/>
    <cellStyle name="Обычный 5 3 124" xfId="4604" xr:uid="{00000000-0005-0000-0000-00009D4A0000}"/>
    <cellStyle name="Обычный 5 3 124 10" xfId="52667" xr:uid="{00000000-0005-0000-0000-00009E4A0000}"/>
    <cellStyle name="Обычный 5 3 124 2" xfId="9947" xr:uid="{00000000-0005-0000-0000-00009F4A0000}"/>
    <cellStyle name="Обычный 5 3 124 2 2" xfId="58008" xr:uid="{00000000-0005-0000-0000-0000A04A0000}"/>
    <cellStyle name="Обычный 5 3 124 3" xfId="15287" xr:uid="{00000000-0005-0000-0000-0000A14A0000}"/>
    <cellStyle name="Обычный 5 3 124 4" xfId="20627" xr:uid="{00000000-0005-0000-0000-0000A24A0000}"/>
    <cellStyle name="Обычный 5 3 124 5" xfId="25967" xr:uid="{00000000-0005-0000-0000-0000A34A0000}"/>
    <cellStyle name="Обычный 5 3 124 6" xfId="31307" xr:uid="{00000000-0005-0000-0000-0000A44A0000}"/>
    <cellStyle name="Обычный 5 3 124 7" xfId="36647" xr:uid="{00000000-0005-0000-0000-0000A54A0000}"/>
    <cellStyle name="Обычный 5 3 124 8" xfId="41987" xr:uid="{00000000-0005-0000-0000-0000A64A0000}"/>
    <cellStyle name="Обычный 5 3 124 9" xfId="47327" xr:uid="{00000000-0005-0000-0000-0000A74A0000}"/>
    <cellStyle name="Обычный 5 3 125" xfId="4636" xr:uid="{00000000-0005-0000-0000-0000A84A0000}"/>
    <cellStyle name="Обычный 5 3 125 10" xfId="52699" xr:uid="{00000000-0005-0000-0000-0000A94A0000}"/>
    <cellStyle name="Обычный 5 3 125 2" xfId="9979" xr:uid="{00000000-0005-0000-0000-0000AA4A0000}"/>
    <cellStyle name="Обычный 5 3 125 2 2" xfId="58040" xr:uid="{00000000-0005-0000-0000-0000AB4A0000}"/>
    <cellStyle name="Обычный 5 3 125 3" xfId="15319" xr:uid="{00000000-0005-0000-0000-0000AC4A0000}"/>
    <cellStyle name="Обычный 5 3 125 4" xfId="20659" xr:uid="{00000000-0005-0000-0000-0000AD4A0000}"/>
    <cellStyle name="Обычный 5 3 125 5" xfId="25999" xr:uid="{00000000-0005-0000-0000-0000AE4A0000}"/>
    <cellStyle name="Обычный 5 3 125 6" xfId="31339" xr:uid="{00000000-0005-0000-0000-0000AF4A0000}"/>
    <cellStyle name="Обычный 5 3 125 7" xfId="36679" xr:uid="{00000000-0005-0000-0000-0000B04A0000}"/>
    <cellStyle name="Обычный 5 3 125 8" xfId="42019" xr:uid="{00000000-0005-0000-0000-0000B14A0000}"/>
    <cellStyle name="Обычный 5 3 125 9" xfId="47359" xr:uid="{00000000-0005-0000-0000-0000B24A0000}"/>
    <cellStyle name="Обычный 5 3 126" xfId="4668" xr:uid="{00000000-0005-0000-0000-0000B34A0000}"/>
    <cellStyle name="Обычный 5 3 126 10" xfId="52731" xr:uid="{00000000-0005-0000-0000-0000B44A0000}"/>
    <cellStyle name="Обычный 5 3 126 2" xfId="10011" xr:uid="{00000000-0005-0000-0000-0000B54A0000}"/>
    <cellStyle name="Обычный 5 3 126 2 2" xfId="58072" xr:uid="{00000000-0005-0000-0000-0000B64A0000}"/>
    <cellStyle name="Обычный 5 3 126 3" xfId="15351" xr:uid="{00000000-0005-0000-0000-0000B74A0000}"/>
    <cellStyle name="Обычный 5 3 126 4" xfId="20691" xr:uid="{00000000-0005-0000-0000-0000B84A0000}"/>
    <cellStyle name="Обычный 5 3 126 5" xfId="26031" xr:uid="{00000000-0005-0000-0000-0000B94A0000}"/>
    <cellStyle name="Обычный 5 3 126 6" xfId="31371" xr:uid="{00000000-0005-0000-0000-0000BA4A0000}"/>
    <cellStyle name="Обычный 5 3 126 7" xfId="36711" xr:uid="{00000000-0005-0000-0000-0000BB4A0000}"/>
    <cellStyle name="Обычный 5 3 126 8" xfId="42051" xr:uid="{00000000-0005-0000-0000-0000BC4A0000}"/>
    <cellStyle name="Обычный 5 3 126 9" xfId="47391" xr:uid="{00000000-0005-0000-0000-0000BD4A0000}"/>
    <cellStyle name="Обычный 5 3 127" xfId="4700" xr:uid="{00000000-0005-0000-0000-0000BE4A0000}"/>
    <cellStyle name="Обычный 5 3 127 10" xfId="52763" xr:uid="{00000000-0005-0000-0000-0000BF4A0000}"/>
    <cellStyle name="Обычный 5 3 127 2" xfId="10043" xr:uid="{00000000-0005-0000-0000-0000C04A0000}"/>
    <cellStyle name="Обычный 5 3 127 2 2" xfId="58104" xr:uid="{00000000-0005-0000-0000-0000C14A0000}"/>
    <cellStyle name="Обычный 5 3 127 3" xfId="15383" xr:uid="{00000000-0005-0000-0000-0000C24A0000}"/>
    <cellStyle name="Обычный 5 3 127 4" xfId="20723" xr:uid="{00000000-0005-0000-0000-0000C34A0000}"/>
    <cellStyle name="Обычный 5 3 127 5" xfId="26063" xr:uid="{00000000-0005-0000-0000-0000C44A0000}"/>
    <cellStyle name="Обычный 5 3 127 6" xfId="31403" xr:uid="{00000000-0005-0000-0000-0000C54A0000}"/>
    <cellStyle name="Обычный 5 3 127 7" xfId="36743" xr:uid="{00000000-0005-0000-0000-0000C64A0000}"/>
    <cellStyle name="Обычный 5 3 127 8" xfId="42083" xr:uid="{00000000-0005-0000-0000-0000C74A0000}"/>
    <cellStyle name="Обычный 5 3 127 9" xfId="47423" xr:uid="{00000000-0005-0000-0000-0000C84A0000}"/>
    <cellStyle name="Обычный 5 3 128" xfId="4734" xr:uid="{00000000-0005-0000-0000-0000C94A0000}"/>
    <cellStyle name="Обычный 5 3 128 10" xfId="52797" xr:uid="{00000000-0005-0000-0000-0000CA4A0000}"/>
    <cellStyle name="Обычный 5 3 128 2" xfId="10077" xr:uid="{00000000-0005-0000-0000-0000CB4A0000}"/>
    <cellStyle name="Обычный 5 3 128 2 2" xfId="58138" xr:uid="{00000000-0005-0000-0000-0000CC4A0000}"/>
    <cellStyle name="Обычный 5 3 128 3" xfId="15417" xr:uid="{00000000-0005-0000-0000-0000CD4A0000}"/>
    <cellStyle name="Обычный 5 3 128 4" xfId="20757" xr:uid="{00000000-0005-0000-0000-0000CE4A0000}"/>
    <cellStyle name="Обычный 5 3 128 5" xfId="26097" xr:uid="{00000000-0005-0000-0000-0000CF4A0000}"/>
    <cellStyle name="Обычный 5 3 128 6" xfId="31437" xr:uid="{00000000-0005-0000-0000-0000D04A0000}"/>
    <cellStyle name="Обычный 5 3 128 7" xfId="36777" xr:uid="{00000000-0005-0000-0000-0000D14A0000}"/>
    <cellStyle name="Обычный 5 3 128 8" xfId="42117" xr:uid="{00000000-0005-0000-0000-0000D24A0000}"/>
    <cellStyle name="Обычный 5 3 128 9" xfId="47457" xr:uid="{00000000-0005-0000-0000-0000D34A0000}"/>
    <cellStyle name="Обычный 5 3 129" xfId="4766" xr:uid="{00000000-0005-0000-0000-0000D44A0000}"/>
    <cellStyle name="Обычный 5 3 129 10" xfId="52829" xr:uid="{00000000-0005-0000-0000-0000D54A0000}"/>
    <cellStyle name="Обычный 5 3 129 2" xfId="10109" xr:uid="{00000000-0005-0000-0000-0000D64A0000}"/>
    <cellStyle name="Обычный 5 3 129 2 2" xfId="58170" xr:uid="{00000000-0005-0000-0000-0000D74A0000}"/>
    <cellStyle name="Обычный 5 3 129 3" xfId="15449" xr:uid="{00000000-0005-0000-0000-0000D84A0000}"/>
    <cellStyle name="Обычный 5 3 129 4" xfId="20789" xr:uid="{00000000-0005-0000-0000-0000D94A0000}"/>
    <cellStyle name="Обычный 5 3 129 5" xfId="26129" xr:uid="{00000000-0005-0000-0000-0000DA4A0000}"/>
    <cellStyle name="Обычный 5 3 129 6" xfId="31469" xr:uid="{00000000-0005-0000-0000-0000DB4A0000}"/>
    <cellStyle name="Обычный 5 3 129 7" xfId="36809" xr:uid="{00000000-0005-0000-0000-0000DC4A0000}"/>
    <cellStyle name="Обычный 5 3 129 8" xfId="42149" xr:uid="{00000000-0005-0000-0000-0000DD4A0000}"/>
    <cellStyle name="Обычный 5 3 129 9" xfId="47489" xr:uid="{00000000-0005-0000-0000-0000DE4A0000}"/>
    <cellStyle name="Обычный 5 3 13" xfId="1256" xr:uid="{00000000-0005-0000-0000-0000DF4A0000}"/>
    <cellStyle name="Обычный 5 3 13 10" xfId="49319" xr:uid="{00000000-0005-0000-0000-0000E04A0000}"/>
    <cellStyle name="Обычный 5 3 13 2" xfId="6598" xr:uid="{00000000-0005-0000-0000-0000E14A0000}"/>
    <cellStyle name="Обычный 5 3 13 2 2" xfId="54660" xr:uid="{00000000-0005-0000-0000-0000E24A0000}"/>
    <cellStyle name="Обычный 5 3 13 3" xfId="11939" xr:uid="{00000000-0005-0000-0000-0000E34A0000}"/>
    <cellStyle name="Обычный 5 3 13 4" xfId="17279" xr:uid="{00000000-0005-0000-0000-0000E44A0000}"/>
    <cellStyle name="Обычный 5 3 13 5" xfId="22619" xr:uid="{00000000-0005-0000-0000-0000E54A0000}"/>
    <cellStyle name="Обычный 5 3 13 6" xfId="27959" xr:uid="{00000000-0005-0000-0000-0000E64A0000}"/>
    <cellStyle name="Обычный 5 3 13 7" xfId="33299" xr:uid="{00000000-0005-0000-0000-0000E74A0000}"/>
    <cellStyle name="Обычный 5 3 13 8" xfId="38639" xr:uid="{00000000-0005-0000-0000-0000E84A0000}"/>
    <cellStyle name="Обычный 5 3 13 9" xfId="43979" xr:uid="{00000000-0005-0000-0000-0000E94A0000}"/>
    <cellStyle name="Обычный 5 3 130" xfId="4798" xr:uid="{00000000-0005-0000-0000-0000EA4A0000}"/>
    <cellStyle name="Обычный 5 3 130 10" xfId="52861" xr:uid="{00000000-0005-0000-0000-0000EB4A0000}"/>
    <cellStyle name="Обычный 5 3 130 2" xfId="10141" xr:uid="{00000000-0005-0000-0000-0000EC4A0000}"/>
    <cellStyle name="Обычный 5 3 130 2 2" xfId="58202" xr:uid="{00000000-0005-0000-0000-0000ED4A0000}"/>
    <cellStyle name="Обычный 5 3 130 3" xfId="15481" xr:uid="{00000000-0005-0000-0000-0000EE4A0000}"/>
    <cellStyle name="Обычный 5 3 130 4" xfId="20821" xr:uid="{00000000-0005-0000-0000-0000EF4A0000}"/>
    <cellStyle name="Обычный 5 3 130 5" xfId="26161" xr:uid="{00000000-0005-0000-0000-0000F04A0000}"/>
    <cellStyle name="Обычный 5 3 130 6" xfId="31501" xr:uid="{00000000-0005-0000-0000-0000F14A0000}"/>
    <cellStyle name="Обычный 5 3 130 7" xfId="36841" xr:uid="{00000000-0005-0000-0000-0000F24A0000}"/>
    <cellStyle name="Обычный 5 3 130 8" xfId="42181" xr:uid="{00000000-0005-0000-0000-0000F34A0000}"/>
    <cellStyle name="Обычный 5 3 130 9" xfId="47521" xr:uid="{00000000-0005-0000-0000-0000F44A0000}"/>
    <cellStyle name="Обычный 5 3 131" xfId="4830" xr:uid="{00000000-0005-0000-0000-0000F54A0000}"/>
    <cellStyle name="Обычный 5 3 131 10" xfId="52893" xr:uid="{00000000-0005-0000-0000-0000F64A0000}"/>
    <cellStyle name="Обычный 5 3 131 2" xfId="10173" xr:uid="{00000000-0005-0000-0000-0000F74A0000}"/>
    <cellStyle name="Обычный 5 3 131 2 2" xfId="58234" xr:uid="{00000000-0005-0000-0000-0000F84A0000}"/>
    <cellStyle name="Обычный 5 3 131 3" xfId="15513" xr:uid="{00000000-0005-0000-0000-0000F94A0000}"/>
    <cellStyle name="Обычный 5 3 131 4" xfId="20853" xr:uid="{00000000-0005-0000-0000-0000FA4A0000}"/>
    <cellStyle name="Обычный 5 3 131 5" xfId="26193" xr:uid="{00000000-0005-0000-0000-0000FB4A0000}"/>
    <cellStyle name="Обычный 5 3 131 6" xfId="31533" xr:uid="{00000000-0005-0000-0000-0000FC4A0000}"/>
    <cellStyle name="Обычный 5 3 131 7" xfId="36873" xr:uid="{00000000-0005-0000-0000-0000FD4A0000}"/>
    <cellStyle name="Обычный 5 3 131 8" xfId="42213" xr:uid="{00000000-0005-0000-0000-0000FE4A0000}"/>
    <cellStyle name="Обычный 5 3 131 9" xfId="47553" xr:uid="{00000000-0005-0000-0000-0000FF4A0000}"/>
    <cellStyle name="Обычный 5 3 132" xfId="4862" xr:uid="{00000000-0005-0000-0000-0000004B0000}"/>
    <cellStyle name="Обычный 5 3 132 10" xfId="52925" xr:uid="{00000000-0005-0000-0000-0000014B0000}"/>
    <cellStyle name="Обычный 5 3 132 2" xfId="10205" xr:uid="{00000000-0005-0000-0000-0000024B0000}"/>
    <cellStyle name="Обычный 5 3 132 2 2" xfId="58266" xr:uid="{00000000-0005-0000-0000-0000034B0000}"/>
    <cellStyle name="Обычный 5 3 132 3" xfId="15545" xr:uid="{00000000-0005-0000-0000-0000044B0000}"/>
    <cellStyle name="Обычный 5 3 132 4" xfId="20885" xr:uid="{00000000-0005-0000-0000-0000054B0000}"/>
    <cellStyle name="Обычный 5 3 132 5" xfId="26225" xr:uid="{00000000-0005-0000-0000-0000064B0000}"/>
    <cellStyle name="Обычный 5 3 132 6" xfId="31565" xr:uid="{00000000-0005-0000-0000-0000074B0000}"/>
    <cellStyle name="Обычный 5 3 132 7" xfId="36905" xr:uid="{00000000-0005-0000-0000-0000084B0000}"/>
    <cellStyle name="Обычный 5 3 132 8" xfId="42245" xr:uid="{00000000-0005-0000-0000-0000094B0000}"/>
    <cellStyle name="Обычный 5 3 132 9" xfId="47585" xr:uid="{00000000-0005-0000-0000-00000A4B0000}"/>
    <cellStyle name="Обычный 5 3 133" xfId="4894" xr:uid="{00000000-0005-0000-0000-00000B4B0000}"/>
    <cellStyle name="Обычный 5 3 133 10" xfId="52957" xr:uid="{00000000-0005-0000-0000-00000C4B0000}"/>
    <cellStyle name="Обычный 5 3 133 2" xfId="10237" xr:uid="{00000000-0005-0000-0000-00000D4B0000}"/>
    <cellStyle name="Обычный 5 3 133 2 2" xfId="58298" xr:uid="{00000000-0005-0000-0000-00000E4B0000}"/>
    <cellStyle name="Обычный 5 3 133 3" xfId="15577" xr:uid="{00000000-0005-0000-0000-00000F4B0000}"/>
    <cellStyle name="Обычный 5 3 133 4" xfId="20917" xr:uid="{00000000-0005-0000-0000-0000104B0000}"/>
    <cellStyle name="Обычный 5 3 133 5" xfId="26257" xr:uid="{00000000-0005-0000-0000-0000114B0000}"/>
    <cellStyle name="Обычный 5 3 133 6" xfId="31597" xr:uid="{00000000-0005-0000-0000-0000124B0000}"/>
    <cellStyle name="Обычный 5 3 133 7" xfId="36937" xr:uid="{00000000-0005-0000-0000-0000134B0000}"/>
    <cellStyle name="Обычный 5 3 133 8" xfId="42277" xr:uid="{00000000-0005-0000-0000-0000144B0000}"/>
    <cellStyle name="Обычный 5 3 133 9" xfId="47617" xr:uid="{00000000-0005-0000-0000-0000154B0000}"/>
    <cellStyle name="Обычный 5 3 134" xfId="4926" xr:uid="{00000000-0005-0000-0000-0000164B0000}"/>
    <cellStyle name="Обычный 5 3 134 10" xfId="52989" xr:uid="{00000000-0005-0000-0000-0000174B0000}"/>
    <cellStyle name="Обычный 5 3 134 2" xfId="10269" xr:uid="{00000000-0005-0000-0000-0000184B0000}"/>
    <cellStyle name="Обычный 5 3 134 2 2" xfId="58330" xr:uid="{00000000-0005-0000-0000-0000194B0000}"/>
    <cellStyle name="Обычный 5 3 134 3" xfId="15609" xr:uid="{00000000-0005-0000-0000-00001A4B0000}"/>
    <cellStyle name="Обычный 5 3 134 4" xfId="20949" xr:uid="{00000000-0005-0000-0000-00001B4B0000}"/>
    <cellStyle name="Обычный 5 3 134 5" xfId="26289" xr:uid="{00000000-0005-0000-0000-00001C4B0000}"/>
    <cellStyle name="Обычный 5 3 134 6" xfId="31629" xr:uid="{00000000-0005-0000-0000-00001D4B0000}"/>
    <cellStyle name="Обычный 5 3 134 7" xfId="36969" xr:uid="{00000000-0005-0000-0000-00001E4B0000}"/>
    <cellStyle name="Обычный 5 3 134 8" xfId="42309" xr:uid="{00000000-0005-0000-0000-00001F4B0000}"/>
    <cellStyle name="Обычный 5 3 134 9" xfId="47649" xr:uid="{00000000-0005-0000-0000-0000204B0000}"/>
    <cellStyle name="Обычный 5 3 135" xfId="4958" xr:uid="{00000000-0005-0000-0000-0000214B0000}"/>
    <cellStyle name="Обычный 5 3 135 10" xfId="53021" xr:uid="{00000000-0005-0000-0000-0000224B0000}"/>
    <cellStyle name="Обычный 5 3 135 2" xfId="10301" xr:uid="{00000000-0005-0000-0000-0000234B0000}"/>
    <cellStyle name="Обычный 5 3 135 2 2" xfId="58362" xr:uid="{00000000-0005-0000-0000-0000244B0000}"/>
    <cellStyle name="Обычный 5 3 135 3" xfId="15641" xr:uid="{00000000-0005-0000-0000-0000254B0000}"/>
    <cellStyle name="Обычный 5 3 135 4" xfId="20981" xr:uid="{00000000-0005-0000-0000-0000264B0000}"/>
    <cellStyle name="Обычный 5 3 135 5" xfId="26321" xr:uid="{00000000-0005-0000-0000-0000274B0000}"/>
    <cellStyle name="Обычный 5 3 135 6" xfId="31661" xr:uid="{00000000-0005-0000-0000-0000284B0000}"/>
    <cellStyle name="Обычный 5 3 135 7" xfId="37001" xr:uid="{00000000-0005-0000-0000-0000294B0000}"/>
    <cellStyle name="Обычный 5 3 135 8" xfId="42341" xr:uid="{00000000-0005-0000-0000-00002A4B0000}"/>
    <cellStyle name="Обычный 5 3 135 9" xfId="47681" xr:uid="{00000000-0005-0000-0000-00002B4B0000}"/>
    <cellStyle name="Обычный 5 3 136" xfId="4990" xr:uid="{00000000-0005-0000-0000-00002C4B0000}"/>
    <cellStyle name="Обычный 5 3 136 10" xfId="53053" xr:uid="{00000000-0005-0000-0000-00002D4B0000}"/>
    <cellStyle name="Обычный 5 3 136 2" xfId="10333" xr:uid="{00000000-0005-0000-0000-00002E4B0000}"/>
    <cellStyle name="Обычный 5 3 136 2 2" xfId="58394" xr:uid="{00000000-0005-0000-0000-00002F4B0000}"/>
    <cellStyle name="Обычный 5 3 136 3" xfId="15673" xr:uid="{00000000-0005-0000-0000-0000304B0000}"/>
    <cellStyle name="Обычный 5 3 136 4" xfId="21013" xr:uid="{00000000-0005-0000-0000-0000314B0000}"/>
    <cellStyle name="Обычный 5 3 136 5" xfId="26353" xr:uid="{00000000-0005-0000-0000-0000324B0000}"/>
    <cellStyle name="Обычный 5 3 136 6" xfId="31693" xr:uid="{00000000-0005-0000-0000-0000334B0000}"/>
    <cellStyle name="Обычный 5 3 136 7" xfId="37033" xr:uid="{00000000-0005-0000-0000-0000344B0000}"/>
    <cellStyle name="Обычный 5 3 136 8" xfId="42373" xr:uid="{00000000-0005-0000-0000-0000354B0000}"/>
    <cellStyle name="Обычный 5 3 136 9" xfId="47713" xr:uid="{00000000-0005-0000-0000-0000364B0000}"/>
    <cellStyle name="Обычный 5 3 137" xfId="5022" xr:uid="{00000000-0005-0000-0000-0000374B0000}"/>
    <cellStyle name="Обычный 5 3 137 10" xfId="53085" xr:uid="{00000000-0005-0000-0000-0000384B0000}"/>
    <cellStyle name="Обычный 5 3 137 2" xfId="10365" xr:uid="{00000000-0005-0000-0000-0000394B0000}"/>
    <cellStyle name="Обычный 5 3 137 2 2" xfId="58426" xr:uid="{00000000-0005-0000-0000-00003A4B0000}"/>
    <cellStyle name="Обычный 5 3 137 3" xfId="15705" xr:uid="{00000000-0005-0000-0000-00003B4B0000}"/>
    <cellStyle name="Обычный 5 3 137 4" xfId="21045" xr:uid="{00000000-0005-0000-0000-00003C4B0000}"/>
    <cellStyle name="Обычный 5 3 137 5" xfId="26385" xr:uid="{00000000-0005-0000-0000-00003D4B0000}"/>
    <cellStyle name="Обычный 5 3 137 6" xfId="31725" xr:uid="{00000000-0005-0000-0000-00003E4B0000}"/>
    <cellStyle name="Обычный 5 3 137 7" xfId="37065" xr:uid="{00000000-0005-0000-0000-00003F4B0000}"/>
    <cellStyle name="Обычный 5 3 137 8" xfId="42405" xr:uid="{00000000-0005-0000-0000-0000404B0000}"/>
    <cellStyle name="Обычный 5 3 137 9" xfId="47745" xr:uid="{00000000-0005-0000-0000-0000414B0000}"/>
    <cellStyle name="Обычный 5 3 138" xfId="5054" xr:uid="{00000000-0005-0000-0000-0000424B0000}"/>
    <cellStyle name="Обычный 5 3 138 10" xfId="53117" xr:uid="{00000000-0005-0000-0000-0000434B0000}"/>
    <cellStyle name="Обычный 5 3 138 2" xfId="10397" xr:uid="{00000000-0005-0000-0000-0000444B0000}"/>
    <cellStyle name="Обычный 5 3 138 2 2" xfId="58458" xr:uid="{00000000-0005-0000-0000-0000454B0000}"/>
    <cellStyle name="Обычный 5 3 138 3" xfId="15737" xr:uid="{00000000-0005-0000-0000-0000464B0000}"/>
    <cellStyle name="Обычный 5 3 138 4" xfId="21077" xr:uid="{00000000-0005-0000-0000-0000474B0000}"/>
    <cellStyle name="Обычный 5 3 138 5" xfId="26417" xr:uid="{00000000-0005-0000-0000-0000484B0000}"/>
    <cellStyle name="Обычный 5 3 138 6" xfId="31757" xr:uid="{00000000-0005-0000-0000-0000494B0000}"/>
    <cellStyle name="Обычный 5 3 138 7" xfId="37097" xr:uid="{00000000-0005-0000-0000-00004A4B0000}"/>
    <cellStyle name="Обычный 5 3 138 8" xfId="42437" xr:uid="{00000000-0005-0000-0000-00004B4B0000}"/>
    <cellStyle name="Обычный 5 3 138 9" xfId="47777" xr:uid="{00000000-0005-0000-0000-00004C4B0000}"/>
    <cellStyle name="Обычный 5 3 139" xfId="5086" xr:uid="{00000000-0005-0000-0000-00004D4B0000}"/>
    <cellStyle name="Обычный 5 3 139 10" xfId="53149" xr:uid="{00000000-0005-0000-0000-00004E4B0000}"/>
    <cellStyle name="Обычный 5 3 139 2" xfId="10429" xr:uid="{00000000-0005-0000-0000-00004F4B0000}"/>
    <cellStyle name="Обычный 5 3 139 2 2" xfId="58490" xr:uid="{00000000-0005-0000-0000-0000504B0000}"/>
    <cellStyle name="Обычный 5 3 139 3" xfId="15769" xr:uid="{00000000-0005-0000-0000-0000514B0000}"/>
    <cellStyle name="Обычный 5 3 139 4" xfId="21109" xr:uid="{00000000-0005-0000-0000-0000524B0000}"/>
    <cellStyle name="Обычный 5 3 139 5" xfId="26449" xr:uid="{00000000-0005-0000-0000-0000534B0000}"/>
    <cellStyle name="Обычный 5 3 139 6" xfId="31789" xr:uid="{00000000-0005-0000-0000-0000544B0000}"/>
    <cellStyle name="Обычный 5 3 139 7" xfId="37129" xr:uid="{00000000-0005-0000-0000-0000554B0000}"/>
    <cellStyle name="Обычный 5 3 139 8" xfId="42469" xr:uid="{00000000-0005-0000-0000-0000564B0000}"/>
    <cellStyle name="Обычный 5 3 139 9" xfId="47809" xr:uid="{00000000-0005-0000-0000-0000574B0000}"/>
    <cellStyle name="Обычный 5 3 14" xfId="1282" xr:uid="{00000000-0005-0000-0000-0000584B0000}"/>
    <cellStyle name="Обычный 5 3 14 10" xfId="49345" xr:uid="{00000000-0005-0000-0000-0000594B0000}"/>
    <cellStyle name="Обычный 5 3 14 2" xfId="6624" xr:uid="{00000000-0005-0000-0000-00005A4B0000}"/>
    <cellStyle name="Обычный 5 3 14 2 2" xfId="54686" xr:uid="{00000000-0005-0000-0000-00005B4B0000}"/>
    <cellStyle name="Обычный 5 3 14 3" xfId="11965" xr:uid="{00000000-0005-0000-0000-00005C4B0000}"/>
    <cellStyle name="Обычный 5 3 14 4" xfId="17305" xr:uid="{00000000-0005-0000-0000-00005D4B0000}"/>
    <cellStyle name="Обычный 5 3 14 5" xfId="22645" xr:uid="{00000000-0005-0000-0000-00005E4B0000}"/>
    <cellStyle name="Обычный 5 3 14 6" xfId="27985" xr:uid="{00000000-0005-0000-0000-00005F4B0000}"/>
    <cellStyle name="Обычный 5 3 14 7" xfId="33325" xr:uid="{00000000-0005-0000-0000-0000604B0000}"/>
    <cellStyle name="Обычный 5 3 14 8" xfId="38665" xr:uid="{00000000-0005-0000-0000-0000614B0000}"/>
    <cellStyle name="Обычный 5 3 14 9" xfId="44005" xr:uid="{00000000-0005-0000-0000-0000624B0000}"/>
    <cellStyle name="Обычный 5 3 140" xfId="5118" xr:uid="{00000000-0005-0000-0000-0000634B0000}"/>
    <cellStyle name="Обычный 5 3 140 10" xfId="53181" xr:uid="{00000000-0005-0000-0000-0000644B0000}"/>
    <cellStyle name="Обычный 5 3 140 2" xfId="10461" xr:uid="{00000000-0005-0000-0000-0000654B0000}"/>
    <cellStyle name="Обычный 5 3 140 2 2" xfId="58522" xr:uid="{00000000-0005-0000-0000-0000664B0000}"/>
    <cellStyle name="Обычный 5 3 140 3" xfId="15801" xr:uid="{00000000-0005-0000-0000-0000674B0000}"/>
    <cellStyle name="Обычный 5 3 140 4" xfId="21141" xr:uid="{00000000-0005-0000-0000-0000684B0000}"/>
    <cellStyle name="Обычный 5 3 140 5" xfId="26481" xr:uid="{00000000-0005-0000-0000-0000694B0000}"/>
    <cellStyle name="Обычный 5 3 140 6" xfId="31821" xr:uid="{00000000-0005-0000-0000-00006A4B0000}"/>
    <cellStyle name="Обычный 5 3 140 7" xfId="37161" xr:uid="{00000000-0005-0000-0000-00006B4B0000}"/>
    <cellStyle name="Обычный 5 3 140 8" xfId="42501" xr:uid="{00000000-0005-0000-0000-00006C4B0000}"/>
    <cellStyle name="Обычный 5 3 140 9" xfId="47841" xr:uid="{00000000-0005-0000-0000-00006D4B0000}"/>
    <cellStyle name="Обычный 5 3 141" xfId="5150" xr:uid="{00000000-0005-0000-0000-00006E4B0000}"/>
    <cellStyle name="Обычный 5 3 141 10" xfId="53213" xr:uid="{00000000-0005-0000-0000-00006F4B0000}"/>
    <cellStyle name="Обычный 5 3 141 2" xfId="10493" xr:uid="{00000000-0005-0000-0000-0000704B0000}"/>
    <cellStyle name="Обычный 5 3 141 2 2" xfId="58554" xr:uid="{00000000-0005-0000-0000-0000714B0000}"/>
    <cellStyle name="Обычный 5 3 141 3" xfId="15833" xr:uid="{00000000-0005-0000-0000-0000724B0000}"/>
    <cellStyle name="Обычный 5 3 141 4" xfId="21173" xr:uid="{00000000-0005-0000-0000-0000734B0000}"/>
    <cellStyle name="Обычный 5 3 141 5" xfId="26513" xr:uid="{00000000-0005-0000-0000-0000744B0000}"/>
    <cellStyle name="Обычный 5 3 141 6" xfId="31853" xr:uid="{00000000-0005-0000-0000-0000754B0000}"/>
    <cellStyle name="Обычный 5 3 141 7" xfId="37193" xr:uid="{00000000-0005-0000-0000-0000764B0000}"/>
    <cellStyle name="Обычный 5 3 141 8" xfId="42533" xr:uid="{00000000-0005-0000-0000-0000774B0000}"/>
    <cellStyle name="Обычный 5 3 141 9" xfId="47873" xr:uid="{00000000-0005-0000-0000-0000784B0000}"/>
    <cellStyle name="Обычный 5 3 142" xfId="5182" xr:uid="{00000000-0005-0000-0000-0000794B0000}"/>
    <cellStyle name="Обычный 5 3 142 10" xfId="53245" xr:uid="{00000000-0005-0000-0000-00007A4B0000}"/>
    <cellStyle name="Обычный 5 3 142 2" xfId="10525" xr:uid="{00000000-0005-0000-0000-00007B4B0000}"/>
    <cellStyle name="Обычный 5 3 142 2 2" xfId="58586" xr:uid="{00000000-0005-0000-0000-00007C4B0000}"/>
    <cellStyle name="Обычный 5 3 142 3" xfId="15865" xr:uid="{00000000-0005-0000-0000-00007D4B0000}"/>
    <cellStyle name="Обычный 5 3 142 4" xfId="21205" xr:uid="{00000000-0005-0000-0000-00007E4B0000}"/>
    <cellStyle name="Обычный 5 3 142 5" xfId="26545" xr:uid="{00000000-0005-0000-0000-00007F4B0000}"/>
    <cellStyle name="Обычный 5 3 142 6" xfId="31885" xr:uid="{00000000-0005-0000-0000-0000804B0000}"/>
    <cellStyle name="Обычный 5 3 142 7" xfId="37225" xr:uid="{00000000-0005-0000-0000-0000814B0000}"/>
    <cellStyle name="Обычный 5 3 142 8" xfId="42565" xr:uid="{00000000-0005-0000-0000-0000824B0000}"/>
    <cellStyle name="Обычный 5 3 142 9" xfId="47905" xr:uid="{00000000-0005-0000-0000-0000834B0000}"/>
    <cellStyle name="Обычный 5 3 143" xfId="5214" xr:uid="{00000000-0005-0000-0000-0000844B0000}"/>
    <cellStyle name="Обычный 5 3 143 10" xfId="53277" xr:uid="{00000000-0005-0000-0000-0000854B0000}"/>
    <cellStyle name="Обычный 5 3 143 2" xfId="10557" xr:uid="{00000000-0005-0000-0000-0000864B0000}"/>
    <cellStyle name="Обычный 5 3 143 2 2" xfId="58618" xr:uid="{00000000-0005-0000-0000-0000874B0000}"/>
    <cellStyle name="Обычный 5 3 143 3" xfId="15897" xr:uid="{00000000-0005-0000-0000-0000884B0000}"/>
    <cellStyle name="Обычный 5 3 143 4" xfId="21237" xr:uid="{00000000-0005-0000-0000-0000894B0000}"/>
    <cellStyle name="Обычный 5 3 143 5" xfId="26577" xr:uid="{00000000-0005-0000-0000-00008A4B0000}"/>
    <cellStyle name="Обычный 5 3 143 6" xfId="31917" xr:uid="{00000000-0005-0000-0000-00008B4B0000}"/>
    <cellStyle name="Обычный 5 3 143 7" xfId="37257" xr:uid="{00000000-0005-0000-0000-00008C4B0000}"/>
    <cellStyle name="Обычный 5 3 143 8" xfId="42597" xr:uid="{00000000-0005-0000-0000-00008D4B0000}"/>
    <cellStyle name="Обычный 5 3 143 9" xfId="47937" xr:uid="{00000000-0005-0000-0000-00008E4B0000}"/>
    <cellStyle name="Обычный 5 3 144" xfId="5246" xr:uid="{00000000-0005-0000-0000-00008F4B0000}"/>
    <cellStyle name="Обычный 5 3 144 10" xfId="53309" xr:uid="{00000000-0005-0000-0000-0000904B0000}"/>
    <cellStyle name="Обычный 5 3 144 2" xfId="10589" xr:uid="{00000000-0005-0000-0000-0000914B0000}"/>
    <cellStyle name="Обычный 5 3 144 2 2" xfId="58650" xr:uid="{00000000-0005-0000-0000-0000924B0000}"/>
    <cellStyle name="Обычный 5 3 144 3" xfId="15929" xr:uid="{00000000-0005-0000-0000-0000934B0000}"/>
    <cellStyle name="Обычный 5 3 144 4" xfId="21269" xr:uid="{00000000-0005-0000-0000-0000944B0000}"/>
    <cellStyle name="Обычный 5 3 144 5" xfId="26609" xr:uid="{00000000-0005-0000-0000-0000954B0000}"/>
    <cellStyle name="Обычный 5 3 144 6" xfId="31949" xr:uid="{00000000-0005-0000-0000-0000964B0000}"/>
    <cellStyle name="Обычный 5 3 144 7" xfId="37289" xr:uid="{00000000-0005-0000-0000-0000974B0000}"/>
    <cellStyle name="Обычный 5 3 144 8" xfId="42629" xr:uid="{00000000-0005-0000-0000-0000984B0000}"/>
    <cellStyle name="Обычный 5 3 144 9" xfId="47969" xr:uid="{00000000-0005-0000-0000-0000994B0000}"/>
    <cellStyle name="Обычный 5 3 145" xfId="5278" xr:uid="{00000000-0005-0000-0000-00009A4B0000}"/>
    <cellStyle name="Обычный 5 3 145 10" xfId="53341" xr:uid="{00000000-0005-0000-0000-00009B4B0000}"/>
    <cellStyle name="Обычный 5 3 145 2" xfId="10621" xr:uid="{00000000-0005-0000-0000-00009C4B0000}"/>
    <cellStyle name="Обычный 5 3 145 2 2" xfId="58682" xr:uid="{00000000-0005-0000-0000-00009D4B0000}"/>
    <cellStyle name="Обычный 5 3 145 3" xfId="15961" xr:uid="{00000000-0005-0000-0000-00009E4B0000}"/>
    <cellStyle name="Обычный 5 3 145 4" xfId="21301" xr:uid="{00000000-0005-0000-0000-00009F4B0000}"/>
    <cellStyle name="Обычный 5 3 145 5" xfId="26641" xr:uid="{00000000-0005-0000-0000-0000A04B0000}"/>
    <cellStyle name="Обычный 5 3 145 6" xfId="31981" xr:uid="{00000000-0005-0000-0000-0000A14B0000}"/>
    <cellStyle name="Обычный 5 3 145 7" xfId="37321" xr:uid="{00000000-0005-0000-0000-0000A24B0000}"/>
    <cellStyle name="Обычный 5 3 145 8" xfId="42661" xr:uid="{00000000-0005-0000-0000-0000A34B0000}"/>
    <cellStyle name="Обычный 5 3 145 9" xfId="48001" xr:uid="{00000000-0005-0000-0000-0000A44B0000}"/>
    <cellStyle name="Обычный 5 3 146" xfId="5310" xr:uid="{00000000-0005-0000-0000-0000A54B0000}"/>
    <cellStyle name="Обычный 5 3 146 10" xfId="53373" xr:uid="{00000000-0005-0000-0000-0000A64B0000}"/>
    <cellStyle name="Обычный 5 3 146 2" xfId="10653" xr:uid="{00000000-0005-0000-0000-0000A74B0000}"/>
    <cellStyle name="Обычный 5 3 146 2 2" xfId="58714" xr:uid="{00000000-0005-0000-0000-0000A84B0000}"/>
    <cellStyle name="Обычный 5 3 146 3" xfId="15993" xr:uid="{00000000-0005-0000-0000-0000A94B0000}"/>
    <cellStyle name="Обычный 5 3 146 4" xfId="21333" xr:uid="{00000000-0005-0000-0000-0000AA4B0000}"/>
    <cellStyle name="Обычный 5 3 146 5" xfId="26673" xr:uid="{00000000-0005-0000-0000-0000AB4B0000}"/>
    <cellStyle name="Обычный 5 3 146 6" xfId="32013" xr:uid="{00000000-0005-0000-0000-0000AC4B0000}"/>
    <cellStyle name="Обычный 5 3 146 7" xfId="37353" xr:uid="{00000000-0005-0000-0000-0000AD4B0000}"/>
    <cellStyle name="Обычный 5 3 146 8" xfId="42693" xr:uid="{00000000-0005-0000-0000-0000AE4B0000}"/>
    <cellStyle name="Обычный 5 3 146 9" xfId="48033" xr:uid="{00000000-0005-0000-0000-0000AF4B0000}"/>
    <cellStyle name="Обычный 5 3 147" xfId="5342" xr:uid="{00000000-0005-0000-0000-0000B04B0000}"/>
    <cellStyle name="Обычный 5 3 147 10" xfId="53405" xr:uid="{00000000-0005-0000-0000-0000B14B0000}"/>
    <cellStyle name="Обычный 5 3 147 2" xfId="10685" xr:uid="{00000000-0005-0000-0000-0000B24B0000}"/>
    <cellStyle name="Обычный 5 3 147 2 2" xfId="58746" xr:uid="{00000000-0005-0000-0000-0000B34B0000}"/>
    <cellStyle name="Обычный 5 3 147 3" xfId="16025" xr:uid="{00000000-0005-0000-0000-0000B44B0000}"/>
    <cellStyle name="Обычный 5 3 147 4" xfId="21365" xr:uid="{00000000-0005-0000-0000-0000B54B0000}"/>
    <cellStyle name="Обычный 5 3 147 5" xfId="26705" xr:uid="{00000000-0005-0000-0000-0000B64B0000}"/>
    <cellStyle name="Обычный 5 3 147 6" xfId="32045" xr:uid="{00000000-0005-0000-0000-0000B74B0000}"/>
    <cellStyle name="Обычный 5 3 147 7" xfId="37385" xr:uid="{00000000-0005-0000-0000-0000B84B0000}"/>
    <cellStyle name="Обычный 5 3 147 8" xfId="42725" xr:uid="{00000000-0005-0000-0000-0000B94B0000}"/>
    <cellStyle name="Обычный 5 3 147 9" xfId="48065" xr:uid="{00000000-0005-0000-0000-0000BA4B0000}"/>
    <cellStyle name="Обычный 5 3 148" xfId="5374" xr:uid="{00000000-0005-0000-0000-0000BB4B0000}"/>
    <cellStyle name="Обычный 5 3 148 10" xfId="53437" xr:uid="{00000000-0005-0000-0000-0000BC4B0000}"/>
    <cellStyle name="Обычный 5 3 148 2" xfId="10717" xr:uid="{00000000-0005-0000-0000-0000BD4B0000}"/>
    <cellStyle name="Обычный 5 3 148 2 2" xfId="58778" xr:uid="{00000000-0005-0000-0000-0000BE4B0000}"/>
    <cellStyle name="Обычный 5 3 148 3" xfId="16057" xr:uid="{00000000-0005-0000-0000-0000BF4B0000}"/>
    <cellStyle name="Обычный 5 3 148 4" xfId="21397" xr:uid="{00000000-0005-0000-0000-0000C04B0000}"/>
    <cellStyle name="Обычный 5 3 148 5" xfId="26737" xr:uid="{00000000-0005-0000-0000-0000C14B0000}"/>
    <cellStyle name="Обычный 5 3 148 6" xfId="32077" xr:uid="{00000000-0005-0000-0000-0000C24B0000}"/>
    <cellStyle name="Обычный 5 3 148 7" xfId="37417" xr:uid="{00000000-0005-0000-0000-0000C34B0000}"/>
    <cellStyle name="Обычный 5 3 148 8" xfId="42757" xr:uid="{00000000-0005-0000-0000-0000C44B0000}"/>
    <cellStyle name="Обычный 5 3 148 9" xfId="48097" xr:uid="{00000000-0005-0000-0000-0000C54B0000}"/>
    <cellStyle name="Обычный 5 3 149" xfId="5419" xr:uid="{00000000-0005-0000-0000-0000C64B0000}"/>
    <cellStyle name="Обычный 5 3 149 2" xfId="53481" xr:uid="{00000000-0005-0000-0000-0000C74B0000}"/>
    <cellStyle name="Обычный 5 3 15" xfId="1308" xr:uid="{00000000-0005-0000-0000-0000C84B0000}"/>
    <cellStyle name="Обычный 5 3 15 10" xfId="49371" xr:uid="{00000000-0005-0000-0000-0000C94B0000}"/>
    <cellStyle name="Обычный 5 3 15 2" xfId="6650" xr:uid="{00000000-0005-0000-0000-0000CA4B0000}"/>
    <cellStyle name="Обычный 5 3 15 2 2" xfId="54712" xr:uid="{00000000-0005-0000-0000-0000CB4B0000}"/>
    <cellStyle name="Обычный 5 3 15 3" xfId="11991" xr:uid="{00000000-0005-0000-0000-0000CC4B0000}"/>
    <cellStyle name="Обычный 5 3 15 4" xfId="17331" xr:uid="{00000000-0005-0000-0000-0000CD4B0000}"/>
    <cellStyle name="Обычный 5 3 15 5" xfId="22671" xr:uid="{00000000-0005-0000-0000-0000CE4B0000}"/>
    <cellStyle name="Обычный 5 3 15 6" xfId="28011" xr:uid="{00000000-0005-0000-0000-0000CF4B0000}"/>
    <cellStyle name="Обычный 5 3 15 7" xfId="33351" xr:uid="{00000000-0005-0000-0000-0000D04B0000}"/>
    <cellStyle name="Обычный 5 3 15 8" xfId="38691" xr:uid="{00000000-0005-0000-0000-0000D14B0000}"/>
    <cellStyle name="Обычный 5 3 15 9" xfId="44031" xr:uid="{00000000-0005-0000-0000-0000D24B0000}"/>
    <cellStyle name="Обычный 5 3 150" xfId="10760" xr:uid="{00000000-0005-0000-0000-0000D34B0000}"/>
    <cellStyle name="Обычный 5 3 151" xfId="16100" xr:uid="{00000000-0005-0000-0000-0000D44B0000}"/>
    <cellStyle name="Обычный 5 3 152" xfId="21440" xr:uid="{00000000-0005-0000-0000-0000D54B0000}"/>
    <cellStyle name="Обычный 5 3 153" xfId="26780" xr:uid="{00000000-0005-0000-0000-0000D64B0000}"/>
    <cellStyle name="Обычный 5 3 154" xfId="32120" xr:uid="{00000000-0005-0000-0000-0000D74B0000}"/>
    <cellStyle name="Обычный 5 3 155" xfId="37460" xr:uid="{00000000-0005-0000-0000-0000D84B0000}"/>
    <cellStyle name="Обычный 5 3 156" xfId="42800" xr:uid="{00000000-0005-0000-0000-0000D94B0000}"/>
    <cellStyle name="Обычный 5 3 157" xfId="48140" xr:uid="{00000000-0005-0000-0000-0000DA4B0000}"/>
    <cellStyle name="Обычный 5 3 16" xfId="1334" xr:uid="{00000000-0005-0000-0000-0000DB4B0000}"/>
    <cellStyle name="Обычный 5 3 16 10" xfId="49397" xr:uid="{00000000-0005-0000-0000-0000DC4B0000}"/>
    <cellStyle name="Обычный 5 3 16 2" xfId="6676" xr:uid="{00000000-0005-0000-0000-0000DD4B0000}"/>
    <cellStyle name="Обычный 5 3 16 2 2" xfId="54738" xr:uid="{00000000-0005-0000-0000-0000DE4B0000}"/>
    <cellStyle name="Обычный 5 3 16 3" xfId="12017" xr:uid="{00000000-0005-0000-0000-0000DF4B0000}"/>
    <cellStyle name="Обычный 5 3 16 4" xfId="17357" xr:uid="{00000000-0005-0000-0000-0000E04B0000}"/>
    <cellStyle name="Обычный 5 3 16 5" xfId="22697" xr:uid="{00000000-0005-0000-0000-0000E14B0000}"/>
    <cellStyle name="Обычный 5 3 16 6" xfId="28037" xr:uid="{00000000-0005-0000-0000-0000E24B0000}"/>
    <cellStyle name="Обычный 5 3 16 7" xfId="33377" xr:uid="{00000000-0005-0000-0000-0000E34B0000}"/>
    <cellStyle name="Обычный 5 3 16 8" xfId="38717" xr:uid="{00000000-0005-0000-0000-0000E44B0000}"/>
    <cellStyle name="Обычный 5 3 16 9" xfId="44057" xr:uid="{00000000-0005-0000-0000-0000E54B0000}"/>
    <cellStyle name="Обычный 5 3 17" xfId="1360" xr:uid="{00000000-0005-0000-0000-0000E64B0000}"/>
    <cellStyle name="Обычный 5 3 17 10" xfId="49423" xr:uid="{00000000-0005-0000-0000-0000E74B0000}"/>
    <cellStyle name="Обычный 5 3 17 2" xfId="6702" xr:uid="{00000000-0005-0000-0000-0000E84B0000}"/>
    <cellStyle name="Обычный 5 3 17 2 2" xfId="54764" xr:uid="{00000000-0005-0000-0000-0000E94B0000}"/>
    <cellStyle name="Обычный 5 3 17 3" xfId="12043" xr:uid="{00000000-0005-0000-0000-0000EA4B0000}"/>
    <cellStyle name="Обычный 5 3 17 4" xfId="17383" xr:uid="{00000000-0005-0000-0000-0000EB4B0000}"/>
    <cellStyle name="Обычный 5 3 17 5" xfId="22723" xr:uid="{00000000-0005-0000-0000-0000EC4B0000}"/>
    <cellStyle name="Обычный 5 3 17 6" xfId="28063" xr:uid="{00000000-0005-0000-0000-0000ED4B0000}"/>
    <cellStyle name="Обычный 5 3 17 7" xfId="33403" xr:uid="{00000000-0005-0000-0000-0000EE4B0000}"/>
    <cellStyle name="Обычный 5 3 17 8" xfId="38743" xr:uid="{00000000-0005-0000-0000-0000EF4B0000}"/>
    <cellStyle name="Обычный 5 3 17 9" xfId="44083" xr:uid="{00000000-0005-0000-0000-0000F04B0000}"/>
    <cellStyle name="Обычный 5 3 18" xfId="1386" xr:uid="{00000000-0005-0000-0000-0000F14B0000}"/>
    <cellStyle name="Обычный 5 3 18 10" xfId="49449" xr:uid="{00000000-0005-0000-0000-0000F24B0000}"/>
    <cellStyle name="Обычный 5 3 18 2" xfId="6728" xr:uid="{00000000-0005-0000-0000-0000F34B0000}"/>
    <cellStyle name="Обычный 5 3 18 2 2" xfId="54790" xr:uid="{00000000-0005-0000-0000-0000F44B0000}"/>
    <cellStyle name="Обычный 5 3 18 3" xfId="12069" xr:uid="{00000000-0005-0000-0000-0000F54B0000}"/>
    <cellStyle name="Обычный 5 3 18 4" xfId="17409" xr:uid="{00000000-0005-0000-0000-0000F64B0000}"/>
    <cellStyle name="Обычный 5 3 18 5" xfId="22749" xr:uid="{00000000-0005-0000-0000-0000F74B0000}"/>
    <cellStyle name="Обычный 5 3 18 6" xfId="28089" xr:uid="{00000000-0005-0000-0000-0000F84B0000}"/>
    <cellStyle name="Обычный 5 3 18 7" xfId="33429" xr:uid="{00000000-0005-0000-0000-0000F94B0000}"/>
    <cellStyle name="Обычный 5 3 18 8" xfId="38769" xr:uid="{00000000-0005-0000-0000-0000FA4B0000}"/>
    <cellStyle name="Обычный 5 3 18 9" xfId="44109" xr:uid="{00000000-0005-0000-0000-0000FB4B0000}"/>
    <cellStyle name="Обычный 5 3 19" xfId="1412" xr:uid="{00000000-0005-0000-0000-0000FC4B0000}"/>
    <cellStyle name="Обычный 5 3 19 10" xfId="49475" xr:uid="{00000000-0005-0000-0000-0000FD4B0000}"/>
    <cellStyle name="Обычный 5 3 19 2" xfId="6754" xr:uid="{00000000-0005-0000-0000-0000FE4B0000}"/>
    <cellStyle name="Обычный 5 3 19 2 2" xfId="54816" xr:uid="{00000000-0005-0000-0000-0000FF4B0000}"/>
    <cellStyle name="Обычный 5 3 19 3" xfId="12095" xr:uid="{00000000-0005-0000-0000-0000004C0000}"/>
    <cellStyle name="Обычный 5 3 19 4" xfId="17435" xr:uid="{00000000-0005-0000-0000-0000014C0000}"/>
    <cellStyle name="Обычный 5 3 19 5" xfId="22775" xr:uid="{00000000-0005-0000-0000-0000024C0000}"/>
    <cellStyle name="Обычный 5 3 19 6" xfId="28115" xr:uid="{00000000-0005-0000-0000-0000034C0000}"/>
    <cellStyle name="Обычный 5 3 19 7" xfId="33455" xr:uid="{00000000-0005-0000-0000-0000044C0000}"/>
    <cellStyle name="Обычный 5 3 19 8" xfId="38795" xr:uid="{00000000-0005-0000-0000-0000054C0000}"/>
    <cellStyle name="Обычный 5 3 19 9" xfId="44135" xr:uid="{00000000-0005-0000-0000-0000064C0000}"/>
    <cellStyle name="Обычный 5 3 2" xfId="545" xr:uid="{00000000-0005-0000-0000-0000074C0000}"/>
    <cellStyle name="Обычный 5 3 2 10" xfId="48607" xr:uid="{00000000-0005-0000-0000-0000084C0000}"/>
    <cellStyle name="Обычный 5 3 2 2" xfId="5886" xr:uid="{00000000-0005-0000-0000-0000094C0000}"/>
    <cellStyle name="Обычный 5 3 2 2 2" xfId="53948" xr:uid="{00000000-0005-0000-0000-00000A4C0000}"/>
    <cellStyle name="Обычный 5 3 2 3" xfId="11227" xr:uid="{00000000-0005-0000-0000-00000B4C0000}"/>
    <cellStyle name="Обычный 5 3 2 4" xfId="16567" xr:uid="{00000000-0005-0000-0000-00000C4C0000}"/>
    <cellStyle name="Обычный 5 3 2 5" xfId="21907" xr:uid="{00000000-0005-0000-0000-00000D4C0000}"/>
    <cellStyle name="Обычный 5 3 2 6" xfId="27247" xr:uid="{00000000-0005-0000-0000-00000E4C0000}"/>
    <cellStyle name="Обычный 5 3 2 7" xfId="32587" xr:uid="{00000000-0005-0000-0000-00000F4C0000}"/>
    <cellStyle name="Обычный 5 3 2 8" xfId="37927" xr:uid="{00000000-0005-0000-0000-0000104C0000}"/>
    <cellStyle name="Обычный 5 3 2 9" xfId="43267" xr:uid="{00000000-0005-0000-0000-0000114C0000}"/>
    <cellStyle name="Обычный 5 3 20" xfId="1438" xr:uid="{00000000-0005-0000-0000-0000124C0000}"/>
    <cellStyle name="Обычный 5 3 20 10" xfId="49501" xr:uid="{00000000-0005-0000-0000-0000134C0000}"/>
    <cellStyle name="Обычный 5 3 20 2" xfId="6780" xr:uid="{00000000-0005-0000-0000-0000144C0000}"/>
    <cellStyle name="Обычный 5 3 20 2 2" xfId="54842" xr:uid="{00000000-0005-0000-0000-0000154C0000}"/>
    <cellStyle name="Обычный 5 3 20 3" xfId="12121" xr:uid="{00000000-0005-0000-0000-0000164C0000}"/>
    <cellStyle name="Обычный 5 3 20 4" xfId="17461" xr:uid="{00000000-0005-0000-0000-0000174C0000}"/>
    <cellStyle name="Обычный 5 3 20 5" xfId="22801" xr:uid="{00000000-0005-0000-0000-0000184C0000}"/>
    <cellStyle name="Обычный 5 3 20 6" xfId="28141" xr:uid="{00000000-0005-0000-0000-0000194C0000}"/>
    <cellStyle name="Обычный 5 3 20 7" xfId="33481" xr:uid="{00000000-0005-0000-0000-00001A4C0000}"/>
    <cellStyle name="Обычный 5 3 20 8" xfId="38821" xr:uid="{00000000-0005-0000-0000-00001B4C0000}"/>
    <cellStyle name="Обычный 5 3 20 9" xfId="44161" xr:uid="{00000000-0005-0000-0000-00001C4C0000}"/>
    <cellStyle name="Обычный 5 3 21" xfId="1464" xr:uid="{00000000-0005-0000-0000-00001D4C0000}"/>
    <cellStyle name="Обычный 5 3 21 10" xfId="49527" xr:uid="{00000000-0005-0000-0000-00001E4C0000}"/>
    <cellStyle name="Обычный 5 3 21 2" xfId="6806" xr:uid="{00000000-0005-0000-0000-00001F4C0000}"/>
    <cellStyle name="Обычный 5 3 21 2 2" xfId="54868" xr:uid="{00000000-0005-0000-0000-0000204C0000}"/>
    <cellStyle name="Обычный 5 3 21 3" xfId="12147" xr:uid="{00000000-0005-0000-0000-0000214C0000}"/>
    <cellStyle name="Обычный 5 3 21 4" xfId="17487" xr:uid="{00000000-0005-0000-0000-0000224C0000}"/>
    <cellStyle name="Обычный 5 3 21 5" xfId="22827" xr:uid="{00000000-0005-0000-0000-0000234C0000}"/>
    <cellStyle name="Обычный 5 3 21 6" xfId="28167" xr:uid="{00000000-0005-0000-0000-0000244C0000}"/>
    <cellStyle name="Обычный 5 3 21 7" xfId="33507" xr:uid="{00000000-0005-0000-0000-0000254C0000}"/>
    <cellStyle name="Обычный 5 3 21 8" xfId="38847" xr:uid="{00000000-0005-0000-0000-0000264C0000}"/>
    <cellStyle name="Обычный 5 3 21 9" xfId="44187" xr:uid="{00000000-0005-0000-0000-0000274C0000}"/>
    <cellStyle name="Обычный 5 3 22" xfId="1490" xr:uid="{00000000-0005-0000-0000-0000284C0000}"/>
    <cellStyle name="Обычный 5 3 22 10" xfId="49553" xr:uid="{00000000-0005-0000-0000-0000294C0000}"/>
    <cellStyle name="Обычный 5 3 22 2" xfId="6832" xr:uid="{00000000-0005-0000-0000-00002A4C0000}"/>
    <cellStyle name="Обычный 5 3 22 2 2" xfId="54894" xr:uid="{00000000-0005-0000-0000-00002B4C0000}"/>
    <cellStyle name="Обычный 5 3 22 3" xfId="12173" xr:uid="{00000000-0005-0000-0000-00002C4C0000}"/>
    <cellStyle name="Обычный 5 3 22 4" xfId="17513" xr:uid="{00000000-0005-0000-0000-00002D4C0000}"/>
    <cellStyle name="Обычный 5 3 22 5" xfId="22853" xr:uid="{00000000-0005-0000-0000-00002E4C0000}"/>
    <cellStyle name="Обычный 5 3 22 6" xfId="28193" xr:uid="{00000000-0005-0000-0000-00002F4C0000}"/>
    <cellStyle name="Обычный 5 3 22 7" xfId="33533" xr:uid="{00000000-0005-0000-0000-0000304C0000}"/>
    <cellStyle name="Обычный 5 3 22 8" xfId="38873" xr:uid="{00000000-0005-0000-0000-0000314C0000}"/>
    <cellStyle name="Обычный 5 3 22 9" xfId="44213" xr:uid="{00000000-0005-0000-0000-0000324C0000}"/>
    <cellStyle name="Обычный 5 3 23" xfId="1516" xr:uid="{00000000-0005-0000-0000-0000334C0000}"/>
    <cellStyle name="Обычный 5 3 23 10" xfId="49579" xr:uid="{00000000-0005-0000-0000-0000344C0000}"/>
    <cellStyle name="Обычный 5 3 23 2" xfId="6858" xr:uid="{00000000-0005-0000-0000-0000354C0000}"/>
    <cellStyle name="Обычный 5 3 23 2 2" xfId="54920" xr:uid="{00000000-0005-0000-0000-0000364C0000}"/>
    <cellStyle name="Обычный 5 3 23 3" xfId="12199" xr:uid="{00000000-0005-0000-0000-0000374C0000}"/>
    <cellStyle name="Обычный 5 3 23 4" xfId="17539" xr:uid="{00000000-0005-0000-0000-0000384C0000}"/>
    <cellStyle name="Обычный 5 3 23 5" xfId="22879" xr:uid="{00000000-0005-0000-0000-0000394C0000}"/>
    <cellStyle name="Обычный 5 3 23 6" xfId="28219" xr:uid="{00000000-0005-0000-0000-00003A4C0000}"/>
    <cellStyle name="Обычный 5 3 23 7" xfId="33559" xr:uid="{00000000-0005-0000-0000-00003B4C0000}"/>
    <cellStyle name="Обычный 5 3 23 8" xfId="38899" xr:uid="{00000000-0005-0000-0000-00003C4C0000}"/>
    <cellStyle name="Обычный 5 3 23 9" xfId="44239" xr:uid="{00000000-0005-0000-0000-00003D4C0000}"/>
    <cellStyle name="Обычный 5 3 24" xfId="1542" xr:uid="{00000000-0005-0000-0000-00003E4C0000}"/>
    <cellStyle name="Обычный 5 3 24 10" xfId="49605" xr:uid="{00000000-0005-0000-0000-00003F4C0000}"/>
    <cellStyle name="Обычный 5 3 24 2" xfId="6884" xr:uid="{00000000-0005-0000-0000-0000404C0000}"/>
    <cellStyle name="Обычный 5 3 24 2 2" xfId="54946" xr:uid="{00000000-0005-0000-0000-0000414C0000}"/>
    <cellStyle name="Обычный 5 3 24 3" xfId="12225" xr:uid="{00000000-0005-0000-0000-0000424C0000}"/>
    <cellStyle name="Обычный 5 3 24 4" xfId="17565" xr:uid="{00000000-0005-0000-0000-0000434C0000}"/>
    <cellStyle name="Обычный 5 3 24 5" xfId="22905" xr:uid="{00000000-0005-0000-0000-0000444C0000}"/>
    <cellStyle name="Обычный 5 3 24 6" xfId="28245" xr:uid="{00000000-0005-0000-0000-0000454C0000}"/>
    <cellStyle name="Обычный 5 3 24 7" xfId="33585" xr:uid="{00000000-0005-0000-0000-0000464C0000}"/>
    <cellStyle name="Обычный 5 3 24 8" xfId="38925" xr:uid="{00000000-0005-0000-0000-0000474C0000}"/>
    <cellStyle name="Обычный 5 3 24 9" xfId="44265" xr:uid="{00000000-0005-0000-0000-0000484C0000}"/>
    <cellStyle name="Обычный 5 3 25" xfId="1568" xr:uid="{00000000-0005-0000-0000-0000494C0000}"/>
    <cellStyle name="Обычный 5 3 25 10" xfId="49631" xr:uid="{00000000-0005-0000-0000-00004A4C0000}"/>
    <cellStyle name="Обычный 5 3 25 2" xfId="6910" xr:uid="{00000000-0005-0000-0000-00004B4C0000}"/>
    <cellStyle name="Обычный 5 3 25 2 2" xfId="54972" xr:uid="{00000000-0005-0000-0000-00004C4C0000}"/>
    <cellStyle name="Обычный 5 3 25 3" xfId="12251" xr:uid="{00000000-0005-0000-0000-00004D4C0000}"/>
    <cellStyle name="Обычный 5 3 25 4" xfId="17591" xr:uid="{00000000-0005-0000-0000-00004E4C0000}"/>
    <cellStyle name="Обычный 5 3 25 5" xfId="22931" xr:uid="{00000000-0005-0000-0000-00004F4C0000}"/>
    <cellStyle name="Обычный 5 3 25 6" xfId="28271" xr:uid="{00000000-0005-0000-0000-0000504C0000}"/>
    <cellStyle name="Обычный 5 3 25 7" xfId="33611" xr:uid="{00000000-0005-0000-0000-0000514C0000}"/>
    <cellStyle name="Обычный 5 3 25 8" xfId="38951" xr:uid="{00000000-0005-0000-0000-0000524C0000}"/>
    <cellStyle name="Обычный 5 3 25 9" xfId="44291" xr:uid="{00000000-0005-0000-0000-0000534C0000}"/>
    <cellStyle name="Обычный 5 3 26" xfId="1594" xr:uid="{00000000-0005-0000-0000-0000544C0000}"/>
    <cellStyle name="Обычный 5 3 26 10" xfId="49657" xr:uid="{00000000-0005-0000-0000-0000554C0000}"/>
    <cellStyle name="Обычный 5 3 26 2" xfId="6936" xr:uid="{00000000-0005-0000-0000-0000564C0000}"/>
    <cellStyle name="Обычный 5 3 26 2 2" xfId="54998" xr:uid="{00000000-0005-0000-0000-0000574C0000}"/>
    <cellStyle name="Обычный 5 3 26 3" xfId="12277" xr:uid="{00000000-0005-0000-0000-0000584C0000}"/>
    <cellStyle name="Обычный 5 3 26 4" xfId="17617" xr:uid="{00000000-0005-0000-0000-0000594C0000}"/>
    <cellStyle name="Обычный 5 3 26 5" xfId="22957" xr:uid="{00000000-0005-0000-0000-00005A4C0000}"/>
    <cellStyle name="Обычный 5 3 26 6" xfId="28297" xr:uid="{00000000-0005-0000-0000-00005B4C0000}"/>
    <cellStyle name="Обычный 5 3 26 7" xfId="33637" xr:uid="{00000000-0005-0000-0000-00005C4C0000}"/>
    <cellStyle name="Обычный 5 3 26 8" xfId="38977" xr:uid="{00000000-0005-0000-0000-00005D4C0000}"/>
    <cellStyle name="Обычный 5 3 26 9" xfId="44317" xr:uid="{00000000-0005-0000-0000-00005E4C0000}"/>
    <cellStyle name="Обычный 5 3 27" xfId="1620" xr:uid="{00000000-0005-0000-0000-00005F4C0000}"/>
    <cellStyle name="Обычный 5 3 27 10" xfId="49683" xr:uid="{00000000-0005-0000-0000-0000604C0000}"/>
    <cellStyle name="Обычный 5 3 27 2" xfId="6962" xr:uid="{00000000-0005-0000-0000-0000614C0000}"/>
    <cellStyle name="Обычный 5 3 27 2 2" xfId="55024" xr:uid="{00000000-0005-0000-0000-0000624C0000}"/>
    <cellStyle name="Обычный 5 3 27 3" xfId="12303" xr:uid="{00000000-0005-0000-0000-0000634C0000}"/>
    <cellStyle name="Обычный 5 3 27 4" xfId="17643" xr:uid="{00000000-0005-0000-0000-0000644C0000}"/>
    <cellStyle name="Обычный 5 3 27 5" xfId="22983" xr:uid="{00000000-0005-0000-0000-0000654C0000}"/>
    <cellStyle name="Обычный 5 3 27 6" xfId="28323" xr:uid="{00000000-0005-0000-0000-0000664C0000}"/>
    <cellStyle name="Обычный 5 3 27 7" xfId="33663" xr:uid="{00000000-0005-0000-0000-0000674C0000}"/>
    <cellStyle name="Обычный 5 3 27 8" xfId="39003" xr:uid="{00000000-0005-0000-0000-0000684C0000}"/>
    <cellStyle name="Обычный 5 3 27 9" xfId="44343" xr:uid="{00000000-0005-0000-0000-0000694C0000}"/>
    <cellStyle name="Обычный 5 3 28" xfId="1646" xr:uid="{00000000-0005-0000-0000-00006A4C0000}"/>
    <cellStyle name="Обычный 5 3 28 10" xfId="49709" xr:uid="{00000000-0005-0000-0000-00006B4C0000}"/>
    <cellStyle name="Обычный 5 3 28 2" xfId="6988" xr:uid="{00000000-0005-0000-0000-00006C4C0000}"/>
    <cellStyle name="Обычный 5 3 28 2 2" xfId="55050" xr:uid="{00000000-0005-0000-0000-00006D4C0000}"/>
    <cellStyle name="Обычный 5 3 28 3" xfId="12329" xr:uid="{00000000-0005-0000-0000-00006E4C0000}"/>
    <cellStyle name="Обычный 5 3 28 4" xfId="17669" xr:uid="{00000000-0005-0000-0000-00006F4C0000}"/>
    <cellStyle name="Обычный 5 3 28 5" xfId="23009" xr:uid="{00000000-0005-0000-0000-0000704C0000}"/>
    <cellStyle name="Обычный 5 3 28 6" xfId="28349" xr:uid="{00000000-0005-0000-0000-0000714C0000}"/>
    <cellStyle name="Обычный 5 3 28 7" xfId="33689" xr:uid="{00000000-0005-0000-0000-0000724C0000}"/>
    <cellStyle name="Обычный 5 3 28 8" xfId="39029" xr:uid="{00000000-0005-0000-0000-0000734C0000}"/>
    <cellStyle name="Обычный 5 3 28 9" xfId="44369" xr:uid="{00000000-0005-0000-0000-0000744C0000}"/>
    <cellStyle name="Обычный 5 3 29" xfId="1672" xr:uid="{00000000-0005-0000-0000-0000754C0000}"/>
    <cellStyle name="Обычный 5 3 29 10" xfId="49735" xr:uid="{00000000-0005-0000-0000-0000764C0000}"/>
    <cellStyle name="Обычный 5 3 29 2" xfId="7014" xr:uid="{00000000-0005-0000-0000-0000774C0000}"/>
    <cellStyle name="Обычный 5 3 29 2 2" xfId="55076" xr:uid="{00000000-0005-0000-0000-0000784C0000}"/>
    <cellStyle name="Обычный 5 3 29 3" xfId="12355" xr:uid="{00000000-0005-0000-0000-0000794C0000}"/>
    <cellStyle name="Обычный 5 3 29 4" xfId="17695" xr:uid="{00000000-0005-0000-0000-00007A4C0000}"/>
    <cellStyle name="Обычный 5 3 29 5" xfId="23035" xr:uid="{00000000-0005-0000-0000-00007B4C0000}"/>
    <cellStyle name="Обычный 5 3 29 6" xfId="28375" xr:uid="{00000000-0005-0000-0000-00007C4C0000}"/>
    <cellStyle name="Обычный 5 3 29 7" xfId="33715" xr:uid="{00000000-0005-0000-0000-00007D4C0000}"/>
    <cellStyle name="Обычный 5 3 29 8" xfId="39055" xr:uid="{00000000-0005-0000-0000-00007E4C0000}"/>
    <cellStyle name="Обычный 5 3 29 9" xfId="44395" xr:uid="{00000000-0005-0000-0000-00007F4C0000}"/>
    <cellStyle name="Обычный 5 3 3" xfId="1001" xr:uid="{00000000-0005-0000-0000-0000804C0000}"/>
    <cellStyle name="Обычный 5 3 3 10" xfId="49063" xr:uid="{00000000-0005-0000-0000-0000814C0000}"/>
    <cellStyle name="Обычный 5 3 3 2" xfId="6342" xr:uid="{00000000-0005-0000-0000-0000824C0000}"/>
    <cellStyle name="Обычный 5 3 3 2 2" xfId="54404" xr:uid="{00000000-0005-0000-0000-0000834C0000}"/>
    <cellStyle name="Обычный 5 3 3 3" xfId="11683" xr:uid="{00000000-0005-0000-0000-0000844C0000}"/>
    <cellStyle name="Обычный 5 3 3 4" xfId="17023" xr:uid="{00000000-0005-0000-0000-0000854C0000}"/>
    <cellStyle name="Обычный 5 3 3 5" xfId="22363" xr:uid="{00000000-0005-0000-0000-0000864C0000}"/>
    <cellStyle name="Обычный 5 3 3 6" xfId="27703" xr:uid="{00000000-0005-0000-0000-0000874C0000}"/>
    <cellStyle name="Обычный 5 3 3 7" xfId="33043" xr:uid="{00000000-0005-0000-0000-0000884C0000}"/>
    <cellStyle name="Обычный 5 3 3 8" xfId="38383" xr:uid="{00000000-0005-0000-0000-0000894C0000}"/>
    <cellStyle name="Обычный 5 3 3 9" xfId="43723" xr:uid="{00000000-0005-0000-0000-00008A4C0000}"/>
    <cellStyle name="Обычный 5 3 30" xfId="1698" xr:uid="{00000000-0005-0000-0000-00008B4C0000}"/>
    <cellStyle name="Обычный 5 3 30 10" xfId="49761" xr:uid="{00000000-0005-0000-0000-00008C4C0000}"/>
    <cellStyle name="Обычный 5 3 30 2" xfId="7040" xr:uid="{00000000-0005-0000-0000-00008D4C0000}"/>
    <cellStyle name="Обычный 5 3 30 2 2" xfId="55102" xr:uid="{00000000-0005-0000-0000-00008E4C0000}"/>
    <cellStyle name="Обычный 5 3 30 3" xfId="12381" xr:uid="{00000000-0005-0000-0000-00008F4C0000}"/>
    <cellStyle name="Обычный 5 3 30 4" xfId="17721" xr:uid="{00000000-0005-0000-0000-0000904C0000}"/>
    <cellStyle name="Обычный 5 3 30 5" xfId="23061" xr:uid="{00000000-0005-0000-0000-0000914C0000}"/>
    <cellStyle name="Обычный 5 3 30 6" xfId="28401" xr:uid="{00000000-0005-0000-0000-0000924C0000}"/>
    <cellStyle name="Обычный 5 3 30 7" xfId="33741" xr:uid="{00000000-0005-0000-0000-0000934C0000}"/>
    <cellStyle name="Обычный 5 3 30 8" xfId="39081" xr:uid="{00000000-0005-0000-0000-0000944C0000}"/>
    <cellStyle name="Обычный 5 3 30 9" xfId="44421" xr:uid="{00000000-0005-0000-0000-0000954C0000}"/>
    <cellStyle name="Обычный 5 3 31" xfId="1724" xr:uid="{00000000-0005-0000-0000-0000964C0000}"/>
    <cellStyle name="Обычный 5 3 31 10" xfId="49787" xr:uid="{00000000-0005-0000-0000-0000974C0000}"/>
    <cellStyle name="Обычный 5 3 31 2" xfId="7066" xr:uid="{00000000-0005-0000-0000-0000984C0000}"/>
    <cellStyle name="Обычный 5 3 31 2 2" xfId="55128" xr:uid="{00000000-0005-0000-0000-0000994C0000}"/>
    <cellStyle name="Обычный 5 3 31 3" xfId="12407" xr:uid="{00000000-0005-0000-0000-00009A4C0000}"/>
    <cellStyle name="Обычный 5 3 31 4" xfId="17747" xr:uid="{00000000-0005-0000-0000-00009B4C0000}"/>
    <cellStyle name="Обычный 5 3 31 5" xfId="23087" xr:uid="{00000000-0005-0000-0000-00009C4C0000}"/>
    <cellStyle name="Обычный 5 3 31 6" xfId="28427" xr:uid="{00000000-0005-0000-0000-00009D4C0000}"/>
    <cellStyle name="Обычный 5 3 31 7" xfId="33767" xr:uid="{00000000-0005-0000-0000-00009E4C0000}"/>
    <cellStyle name="Обычный 5 3 31 8" xfId="39107" xr:uid="{00000000-0005-0000-0000-00009F4C0000}"/>
    <cellStyle name="Обычный 5 3 31 9" xfId="44447" xr:uid="{00000000-0005-0000-0000-0000A04C0000}"/>
    <cellStyle name="Обычный 5 3 32" xfId="1750" xr:uid="{00000000-0005-0000-0000-0000A14C0000}"/>
    <cellStyle name="Обычный 5 3 32 10" xfId="49813" xr:uid="{00000000-0005-0000-0000-0000A24C0000}"/>
    <cellStyle name="Обычный 5 3 32 2" xfId="7092" xr:uid="{00000000-0005-0000-0000-0000A34C0000}"/>
    <cellStyle name="Обычный 5 3 32 2 2" xfId="55154" xr:uid="{00000000-0005-0000-0000-0000A44C0000}"/>
    <cellStyle name="Обычный 5 3 32 3" xfId="12433" xr:uid="{00000000-0005-0000-0000-0000A54C0000}"/>
    <cellStyle name="Обычный 5 3 32 4" xfId="17773" xr:uid="{00000000-0005-0000-0000-0000A64C0000}"/>
    <cellStyle name="Обычный 5 3 32 5" xfId="23113" xr:uid="{00000000-0005-0000-0000-0000A74C0000}"/>
    <cellStyle name="Обычный 5 3 32 6" xfId="28453" xr:uid="{00000000-0005-0000-0000-0000A84C0000}"/>
    <cellStyle name="Обычный 5 3 32 7" xfId="33793" xr:uid="{00000000-0005-0000-0000-0000A94C0000}"/>
    <cellStyle name="Обычный 5 3 32 8" xfId="39133" xr:uid="{00000000-0005-0000-0000-0000AA4C0000}"/>
    <cellStyle name="Обычный 5 3 32 9" xfId="44473" xr:uid="{00000000-0005-0000-0000-0000AB4C0000}"/>
    <cellStyle name="Обычный 5 3 33" xfId="1776" xr:uid="{00000000-0005-0000-0000-0000AC4C0000}"/>
    <cellStyle name="Обычный 5 3 33 10" xfId="49839" xr:uid="{00000000-0005-0000-0000-0000AD4C0000}"/>
    <cellStyle name="Обычный 5 3 33 2" xfId="7118" xr:uid="{00000000-0005-0000-0000-0000AE4C0000}"/>
    <cellStyle name="Обычный 5 3 33 2 2" xfId="55180" xr:uid="{00000000-0005-0000-0000-0000AF4C0000}"/>
    <cellStyle name="Обычный 5 3 33 3" xfId="12459" xr:uid="{00000000-0005-0000-0000-0000B04C0000}"/>
    <cellStyle name="Обычный 5 3 33 4" xfId="17799" xr:uid="{00000000-0005-0000-0000-0000B14C0000}"/>
    <cellStyle name="Обычный 5 3 33 5" xfId="23139" xr:uid="{00000000-0005-0000-0000-0000B24C0000}"/>
    <cellStyle name="Обычный 5 3 33 6" xfId="28479" xr:uid="{00000000-0005-0000-0000-0000B34C0000}"/>
    <cellStyle name="Обычный 5 3 33 7" xfId="33819" xr:uid="{00000000-0005-0000-0000-0000B44C0000}"/>
    <cellStyle name="Обычный 5 3 33 8" xfId="39159" xr:uid="{00000000-0005-0000-0000-0000B54C0000}"/>
    <cellStyle name="Обычный 5 3 33 9" xfId="44499" xr:uid="{00000000-0005-0000-0000-0000B64C0000}"/>
    <cellStyle name="Обычный 5 3 34" xfId="1802" xr:uid="{00000000-0005-0000-0000-0000B74C0000}"/>
    <cellStyle name="Обычный 5 3 34 10" xfId="49865" xr:uid="{00000000-0005-0000-0000-0000B84C0000}"/>
    <cellStyle name="Обычный 5 3 34 2" xfId="7144" xr:uid="{00000000-0005-0000-0000-0000B94C0000}"/>
    <cellStyle name="Обычный 5 3 34 2 2" xfId="55206" xr:uid="{00000000-0005-0000-0000-0000BA4C0000}"/>
    <cellStyle name="Обычный 5 3 34 3" xfId="12485" xr:uid="{00000000-0005-0000-0000-0000BB4C0000}"/>
    <cellStyle name="Обычный 5 3 34 4" xfId="17825" xr:uid="{00000000-0005-0000-0000-0000BC4C0000}"/>
    <cellStyle name="Обычный 5 3 34 5" xfId="23165" xr:uid="{00000000-0005-0000-0000-0000BD4C0000}"/>
    <cellStyle name="Обычный 5 3 34 6" xfId="28505" xr:uid="{00000000-0005-0000-0000-0000BE4C0000}"/>
    <cellStyle name="Обычный 5 3 34 7" xfId="33845" xr:uid="{00000000-0005-0000-0000-0000BF4C0000}"/>
    <cellStyle name="Обычный 5 3 34 8" xfId="39185" xr:uid="{00000000-0005-0000-0000-0000C04C0000}"/>
    <cellStyle name="Обычный 5 3 34 9" xfId="44525" xr:uid="{00000000-0005-0000-0000-0000C14C0000}"/>
    <cellStyle name="Обычный 5 3 35" xfId="1828" xr:uid="{00000000-0005-0000-0000-0000C24C0000}"/>
    <cellStyle name="Обычный 5 3 35 10" xfId="49891" xr:uid="{00000000-0005-0000-0000-0000C34C0000}"/>
    <cellStyle name="Обычный 5 3 35 2" xfId="7170" xr:uid="{00000000-0005-0000-0000-0000C44C0000}"/>
    <cellStyle name="Обычный 5 3 35 2 2" xfId="55232" xr:uid="{00000000-0005-0000-0000-0000C54C0000}"/>
    <cellStyle name="Обычный 5 3 35 3" xfId="12511" xr:uid="{00000000-0005-0000-0000-0000C64C0000}"/>
    <cellStyle name="Обычный 5 3 35 4" xfId="17851" xr:uid="{00000000-0005-0000-0000-0000C74C0000}"/>
    <cellStyle name="Обычный 5 3 35 5" xfId="23191" xr:uid="{00000000-0005-0000-0000-0000C84C0000}"/>
    <cellStyle name="Обычный 5 3 35 6" xfId="28531" xr:uid="{00000000-0005-0000-0000-0000C94C0000}"/>
    <cellStyle name="Обычный 5 3 35 7" xfId="33871" xr:uid="{00000000-0005-0000-0000-0000CA4C0000}"/>
    <cellStyle name="Обычный 5 3 35 8" xfId="39211" xr:uid="{00000000-0005-0000-0000-0000CB4C0000}"/>
    <cellStyle name="Обычный 5 3 35 9" xfId="44551" xr:uid="{00000000-0005-0000-0000-0000CC4C0000}"/>
    <cellStyle name="Обычный 5 3 36" xfId="1854" xr:uid="{00000000-0005-0000-0000-0000CD4C0000}"/>
    <cellStyle name="Обычный 5 3 36 10" xfId="49917" xr:uid="{00000000-0005-0000-0000-0000CE4C0000}"/>
    <cellStyle name="Обычный 5 3 36 2" xfId="7196" xr:uid="{00000000-0005-0000-0000-0000CF4C0000}"/>
    <cellStyle name="Обычный 5 3 36 2 2" xfId="55258" xr:uid="{00000000-0005-0000-0000-0000D04C0000}"/>
    <cellStyle name="Обычный 5 3 36 3" xfId="12537" xr:uid="{00000000-0005-0000-0000-0000D14C0000}"/>
    <cellStyle name="Обычный 5 3 36 4" xfId="17877" xr:uid="{00000000-0005-0000-0000-0000D24C0000}"/>
    <cellStyle name="Обычный 5 3 36 5" xfId="23217" xr:uid="{00000000-0005-0000-0000-0000D34C0000}"/>
    <cellStyle name="Обычный 5 3 36 6" xfId="28557" xr:uid="{00000000-0005-0000-0000-0000D44C0000}"/>
    <cellStyle name="Обычный 5 3 36 7" xfId="33897" xr:uid="{00000000-0005-0000-0000-0000D54C0000}"/>
    <cellStyle name="Обычный 5 3 36 8" xfId="39237" xr:uid="{00000000-0005-0000-0000-0000D64C0000}"/>
    <cellStyle name="Обычный 5 3 36 9" xfId="44577" xr:uid="{00000000-0005-0000-0000-0000D74C0000}"/>
    <cellStyle name="Обычный 5 3 37" xfId="1880" xr:uid="{00000000-0005-0000-0000-0000D84C0000}"/>
    <cellStyle name="Обычный 5 3 37 10" xfId="49943" xr:uid="{00000000-0005-0000-0000-0000D94C0000}"/>
    <cellStyle name="Обычный 5 3 37 2" xfId="7222" xr:uid="{00000000-0005-0000-0000-0000DA4C0000}"/>
    <cellStyle name="Обычный 5 3 37 2 2" xfId="55284" xr:uid="{00000000-0005-0000-0000-0000DB4C0000}"/>
    <cellStyle name="Обычный 5 3 37 3" xfId="12563" xr:uid="{00000000-0005-0000-0000-0000DC4C0000}"/>
    <cellStyle name="Обычный 5 3 37 4" xfId="17903" xr:uid="{00000000-0005-0000-0000-0000DD4C0000}"/>
    <cellStyle name="Обычный 5 3 37 5" xfId="23243" xr:uid="{00000000-0005-0000-0000-0000DE4C0000}"/>
    <cellStyle name="Обычный 5 3 37 6" xfId="28583" xr:uid="{00000000-0005-0000-0000-0000DF4C0000}"/>
    <cellStyle name="Обычный 5 3 37 7" xfId="33923" xr:uid="{00000000-0005-0000-0000-0000E04C0000}"/>
    <cellStyle name="Обычный 5 3 37 8" xfId="39263" xr:uid="{00000000-0005-0000-0000-0000E14C0000}"/>
    <cellStyle name="Обычный 5 3 37 9" xfId="44603" xr:uid="{00000000-0005-0000-0000-0000E24C0000}"/>
    <cellStyle name="Обычный 5 3 38" xfId="1906" xr:uid="{00000000-0005-0000-0000-0000E34C0000}"/>
    <cellStyle name="Обычный 5 3 38 10" xfId="49969" xr:uid="{00000000-0005-0000-0000-0000E44C0000}"/>
    <cellStyle name="Обычный 5 3 38 2" xfId="7248" xr:uid="{00000000-0005-0000-0000-0000E54C0000}"/>
    <cellStyle name="Обычный 5 3 38 2 2" xfId="55310" xr:uid="{00000000-0005-0000-0000-0000E64C0000}"/>
    <cellStyle name="Обычный 5 3 38 3" xfId="12589" xr:uid="{00000000-0005-0000-0000-0000E74C0000}"/>
    <cellStyle name="Обычный 5 3 38 4" xfId="17929" xr:uid="{00000000-0005-0000-0000-0000E84C0000}"/>
    <cellStyle name="Обычный 5 3 38 5" xfId="23269" xr:uid="{00000000-0005-0000-0000-0000E94C0000}"/>
    <cellStyle name="Обычный 5 3 38 6" xfId="28609" xr:uid="{00000000-0005-0000-0000-0000EA4C0000}"/>
    <cellStyle name="Обычный 5 3 38 7" xfId="33949" xr:uid="{00000000-0005-0000-0000-0000EB4C0000}"/>
    <cellStyle name="Обычный 5 3 38 8" xfId="39289" xr:uid="{00000000-0005-0000-0000-0000EC4C0000}"/>
    <cellStyle name="Обычный 5 3 38 9" xfId="44629" xr:uid="{00000000-0005-0000-0000-0000ED4C0000}"/>
    <cellStyle name="Обычный 5 3 39" xfId="1932" xr:uid="{00000000-0005-0000-0000-0000EE4C0000}"/>
    <cellStyle name="Обычный 5 3 39 10" xfId="49995" xr:uid="{00000000-0005-0000-0000-0000EF4C0000}"/>
    <cellStyle name="Обычный 5 3 39 2" xfId="7274" xr:uid="{00000000-0005-0000-0000-0000F04C0000}"/>
    <cellStyle name="Обычный 5 3 39 2 2" xfId="55336" xr:uid="{00000000-0005-0000-0000-0000F14C0000}"/>
    <cellStyle name="Обычный 5 3 39 3" xfId="12615" xr:uid="{00000000-0005-0000-0000-0000F24C0000}"/>
    <cellStyle name="Обычный 5 3 39 4" xfId="17955" xr:uid="{00000000-0005-0000-0000-0000F34C0000}"/>
    <cellStyle name="Обычный 5 3 39 5" xfId="23295" xr:uid="{00000000-0005-0000-0000-0000F44C0000}"/>
    <cellStyle name="Обычный 5 3 39 6" xfId="28635" xr:uid="{00000000-0005-0000-0000-0000F54C0000}"/>
    <cellStyle name="Обычный 5 3 39 7" xfId="33975" xr:uid="{00000000-0005-0000-0000-0000F64C0000}"/>
    <cellStyle name="Обычный 5 3 39 8" xfId="39315" xr:uid="{00000000-0005-0000-0000-0000F74C0000}"/>
    <cellStyle name="Обычный 5 3 39 9" xfId="44655" xr:uid="{00000000-0005-0000-0000-0000F84C0000}"/>
    <cellStyle name="Обычный 5 3 4" xfId="1025" xr:uid="{00000000-0005-0000-0000-0000F94C0000}"/>
    <cellStyle name="Обычный 5 3 4 10" xfId="49087" xr:uid="{00000000-0005-0000-0000-0000FA4C0000}"/>
    <cellStyle name="Обычный 5 3 4 2" xfId="6366" xr:uid="{00000000-0005-0000-0000-0000FB4C0000}"/>
    <cellStyle name="Обычный 5 3 4 2 2" xfId="54428" xr:uid="{00000000-0005-0000-0000-0000FC4C0000}"/>
    <cellStyle name="Обычный 5 3 4 3" xfId="11707" xr:uid="{00000000-0005-0000-0000-0000FD4C0000}"/>
    <cellStyle name="Обычный 5 3 4 4" xfId="17047" xr:uid="{00000000-0005-0000-0000-0000FE4C0000}"/>
    <cellStyle name="Обычный 5 3 4 5" xfId="22387" xr:uid="{00000000-0005-0000-0000-0000FF4C0000}"/>
    <cellStyle name="Обычный 5 3 4 6" xfId="27727" xr:uid="{00000000-0005-0000-0000-0000004D0000}"/>
    <cellStyle name="Обычный 5 3 4 7" xfId="33067" xr:uid="{00000000-0005-0000-0000-0000014D0000}"/>
    <cellStyle name="Обычный 5 3 4 8" xfId="38407" xr:uid="{00000000-0005-0000-0000-0000024D0000}"/>
    <cellStyle name="Обычный 5 3 4 9" xfId="43747" xr:uid="{00000000-0005-0000-0000-0000034D0000}"/>
    <cellStyle name="Обычный 5 3 40" xfId="1960" xr:uid="{00000000-0005-0000-0000-0000044D0000}"/>
    <cellStyle name="Обычный 5 3 40 10" xfId="50023" xr:uid="{00000000-0005-0000-0000-0000054D0000}"/>
    <cellStyle name="Обычный 5 3 40 2" xfId="7302" xr:uid="{00000000-0005-0000-0000-0000064D0000}"/>
    <cellStyle name="Обычный 5 3 40 2 2" xfId="55364" xr:uid="{00000000-0005-0000-0000-0000074D0000}"/>
    <cellStyle name="Обычный 5 3 40 3" xfId="12643" xr:uid="{00000000-0005-0000-0000-0000084D0000}"/>
    <cellStyle name="Обычный 5 3 40 4" xfId="17983" xr:uid="{00000000-0005-0000-0000-0000094D0000}"/>
    <cellStyle name="Обычный 5 3 40 5" xfId="23323" xr:uid="{00000000-0005-0000-0000-00000A4D0000}"/>
    <cellStyle name="Обычный 5 3 40 6" xfId="28663" xr:uid="{00000000-0005-0000-0000-00000B4D0000}"/>
    <cellStyle name="Обычный 5 3 40 7" xfId="34003" xr:uid="{00000000-0005-0000-0000-00000C4D0000}"/>
    <cellStyle name="Обычный 5 3 40 8" xfId="39343" xr:uid="{00000000-0005-0000-0000-00000D4D0000}"/>
    <cellStyle name="Обычный 5 3 40 9" xfId="44683" xr:uid="{00000000-0005-0000-0000-00000E4D0000}"/>
    <cellStyle name="Обычный 5 3 41" xfId="1987" xr:uid="{00000000-0005-0000-0000-00000F4D0000}"/>
    <cellStyle name="Обычный 5 3 41 10" xfId="50051" xr:uid="{00000000-0005-0000-0000-0000104D0000}"/>
    <cellStyle name="Обычный 5 3 41 2" xfId="7330" xr:uid="{00000000-0005-0000-0000-0000114D0000}"/>
    <cellStyle name="Обычный 5 3 41 2 2" xfId="55392" xr:uid="{00000000-0005-0000-0000-0000124D0000}"/>
    <cellStyle name="Обычный 5 3 41 3" xfId="12671" xr:uid="{00000000-0005-0000-0000-0000134D0000}"/>
    <cellStyle name="Обычный 5 3 41 4" xfId="18011" xr:uid="{00000000-0005-0000-0000-0000144D0000}"/>
    <cellStyle name="Обычный 5 3 41 5" xfId="23351" xr:uid="{00000000-0005-0000-0000-0000154D0000}"/>
    <cellStyle name="Обычный 5 3 41 6" xfId="28691" xr:uid="{00000000-0005-0000-0000-0000164D0000}"/>
    <cellStyle name="Обычный 5 3 41 7" xfId="34031" xr:uid="{00000000-0005-0000-0000-0000174D0000}"/>
    <cellStyle name="Обычный 5 3 41 8" xfId="39371" xr:uid="{00000000-0005-0000-0000-0000184D0000}"/>
    <cellStyle name="Обычный 5 3 41 9" xfId="44711" xr:uid="{00000000-0005-0000-0000-0000194D0000}"/>
    <cellStyle name="Обычный 5 3 42" xfId="2015" xr:uid="{00000000-0005-0000-0000-00001A4D0000}"/>
    <cellStyle name="Обычный 5 3 42 10" xfId="50079" xr:uid="{00000000-0005-0000-0000-00001B4D0000}"/>
    <cellStyle name="Обычный 5 3 42 2" xfId="7358" xr:uid="{00000000-0005-0000-0000-00001C4D0000}"/>
    <cellStyle name="Обычный 5 3 42 2 2" xfId="55420" xr:uid="{00000000-0005-0000-0000-00001D4D0000}"/>
    <cellStyle name="Обычный 5 3 42 3" xfId="12699" xr:uid="{00000000-0005-0000-0000-00001E4D0000}"/>
    <cellStyle name="Обычный 5 3 42 4" xfId="18039" xr:uid="{00000000-0005-0000-0000-00001F4D0000}"/>
    <cellStyle name="Обычный 5 3 42 5" xfId="23379" xr:uid="{00000000-0005-0000-0000-0000204D0000}"/>
    <cellStyle name="Обычный 5 3 42 6" xfId="28719" xr:uid="{00000000-0005-0000-0000-0000214D0000}"/>
    <cellStyle name="Обычный 5 3 42 7" xfId="34059" xr:uid="{00000000-0005-0000-0000-0000224D0000}"/>
    <cellStyle name="Обычный 5 3 42 8" xfId="39399" xr:uid="{00000000-0005-0000-0000-0000234D0000}"/>
    <cellStyle name="Обычный 5 3 42 9" xfId="44739" xr:uid="{00000000-0005-0000-0000-0000244D0000}"/>
    <cellStyle name="Обычный 5 3 43" xfId="2043" xr:uid="{00000000-0005-0000-0000-0000254D0000}"/>
    <cellStyle name="Обычный 5 3 43 10" xfId="50107" xr:uid="{00000000-0005-0000-0000-0000264D0000}"/>
    <cellStyle name="Обычный 5 3 43 2" xfId="7386" xr:uid="{00000000-0005-0000-0000-0000274D0000}"/>
    <cellStyle name="Обычный 5 3 43 2 2" xfId="55448" xr:uid="{00000000-0005-0000-0000-0000284D0000}"/>
    <cellStyle name="Обычный 5 3 43 3" xfId="12727" xr:uid="{00000000-0005-0000-0000-0000294D0000}"/>
    <cellStyle name="Обычный 5 3 43 4" xfId="18067" xr:uid="{00000000-0005-0000-0000-00002A4D0000}"/>
    <cellStyle name="Обычный 5 3 43 5" xfId="23407" xr:uid="{00000000-0005-0000-0000-00002B4D0000}"/>
    <cellStyle name="Обычный 5 3 43 6" xfId="28747" xr:uid="{00000000-0005-0000-0000-00002C4D0000}"/>
    <cellStyle name="Обычный 5 3 43 7" xfId="34087" xr:uid="{00000000-0005-0000-0000-00002D4D0000}"/>
    <cellStyle name="Обычный 5 3 43 8" xfId="39427" xr:uid="{00000000-0005-0000-0000-00002E4D0000}"/>
    <cellStyle name="Обычный 5 3 43 9" xfId="44767" xr:uid="{00000000-0005-0000-0000-00002F4D0000}"/>
    <cellStyle name="Обычный 5 3 44" xfId="2071" xr:uid="{00000000-0005-0000-0000-0000304D0000}"/>
    <cellStyle name="Обычный 5 3 44 10" xfId="50135" xr:uid="{00000000-0005-0000-0000-0000314D0000}"/>
    <cellStyle name="Обычный 5 3 44 2" xfId="7414" xr:uid="{00000000-0005-0000-0000-0000324D0000}"/>
    <cellStyle name="Обычный 5 3 44 2 2" xfId="55476" xr:uid="{00000000-0005-0000-0000-0000334D0000}"/>
    <cellStyle name="Обычный 5 3 44 3" xfId="12755" xr:uid="{00000000-0005-0000-0000-0000344D0000}"/>
    <cellStyle name="Обычный 5 3 44 4" xfId="18095" xr:uid="{00000000-0005-0000-0000-0000354D0000}"/>
    <cellStyle name="Обычный 5 3 44 5" xfId="23435" xr:uid="{00000000-0005-0000-0000-0000364D0000}"/>
    <cellStyle name="Обычный 5 3 44 6" xfId="28775" xr:uid="{00000000-0005-0000-0000-0000374D0000}"/>
    <cellStyle name="Обычный 5 3 44 7" xfId="34115" xr:uid="{00000000-0005-0000-0000-0000384D0000}"/>
    <cellStyle name="Обычный 5 3 44 8" xfId="39455" xr:uid="{00000000-0005-0000-0000-0000394D0000}"/>
    <cellStyle name="Обычный 5 3 44 9" xfId="44795" xr:uid="{00000000-0005-0000-0000-00003A4D0000}"/>
    <cellStyle name="Обычный 5 3 45" xfId="2099" xr:uid="{00000000-0005-0000-0000-00003B4D0000}"/>
    <cellStyle name="Обычный 5 3 45 10" xfId="50163" xr:uid="{00000000-0005-0000-0000-00003C4D0000}"/>
    <cellStyle name="Обычный 5 3 45 2" xfId="7442" xr:uid="{00000000-0005-0000-0000-00003D4D0000}"/>
    <cellStyle name="Обычный 5 3 45 2 2" xfId="55504" xr:uid="{00000000-0005-0000-0000-00003E4D0000}"/>
    <cellStyle name="Обычный 5 3 45 3" xfId="12783" xr:uid="{00000000-0005-0000-0000-00003F4D0000}"/>
    <cellStyle name="Обычный 5 3 45 4" xfId="18123" xr:uid="{00000000-0005-0000-0000-0000404D0000}"/>
    <cellStyle name="Обычный 5 3 45 5" xfId="23463" xr:uid="{00000000-0005-0000-0000-0000414D0000}"/>
    <cellStyle name="Обычный 5 3 45 6" xfId="28803" xr:uid="{00000000-0005-0000-0000-0000424D0000}"/>
    <cellStyle name="Обычный 5 3 45 7" xfId="34143" xr:uid="{00000000-0005-0000-0000-0000434D0000}"/>
    <cellStyle name="Обычный 5 3 45 8" xfId="39483" xr:uid="{00000000-0005-0000-0000-0000444D0000}"/>
    <cellStyle name="Обычный 5 3 45 9" xfId="44823" xr:uid="{00000000-0005-0000-0000-0000454D0000}"/>
    <cellStyle name="Обычный 5 3 46" xfId="2127" xr:uid="{00000000-0005-0000-0000-0000464D0000}"/>
    <cellStyle name="Обычный 5 3 46 10" xfId="50191" xr:uid="{00000000-0005-0000-0000-0000474D0000}"/>
    <cellStyle name="Обычный 5 3 46 2" xfId="7470" xr:uid="{00000000-0005-0000-0000-0000484D0000}"/>
    <cellStyle name="Обычный 5 3 46 2 2" xfId="55532" xr:uid="{00000000-0005-0000-0000-0000494D0000}"/>
    <cellStyle name="Обычный 5 3 46 3" xfId="12811" xr:uid="{00000000-0005-0000-0000-00004A4D0000}"/>
    <cellStyle name="Обычный 5 3 46 4" xfId="18151" xr:uid="{00000000-0005-0000-0000-00004B4D0000}"/>
    <cellStyle name="Обычный 5 3 46 5" xfId="23491" xr:uid="{00000000-0005-0000-0000-00004C4D0000}"/>
    <cellStyle name="Обычный 5 3 46 6" xfId="28831" xr:uid="{00000000-0005-0000-0000-00004D4D0000}"/>
    <cellStyle name="Обычный 5 3 46 7" xfId="34171" xr:uid="{00000000-0005-0000-0000-00004E4D0000}"/>
    <cellStyle name="Обычный 5 3 46 8" xfId="39511" xr:uid="{00000000-0005-0000-0000-00004F4D0000}"/>
    <cellStyle name="Обычный 5 3 46 9" xfId="44851" xr:uid="{00000000-0005-0000-0000-0000504D0000}"/>
    <cellStyle name="Обычный 5 3 47" xfId="2157" xr:uid="{00000000-0005-0000-0000-0000514D0000}"/>
    <cellStyle name="Обычный 5 3 47 10" xfId="50221" xr:uid="{00000000-0005-0000-0000-0000524D0000}"/>
    <cellStyle name="Обычный 5 3 47 2" xfId="7500" xr:uid="{00000000-0005-0000-0000-0000534D0000}"/>
    <cellStyle name="Обычный 5 3 47 2 2" xfId="55562" xr:uid="{00000000-0005-0000-0000-0000544D0000}"/>
    <cellStyle name="Обычный 5 3 47 3" xfId="12841" xr:uid="{00000000-0005-0000-0000-0000554D0000}"/>
    <cellStyle name="Обычный 5 3 47 4" xfId="18181" xr:uid="{00000000-0005-0000-0000-0000564D0000}"/>
    <cellStyle name="Обычный 5 3 47 5" xfId="23521" xr:uid="{00000000-0005-0000-0000-0000574D0000}"/>
    <cellStyle name="Обычный 5 3 47 6" xfId="28861" xr:uid="{00000000-0005-0000-0000-0000584D0000}"/>
    <cellStyle name="Обычный 5 3 47 7" xfId="34201" xr:uid="{00000000-0005-0000-0000-0000594D0000}"/>
    <cellStyle name="Обычный 5 3 47 8" xfId="39541" xr:uid="{00000000-0005-0000-0000-00005A4D0000}"/>
    <cellStyle name="Обычный 5 3 47 9" xfId="44881" xr:uid="{00000000-0005-0000-0000-00005B4D0000}"/>
    <cellStyle name="Обычный 5 3 48" xfId="2187" xr:uid="{00000000-0005-0000-0000-00005C4D0000}"/>
    <cellStyle name="Обычный 5 3 48 10" xfId="50251" xr:uid="{00000000-0005-0000-0000-00005D4D0000}"/>
    <cellStyle name="Обычный 5 3 48 2" xfId="7530" xr:uid="{00000000-0005-0000-0000-00005E4D0000}"/>
    <cellStyle name="Обычный 5 3 48 2 2" xfId="55592" xr:uid="{00000000-0005-0000-0000-00005F4D0000}"/>
    <cellStyle name="Обычный 5 3 48 3" xfId="12871" xr:uid="{00000000-0005-0000-0000-0000604D0000}"/>
    <cellStyle name="Обычный 5 3 48 4" xfId="18211" xr:uid="{00000000-0005-0000-0000-0000614D0000}"/>
    <cellStyle name="Обычный 5 3 48 5" xfId="23551" xr:uid="{00000000-0005-0000-0000-0000624D0000}"/>
    <cellStyle name="Обычный 5 3 48 6" xfId="28891" xr:uid="{00000000-0005-0000-0000-0000634D0000}"/>
    <cellStyle name="Обычный 5 3 48 7" xfId="34231" xr:uid="{00000000-0005-0000-0000-0000644D0000}"/>
    <cellStyle name="Обычный 5 3 48 8" xfId="39571" xr:uid="{00000000-0005-0000-0000-0000654D0000}"/>
    <cellStyle name="Обычный 5 3 48 9" xfId="44911" xr:uid="{00000000-0005-0000-0000-0000664D0000}"/>
    <cellStyle name="Обычный 5 3 49" xfId="2217" xr:uid="{00000000-0005-0000-0000-0000674D0000}"/>
    <cellStyle name="Обычный 5 3 49 10" xfId="50281" xr:uid="{00000000-0005-0000-0000-0000684D0000}"/>
    <cellStyle name="Обычный 5 3 49 2" xfId="7560" xr:uid="{00000000-0005-0000-0000-0000694D0000}"/>
    <cellStyle name="Обычный 5 3 49 2 2" xfId="55622" xr:uid="{00000000-0005-0000-0000-00006A4D0000}"/>
    <cellStyle name="Обычный 5 3 49 3" xfId="12901" xr:uid="{00000000-0005-0000-0000-00006B4D0000}"/>
    <cellStyle name="Обычный 5 3 49 4" xfId="18241" xr:uid="{00000000-0005-0000-0000-00006C4D0000}"/>
    <cellStyle name="Обычный 5 3 49 5" xfId="23581" xr:uid="{00000000-0005-0000-0000-00006D4D0000}"/>
    <cellStyle name="Обычный 5 3 49 6" xfId="28921" xr:uid="{00000000-0005-0000-0000-00006E4D0000}"/>
    <cellStyle name="Обычный 5 3 49 7" xfId="34261" xr:uid="{00000000-0005-0000-0000-00006F4D0000}"/>
    <cellStyle name="Обычный 5 3 49 8" xfId="39601" xr:uid="{00000000-0005-0000-0000-0000704D0000}"/>
    <cellStyle name="Обычный 5 3 49 9" xfId="44941" xr:uid="{00000000-0005-0000-0000-0000714D0000}"/>
    <cellStyle name="Обычный 5 3 5" xfId="1049" xr:uid="{00000000-0005-0000-0000-0000724D0000}"/>
    <cellStyle name="Обычный 5 3 5 10" xfId="49111" xr:uid="{00000000-0005-0000-0000-0000734D0000}"/>
    <cellStyle name="Обычный 5 3 5 2" xfId="6390" xr:uid="{00000000-0005-0000-0000-0000744D0000}"/>
    <cellStyle name="Обычный 5 3 5 2 2" xfId="54452" xr:uid="{00000000-0005-0000-0000-0000754D0000}"/>
    <cellStyle name="Обычный 5 3 5 3" xfId="11731" xr:uid="{00000000-0005-0000-0000-0000764D0000}"/>
    <cellStyle name="Обычный 5 3 5 4" xfId="17071" xr:uid="{00000000-0005-0000-0000-0000774D0000}"/>
    <cellStyle name="Обычный 5 3 5 5" xfId="22411" xr:uid="{00000000-0005-0000-0000-0000784D0000}"/>
    <cellStyle name="Обычный 5 3 5 6" xfId="27751" xr:uid="{00000000-0005-0000-0000-0000794D0000}"/>
    <cellStyle name="Обычный 5 3 5 7" xfId="33091" xr:uid="{00000000-0005-0000-0000-00007A4D0000}"/>
    <cellStyle name="Обычный 5 3 5 8" xfId="38431" xr:uid="{00000000-0005-0000-0000-00007B4D0000}"/>
    <cellStyle name="Обычный 5 3 5 9" xfId="43771" xr:uid="{00000000-0005-0000-0000-00007C4D0000}"/>
    <cellStyle name="Обычный 5 3 50" xfId="2247" xr:uid="{00000000-0005-0000-0000-00007D4D0000}"/>
    <cellStyle name="Обычный 5 3 50 10" xfId="50311" xr:uid="{00000000-0005-0000-0000-00007E4D0000}"/>
    <cellStyle name="Обычный 5 3 50 2" xfId="7590" xr:uid="{00000000-0005-0000-0000-00007F4D0000}"/>
    <cellStyle name="Обычный 5 3 50 2 2" xfId="55652" xr:uid="{00000000-0005-0000-0000-0000804D0000}"/>
    <cellStyle name="Обычный 5 3 50 3" xfId="12931" xr:uid="{00000000-0005-0000-0000-0000814D0000}"/>
    <cellStyle name="Обычный 5 3 50 4" xfId="18271" xr:uid="{00000000-0005-0000-0000-0000824D0000}"/>
    <cellStyle name="Обычный 5 3 50 5" xfId="23611" xr:uid="{00000000-0005-0000-0000-0000834D0000}"/>
    <cellStyle name="Обычный 5 3 50 6" xfId="28951" xr:uid="{00000000-0005-0000-0000-0000844D0000}"/>
    <cellStyle name="Обычный 5 3 50 7" xfId="34291" xr:uid="{00000000-0005-0000-0000-0000854D0000}"/>
    <cellStyle name="Обычный 5 3 50 8" xfId="39631" xr:uid="{00000000-0005-0000-0000-0000864D0000}"/>
    <cellStyle name="Обычный 5 3 50 9" xfId="44971" xr:uid="{00000000-0005-0000-0000-0000874D0000}"/>
    <cellStyle name="Обычный 5 3 51" xfId="2277" xr:uid="{00000000-0005-0000-0000-0000884D0000}"/>
    <cellStyle name="Обычный 5 3 51 10" xfId="50341" xr:uid="{00000000-0005-0000-0000-0000894D0000}"/>
    <cellStyle name="Обычный 5 3 51 2" xfId="7620" xr:uid="{00000000-0005-0000-0000-00008A4D0000}"/>
    <cellStyle name="Обычный 5 3 51 2 2" xfId="55682" xr:uid="{00000000-0005-0000-0000-00008B4D0000}"/>
    <cellStyle name="Обычный 5 3 51 3" xfId="12961" xr:uid="{00000000-0005-0000-0000-00008C4D0000}"/>
    <cellStyle name="Обычный 5 3 51 4" xfId="18301" xr:uid="{00000000-0005-0000-0000-00008D4D0000}"/>
    <cellStyle name="Обычный 5 3 51 5" xfId="23641" xr:uid="{00000000-0005-0000-0000-00008E4D0000}"/>
    <cellStyle name="Обычный 5 3 51 6" xfId="28981" xr:uid="{00000000-0005-0000-0000-00008F4D0000}"/>
    <cellStyle name="Обычный 5 3 51 7" xfId="34321" xr:uid="{00000000-0005-0000-0000-0000904D0000}"/>
    <cellStyle name="Обычный 5 3 51 8" xfId="39661" xr:uid="{00000000-0005-0000-0000-0000914D0000}"/>
    <cellStyle name="Обычный 5 3 51 9" xfId="45001" xr:uid="{00000000-0005-0000-0000-0000924D0000}"/>
    <cellStyle name="Обычный 5 3 52" xfId="2307" xr:uid="{00000000-0005-0000-0000-0000934D0000}"/>
    <cellStyle name="Обычный 5 3 52 10" xfId="50371" xr:uid="{00000000-0005-0000-0000-0000944D0000}"/>
    <cellStyle name="Обычный 5 3 52 2" xfId="7650" xr:uid="{00000000-0005-0000-0000-0000954D0000}"/>
    <cellStyle name="Обычный 5 3 52 2 2" xfId="55712" xr:uid="{00000000-0005-0000-0000-0000964D0000}"/>
    <cellStyle name="Обычный 5 3 52 3" xfId="12991" xr:uid="{00000000-0005-0000-0000-0000974D0000}"/>
    <cellStyle name="Обычный 5 3 52 4" xfId="18331" xr:uid="{00000000-0005-0000-0000-0000984D0000}"/>
    <cellStyle name="Обычный 5 3 52 5" xfId="23671" xr:uid="{00000000-0005-0000-0000-0000994D0000}"/>
    <cellStyle name="Обычный 5 3 52 6" xfId="29011" xr:uid="{00000000-0005-0000-0000-00009A4D0000}"/>
    <cellStyle name="Обычный 5 3 52 7" xfId="34351" xr:uid="{00000000-0005-0000-0000-00009B4D0000}"/>
    <cellStyle name="Обычный 5 3 52 8" xfId="39691" xr:uid="{00000000-0005-0000-0000-00009C4D0000}"/>
    <cellStyle name="Обычный 5 3 52 9" xfId="45031" xr:uid="{00000000-0005-0000-0000-00009D4D0000}"/>
    <cellStyle name="Обычный 5 3 53" xfId="2337" xr:uid="{00000000-0005-0000-0000-00009E4D0000}"/>
    <cellStyle name="Обычный 5 3 53 10" xfId="50401" xr:uid="{00000000-0005-0000-0000-00009F4D0000}"/>
    <cellStyle name="Обычный 5 3 53 2" xfId="7680" xr:uid="{00000000-0005-0000-0000-0000A04D0000}"/>
    <cellStyle name="Обычный 5 3 53 2 2" xfId="55742" xr:uid="{00000000-0005-0000-0000-0000A14D0000}"/>
    <cellStyle name="Обычный 5 3 53 3" xfId="13021" xr:uid="{00000000-0005-0000-0000-0000A24D0000}"/>
    <cellStyle name="Обычный 5 3 53 4" xfId="18361" xr:uid="{00000000-0005-0000-0000-0000A34D0000}"/>
    <cellStyle name="Обычный 5 3 53 5" xfId="23701" xr:uid="{00000000-0005-0000-0000-0000A44D0000}"/>
    <cellStyle name="Обычный 5 3 53 6" xfId="29041" xr:uid="{00000000-0005-0000-0000-0000A54D0000}"/>
    <cellStyle name="Обычный 5 3 53 7" xfId="34381" xr:uid="{00000000-0005-0000-0000-0000A64D0000}"/>
    <cellStyle name="Обычный 5 3 53 8" xfId="39721" xr:uid="{00000000-0005-0000-0000-0000A74D0000}"/>
    <cellStyle name="Обычный 5 3 53 9" xfId="45061" xr:uid="{00000000-0005-0000-0000-0000A84D0000}"/>
    <cellStyle name="Обычный 5 3 54" xfId="2367" xr:uid="{00000000-0005-0000-0000-0000A94D0000}"/>
    <cellStyle name="Обычный 5 3 54 10" xfId="50431" xr:uid="{00000000-0005-0000-0000-0000AA4D0000}"/>
    <cellStyle name="Обычный 5 3 54 2" xfId="7710" xr:uid="{00000000-0005-0000-0000-0000AB4D0000}"/>
    <cellStyle name="Обычный 5 3 54 2 2" xfId="55772" xr:uid="{00000000-0005-0000-0000-0000AC4D0000}"/>
    <cellStyle name="Обычный 5 3 54 3" xfId="13051" xr:uid="{00000000-0005-0000-0000-0000AD4D0000}"/>
    <cellStyle name="Обычный 5 3 54 4" xfId="18391" xr:uid="{00000000-0005-0000-0000-0000AE4D0000}"/>
    <cellStyle name="Обычный 5 3 54 5" xfId="23731" xr:uid="{00000000-0005-0000-0000-0000AF4D0000}"/>
    <cellStyle name="Обычный 5 3 54 6" xfId="29071" xr:uid="{00000000-0005-0000-0000-0000B04D0000}"/>
    <cellStyle name="Обычный 5 3 54 7" xfId="34411" xr:uid="{00000000-0005-0000-0000-0000B14D0000}"/>
    <cellStyle name="Обычный 5 3 54 8" xfId="39751" xr:uid="{00000000-0005-0000-0000-0000B24D0000}"/>
    <cellStyle name="Обычный 5 3 54 9" xfId="45091" xr:uid="{00000000-0005-0000-0000-0000B34D0000}"/>
    <cellStyle name="Обычный 5 3 55" xfId="2397" xr:uid="{00000000-0005-0000-0000-0000B44D0000}"/>
    <cellStyle name="Обычный 5 3 55 10" xfId="50461" xr:uid="{00000000-0005-0000-0000-0000B54D0000}"/>
    <cellStyle name="Обычный 5 3 55 2" xfId="7740" xr:uid="{00000000-0005-0000-0000-0000B64D0000}"/>
    <cellStyle name="Обычный 5 3 55 2 2" xfId="55802" xr:uid="{00000000-0005-0000-0000-0000B74D0000}"/>
    <cellStyle name="Обычный 5 3 55 3" xfId="13081" xr:uid="{00000000-0005-0000-0000-0000B84D0000}"/>
    <cellStyle name="Обычный 5 3 55 4" xfId="18421" xr:uid="{00000000-0005-0000-0000-0000B94D0000}"/>
    <cellStyle name="Обычный 5 3 55 5" xfId="23761" xr:uid="{00000000-0005-0000-0000-0000BA4D0000}"/>
    <cellStyle name="Обычный 5 3 55 6" xfId="29101" xr:uid="{00000000-0005-0000-0000-0000BB4D0000}"/>
    <cellStyle name="Обычный 5 3 55 7" xfId="34441" xr:uid="{00000000-0005-0000-0000-0000BC4D0000}"/>
    <cellStyle name="Обычный 5 3 55 8" xfId="39781" xr:uid="{00000000-0005-0000-0000-0000BD4D0000}"/>
    <cellStyle name="Обычный 5 3 55 9" xfId="45121" xr:uid="{00000000-0005-0000-0000-0000BE4D0000}"/>
    <cellStyle name="Обычный 5 3 56" xfId="2427" xr:uid="{00000000-0005-0000-0000-0000BF4D0000}"/>
    <cellStyle name="Обычный 5 3 56 10" xfId="50491" xr:uid="{00000000-0005-0000-0000-0000C04D0000}"/>
    <cellStyle name="Обычный 5 3 56 2" xfId="7770" xr:uid="{00000000-0005-0000-0000-0000C14D0000}"/>
    <cellStyle name="Обычный 5 3 56 2 2" xfId="55832" xr:uid="{00000000-0005-0000-0000-0000C24D0000}"/>
    <cellStyle name="Обычный 5 3 56 3" xfId="13111" xr:uid="{00000000-0005-0000-0000-0000C34D0000}"/>
    <cellStyle name="Обычный 5 3 56 4" xfId="18451" xr:uid="{00000000-0005-0000-0000-0000C44D0000}"/>
    <cellStyle name="Обычный 5 3 56 5" xfId="23791" xr:uid="{00000000-0005-0000-0000-0000C54D0000}"/>
    <cellStyle name="Обычный 5 3 56 6" xfId="29131" xr:uid="{00000000-0005-0000-0000-0000C64D0000}"/>
    <cellStyle name="Обычный 5 3 56 7" xfId="34471" xr:uid="{00000000-0005-0000-0000-0000C74D0000}"/>
    <cellStyle name="Обычный 5 3 56 8" xfId="39811" xr:uid="{00000000-0005-0000-0000-0000C84D0000}"/>
    <cellStyle name="Обычный 5 3 56 9" xfId="45151" xr:uid="{00000000-0005-0000-0000-0000C94D0000}"/>
    <cellStyle name="Обычный 5 3 57" xfId="2457" xr:uid="{00000000-0005-0000-0000-0000CA4D0000}"/>
    <cellStyle name="Обычный 5 3 57 10" xfId="50521" xr:uid="{00000000-0005-0000-0000-0000CB4D0000}"/>
    <cellStyle name="Обычный 5 3 57 2" xfId="7800" xr:uid="{00000000-0005-0000-0000-0000CC4D0000}"/>
    <cellStyle name="Обычный 5 3 57 2 2" xfId="55862" xr:uid="{00000000-0005-0000-0000-0000CD4D0000}"/>
    <cellStyle name="Обычный 5 3 57 3" xfId="13141" xr:uid="{00000000-0005-0000-0000-0000CE4D0000}"/>
    <cellStyle name="Обычный 5 3 57 4" xfId="18481" xr:uid="{00000000-0005-0000-0000-0000CF4D0000}"/>
    <cellStyle name="Обычный 5 3 57 5" xfId="23821" xr:uid="{00000000-0005-0000-0000-0000D04D0000}"/>
    <cellStyle name="Обычный 5 3 57 6" xfId="29161" xr:uid="{00000000-0005-0000-0000-0000D14D0000}"/>
    <cellStyle name="Обычный 5 3 57 7" xfId="34501" xr:uid="{00000000-0005-0000-0000-0000D24D0000}"/>
    <cellStyle name="Обычный 5 3 57 8" xfId="39841" xr:uid="{00000000-0005-0000-0000-0000D34D0000}"/>
    <cellStyle name="Обычный 5 3 57 9" xfId="45181" xr:uid="{00000000-0005-0000-0000-0000D44D0000}"/>
    <cellStyle name="Обычный 5 3 58" xfId="2487" xr:uid="{00000000-0005-0000-0000-0000D54D0000}"/>
    <cellStyle name="Обычный 5 3 58 10" xfId="50551" xr:uid="{00000000-0005-0000-0000-0000D64D0000}"/>
    <cellStyle name="Обычный 5 3 58 2" xfId="7830" xr:uid="{00000000-0005-0000-0000-0000D74D0000}"/>
    <cellStyle name="Обычный 5 3 58 2 2" xfId="55892" xr:uid="{00000000-0005-0000-0000-0000D84D0000}"/>
    <cellStyle name="Обычный 5 3 58 3" xfId="13171" xr:uid="{00000000-0005-0000-0000-0000D94D0000}"/>
    <cellStyle name="Обычный 5 3 58 4" xfId="18511" xr:uid="{00000000-0005-0000-0000-0000DA4D0000}"/>
    <cellStyle name="Обычный 5 3 58 5" xfId="23851" xr:uid="{00000000-0005-0000-0000-0000DB4D0000}"/>
    <cellStyle name="Обычный 5 3 58 6" xfId="29191" xr:uid="{00000000-0005-0000-0000-0000DC4D0000}"/>
    <cellStyle name="Обычный 5 3 58 7" xfId="34531" xr:uid="{00000000-0005-0000-0000-0000DD4D0000}"/>
    <cellStyle name="Обычный 5 3 58 8" xfId="39871" xr:uid="{00000000-0005-0000-0000-0000DE4D0000}"/>
    <cellStyle name="Обычный 5 3 58 9" xfId="45211" xr:uid="{00000000-0005-0000-0000-0000DF4D0000}"/>
    <cellStyle name="Обычный 5 3 59" xfId="2519" xr:uid="{00000000-0005-0000-0000-0000E04D0000}"/>
    <cellStyle name="Обычный 5 3 59 10" xfId="50583" xr:uid="{00000000-0005-0000-0000-0000E14D0000}"/>
    <cellStyle name="Обычный 5 3 59 2" xfId="7862" xr:uid="{00000000-0005-0000-0000-0000E24D0000}"/>
    <cellStyle name="Обычный 5 3 59 2 2" xfId="55924" xr:uid="{00000000-0005-0000-0000-0000E34D0000}"/>
    <cellStyle name="Обычный 5 3 59 3" xfId="13203" xr:uid="{00000000-0005-0000-0000-0000E44D0000}"/>
    <cellStyle name="Обычный 5 3 59 4" xfId="18543" xr:uid="{00000000-0005-0000-0000-0000E54D0000}"/>
    <cellStyle name="Обычный 5 3 59 5" xfId="23883" xr:uid="{00000000-0005-0000-0000-0000E64D0000}"/>
    <cellStyle name="Обычный 5 3 59 6" xfId="29223" xr:uid="{00000000-0005-0000-0000-0000E74D0000}"/>
    <cellStyle name="Обычный 5 3 59 7" xfId="34563" xr:uid="{00000000-0005-0000-0000-0000E84D0000}"/>
    <cellStyle name="Обычный 5 3 59 8" xfId="39903" xr:uid="{00000000-0005-0000-0000-0000E94D0000}"/>
    <cellStyle name="Обычный 5 3 59 9" xfId="45243" xr:uid="{00000000-0005-0000-0000-0000EA4D0000}"/>
    <cellStyle name="Обычный 5 3 6" xfId="1074" xr:uid="{00000000-0005-0000-0000-0000EB4D0000}"/>
    <cellStyle name="Обычный 5 3 6 10" xfId="49137" xr:uid="{00000000-0005-0000-0000-0000EC4D0000}"/>
    <cellStyle name="Обычный 5 3 6 2" xfId="6416" xr:uid="{00000000-0005-0000-0000-0000ED4D0000}"/>
    <cellStyle name="Обычный 5 3 6 2 2" xfId="54478" xr:uid="{00000000-0005-0000-0000-0000EE4D0000}"/>
    <cellStyle name="Обычный 5 3 6 3" xfId="11757" xr:uid="{00000000-0005-0000-0000-0000EF4D0000}"/>
    <cellStyle name="Обычный 5 3 6 4" xfId="17097" xr:uid="{00000000-0005-0000-0000-0000F04D0000}"/>
    <cellStyle name="Обычный 5 3 6 5" xfId="22437" xr:uid="{00000000-0005-0000-0000-0000F14D0000}"/>
    <cellStyle name="Обычный 5 3 6 6" xfId="27777" xr:uid="{00000000-0005-0000-0000-0000F24D0000}"/>
    <cellStyle name="Обычный 5 3 6 7" xfId="33117" xr:uid="{00000000-0005-0000-0000-0000F34D0000}"/>
    <cellStyle name="Обычный 5 3 6 8" xfId="38457" xr:uid="{00000000-0005-0000-0000-0000F44D0000}"/>
    <cellStyle name="Обычный 5 3 6 9" xfId="43797" xr:uid="{00000000-0005-0000-0000-0000F54D0000}"/>
    <cellStyle name="Обычный 5 3 60" xfId="2553" xr:uid="{00000000-0005-0000-0000-0000F64D0000}"/>
    <cellStyle name="Обычный 5 3 60 10" xfId="50617" xr:uid="{00000000-0005-0000-0000-0000F74D0000}"/>
    <cellStyle name="Обычный 5 3 60 2" xfId="7896" xr:uid="{00000000-0005-0000-0000-0000F84D0000}"/>
    <cellStyle name="Обычный 5 3 60 2 2" xfId="55958" xr:uid="{00000000-0005-0000-0000-0000F94D0000}"/>
    <cellStyle name="Обычный 5 3 60 3" xfId="13237" xr:uid="{00000000-0005-0000-0000-0000FA4D0000}"/>
    <cellStyle name="Обычный 5 3 60 4" xfId="18577" xr:uid="{00000000-0005-0000-0000-0000FB4D0000}"/>
    <cellStyle name="Обычный 5 3 60 5" xfId="23917" xr:uid="{00000000-0005-0000-0000-0000FC4D0000}"/>
    <cellStyle name="Обычный 5 3 60 6" xfId="29257" xr:uid="{00000000-0005-0000-0000-0000FD4D0000}"/>
    <cellStyle name="Обычный 5 3 60 7" xfId="34597" xr:uid="{00000000-0005-0000-0000-0000FE4D0000}"/>
    <cellStyle name="Обычный 5 3 60 8" xfId="39937" xr:uid="{00000000-0005-0000-0000-0000FF4D0000}"/>
    <cellStyle name="Обычный 5 3 60 9" xfId="45277" xr:uid="{00000000-0005-0000-0000-0000004E0000}"/>
    <cellStyle name="Обычный 5 3 61" xfId="2585" xr:uid="{00000000-0005-0000-0000-0000014E0000}"/>
    <cellStyle name="Обычный 5 3 61 10" xfId="50649" xr:uid="{00000000-0005-0000-0000-0000024E0000}"/>
    <cellStyle name="Обычный 5 3 61 2" xfId="7928" xr:uid="{00000000-0005-0000-0000-0000034E0000}"/>
    <cellStyle name="Обычный 5 3 61 2 2" xfId="55990" xr:uid="{00000000-0005-0000-0000-0000044E0000}"/>
    <cellStyle name="Обычный 5 3 61 3" xfId="13269" xr:uid="{00000000-0005-0000-0000-0000054E0000}"/>
    <cellStyle name="Обычный 5 3 61 4" xfId="18609" xr:uid="{00000000-0005-0000-0000-0000064E0000}"/>
    <cellStyle name="Обычный 5 3 61 5" xfId="23949" xr:uid="{00000000-0005-0000-0000-0000074E0000}"/>
    <cellStyle name="Обычный 5 3 61 6" xfId="29289" xr:uid="{00000000-0005-0000-0000-0000084E0000}"/>
    <cellStyle name="Обычный 5 3 61 7" xfId="34629" xr:uid="{00000000-0005-0000-0000-0000094E0000}"/>
    <cellStyle name="Обычный 5 3 61 8" xfId="39969" xr:uid="{00000000-0005-0000-0000-00000A4E0000}"/>
    <cellStyle name="Обычный 5 3 61 9" xfId="45309" xr:uid="{00000000-0005-0000-0000-00000B4E0000}"/>
    <cellStyle name="Обычный 5 3 62" xfId="2617" xr:uid="{00000000-0005-0000-0000-00000C4E0000}"/>
    <cellStyle name="Обычный 5 3 62 10" xfId="50681" xr:uid="{00000000-0005-0000-0000-00000D4E0000}"/>
    <cellStyle name="Обычный 5 3 62 2" xfId="7960" xr:uid="{00000000-0005-0000-0000-00000E4E0000}"/>
    <cellStyle name="Обычный 5 3 62 2 2" xfId="56022" xr:uid="{00000000-0005-0000-0000-00000F4E0000}"/>
    <cellStyle name="Обычный 5 3 62 3" xfId="13301" xr:uid="{00000000-0005-0000-0000-0000104E0000}"/>
    <cellStyle name="Обычный 5 3 62 4" xfId="18641" xr:uid="{00000000-0005-0000-0000-0000114E0000}"/>
    <cellStyle name="Обычный 5 3 62 5" xfId="23981" xr:uid="{00000000-0005-0000-0000-0000124E0000}"/>
    <cellStyle name="Обычный 5 3 62 6" xfId="29321" xr:uid="{00000000-0005-0000-0000-0000134E0000}"/>
    <cellStyle name="Обычный 5 3 62 7" xfId="34661" xr:uid="{00000000-0005-0000-0000-0000144E0000}"/>
    <cellStyle name="Обычный 5 3 62 8" xfId="40001" xr:uid="{00000000-0005-0000-0000-0000154E0000}"/>
    <cellStyle name="Обычный 5 3 62 9" xfId="45341" xr:uid="{00000000-0005-0000-0000-0000164E0000}"/>
    <cellStyle name="Обычный 5 3 63" xfId="2649" xr:uid="{00000000-0005-0000-0000-0000174E0000}"/>
    <cellStyle name="Обычный 5 3 63 10" xfId="50713" xr:uid="{00000000-0005-0000-0000-0000184E0000}"/>
    <cellStyle name="Обычный 5 3 63 2" xfId="7992" xr:uid="{00000000-0005-0000-0000-0000194E0000}"/>
    <cellStyle name="Обычный 5 3 63 2 2" xfId="56054" xr:uid="{00000000-0005-0000-0000-00001A4E0000}"/>
    <cellStyle name="Обычный 5 3 63 3" xfId="13333" xr:uid="{00000000-0005-0000-0000-00001B4E0000}"/>
    <cellStyle name="Обычный 5 3 63 4" xfId="18673" xr:uid="{00000000-0005-0000-0000-00001C4E0000}"/>
    <cellStyle name="Обычный 5 3 63 5" xfId="24013" xr:uid="{00000000-0005-0000-0000-00001D4E0000}"/>
    <cellStyle name="Обычный 5 3 63 6" xfId="29353" xr:uid="{00000000-0005-0000-0000-00001E4E0000}"/>
    <cellStyle name="Обычный 5 3 63 7" xfId="34693" xr:uid="{00000000-0005-0000-0000-00001F4E0000}"/>
    <cellStyle name="Обычный 5 3 63 8" xfId="40033" xr:uid="{00000000-0005-0000-0000-0000204E0000}"/>
    <cellStyle name="Обычный 5 3 63 9" xfId="45373" xr:uid="{00000000-0005-0000-0000-0000214E0000}"/>
    <cellStyle name="Обычный 5 3 64" xfId="2681" xr:uid="{00000000-0005-0000-0000-0000224E0000}"/>
    <cellStyle name="Обычный 5 3 64 10" xfId="50745" xr:uid="{00000000-0005-0000-0000-0000234E0000}"/>
    <cellStyle name="Обычный 5 3 64 2" xfId="8024" xr:uid="{00000000-0005-0000-0000-0000244E0000}"/>
    <cellStyle name="Обычный 5 3 64 2 2" xfId="56086" xr:uid="{00000000-0005-0000-0000-0000254E0000}"/>
    <cellStyle name="Обычный 5 3 64 3" xfId="13365" xr:uid="{00000000-0005-0000-0000-0000264E0000}"/>
    <cellStyle name="Обычный 5 3 64 4" xfId="18705" xr:uid="{00000000-0005-0000-0000-0000274E0000}"/>
    <cellStyle name="Обычный 5 3 64 5" xfId="24045" xr:uid="{00000000-0005-0000-0000-0000284E0000}"/>
    <cellStyle name="Обычный 5 3 64 6" xfId="29385" xr:uid="{00000000-0005-0000-0000-0000294E0000}"/>
    <cellStyle name="Обычный 5 3 64 7" xfId="34725" xr:uid="{00000000-0005-0000-0000-00002A4E0000}"/>
    <cellStyle name="Обычный 5 3 64 8" xfId="40065" xr:uid="{00000000-0005-0000-0000-00002B4E0000}"/>
    <cellStyle name="Обычный 5 3 64 9" xfId="45405" xr:uid="{00000000-0005-0000-0000-00002C4E0000}"/>
    <cellStyle name="Обычный 5 3 65" xfId="2713" xr:uid="{00000000-0005-0000-0000-00002D4E0000}"/>
    <cellStyle name="Обычный 5 3 65 10" xfId="50777" xr:uid="{00000000-0005-0000-0000-00002E4E0000}"/>
    <cellStyle name="Обычный 5 3 65 2" xfId="8056" xr:uid="{00000000-0005-0000-0000-00002F4E0000}"/>
    <cellStyle name="Обычный 5 3 65 2 2" xfId="56118" xr:uid="{00000000-0005-0000-0000-0000304E0000}"/>
    <cellStyle name="Обычный 5 3 65 3" xfId="13397" xr:uid="{00000000-0005-0000-0000-0000314E0000}"/>
    <cellStyle name="Обычный 5 3 65 4" xfId="18737" xr:uid="{00000000-0005-0000-0000-0000324E0000}"/>
    <cellStyle name="Обычный 5 3 65 5" xfId="24077" xr:uid="{00000000-0005-0000-0000-0000334E0000}"/>
    <cellStyle name="Обычный 5 3 65 6" xfId="29417" xr:uid="{00000000-0005-0000-0000-0000344E0000}"/>
    <cellStyle name="Обычный 5 3 65 7" xfId="34757" xr:uid="{00000000-0005-0000-0000-0000354E0000}"/>
    <cellStyle name="Обычный 5 3 65 8" xfId="40097" xr:uid="{00000000-0005-0000-0000-0000364E0000}"/>
    <cellStyle name="Обычный 5 3 65 9" xfId="45437" xr:uid="{00000000-0005-0000-0000-0000374E0000}"/>
    <cellStyle name="Обычный 5 3 66" xfId="2745" xr:uid="{00000000-0005-0000-0000-0000384E0000}"/>
    <cellStyle name="Обычный 5 3 66 10" xfId="50809" xr:uid="{00000000-0005-0000-0000-0000394E0000}"/>
    <cellStyle name="Обычный 5 3 66 2" xfId="8088" xr:uid="{00000000-0005-0000-0000-00003A4E0000}"/>
    <cellStyle name="Обычный 5 3 66 2 2" xfId="56150" xr:uid="{00000000-0005-0000-0000-00003B4E0000}"/>
    <cellStyle name="Обычный 5 3 66 3" xfId="13429" xr:uid="{00000000-0005-0000-0000-00003C4E0000}"/>
    <cellStyle name="Обычный 5 3 66 4" xfId="18769" xr:uid="{00000000-0005-0000-0000-00003D4E0000}"/>
    <cellStyle name="Обычный 5 3 66 5" xfId="24109" xr:uid="{00000000-0005-0000-0000-00003E4E0000}"/>
    <cellStyle name="Обычный 5 3 66 6" xfId="29449" xr:uid="{00000000-0005-0000-0000-00003F4E0000}"/>
    <cellStyle name="Обычный 5 3 66 7" xfId="34789" xr:uid="{00000000-0005-0000-0000-0000404E0000}"/>
    <cellStyle name="Обычный 5 3 66 8" xfId="40129" xr:uid="{00000000-0005-0000-0000-0000414E0000}"/>
    <cellStyle name="Обычный 5 3 66 9" xfId="45469" xr:uid="{00000000-0005-0000-0000-0000424E0000}"/>
    <cellStyle name="Обычный 5 3 67" xfId="2779" xr:uid="{00000000-0005-0000-0000-0000434E0000}"/>
    <cellStyle name="Обычный 5 3 67 10" xfId="50843" xr:uid="{00000000-0005-0000-0000-0000444E0000}"/>
    <cellStyle name="Обычный 5 3 67 2" xfId="8122" xr:uid="{00000000-0005-0000-0000-0000454E0000}"/>
    <cellStyle name="Обычный 5 3 67 2 2" xfId="56184" xr:uid="{00000000-0005-0000-0000-0000464E0000}"/>
    <cellStyle name="Обычный 5 3 67 3" xfId="13463" xr:uid="{00000000-0005-0000-0000-0000474E0000}"/>
    <cellStyle name="Обычный 5 3 67 4" xfId="18803" xr:uid="{00000000-0005-0000-0000-0000484E0000}"/>
    <cellStyle name="Обычный 5 3 67 5" xfId="24143" xr:uid="{00000000-0005-0000-0000-0000494E0000}"/>
    <cellStyle name="Обычный 5 3 67 6" xfId="29483" xr:uid="{00000000-0005-0000-0000-00004A4E0000}"/>
    <cellStyle name="Обычный 5 3 67 7" xfId="34823" xr:uid="{00000000-0005-0000-0000-00004B4E0000}"/>
    <cellStyle name="Обычный 5 3 67 8" xfId="40163" xr:uid="{00000000-0005-0000-0000-00004C4E0000}"/>
    <cellStyle name="Обычный 5 3 67 9" xfId="45503" xr:uid="{00000000-0005-0000-0000-00004D4E0000}"/>
    <cellStyle name="Обычный 5 3 68" xfId="2811" xr:uid="{00000000-0005-0000-0000-00004E4E0000}"/>
    <cellStyle name="Обычный 5 3 68 10" xfId="50875" xr:uid="{00000000-0005-0000-0000-00004F4E0000}"/>
    <cellStyle name="Обычный 5 3 68 2" xfId="8154" xr:uid="{00000000-0005-0000-0000-0000504E0000}"/>
    <cellStyle name="Обычный 5 3 68 2 2" xfId="56216" xr:uid="{00000000-0005-0000-0000-0000514E0000}"/>
    <cellStyle name="Обычный 5 3 68 3" xfId="13495" xr:uid="{00000000-0005-0000-0000-0000524E0000}"/>
    <cellStyle name="Обычный 5 3 68 4" xfId="18835" xr:uid="{00000000-0005-0000-0000-0000534E0000}"/>
    <cellStyle name="Обычный 5 3 68 5" xfId="24175" xr:uid="{00000000-0005-0000-0000-0000544E0000}"/>
    <cellStyle name="Обычный 5 3 68 6" xfId="29515" xr:uid="{00000000-0005-0000-0000-0000554E0000}"/>
    <cellStyle name="Обычный 5 3 68 7" xfId="34855" xr:uid="{00000000-0005-0000-0000-0000564E0000}"/>
    <cellStyle name="Обычный 5 3 68 8" xfId="40195" xr:uid="{00000000-0005-0000-0000-0000574E0000}"/>
    <cellStyle name="Обычный 5 3 68 9" xfId="45535" xr:uid="{00000000-0005-0000-0000-0000584E0000}"/>
    <cellStyle name="Обычный 5 3 69" xfId="2843" xr:uid="{00000000-0005-0000-0000-0000594E0000}"/>
    <cellStyle name="Обычный 5 3 69 10" xfId="50907" xr:uid="{00000000-0005-0000-0000-00005A4E0000}"/>
    <cellStyle name="Обычный 5 3 69 2" xfId="8186" xr:uid="{00000000-0005-0000-0000-00005B4E0000}"/>
    <cellStyle name="Обычный 5 3 69 2 2" xfId="56248" xr:uid="{00000000-0005-0000-0000-00005C4E0000}"/>
    <cellStyle name="Обычный 5 3 69 3" xfId="13527" xr:uid="{00000000-0005-0000-0000-00005D4E0000}"/>
    <cellStyle name="Обычный 5 3 69 4" xfId="18867" xr:uid="{00000000-0005-0000-0000-00005E4E0000}"/>
    <cellStyle name="Обычный 5 3 69 5" xfId="24207" xr:uid="{00000000-0005-0000-0000-00005F4E0000}"/>
    <cellStyle name="Обычный 5 3 69 6" xfId="29547" xr:uid="{00000000-0005-0000-0000-0000604E0000}"/>
    <cellStyle name="Обычный 5 3 69 7" xfId="34887" xr:uid="{00000000-0005-0000-0000-0000614E0000}"/>
    <cellStyle name="Обычный 5 3 69 8" xfId="40227" xr:uid="{00000000-0005-0000-0000-0000624E0000}"/>
    <cellStyle name="Обычный 5 3 69 9" xfId="45567" xr:uid="{00000000-0005-0000-0000-0000634E0000}"/>
    <cellStyle name="Обычный 5 3 7" xfId="1100" xr:uid="{00000000-0005-0000-0000-0000644E0000}"/>
    <cellStyle name="Обычный 5 3 7 10" xfId="49163" xr:uid="{00000000-0005-0000-0000-0000654E0000}"/>
    <cellStyle name="Обычный 5 3 7 2" xfId="6442" xr:uid="{00000000-0005-0000-0000-0000664E0000}"/>
    <cellStyle name="Обычный 5 3 7 2 2" xfId="54504" xr:uid="{00000000-0005-0000-0000-0000674E0000}"/>
    <cellStyle name="Обычный 5 3 7 3" xfId="11783" xr:uid="{00000000-0005-0000-0000-0000684E0000}"/>
    <cellStyle name="Обычный 5 3 7 4" xfId="17123" xr:uid="{00000000-0005-0000-0000-0000694E0000}"/>
    <cellStyle name="Обычный 5 3 7 5" xfId="22463" xr:uid="{00000000-0005-0000-0000-00006A4E0000}"/>
    <cellStyle name="Обычный 5 3 7 6" xfId="27803" xr:uid="{00000000-0005-0000-0000-00006B4E0000}"/>
    <cellStyle name="Обычный 5 3 7 7" xfId="33143" xr:uid="{00000000-0005-0000-0000-00006C4E0000}"/>
    <cellStyle name="Обычный 5 3 7 8" xfId="38483" xr:uid="{00000000-0005-0000-0000-00006D4E0000}"/>
    <cellStyle name="Обычный 5 3 7 9" xfId="43823" xr:uid="{00000000-0005-0000-0000-00006E4E0000}"/>
    <cellStyle name="Обычный 5 3 70" xfId="2875" xr:uid="{00000000-0005-0000-0000-00006F4E0000}"/>
    <cellStyle name="Обычный 5 3 70 10" xfId="50939" xr:uid="{00000000-0005-0000-0000-0000704E0000}"/>
    <cellStyle name="Обычный 5 3 70 2" xfId="8218" xr:uid="{00000000-0005-0000-0000-0000714E0000}"/>
    <cellStyle name="Обычный 5 3 70 2 2" xfId="56280" xr:uid="{00000000-0005-0000-0000-0000724E0000}"/>
    <cellStyle name="Обычный 5 3 70 3" xfId="13559" xr:uid="{00000000-0005-0000-0000-0000734E0000}"/>
    <cellStyle name="Обычный 5 3 70 4" xfId="18899" xr:uid="{00000000-0005-0000-0000-0000744E0000}"/>
    <cellStyle name="Обычный 5 3 70 5" xfId="24239" xr:uid="{00000000-0005-0000-0000-0000754E0000}"/>
    <cellStyle name="Обычный 5 3 70 6" xfId="29579" xr:uid="{00000000-0005-0000-0000-0000764E0000}"/>
    <cellStyle name="Обычный 5 3 70 7" xfId="34919" xr:uid="{00000000-0005-0000-0000-0000774E0000}"/>
    <cellStyle name="Обычный 5 3 70 8" xfId="40259" xr:uid="{00000000-0005-0000-0000-0000784E0000}"/>
    <cellStyle name="Обычный 5 3 70 9" xfId="45599" xr:uid="{00000000-0005-0000-0000-0000794E0000}"/>
    <cellStyle name="Обычный 5 3 71" xfId="2907" xr:uid="{00000000-0005-0000-0000-00007A4E0000}"/>
    <cellStyle name="Обычный 5 3 71 10" xfId="50971" xr:uid="{00000000-0005-0000-0000-00007B4E0000}"/>
    <cellStyle name="Обычный 5 3 71 2" xfId="8250" xr:uid="{00000000-0005-0000-0000-00007C4E0000}"/>
    <cellStyle name="Обычный 5 3 71 2 2" xfId="56312" xr:uid="{00000000-0005-0000-0000-00007D4E0000}"/>
    <cellStyle name="Обычный 5 3 71 3" xfId="13591" xr:uid="{00000000-0005-0000-0000-00007E4E0000}"/>
    <cellStyle name="Обычный 5 3 71 4" xfId="18931" xr:uid="{00000000-0005-0000-0000-00007F4E0000}"/>
    <cellStyle name="Обычный 5 3 71 5" xfId="24271" xr:uid="{00000000-0005-0000-0000-0000804E0000}"/>
    <cellStyle name="Обычный 5 3 71 6" xfId="29611" xr:uid="{00000000-0005-0000-0000-0000814E0000}"/>
    <cellStyle name="Обычный 5 3 71 7" xfId="34951" xr:uid="{00000000-0005-0000-0000-0000824E0000}"/>
    <cellStyle name="Обычный 5 3 71 8" xfId="40291" xr:uid="{00000000-0005-0000-0000-0000834E0000}"/>
    <cellStyle name="Обычный 5 3 71 9" xfId="45631" xr:uid="{00000000-0005-0000-0000-0000844E0000}"/>
    <cellStyle name="Обычный 5 3 72" xfId="2939" xr:uid="{00000000-0005-0000-0000-0000854E0000}"/>
    <cellStyle name="Обычный 5 3 72 10" xfId="51003" xr:uid="{00000000-0005-0000-0000-0000864E0000}"/>
    <cellStyle name="Обычный 5 3 72 2" xfId="8282" xr:uid="{00000000-0005-0000-0000-0000874E0000}"/>
    <cellStyle name="Обычный 5 3 72 2 2" xfId="56344" xr:uid="{00000000-0005-0000-0000-0000884E0000}"/>
    <cellStyle name="Обычный 5 3 72 3" xfId="13623" xr:uid="{00000000-0005-0000-0000-0000894E0000}"/>
    <cellStyle name="Обычный 5 3 72 4" xfId="18963" xr:uid="{00000000-0005-0000-0000-00008A4E0000}"/>
    <cellStyle name="Обычный 5 3 72 5" xfId="24303" xr:uid="{00000000-0005-0000-0000-00008B4E0000}"/>
    <cellStyle name="Обычный 5 3 72 6" xfId="29643" xr:uid="{00000000-0005-0000-0000-00008C4E0000}"/>
    <cellStyle name="Обычный 5 3 72 7" xfId="34983" xr:uid="{00000000-0005-0000-0000-00008D4E0000}"/>
    <cellStyle name="Обычный 5 3 72 8" xfId="40323" xr:uid="{00000000-0005-0000-0000-00008E4E0000}"/>
    <cellStyle name="Обычный 5 3 72 9" xfId="45663" xr:uid="{00000000-0005-0000-0000-00008F4E0000}"/>
    <cellStyle name="Обычный 5 3 73" xfId="2971" xr:uid="{00000000-0005-0000-0000-0000904E0000}"/>
    <cellStyle name="Обычный 5 3 73 10" xfId="51035" xr:uid="{00000000-0005-0000-0000-0000914E0000}"/>
    <cellStyle name="Обычный 5 3 73 2" xfId="8314" xr:uid="{00000000-0005-0000-0000-0000924E0000}"/>
    <cellStyle name="Обычный 5 3 73 2 2" xfId="56376" xr:uid="{00000000-0005-0000-0000-0000934E0000}"/>
    <cellStyle name="Обычный 5 3 73 3" xfId="13655" xr:uid="{00000000-0005-0000-0000-0000944E0000}"/>
    <cellStyle name="Обычный 5 3 73 4" xfId="18995" xr:uid="{00000000-0005-0000-0000-0000954E0000}"/>
    <cellStyle name="Обычный 5 3 73 5" xfId="24335" xr:uid="{00000000-0005-0000-0000-0000964E0000}"/>
    <cellStyle name="Обычный 5 3 73 6" xfId="29675" xr:uid="{00000000-0005-0000-0000-0000974E0000}"/>
    <cellStyle name="Обычный 5 3 73 7" xfId="35015" xr:uid="{00000000-0005-0000-0000-0000984E0000}"/>
    <cellStyle name="Обычный 5 3 73 8" xfId="40355" xr:uid="{00000000-0005-0000-0000-0000994E0000}"/>
    <cellStyle name="Обычный 5 3 73 9" xfId="45695" xr:uid="{00000000-0005-0000-0000-00009A4E0000}"/>
    <cellStyle name="Обычный 5 3 74" xfId="3003" xr:uid="{00000000-0005-0000-0000-00009B4E0000}"/>
    <cellStyle name="Обычный 5 3 74 10" xfId="51067" xr:uid="{00000000-0005-0000-0000-00009C4E0000}"/>
    <cellStyle name="Обычный 5 3 74 2" xfId="8346" xr:uid="{00000000-0005-0000-0000-00009D4E0000}"/>
    <cellStyle name="Обычный 5 3 74 2 2" xfId="56408" xr:uid="{00000000-0005-0000-0000-00009E4E0000}"/>
    <cellStyle name="Обычный 5 3 74 3" xfId="13687" xr:uid="{00000000-0005-0000-0000-00009F4E0000}"/>
    <cellStyle name="Обычный 5 3 74 4" xfId="19027" xr:uid="{00000000-0005-0000-0000-0000A04E0000}"/>
    <cellStyle name="Обычный 5 3 74 5" xfId="24367" xr:uid="{00000000-0005-0000-0000-0000A14E0000}"/>
    <cellStyle name="Обычный 5 3 74 6" xfId="29707" xr:uid="{00000000-0005-0000-0000-0000A24E0000}"/>
    <cellStyle name="Обычный 5 3 74 7" xfId="35047" xr:uid="{00000000-0005-0000-0000-0000A34E0000}"/>
    <cellStyle name="Обычный 5 3 74 8" xfId="40387" xr:uid="{00000000-0005-0000-0000-0000A44E0000}"/>
    <cellStyle name="Обычный 5 3 74 9" xfId="45727" xr:uid="{00000000-0005-0000-0000-0000A54E0000}"/>
    <cellStyle name="Обычный 5 3 75" xfId="3035" xr:uid="{00000000-0005-0000-0000-0000A64E0000}"/>
    <cellStyle name="Обычный 5 3 75 10" xfId="51099" xr:uid="{00000000-0005-0000-0000-0000A74E0000}"/>
    <cellStyle name="Обычный 5 3 75 2" xfId="8378" xr:uid="{00000000-0005-0000-0000-0000A84E0000}"/>
    <cellStyle name="Обычный 5 3 75 2 2" xfId="56440" xr:uid="{00000000-0005-0000-0000-0000A94E0000}"/>
    <cellStyle name="Обычный 5 3 75 3" xfId="13719" xr:uid="{00000000-0005-0000-0000-0000AA4E0000}"/>
    <cellStyle name="Обычный 5 3 75 4" xfId="19059" xr:uid="{00000000-0005-0000-0000-0000AB4E0000}"/>
    <cellStyle name="Обычный 5 3 75 5" xfId="24399" xr:uid="{00000000-0005-0000-0000-0000AC4E0000}"/>
    <cellStyle name="Обычный 5 3 75 6" xfId="29739" xr:uid="{00000000-0005-0000-0000-0000AD4E0000}"/>
    <cellStyle name="Обычный 5 3 75 7" xfId="35079" xr:uid="{00000000-0005-0000-0000-0000AE4E0000}"/>
    <cellStyle name="Обычный 5 3 75 8" xfId="40419" xr:uid="{00000000-0005-0000-0000-0000AF4E0000}"/>
    <cellStyle name="Обычный 5 3 75 9" xfId="45759" xr:uid="{00000000-0005-0000-0000-0000B04E0000}"/>
    <cellStyle name="Обычный 5 3 76" xfId="3067" xr:uid="{00000000-0005-0000-0000-0000B14E0000}"/>
    <cellStyle name="Обычный 5 3 76 10" xfId="51131" xr:uid="{00000000-0005-0000-0000-0000B24E0000}"/>
    <cellStyle name="Обычный 5 3 76 2" xfId="8410" xr:uid="{00000000-0005-0000-0000-0000B34E0000}"/>
    <cellStyle name="Обычный 5 3 76 2 2" xfId="56472" xr:uid="{00000000-0005-0000-0000-0000B44E0000}"/>
    <cellStyle name="Обычный 5 3 76 3" xfId="13751" xr:uid="{00000000-0005-0000-0000-0000B54E0000}"/>
    <cellStyle name="Обычный 5 3 76 4" xfId="19091" xr:uid="{00000000-0005-0000-0000-0000B64E0000}"/>
    <cellStyle name="Обычный 5 3 76 5" xfId="24431" xr:uid="{00000000-0005-0000-0000-0000B74E0000}"/>
    <cellStyle name="Обычный 5 3 76 6" xfId="29771" xr:uid="{00000000-0005-0000-0000-0000B84E0000}"/>
    <cellStyle name="Обычный 5 3 76 7" xfId="35111" xr:uid="{00000000-0005-0000-0000-0000B94E0000}"/>
    <cellStyle name="Обычный 5 3 76 8" xfId="40451" xr:uid="{00000000-0005-0000-0000-0000BA4E0000}"/>
    <cellStyle name="Обычный 5 3 76 9" xfId="45791" xr:uid="{00000000-0005-0000-0000-0000BB4E0000}"/>
    <cellStyle name="Обычный 5 3 77" xfId="3099" xr:uid="{00000000-0005-0000-0000-0000BC4E0000}"/>
    <cellStyle name="Обычный 5 3 77 10" xfId="51163" xr:uid="{00000000-0005-0000-0000-0000BD4E0000}"/>
    <cellStyle name="Обычный 5 3 77 2" xfId="8442" xr:uid="{00000000-0005-0000-0000-0000BE4E0000}"/>
    <cellStyle name="Обычный 5 3 77 2 2" xfId="56504" xr:uid="{00000000-0005-0000-0000-0000BF4E0000}"/>
    <cellStyle name="Обычный 5 3 77 3" xfId="13783" xr:uid="{00000000-0005-0000-0000-0000C04E0000}"/>
    <cellStyle name="Обычный 5 3 77 4" xfId="19123" xr:uid="{00000000-0005-0000-0000-0000C14E0000}"/>
    <cellStyle name="Обычный 5 3 77 5" xfId="24463" xr:uid="{00000000-0005-0000-0000-0000C24E0000}"/>
    <cellStyle name="Обычный 5 3 77 6" xfId="29803" xr:uid="{00000000-0005-0000-0000-0000C34E0000}"/>
    <cellStyle name="Обычный 5 3 77 7" xfId="35143" xr:uid="{00000000-0005-0000-0000-0000C44E0000}"/>
    <cellStyle name="Обычный 5 3 77 8" xfId="40483" xr:uid="{00000000-0005-0000-0000-0000C54E0000}"/>
    <cellStyle name="Обычный 5 3 77 9" xfId="45823" xr:uid="{00000000-0005-0000-0000-0000C64E0000}"/>
    <cellStyle name="Обычный 5 3 78" xfId="3132" xr:uid="{00000000-0005-0000-0000-0000C74E0000}"/>
    <cellStyle name="Обычный 5 3 78 10" xfId="51195" xr:uid="{00000000-0005-0000-0000-0000C84E0000}"/>
    <cellStyle name="Обычный 5 3 78 2" xfId="8475" xr:uid="{00000000-0005-0000-0000-0000C94E0000}"/>
    <cellStyle name="Обычный 5 3 78 2 2" xfId="56536" xr:uid="{00000000-0005-0000-0000-0000CA4E0000}"/>
    <cellStyle name="Обычный 5 3 78 3" xfId="13815" xr:uid="{00000000-0005-0000-0000-0000CB4E0000}"/>
    <cellStyle name="Обычный 5 3 78 4" xfId="19155" xr:uid="{00000000-0005-0000-0000-0000CC4E0000}"/>
    <cellStyle name="Обычный 5 3 78 5" xfId="24495" xr:uid="{00000000-0005-0000-0000-0000CD4E0000}"/>
    <cellStyle name="Обычный 5 3 78 6" xfId="29835" xr:uid="{00000000-0005-0000-0000-0000CE4E0000}"/>
    <cellStyle name="Обычный 5 3 78 7" xfId="35175" xr:uid="{00000000-0005-0000-0000-0000CF4E0000}"/>
    <cellStyle name="Обычный 5 3 78 8" xfId="40515" xr:uid="{00000000-0005-0000-0000-0000D04E0000}"/>
    <cellStyle name="Обычный 5 3 78 9" xfId="45855" xr:uid="{00000000-0005-0000-0000-0000D14E0000}"/>
    <cellStyle name="Обычный 5 3 79" xfId="3164" xr:uid="{00000000-0005-0000-0000-0000D24E0000}"/>
    <cellStyle name="Обычный 5 3 79 10" xfId="51227" xr:uid="{00000000-0005-0000-0000-0000D34E0000}"/>
    <cellStyle name="Обычный 5 3 79 2" xfId="8507" xr:uid="{00000000-0005-0000-0000-0000D44E0000}"/>
    <cellStyle name="Обычный 5 3 79 2 2" xfId="56568" xr:uid="{00000000-0005-0000-0000-0000D54E0000}"/>
    <cellStyle name="Обычный 5 3 79 3" xfId="13847" xr:uid="{00000000-0005-0000-0000-0000D64E0000}"/>
    <cellStyle name="Обычный 5 3 79 4" xfId="19187" xr:uid="{00000000-0005-0000-0000-0000D74E0000}"/>
    <cellStyle name="Обычный 5 3 79 5" xfId="24527" xr:uid="{00000000-0005-0000-0000-0000D84E0000}"/>
    <cellStyle name="Обычный 5 3 79 6" xfId="29867" xr:uid="{00000000-0005-0000-0000-0000D94E0000}"/>
    <cellStyle name="Обычный 5 3 79 7" xfId="35207" xr:uid="{00000000-0005-0000-0000-0000DA4E0000}"/>
    <cellStyle name="Обычный 5 3 79 8" xfId="40547" xr:uid="{00000000-0005-0000-0000-0000DB4E0000}"/>
    <cellStyle name="Обычный 5 3 79 9" xfId="45887" xr:uid="{00000000-0005-0000-0000-0000DC4E0000}"/>
    <cellStyle name="Обычный 5 3 8" xfId="1126" xr:uid="{00000000-0005-0000-0000-0000DD4E0000}"/>
    <cellStyle name="Обычный 5 3 8 10" xfId="49189" xr:uid="{00000000-0005-0000-0000-0000DE4E0000}"/>
    <cellStyle name="Обычный 5 3 8 2" xfId="6468" xr:uid="{00000000-0005-0000-0000-0000DF4E0000}"/>
    <cellStyle name="Обычный 5 3 8 2 2" xfId="54530" xr:uid="{00000000-0005-0000-0000-0000E04E0000}"/>
    <cellStyle name="Обычный 5 3 8 3" xfId="11809" xr:uid="{00000000-0005-0000-0000-0000E14E0000}"/>
    <cellStyle name="Обычный 5 3 8 4" xfId="17149" xr:uid="{00000000-0005-0000-0000-0000E24E0000}"/>
    <cellStyle name="Обычный 5 3 8 5" xfId="22489" xr:uid="{00000000-0005-0000-0000-0000E34E0000}"/>
    <cellStyle name="Обычный 5 3 8 6" xfId="27829" xr:uid="{00000000-0005-0000-0000-0000E44E0000}"/>
    <cellStyle name="Обычный 5 3 8 7" xfId="33169" xr:uid="{00000000-0005-0000-0000-0000E54E0000}"/>
    <cellStyle name="Обычный 5 3 8 8" xfId="38509" xr:uid="{00000000-0005-0000-0000-0000E64E0000}"/>
    <cellStyle name="Обычный 5 3 8 9" xfId="43849" xr:uid="{00000000-0005-0000-0000-0000E74E0000}"/>
    <cellStyle name="Обычный 5 3 80" xfId="3196" xr:uid="{00000000-0005-0000-0000-0000E84E0000}"/>
    <cellStyle name="Обычный 5 3 80 10" xfId="51259" xr:uid="{00000000-0005-0000-0000-0000E94E0000}"/>
    <cellStyle name="Обычный 5 3 80 2" xfId="8539" xr:uid="{00000000-0005-0000-0000-0000EA4E0000}"/>
    <cellStyle name="Обычный 5 3 80 2 2" xfId="56600" xr:uid="{00000000-0005-0000-0000-0000EB4E0000}"/>
    <cellStyle name="Обычный 5 3 80 3" xfId="13879" xr:uid="{00000000-0005-0000-0000-0000EC4E0000}"/>
    <cellStyle name="Обычный 5 3 80 4" xfId="19219" xr:uid="{00000000-0005-0000-0000-0000ED4E0000}"/>
    <cellStyle name="Обычный 5 3 80 5" xfId="24559" xr:uid="{00000000-0005-0000-0000-0000EE4E0000}"/>
    <cellStyle name="Обычный 5 3 80 6" xfId="29899" xr:uid="{00000000-0005-0000-0000-0000EF4E0000}"/>
    <cellStyle name="Обычный 5 3 80 7" xfId="35239" xr:uid="{00000000-0005-0000-0000-0000F04E0000}"/>
    <cellStyle name="Обычный 5 3 80 8" xfId="40579" xr:uid="{00000000-0005-0000-0000-0000F14E0000}"/>
    <cellStyle name="Обычный 5 3 80 9" xfId="45919" xr:uid="{00000000-0005-0000-0000-0000F24E0000}"/>
    <cellStyle name="Обычный 5 3 81" xfId="3228" xr:uid="{00000000-0005-0000-0000-0000F34E0000}"/>
    <cellStyle name="Обычный 5 3 81 10" xfId="51291" xr:uid="{00000000-0005-0000-0000-0000F44E0000}"/>
    <cellStyle name="Обычный 5 3 81 2" xfId="8571" xr:uid="{00000000-0005-0000-0000-0000F54E0000}"/>
    <cellStyle name="Обычный 5 3 81 2 2" xfId="56632" xr:uid="{00000000-0005-0000-0000-0000F64E0000}"/>
    <cellStyle name="Обычный 5 3 81 3" xfId="13911" xr:uid="{00000000-0005-0000-0000-0000F74E0000}"/>
    <cellStyle name="Обычный 5 3 81 4" xfId="19251" xr:uid="{00000000-0005-0000-0000-0000F84E0000}"/>
    <cellStyle name="Обычный 5 3 81 5" xfId="24591" xr:uid="{00000000-0005-0000-0000-0000F94E0000}"/>
    <cellStyle name="Обычный 5 3 81 6" xfId="29931" xr:uid="{00000000-0005-0000-0000-0000FA4E0000}"/>
    <cellStyle name="Обычный 5 3 81 7" xfId="35271" xr:uid="{00000000-0005-0000-0000-0000FB4E0000}"/>
    <cellStyle name="Обычный 5 3 81 8" xfId="40611" xr:uid="{00000000-0005-0000-0000-0000FC4E0000}"/>
    <cellStyle name="Обычный 5 3 81 9" xfId="45951" xr:uid="{00000000-0005-0000-0000-0000FD4E0000}"/>
    <cellStyle name="Обычный 5 3 82" xfId="3260" xr:uid="{00000000-0005-0000-0000-0000FE4E0000}"/>
    <cellStyle name="Обычный 5 3 82 10" xfId="51323" xr:uid="{00000000-0005-0000-0000-0000FF4E0000}"/>
    <cellStyle name="Обычный 5 3 82 2" xfId="8603" xr:uid="{00000000-0005-0000-0000-0000004F0000}"/>
    <cellStyle name="Обычный 5 3 82 2 2" xfId="56664" xr:uid="{00000000-0005-0000-0000-0000014F0000}"/>
    <cellStyle name="Обычный 5 3 82 3" xfId="13943" xr:uid="{00000000-0005-0000-0000-0000024F0000}"/>
    <cellStyle name="Обычный 5 3 82 4" xfId="19283" xr:uid="{00000000-0005-0000-0000-0000034F0000}"/>
    <cellStyle name="Обычный 5 3 82 5" xfId="24623" xr:uid="{00000000-0005-0000-0000-0000044F0000}"/>
    <cellStyle name="Обычный 5 3 82 6" xfId="29963" xr:uid="{00000000-0005-0000-0000-0000054F0000}"/>
    <cellStyle name="Обычный 5 3 82 7" xfId="35303" xr:uid="{00000000-0005-0000-0000-0000064F0000}"/>
    <cellStyle name="Обычный 5 3 82 8" xfId="40643" xr:uid="{00000000-0005-0000-0000-0000074F0000}"/>
    <cellStyle name="Обычный 5 3 82 9" xfId="45983" xr:uid="{00000000-0005-0000-0000-0000084F0000}"/>
    <cellStyle name="Обычный 5 3 83" xfId="3292" xr:uid="{00000000-0005-0000-0000-0000094F0000}"/>
    <cellStyle name="Обычный 5 3 83 10" xfId="51355" xr:uid="{00000000-0005-0000-0000-00000A4F0000}"/>
    <cellStyle name="Обычный 5 3 83 2" xfId="8635" xr:uid="{00000000-0005-0000-0000-00000B4F0000}"/>
    <cellStyle name="Обычный 5 3 83 2 2" xfId="56696" xr:uid="{00000000-0005-0000-0000-00000C4F0000}"/>
    <cellStyle name="Обычный 5 3 83 3" xfId="13975" xr:uid="{00000000-0005-0000-0000-00000D4F0000}"/>
    <cellStyle name="Обычный 5 3 83 4" xfId="19315" xr:uid="{00000000-0005-0000-0000-00000E4F0000}"/>
    <cellStyle name="Обычный 5 3 83 5" xfId="24655" xr:uid="{00000000-0005-0000-0000-00000F4F0000}"/>
    <cellStyle name="Обычный 5 3 83 6" xfId="29995" xr:uid="{00000000-0005-0000-0000-0000104F0000}"/>
    <cellStyle name="Обычный 5 3 83 7" xfId="35335" xr:uid="{00000000-0005-0000-0000-0000114F0000}"/>
    <cellStyle name="Обычный 5 3 83 8" xfId="40675" xr:uid="{00000000-0005-0000-0000-0000124F0000}"/>
    <cellStyle name="Обычный 5 3 83 9" xfId="46015" xr:uid="{00000000-0005-0000-0000-0000134F0000}"/>
    <cellStyle name="Обычный 5 3 84" xfId="3324" xr:uid="{00000000-0005-0000-0000-0000144F0000}"/>
    <cellStyle name="Обычный 5 3 84 10" xfId="51387" xr:uid="{00000000-0005-0000-0000-0000154F0000}"/>
    <cellStyle name="Обычный 5 3 84 2" xfId="8667" xr:uid="{00000000-0005-0000-0000-0000164F0000}"/>
    <cellStyle name="Обычный 5 3 84 2 2" xfId="56728" xr:uid="{00000000-0005-0000-0000-0000174F0000}"/>
    <cellStyle name="Обычный 5 3 84 3" xfId="14007" xr:uid="{00000000-0005-0000-0000-0000184F0000}"/>
    <cellStyle name="Обычный 5 3 84 4" xfId="19347" xr:uid="{00000000-0005-0000-0000-0000194F0000}"/>
    <cellStyle name="Обычный 5 3 84 5" xfId="24687" xr:uid="{00000000-0005-0000-0000-00001A4F0000}"/>
    <cellStyle name="Обычный 5 3 84 6" xfId="30027" xr:uid="{00000000-0005-0000-0000-00001B4F0000}"/>
    <cellStyle name="Обычный 5 3 84 7" xfId="35367" xr:uid="{00000000-0005-0000-0000-00001C4F0000}"/>
    <cellStyle name="Обычный 5 3 84 8" xfId="40707" xr:uid="{00000000-0005-0000-0000-00001D4F0000}"/>
    <cellStyle name="Обычный 5 3 84 9" xfId="46047" xr:uid="{00000000-0005-0000-0000-00001E4F0000}"/>
    <cellStyle name="Обычный 5 3 85" xfId="3356" xr:uid="{00000000-0005-0000-0000-00001F4F0000}"/>
    <cellStyle name="Обычный 5 3 85 10" xfId="51419" xr:uid="{00000000-0005-0000-0000-0000204F0000}"/>
    <cellStyle name="Обычный 5 3 85 2" xfId="8699" xr:uid="{00000000-0005-0000-0000-0000214F0000}"/>
    <cellStyle name="Обычный 5 3 85 2 2" xfId="56760" xr:uid="{00000000-0005-0000-0000-0000224F0000}"/>
    <cellStyle name="Обычный 5 3 85 3" xfId="14039" xr:uid="{00000000-0005-0000-0000-0000234F0000}"/>
    <cellStyle name="Обычный 5 3 85 4" xfId="19379" xr:uid="{00000000-0005-0000-0000-0000244F0000}"/>
    <cellStyle name="Обычный 5 3 85 5" xfId="24719" xr:uid="{00000000-0005-0000-0000-0000254F0000}"/>
    <cellStyle name="Обычный 5 3 85 6" xfId="30059" xr:uid="{00000000-0005-0000-0000-0000264F0000}"/>
    <cellStyle name="Обычный 5 3 85 7" xfId="35399" xr:uid="{00000000-0005-0000-0000-0000274F0000}"/>
    <cellStyle name="Обычный 5 3 85 8" xfId="40739" xr:uid="{00000000-0005-0000-0000-0000284F0000}"/>
    <cellStyle name="Обычный 5 3 85 9" xfId="46079" xr:uid="{00000000-0005-0000-0000-0000294F0000}"/>
    <cellStyle name="Обычный 5 3 86" xfId="3388" xr:uid="{00000000-0005-0000-0000-00002A4F0000}"/>
    <cellStyle name="Обычный 5 3 86 10" xfId="51451" xr:uid="{00000000-0005-0000-0000-00002B4F0000}"/>
    <cellStyle name="Обычный 5 3 86 2" xfId="8731" xr:uid="{00000000-0005-0000-0000-00002C4F0000}"/>
    <cellStyle name="Обычный 5 3 86 2 2" xfId="56792" xr:uid="{00000000-0005-0000-0000-00002D4F0000}"/>
    <cellStyle name="Обычный 5 3 86 3" xfId="14071" xr:uid="{00000000-0005-0000-0000-00002E4F0000}"/>
    <cellStyle name="Обычный 5 3 86 4" xfId="19411" xr:uid="{00000000-0005-0000-0000-00002F4F0000}"/>
    <cellStyle name="Обычный 5 3 86 5" xfId="24751" xr:uid="{00000000-0005-0000-0000-0000304F0000}"/>
    <cellStyle name="Обычный 5 3 86 6" xfId="30091" xr:uid="{00000000-0005-0000-0000-0000314F0000}"/>
    <cellStyle name="Обычный 5 3 86 7" xfId="35431" xr:uid="{00000000-0005-0000-0000-0000324F0000}"/>
    <cellStyle name="Обычный 5 3 86 8" xfId="40771" xr:uid="{00000000-0005-0000-0000-0000334F0000}"/>
    <cellStyle name="Обычный 5 3 86 9" xfId="46111" xr:uid="{00000000-0005-0000-0000-0000344F0000}"/>
    <cellStyle name="Обычный 5 3 87" xfId="3420" xr:uid="{00000000-0005-0000-0000-0000354F0000}"/>
    <cellStyle name="Обычный 5 3 87 10" xfId="51483" xr:uid="{00000000-0005-0000-0000-0000364F0000}"/>
    <cellStyle name="Обычный 5 3 87 2" xfId="8763" xr:uid="{00000000-0005-0000-0000-0000374F0000}"/>
    <cellStyle name="Обычный 5 3 87 2 2" xfId="56824" xr:uid="{00000000-0005-0000-0000-0000384F0000}"/>
    <cellStyle name="Обычный 5 3 87 3" xfId="14103" xr:uid="{00000000-0005-0000-0000-0000394F0000}"/>
    <cellStyle name="Обычный 5 3 87 4" xfId="19443" xr:uid="{00000000-0005-0000-0000-00003A4F0000}"/>
    <cellStyle name="Обычный 5 3 87 5" xfId="24783" xr:uid="{00000000-0005-0000-0000-00003B4F0000}"/>
    <cellStyle name="Обычный 5 3 87 6" xfId="30123" xr:uid="{00000000-0005-0000-0000-00003C4F0000}"/>
    <cellStyle name="Обычный 5 3 87 7" xfId="35463" xr:uid="{00000000-0005-0000-0000-00003D4F0000}"/>
    <cellStyle name="Обычный 5 3 87 8" xfId="40803" xr:uid="{00000000-0005-0000-0000-00003E4F0000}"/>
    <cellStyle name="Обычный 5 3 87 9" xfId="46143" xr:uid="{00000000-0005-0000-0000-00003F4F0000}"/>
    <cellStyle name="Обычный 5 3 88" xfId="3452" xr:uid="{00000000-0005-0000-0000-0000404F0000}"/>
    <cellStyle name="Обычный 5 3 88 10" xfId="51515" xr:uid="{00000000-0005-0000-0000-0000414F0000}"/>
    <cellStyle name="Обычный 5 3 88 2" xfId="8795" xr:uid="{00000000-0005-0000-0000-0000424F0000}"/>
    <cellStyle name="Обычный 5 3 88 2 2" xfId="56856" xr:uid="{00000000-0005-0000-0000-0000434F0000}"/>
    <cellStyle name="Обычный 5 3 88 3" xfId="14135" xr:uid="{00000000-0005-0000-0000-0000444F0000}"/>
    <cellStyle name="Обычный 5 3 88 4" xfId="19475" xr:uid="{00000000-0005-0000-0000-0000454F0000}"/>
    <cellStyle name="Обычный 5 3 88 5" xfId="24815" xr:uid="{00000000-0005-0000-0000-0000464F0000}"/>
    <cellStyle name="Обычный 5 3 88 6" xfId="30155" xr:uid="{00000000-0005-0000-0000-0000474F0000}"/>
    <cellStyle name="Обычный 5 3 88 7" xfId="35495" xr:uid="{00000000-0005-0000-0000-0000484F0000}"/>
    <cellStyle name="Обычный 5 3 88 8" xfId="40835" xr:uid="{00000000-0005-0000-0000-0000494F0000}"/>
    <cellStyle name="Обычный 5 3 88 9" xfId="46175" xr:uid="{00000000-0005-0000-0000-00004A4F0000}"/>
    <cellStyle name="Обычный 5 3 89" xfId="3484" xr:uid="{00000000-0005-0000-0000-00004B4F0000}"/>
    <cellStyle name="Обычный 5 3 89 10" xfId="51547" xr:uid="{00000000-0005-0000-0000-00004C4F0000}"/>
    <cellStyle name="Обычный 5 3 89 2" xfId="8827" xr:uid="{00000000-0005-0000-0000-00004D4F0000}"/>
    <cellStyle name="Обычный 5 3 89 2 2" xfId="56888" xr:uid="{00000000-0005-0000-0000-00004E4F0000}"/>
    <cellStyle name="Обычный 5 3 89 3" xfId="14167" xr:uid="{00000000-0005-0000-0000-00004F4F0000}"/>
    <cellStyle name="Обычный 5 3 89 4" xfId="19507" xr:uid="{00000000-0005-0000-0000-0000504F0000}"/>
    <cellStyle name="Обычный 5 3 89 5" xfId="24847" xr:uid="{00000000-0005-0000-0000-0000514F0000}"/>
    <cellStyle name="Обычный 5 3 89 6" xfId="30187" xr:uid="{00000000-0005-0000-0000-0000524F0000}"/>
    <cellStyle name="Обычный 5 3 89 7" xfId="35527" xr:uid="{00000000-0005-0000-0000-0000534F0000}"/>
    <cellStyle name="Обычный 5 3 89 8" xfId="40867" xr:uid="{00000000-0005-0000-0000-0000544F0000}"/>
    <cellStyle name="Обычный 5 3 89 9" xfId="46207" xr:uid="{00000000-0005-0000-0000-0000554F0000}"/>
    <cellStyle name="Обычный 5 3 9" xfId="1152" xr:uid="{00000000-0005-0000-0000-0000564F0000}"/>
    <cellStyle name="Обычный 5 3 9 10" xfId="49215" xr:uid="{00000000-0005-0000-0000-0000574F0000}"/>
    <cellStyle name="Обычный 5 3 9 2" xfId="6494" xr:uid="{00000000-0005-0000-0000-0000584F0000}"/>
    <cellStyle name="Обычный 5 3 9 2 2" xfId="54556" xr:uid="{00000000-0005-0000-0000-0000594F0000}"/>
    <cellStyle name="Обычный 5 3 9 3" xfId="11835" xr:uid="{00000000-0005-0000-0000-00005A4F0000}"/>
    <cellStyle name="Обычный 5 3 9 4" xfId="17175" xr:uid="{00000000-0005-0000-0000-00005B4F0000}"/>
    <cellStyle name="Обычный 5 3 9 5" xfId="22515" xr:uid="{00000000-0005-0000-0000-00005C4F0000}"/>
    <cellStyle name="Обычный 5 3 9 6" xfId="27855" xr:uid="{00000000-0005-0000-0000-00005D4F0000}"/>
    <cellStyle name="Обычный 5 3 9 7" xfId="33195" xr:uid="{00000000-0005-0000-0000-00005E4F0000}"/>
    <cellStyle name="Обычный 5 3 9 8" xfId="38535" xr:uid="{00000000-0005-0000-0000-00005F4F0000}"/>
    <cellStyle name="Обычный 5 3 9 9" xfId="43875" xr:uid="{00000000-0005-0000-0000-0000604F0000}"/>
    <cellStyle name="Обычный 5 3 90" xfId="3516" xr:uid="{00000000-0005-0000-0000-0000614F0000}"/>
    <cellStyle name="Обычный 5 3 90 10" xfId="51579" xr:uid="{00000000-0005-0000-0000-0000624F0000}"/>
    <cellStyle name="Обычный 5 3 90 2" xfId="8859" xr:uid="{00000000-0005-0000-0000-0000634F0000}"/>
    <cellStyle name="Обычный 5 3 90 2 2" xfId="56920" xr:uid="{00000000-0005-0000-0000-0000644F0000}"/>
    <cellStyle name="Обычный 5 3 90 3" xfId="14199" xr:uid="{00000000-0005-0000-0000-0000654F0000}"/>
    <cellStyle name="Обычный 5 3 90 4" xfId="19539" xr:uid="{00000000-0005-0000-0000-0000664F0000}"/>
    <cellStyle name="Обычный 5 3 90 5" xfId="24879" xr:uid="{00000000-0005-0000-0000-0000674F0000}"/>
    <cellStyle name="Обычный 5 3 90 6" xfId="30219" xr:uid="{00000000-0005-0000-0000-0000684F0000}"/>
    <cellStyle name="Обычный 5 3 90 7" xfId="35559" xr:uid="{00000000-0005-0000-0000-0000694F0000}"/>
    <cellStyle name="Обычный 5 3 90 8" xfId="40899" xr:uid="{00000000-0005-0000-0000-00006A4F0000}"/>
    <cellStyle name="Обычный 5 3 90 9" xfId="46239" xr:uid="{00000000-0005-0000-0000-00006B4F0000}"/>
    <cellStyle name="Обычный 5 3 91" xfId="3548" xr:uid="{00000000-0005-0000-0000-00006C4F0000}"/>
    <cellStyle name="Обычный 5 3 91 10" xfId="51611" xr:uid="{00000000-0005-0000-0000-00006D4F0000}"/>
    <cellStyle name="Обычный 5 3 91 2" xfId="8891" xr:uid="{00000000-0005-0000-0000-00006E4F0000}"/>
    <cellStyle name="Обычный 5 3 91 2 2" xfId="56952" xr:uid="{00000000-0005-0000-0000-00006F4F0000}"/>
    <cellStyle name="Обычный 5 3 91 3" xfId="14231" xr:uid="{00000000-0005-0000-0000-0000704F0000}"/>
    <cellStyle name="Обычный 5 3 91 4" xfId="19571" xr:uid="{00000000-0005-0000-0000-0000714F0000}"/>
    <cellStyle name="Обычный 5 3 91 5" xfId="24911" xr:uid="{00000000-0005-0000-0000-0000724F0000}"/>
    <cellStyle name="Обычный 5 3 91 6" xfId="30251" xr:uid="{00000000-0005-0000-0000-0000734F0000}"/>
    <cellStyle name="Обычный 5 3 91 7" xfId="35591" xr:uid="{00000000-0005-0000-0000-0000744F0000}"/>
    <cellStyle name="Обычный 5 3 91 8" xfId="40931" xr:uid="{00000000-0005-0000-0000-0000754F0000}"/>
    <cellStyle name="Обычный 5 3 91 9" xfId="46271" xr:uid="{00000000-0005-0000-0000-0000764F0000}"/>
    <cellStyle name="Обычный 5 3 92" xfId="3580" xr:uid="{00000000-0005-0000-0000-0000774F0000}"/>
    <cellStyle name="Обычный 5 3 92 10" xfId="51643" xr:uid="{00000000-0005-0000-0000-0000784F0000}"/>
    <cellStyle name="Обычный 5 3 92 2" xfId="8923" xr:uid="{00000000-0005-0000-0000-0000794F0000}"/>
    <cellStyle name="Обычный 5 3 92 2 2" xfId="56984" xr:uid="{00000000-0005-0000-0000-00007A4F0000}"/>
    <cellStyle name="Обычный 5 3 92 3" xfId="14263" xr:uid="{00000000-0005-0000-0000-00007B4F0000}"/>
    <cellStyle name="Обычный 5 3 92 4" xfId="19603" xr:uid="{00000000-0005-0000-0000-00007C4F0000}"/>
    <cellStyle name="Обычный 5 3 92 5" xfId="24943" xr:uid="{00000000-0005-0000-0000-00007D4F0000}"/>
    <cellStyle name="Обычный 5 3 92 6" xfId="30283" xr:uid="{00000000-0005-0000-0000-00007E4F0000}"/>
    <cellStyle name="Обычный 5 3 92 7" xfId="35623" xr:uid="{00000000-0005-0000-0000-00007F4F0000}"/>
    <cellStyle name="Обычный 5 3 92 8" xfId="40963" xr:uid="{00000000-0005-0000-0000-0000804F0000}"/>
    <cellStyle name="Обычный 5 3 92 9" xfId="46303" xr:uid="{00000000-0005-0000-0000-0000814F0000}"/>
    <cellStyle name="Обычный 5 3 93" xfId="3612" xr:uid="{00000000-0005-0000-0000-0000824F0000}"/>
    <cellStyle name="Обычный 5 3 93 10" xfId="51675" xr:uid="{00000000-0005-0000-0000-0000834F0000}"/>
    <cellStyle name="Обычный 5 3 93 2" xfId="8955" xr:uid="{00000000-0005-0000-0000-0000844F0000}"/>
    <cellStyle name="Обычный 5 3 93 2 2" xfId="57016" xr:uid="{00000000-0005-0000-0000-0000854F0000}"/>
    <cellStyle name="Обычный 5 3 93 3" xfId="14295" xr:uid="{00000000-0005-0000-0000-0000864F0000}"/>
    <cellStyle name="Обычный 5 3 93 4" xfId="19635" xr:uid="{00000000-0005-0000-0000-0000874F0000}"/>
    <cellStyle name="Обычный 5 3 93 5" xfId="24975" xr:uid="{00000000-0005-0000-0000-0000884F0000}"/>
    <cellStyle name="Обычный 5 3 93 6" xfId="30315" xr:uid="{00000000-0005-0000-0000-0000894F0000}"/>
    <cellStyle name="Обычный 5 3 93 7" xfId="35655" xr:uid="{00000000-0005-0000-0000-00008A4F0000}"/>
    <cellStyle name="Обычный 5 3 93 8" xfId="40995" xr:uid="{00000000-0005-0000-0000-00008B4F0000}"/>
    <cellStyle name="Обычный 5 3 93 9" xfId="46335" xr:uid="{00000000-0005-0000-0000-00008C4F0000}"/>
    <cellStyle name="Обычный 5 3 94" xfId="3644" xr:uid="{00000000-0005-0000-0000-00008D4F0000}"/>
    <cellStyle name="Обычный 5 3 94 10" xfId="51707" xr:uid="{00000000-0005-0000-0000-00008E4F0000}"/>
    <cellStyle name="Обычный 5 3 94 2" xfId="8987" xr:uid="{00000000-0005-0000-0000-00008F4F0000}"/>
    <cellStyle name="Обычный 5 3 94 2 2" xfId="57048" xr:uid="{00000000-0005-0000-0000-0000904F0000}"/>
    <cellStyle name="Обычный 5 3 94 3" xfId="14327" xr:uid="{00000000-0005-0000-0000-0000914F0000}"/>
    <cellStyle name="Обычный 5 3 94 4" xfId="19667" xr:uid="{00000000-0005-0000-0000-0000924F0000}"/>
    <cellStyle name="Обычный 5 3 94 5" xfId="25007" xr:uid="{00000000-0005-0000-0000-0000934F0000}"/>
    <cellStyle name="Обычный 5 3 94 6" xfId="30347" xr:uid="{00000000-0005-0000-0000-0000944F0000}"/>
    <cellStyle name="Обычный 5 3 94 7" xfId="35687" xr:uid="{00000000-0005-0000-0000-0000954F0000}"/>
    <cellStyle name="Обычный 5 3 94 8" xfId="41027" xr:uid="{00000000-0005-0000-0000-0000964F0000}"/>
    <cellStyle name="Обычный 5 3 94 9" xfId="46367" xr:uid="{00000000-0005-0000-0000-0000974F0000}"/>
    <cellStyle name="Обычный 5 3 95" xfId="3676" xr:uid="{00000000-0005-0000-0000-0000984F0000}"/>
    <cellStyle name="Обычный 5 3 95 10" xfId="51739" xr:uid="{00000000-0005-0000-0000-0000994F0000}"/>
    <cellStyle name="Обычный 5 3 95 2" xfId="9019" xr:uid="{00000000-0005-0000-0000-00009A4F0000}"/>
    <cellStyle name="Обычный 5 3 95 2 2" xfId="57080" xr:uid="{00000000-0005-0000-0000-00009B4F0000}"/>
    <cellStyle name="Обычный 5 3 95 3" xfId="14359" xr:uid="{00000000-0005-0000-0000-00009C4F0000}"/>
    <cellStyle name="Обычный 5 3 95 4" xfId="19699" xr:uid="{00000000-0005-0000-0000-00009D4F0000}"/>
    <cellStyle name="Обычный 5 3 95 5" xfId="25039" xr:uid="{00000000-0005-0000-0000-00009E4F0000}"/>
    <cellStyle name="Обычный 5 3 95 6" xfId="30379" xr:uid="{00000000-0005-0000-0000-00009F4F0000}"/>
    <cellStyle name="Обычный 5 3 95 7" xfId="35719" xr:uid="{00000000-0005-0000-0000-0000A04F0000}"/>
    <cellStyle name="Обычный 5 3 95 8" xfId="41059" xr:uid="{00000000-0005-0000-0000-0000A14F0000}"/>
    <cellStyle name="Обычный 5 3 95 9" xfId="46399" xr:uid="{00000000-0005-0000-0000-0000A24F0000}"/>
    <cellStyle name="Обычный 5 3 96" xfId="3708" xr:uid="{00000000-0005-0000-0000-0000A34F0000}"/>
    <cellStyle name="Обычный 5 3 96 10" xfId="51771" xr:uid="{00000000-0005-0000-0000-0000A44F0000}"/>
    <cellStyle name="Обычный 5 3 96 2" xfId="9051" xr:uid="{00000000-0005-0000-0000-0000A54F0000}"/>
    <cellStyle name="Обычный 5 3 96 2 2" xfId="57112" xr:uid="{00000000-0005-0000-0000-0000A64F0000}"/>
    <cellStyle name="Обычный 5 3 96 3" xfId="14391" xr:uid="{00000000-0005-0000-0000-0000A74F0000}"/>
    <cellStyle name="Обычный 5 3 96 4" xfId="19731" xr:uid="{00000000-0005-0000-0000-0000A84F0000}"/>
    <cellStyle name="Обычный 5 3 96 5" xfId="25071" xr:uid="{00000000-0005-0000-0000-0000A94F0000}"/>
    <cellStyle name="Обычный 5 3 96 6" xfId="30411" xr:uid="{00000000-0005-0000-0000-0000AA4F0000}"/>
    <cellStyle name="Обычный 5 3 96 7" xfId="35751" xr:uid="{00000000-0005-0000-0000-0000AB4F0000}"/>
    <cellStyle name="Обычный 5 3 96 8" xfId="41091" xr:uid="{00000000-0005-0000-0000-0000AC4F0000}"/>
    <cellStyle name="Обычный 5 3 96 9" xfId="46431" xr:uid="{00000000-0005-0000-0000-0000AD4F0000}"/>
    <cellStyle name="Обычный 5 3 97" xfId="3740" xr:uid="{00000000-0005-0000-0000-0000AE4F0000}"/>
    <cellStyle name="Обычный 5 3 97 10" xfId="51803" xr:uid="{00000000-0005-0000-0000-0000AF4F0000}"/>
    <cellStyle name="Обычный 5 3 97 2" xfId="9083" xr:uid="{00000000-0005-0000-0000-0000B04F0000}"/>
    <cellStyle name="Обычный 5 3 97 2 2" xfId="57144" xr:uid="{00000000-0005-0000-0000-0000B14F0000}"/>
    <cellStyle name="Обычный 5 3 97 3" xfId="14423" xr:uid="{00000000-0005-0000-0000-0000B24F0000}"/>
    <cellStyle name="Обычный 5 3 97 4" xfId="19763" xr:uid="{00000000-0005-0000-0000-0000B34F0000}"/>
    <cellStyle name="Обычный 5 3 97 5" xfId="25103" xr:uid="{00000000-0005-0000-0000-0000B44F0000}"/>
    <cellStyle name="Обычный 5 3 97 6" xfId="30443" xr:uid="{00000000-0005-0000-0000-0000B54F0000}"/>
    <cellStyle name="Обычный 5 3 97 7" xfId="35783" xr:uid="{00000000-0005-0000-0000-0000B64F0000}"/>
    <cellStyle name="Обычный 5 3 97 8" xfId="41123" xr:uid="{00000000-0005-0000-0000-0000B74F0000}"/>
    <cellStyle name="Обычный 5 3 97 9" xfId="46463" xr:uid="{00000000-0005-0000-0000-0000B84F0000}"/>
    <cellStyle name="Обычный 5 3 98" xfId="3772" xr:uid="{00000000-0005-0000-0000-0000B94F0000}"/>
    <cellStyle name="Обычный 5 3 98 10" xfId="51835" xr:uid="{00000000-0005-0000-0000-0000BA4F0000}"/>
    <cellStyle name="Обычный 5 3 98 2" xfId="9115" xr:uid="{00000000-0005-0000-0000-0000BB4F0000}"/>
    <cellStyle name="Обычный 5 3 98 2 2" xfId="57176" xr:uid="{00000000-0005-0000-0000-0000BC4F0000}"/>
    <cellStyle name="Обычный 5 3 98 3" xfId="14455" xr:uid="{00000000-0005-0000-0000-0000BD4F0000}"/>
    <cellStyle name="Обычный 5 3 98 4" xfId="19795" xr:uid="{00000000-0005-0000-0000-0000BE4F0000}"/>
    <cellStyle name="Обычный 5 3 98 5" xfId="25135" xr:uid="{00000000-0005-0000-0000-0000BF4F0000}"/>
    <cellStyle name="Обычный 5 3 98 6" xfId="30475" xr:uid="{00000000-0005-0000-0000-0000C04F0000}"/>
    <cellStyle name="Обычный 5 3 98 7" xfId="35815" xr:uid="{00000000-0005-0000-0000-0000C14F0000}"/>
    <cellStyle name="Обычный 5 3 98 8" xfId="41155" xr:uid="{00000000-0005-0000-0000-0000C24F0000}"/>
    <cellStyle name="Обычный 5 3 98 9" xfId="46495" xr:uid="{00000000-0005-0000-0000-0000C34F0000}"/>
    <cellStyle name="Обычный 5 3 99" xfId="3804" xr:uid="{00000000-0005-0000-0000-0000C44F0000}"/>
    <cellStyle name="Обычный 5 3 99 10" xfId="51867" xr:uid="{00000000-0005-0000-0000-0000C54F0000}"/>
    <cellStyle name="Обычный 5 3 99 2" xfId="9147" xr:uid="{00000000-0005-0000-0000-0000C64F0000}"/>
    <cellStyle name="Обычный 5 3 99 2 2" xfId="57208" xr:uid="{00000000-0005-0000-0000-0000C74F0000}"/>
    <cellStyle name="Обычный 5 3 99 3" xfId="14487" xr:uid="{00000000-0005-0000-0000-0000C84F0000}"/>
    <cellStyle name="Обычный 5 3 99 4" xfId="19827" xr:uid="{00000000-0005-0000-0000-0000C94F0000}"/>
    <cellStyle name="Обычный 5 3 99 5" xfId="25167" xr:uid="{00000000-0005-0000-0000-0000CA4F0000}"/>
    <cellStyle name="Обычный 5 3 99 6" xfId="30507" xr:uid="{00000000-0005-0000-0000-0000CB4F0000}"/>
    <cellStyle name="Обычный 5 3 99 7" xfId="35847" xr:uid="{00000000-0005-0000-0000-0000CC4F0000}"/>
    <cellStyle name="Обычный 5 3 99 8" xfId="41187" xr:uid="{00000000-0005-0000-0000-0000CD4F0000}"/>
    <cellStyle name="Обычный 5 3 99 9" xfId="46527" xr:uid="{00000000-0005-0000-0000-0000CE4F0000}"/>
    <cellStyle name="Обычный 5 30" xfId="314" xr:uid="{00000000-0005-0000-0000-0000CF4F0000}"/>
    <cellStyle name="Обычный 5 30 10" xfId="43036" xr:uid="{00000000-0005-0000-0000-0000D04F0000}"/>
    <cellStyle name="Обычный 5 30 11" xfId="48376" xr:uid="{00000000-0005-0000-0000-0000D14F0000}"/>
    <cellStyle name="Обычный 5 30 2" xfId="781" xr:uid="{00000000-0005-0000-0000-0000D24F0000}"/>
    <cellStyle name="Обычный 5 30 2 10" xfId="48843" xr:uid="{00000000-0005-0000-0000-0000D34F0000}"/>
    <cellStyle name="Обычный 5 30 2 2" xfId="6122" xr:uid="{00000000-0005-0000-0000-0000D44F0000}"/>
    <cellStyle name="Обычный 5 30 2 2 2" xfId="54184" xr:uid="{00000000-0005-0000-0000-0000D54F0000}"/>
    <cellStyle name="Обычный 5 30 2 3" xfId="11463" xr:uid="{00000000-0005-0000-0000-0000D64F0000}"/>
    <cellStyle name="Обычный 5 30 2 4" xfId="16803" xr:uid="{00000000-0005-0000-0000-0000D74F0000}"/>
    <cellStyle name="Обычный 5 30 2 5" xfId="22143" xr:uid="{00000000-0005-0000-0000-0000D84F0000}"/>
    <cellStyle name="Обычный 5 30 2 6" xfId="27483" xr:uid="{00000000-0005-0000-0000-0000D94F0000}"/>
    <cellStyle name="Обычный 5 30 2 7" xfId="32823" xr:uid="{00000000-0005-0000-0000-0000DA4F0000}"/>
    <cellStyle name="Обычный 5 30 2 8" xfId="38163" xr:uid="{00000000-0005-0000-0000-0000DB4F0000}"/>
    <cellStyle name="Обычный 5 30 2 9" xfId="43503" xr:uid="{00000000-0005-0000-0000-0000DC4F0000}"/>
    <cellStyle name="Обычный 5 30 3" xfId="5655" xr:uid="{00000000-0005-0000-0000-0000DD4F0000}"/>
    <cellStyle name="Обычный 5 30 3 2" xfId="53717" xr:uid="{00000000-0005-0000-0000-0000DE4F0000}"/>
    <cellStyle name="Обычный 5 30 4" xfId="10996" xr:uid="{00000000-0005-0000-0000-0000DF4F0000}"/>
    <cellStyle name="Обычный 5 30 5" xfId="16336" xr:uid="{00000000-0005-0000-0000-0000E04F0000}"/>
    <cellStyle name="Обычный 5 30 6" xfId="21676" xr:uid="{00000000-0005-0000-0000-0000E14F0000}"/>
    <cellStyle name="Обычный 5 30 7" xfId="27016" xr:uid="{00000000-0005-0000-0000-0000E24F0000}"/>
    <cellStyle name="Обычный 5 30 8" xfId="32356" xr:uid="{00000000-0005-0000-0000-0000E34F0000}"/>
    <cellStyle name="Обычный 5 30 9" xfId="37696" xr:uid="{00000000-0005-0000-0000-0000E44F0000}"/>
    <cellStyle name="Обычный 5 31" xfId="324" xr:uid="{00000000-0005-0000-0000-0000E54F0000}"/>
    <cellStyle name="Обычный 5 31 10" xfId="43046" xr:uid="{00000000-0005-0000-0000-0000E64F0000}"/>
    <cellStyle name="Обычный 5 31 11" xfId="48386" xr:uid="{00000000-0005-0000-0000-0000E74F0000}"/>
    <cellStyle name="Обычный 5 31 2" xfId="791" xr:uid="{00000000-0005-0000-0000-0000E84F0000}"/>
    <cellStyle name="Обычный 5 31 2 10" xfId="48853" xr:uid="{00000000-0005-0000-0000-0000E94F0000}"/>
    <cellStyle name="Обычный 5 31 2 2" xfId="6132" xr:uid="{00000000-0005-0000-0000-0000EA4F0000}"/>
    <cellStyle name="Обычный 5 31 2 2 2" xfId="54194" xr:uid="{00000000-0005-0000-0000-0000EB4F0000}"/>
    <cellStyle name="Обычный 5 31 2 3" xfId="11473" xr:uid="{00000000-0005-0000-0000-0000EC4F0000}"/>
    <cellStyle name="Обычный 5 31 2 4" xfId="16813" xr:uid="{00000000-0005-0000-0000-0000ED4F0000}"/>
    <cellStyle name="Обычный 5 31 2 5" xfId="22153" xr:uid="{00000000-0005-0000-0000-0000EE4F0000}"/>
    <cellStyle name="Обычный 5 31 2 6" xfId="27493" xr:uid="{00000000-0005-0000-0000-0000EF4F0000}"/>
    <cellStyle name="Обычный 5 31 2 7" xfId="32833" xr:uid="{00000000-0005-0000-0000-0000F04F0000}"/>
    <cellStyle name="Обычный 5 31 2 8" xfId="38173" xr:uid="{00000000-0005-0000-0000-0000F14F0000}"/>
    <cellStyle name="Обычный 5 31 2 9" xfId="43513" xr:uid="{00000000-0005-0000-0000-0000F24F0000}"/>
    <cellStyle name="Обычный 5 31 3" xfId="5665" xr:uid="{00000000-0005-0000-0000-0000F34F0000}"/>
    <cellStyle name="Обычный 5 31 3 2" xfId="53727" xr:uid="{00000000-0005-0000-0000-0000F44F0000}"/>
    <cellStyle name="Обычный 5 31 4" xfId="11006" xr:uid="{00000000-0005-0000-0000-0000F54F0000}"/>
    <cellStyle name="Обычный 5 31 5" xfId="16346" xr:uid="{00000000-0005-0000-0000-0000F64F0000}"/>
    <cellStyle name="Обычный 5 31 6" xfId="21686" xr:uid="{00000000-0005-0000-0000-0000F74F0000}"/>
    <cellStyle name="Обычный 5 31 7" xfId="27026" xr:uid="{00000000-0005-0000-0000-0000F84F0000}"/>
    <cellStyle name="Обычный 5 31 8" xfId="32366" xr:uid="{00000000-0005-0000-0000-0000F94F0000}"/>
    <cellStyle name="Обычный 5 31 9" xfId="37706" xr:uid="{00000000-0005-0000-0000-0000FA4F0000}"/>
    <cellStyle name="Обычный 5 32" xfId="334" xr:uid="{00000000-0005-0000-0000-0000FB4F0000}"/>
    <cellStyle name="Обычный 5 32 10" xfId="43056" xr:uid="{00000000-0005-0000-0000-0000FC4F0000}"/>
    <cellStyle name="Обычный 5 32 11" xfId="48396" xr:uid="{00000000-0005-0000-0000-0000FD4F0000}"/>
    <cellStyle name="Обычный 5 32 2" xfId="801" xr:uid="{00000000-0005-0000-0000-0000FE4F0000}"/>
    <cellStyle name="Обычный 5 32 2 10" xfId="48863" xr:uid="{00000000-0005-0000-0000-0000FF4F0000}"/>
    <cellStyle name="Обычный 5 32 2 2" xfId="6142" xr:uid="{00000000-0005-0000-0000-000000500000}"/>
    <cellStyle name="Обычный 5 32 2 2 2" xfId="54204" xr:uid="{00000000-0005-0000-0000-000001500000}"/>
    <cellStyle name="Обычный 5 32 2 3" xfId="11483" xr:uid="{00000000-0005-0000-0000-000002500000}"/>
    <cellStyle name="Обычный 5 32 2 4" xfId="16823" xr:uid="{00000000-0005-0000-0000-000003500000}"/>
    <cellStyle name="Обычный 5 32 2 5" xfId="22163" xr:uid="{00000000-0005-0000-0000-000004500000}"/>
    <cellStyle name="Обычный 5 32 2 6" xfId="27503" xr:uid="{00000000-0005-0000-0000-000005500000}"/>
    <cellStyle name="Обычный 5 32 2 7" xfId="32843" xr:uid="{00000000-0005-0000-0000-000006500000}"/>
    <cellStyle name="Обычный 5 32 2 8" xfId="38183" xr:uid="{00000000-0005-0000-0000-000007500000}"/>
    <cellStyle name="Обычный 5 32 2 9" xfId="43523" xr:uid="{00000000-0005-0000-0000-000008500000}"/>
    <cellStyle name="Обычный 5 32 3" xfId="5675" xr:uid="{00000000-0005-0000-0000-000009500000}"/>
    <cellStyle name="Обычный 5 32 3 2" xfId="53737" xr:uid="{00000000-0005-0000-0000-00000A500000}"/>
    <cellStyle name="Обычный 5 32 4" xfId="11016" xr:uid="{00000000-0005-0000-0000-00000B500000}"/>
    <cellStyle name="Обычный 5 32 5" xfId="16356" xr:uid="{00000000-0005-0000-0000-00000C500000}"/>
    <cellStyle name="Обычный 5 32 6" xfId="21696" xr:uid="{00000000-0005-0000-0000-00000D500000}"/>
    <cellStyle name="Обычный 5 32 7" xfId="27036" xr:uid="{00000000-0005-0000-0000-00000E500000}"/>
    <cellStyle name="Обычный 5 32 8" xfId="32376" xr:uid="{00000000-0005-0000-0000-00000F500000}"/>
    <cellStyle name="Обычный 5 32 9" xfId="37716" xr:uid="{00000000-0005-0000-0000-000010500000}"/>
    <cellStyle name="Обычный 5 33" xfId="344" xr:uid="{00000000-0005-0000-0000-000011500000}"/>
    <cellStyle name="Обычный 5 33 10" xfId="43066" xr:uid="{00000000-0005-0000-0000-000012500000}"/>
    <cellStyle name="Обычный 5 33 11" xfId="48406" xr:uid="{00000000-0005-0000-0000-000013500000}"/>
    <cellStyle name="Обычный 5 33 2" xfId="811" xr:uid="{00000000-0005-0000-0000-000014500000}"/>
    <cellStyle name="Обычный 5 33 2 10" xfId="48873" xr:uid="{00000000-0005-0000-0000-000015500000}"/>
    <cellStyle name="Обычный 5 33 2 2" xfId="6152" xr:uid="{00000000-0005-0000-0000-000016500000}"/>
    <cellStyle name="Обычный 5 33 2 2 2" xfId="54214" xr:uid="{00000000-0005-0000-0000-000017500000}"/>
    <cellStyle name="Обычный 5 33 2 3" xfId="11493" xr:uid="{00000000-0005-0000-0000-000018500000}"/>
    <cellStyle name="Обычный 5 33 2 4" xfId="16833" xr:uid="{00000000-0005-0000-0000-000019500000}"/>
    <cellStyle name="Обычный 5 33 2 5" xfId="22173" xr:uid="{00000000-0005-0000-0000-00001A500000}"/>
    <cellStyle name="Обычный 5 33 2 6" xfId="27513" xr:uid="{00000000-0005-0000-0000-00001B500000}"/>
    <cellStyle name="Обычный 5 33 2 7" xfId="32853" xr:uid="{00000000-0005-0000-0000-00001C500000}"/>
    <cellStyle name="Обычный 5 33 2 8" xfId="38193" xr:uid="{00000000-0005-0000-0000-00001D500000}"/>
    <cellStyle name="Обычный 5 33 2 9" xfId="43533" xr:uid="{00000000-0005-0000-0000-00001E500000}"/>
    <cellStyle name="Обычный 5 33 3" xfId="5685" xr:uid="{00000000-0005-0000-0000-00001F500000}"/>
    <cellStyle name="Обычный 5 33 3 2" xfId="53747" xr:uid="{00000000-0005-0000-0000-000020500000}"/>
    <cellStyle name="Обычный 5 33 4" xfId="11026" xr:uid="{00000000-0005-0000-0000-000021500000}"/>
    <cellStyle name="Обычный 5 33 5" xfId="16366" xr:uid="{00000000-0005-0000-0000-000022500000}"/>
    <cellStyle name="Обычный 5 33 6" xfId="21706" xr:uid="{00000000-0005-0000-0000-000023500000}"/>
    <cellStyle name="Обычный 5 33 7" xfId="27046" xr:uid="{00000000-0005-0000-0000-000024500000}"/>
    <cellStyle name="Обычный 5 33 8" xfId="32386" xr:uid="{00000000-0005-0000-0000-000025500000}"/>
    <cellStyle name="Обычный 5 33 9" xfId="37726" xr:uid="{00000000-0005-0000-0000-000026500000}"/>
    <cellStyle name="Обычный 5 34" xfId="354" xr:uid="{00000000-0005-0000-0000-000027500000}"/>
    <cellStyle name="Обычный 5 34 10" xfId="43076" xr:uid="{00000000-0005-0000-0000-000028500000}"/>
    <cellStyle name="Обычный 5 34 11" xfId="48416" xr:uid="{00000000-0005-0000-0000-000029500000}"/>
    <cellStyle name="Обычный 5 34 2" xfId="821" xr:uid="{00000000-0005-0000-0000-00002A500000}"/>
    <cellStyle name="Обычный 5 34 2 10" xfId="48883" xr:uid="{00000000-0005-0000-0000-00002B500000}"/>
    <cellStyle name="Обычный 5 34 2 2" xfId="6162" xr:uid="{00000000-0005-0000-0000-00002C500000}"/>
    <cellStyle name="Обычный 5 34 2 2 2" xfId="54224" xr:uid="{00000000-0005-0000-0000-00002D500000}"/>
    <cellStyle name="Обычный 5 34 2 3" xfId="11503" xr:uid="{00000000-0005-0000-0000-00002E500000}"/>
    <cellStyle name="Обычный 5 34 2 4" xfId="16843" xr:uid="{00000000-0005-0000-0000-00002F500000}"/>
    <cellStyle name="Обычный 5 34 2 5" xfId="22183" xr:uid="{00000000-0005-0000-0000-000030500000}"/>
    <cellStyle name="Обычный 5 34 2 6" xfId="27523" xr:uid="{00000000-0005-0000-0000-000031500000}"/>
    <cellStyle name="Обычный 5 34 2 7" xfId="32863" xr:uid="{00000000-0005-0000-0000-000032500000}"/>
    <cellStyle name="Обычный 5 34 2 8" xfId="38203" xr:uid="{00000000-0005-0000-0000-000033500000}"/>
    <cellStyle name="Обычный 5 34 2 9" xfId="43543" xr:uid="{00000000-0005-0000-0000-000034500000}"/>
    <cellStyle name="Обычный 5 34 3" xfId="5695" xr:uid="{00000000-0005-0000-0000-000035500000}"/>
    <cellStyle name="Обычный 5 34 3 2" xfId="53757" xr:uid="{00000000-0005-0000-0000-000036500000}"/>
    <cellStyle name="Обычный 5 34 4" xfId="11036" xr:uid="{00000000-0005-0000-0000-000037500000}"/>
    <cellStyle name="Обычный 5 34 5" xfId="16376" xr:uid="{00000000-0005-0000-0000-000038500000}"/>
    <cellStyle name="Обычный 5 34 6" xfId="21716" xr:uid="{00000000-0005-0000-0000-000039500000}"/>
    <cellStyle name="Обычный 5 34 7" xfId="27056" xr:uid="{00000000-0005-0000-0000-00003A500000}"/>
    <cellStyle name="Обычный 5 34 8" xfId="32396" xr:uid="{00000000-0005-0000-0000-00003B500000}"/>
    <cellStyle name="Обычный 5 34 9" xfId="37736" xr:uid="{00000000-0005-0000-0000-00003C500000}"/>
    <cellStyle name="Обычный 5 35" xfId="364" xr:uid="{00000000-0005-0000-0000-00003D500000}"/>
    <cellStyle name="Обычный 5 35 10" xfId="43086" xr:uid="{00000000-0005-0000-0000-00003E500000}"/>
    <cellStyle name="Обычный 5 35 11" xfId="48426" xr:uid="{00000000-0005-0000-0000-00003F500000}"/>
    <cellStyle name="Обычный 5 35 2" xfId="831" xr:uid="{00000000-0005-0000-0000-000040500000}"/>
    <cellStyle name="Обычный 5 35 2 10" xfId="48893" xr:uid="{00000000-0005-0000-0000-000041500000}"/>
    <cellStyle name="Обычный 5 35 2 2" xfId="6172" xr:uid="{00000000-0005-0000-0000-000042500000}"/>
    <cellStyle name="Обычный 5 35 2 2 2" xfId="54234" xr:uid="{00000000-0005-0000-0000-000043500000}"/>
    <cellStyle name="Обычный 5 35 2 3" xfId="11513" xr:uid="{00000000-0005-0000-0000-000044500000}"/>
    <cellStyle name="Обычный 5 35 2 4" xfId="16853" xr:uid="{00000000-0005-0000-0000-000045500000}"/>
    <cellStyle name="Обычный 5 35 2 5" xfId="22193" xr:uid="{00000000-0005-0000-0000-000046500000}"/>
    <cellStyle name="Обычный 5 35 2 6" xfId="27533" xr:uid="{00000000-0005-0000-0000-000047500000}"/>
    <cellStyle name="Обычный 5 35 2 7" xfId="32873" xr:uid="{00000000-0005-0000-0000-000048500000}"/>
    <cellStyle name="Обычный 5 35 2 8" xfId="38213" xr:uid="{00000000-0005-0000-0000-000049500000}"/>
    <cellStyle name="Обычный 5 35 2 9" xfId="43553" xr:uid="{00000000-0005-0000-0000-00004A500000}"/>
    <cellStyle name="Обычный 5 35 3" xfId="5705" xr:uid="{00000000-0005-0000-0000-00004B500000}"/>
    <cellStyle name="Обычный 5 35 3 2" xfId="53767" xr:uid="{00000000-0005-0000-0000-00004C500000}"/>
    <cellStyle name="Обычный 5 35 4" xfId="11046" xr:uid="{00000000-0005-0000-0000-00004D500000}"/>
    <cellStyle name="Обычный 5 35 5" xfId="16386" xr:uid="{00000000-0005-0000-0000-00004E500000}"/>
    <cellStyle name="Обычный 5 35 6" xfId="21726" xr:uid="{00000000-0005-0000-0000-00004F500000}"/>
    <cellStyle name="Обычный 5 35 7" xfId="27066" xr:uid="{00000000-0005-0000-0000-000050500000}"/>
    <cellStyle name="Обычный 5 35 8" xfId="32406" xr:uid="{00000000-0005-0000-0000-000051500000}"/>
    <cellStyle name="Обычный 5 35 9" xfId="37746" xr:uid="{00000000-0005-0000-0000-000052500000}"/>
    <cellStyle name="Обычный 5 36" xfId="374" xr:uid="{00000000-0005-0000-0000-000053500000}"/>
    <cellStyle name="Обычный 5 36 10" xfId="43096" xr:uid="{00000000-0005-0000-0000-000054500000}"/>
    <cellStyle name="Обычный 5 36 11" xfId="48436" xr:uid="{00000000-0005-0000-0000-000055500000}"/>
    <cellStyle name="Обычный 5 36 2" xfId="841" xr:uid="{00000000-0005-0000-0000-000056500000}"/>
    <cellStyle name="Обычный 5 36 2 10" xfId="48903" xr:uid="{00000000-0005-0000-0000-000057500000}"/>
    <cellStyle name="Обычный 5 36 2 2" xfId="6182" xr:uid="{00000000-0005-0000-0000-000058500000}"/>
    <cellStyle name="Обычный 5 36 2 2 2" xfId="54244" xr:uid="{00000000-0005-0000-0000-000059500000}"/>
    <cellStyle name="Обычный 5 36 2 3" xfId="11523" xr:uid="{00000000-0005-0000-0000-00005A500000}"/>
    <cellStyle name="Обычный 5 36 2 4" xfId="16863" xr:uid="{00000000-0005-0000-0000-00005B500000}"/>
    <cellStyle name="Обычный 5 36 2 5" xfId="22203" xr:uid="{00000000-0005-0000-0000-00005C500000}"/>
    <cellStyle name="Обычный 5 36 2 6" xfId="27543" xr:uid="{00000000-0005-0000-0000-00005D500000}"/>
    <cellStyle name="Обычный 5 36 2 7" xfId="32883" xr:uid="{00000000-0005-0000-0000-00005E500000}"/>
    <cellStyle name="Обычный 5 36 2 8" xfId="38223" xr:uid="{00000000-0005-0000-0000-00005F500000}"/>
    <cellStyle name="Обычный 5 36 2 9" xfId="43563" xr:uid="{00000000-0005-0000-0000-000060500000}"/>
    <cellStyle name="Обычный 5 36 3" xfId="5715" xr:uid="{00000000-0005-0000-0000-000061500000}"/>
    <cellStyle name="Обычный 5 36 3 2" xfId="53777" xr:uid="{00000000-0005-0000-0000-000062500000}"/>
    <cellStyle name="Обычный 5 36 4" xfId="11056" xr:uid="{00000000-0005-0000-0000-000063500000}"/>
    <cellStyle name="Обычный 5 36 5" xfId="16396" xr:uid="{00000000-0005-0000-0000-000064500000}"/>
    <cellStyle name="Обычный 5 36 6" xfId="21736" xr:uid="{00000000-0005-0000-0000-000065500000}"/>
    <cellStyle name="Обычный 5 36 7" xfId="27076" xr:uid="{00000000-0005-0000-0000-000066500000}"/>
    <cellStyle name="Обычный 5 36 8" xfId="32416" xr:uid="{00000000-0005-0000-0000-000067500000}"/>
    <cellStyle name="Обычный 5 36 9" xfId="37756" xr:uid="{00000000-0005-0000-0000-000068500000}"/>
    <cellStyle name="Обычный 5 37" xfId="384" xr:uid="{00000000-0005-0000-0000-000069500000}"/>
    <cellStyle name="Обычный 5 37 10" xfId="43106" xr:uid="{00000000-0005-0000-0000-00006A500000}"/>
    <cellStyle name="Обычный 5 37 11" xfId="48446" xr:uid="{00000000-0005-0000-0000-00006B500000}"/>
    <cellStyle name="Обычный 5 37 2" xfId="851" xr:uid="{00000000-0005-0000-0000-00006C500000}"/>
    <cellStyle name="Обычный 5 37 2 10" xfId="48913" xr:uid="{00000000-0005-0000-0000-00006D500000}"/>
    <cellStyle name="Обычный 5 37 2 2" xfId="6192" xr:uid="{00000000-0005-0000-0000-00006E500000}"/>
    <cellStyle name="Обычный 5 37 2 2 2" xfId="54254" xr:uid="{00000000-0005-0000-0000-00006F500000}"/>
    <cellStyle name="Обычный 5 37 2 3" xfId="11533" xr:uid="{00000000-0005-0000-0000-000070500000}"/>
    <cellStyle name="Обычный 5 37 2 4" xfId="16873" xr:uid="{00000000-0005-0000-0000-000071500000}"/>
    <cellStyle name="Обычный 5 37 2 5" xfId="22213" xr:uid="{00000000-0005-0000-0000-000072500000}"/>
    <cellStyle name="Обычный 5 37 2 6" xfId="27553" xr:uid="{00000000-0005-0000-0000-000073500000}"/>
    <cellStyle name="Обычный 5 37 2 7" xfId="32893" xr:uid="{00000000-0005-0000-0000-000074500000}"/>
    <cellStyle name="Обычный 5 37 2 8" xfId="38233" xr:uid="{00000000-0005-0000-0000-000075500000}"/>
    <cellStyle name="Обычный 5 37 2 9" xfId="43573" xr:uid="{00000000-0005-0000-0000-000076500000}"/>
    <cellStyle name="Обычный 5 37 3" xfId="5725" xr:uid="{00000000-0005-0000-0000-000077500000}"/>
    <cellStyle name="Обычный 5 37 3 2" xfId="53787" xr:uid="{00000000-0005-0000-0000-000078500000}"/>
    <cellStyle name="Обычный 5 37 4" xfId="11066" xr:uid="{00000000-0005-0000-0000-000079500000}"/>
    <cellStyle name="Обычный 5 37 5" xfId="16406" xr:uid="{00000000-0005-0000-0000-00007A500000}"/>
    <cellStyle name="Обычный 5 37 6" xfId="21746" xr:uid="{00000000-0005-0000-0000-00007B500000}"/>
    <cellStyle name="Обычный 5 37 7" xfId="27086" xr:uid="{00000000-0005-0000-0000-00007C500000}"/>
    <cellStyle name="Обычный 5 37 8" xfId="32426" xr:uid="{00000000-0005-0000-0000-00007D500000}"/>
    <cellStyle name="Обычный 5 37 9" xfId="37766" xr:uid="{00000000-0005-0000-0000-00007E500000}"/>
    <cellStyle name="Обычный 5 38" xfId="394" xr:uid="{00000000-0005-0000-0000-00007F500000}"/>
    <cellStyle name="Обычный 5 38 10" xfId="43116" xr:uid="{00000000-0005-0000-0000-000080500000}"/>
    <cellStyle name="Обычный 5 38 11" xfId="48456" xr:uid="{00000000-0005-0000-0000-000081500000}"/>
    <cellStyle name="Обычный 5 38 2" xfId="861" xr:uid="{00000000-0005-0000-0000-000082500000}"/>
    <cellStyle name="Обычный 5 38 2 10" xfId="48923" xr:uid="{00000000-0005-0000-0000-000083500000}"/>
    <cellStyle name="Обычный 5 38 2 2" xfId="6202" xr:uid="{00000000-0005-0000-0000-000084500000}"/>
    <cellStyle name="Обычный 5 38 2 2 2" xfId="54264" xr:uid="{00000000-0005-0000-0000-000085500000}"/>
    <cellStyle name="Обычный 5 38 2 3" xfId="11543" xr:uid="{00000000-0005-0000-0000-000086500000}"/>
    <cellStyle name="Обычный 5 38 2 4" xfId="16883" xr:uid="{00000000-0005-0000-0000-000087500000}"/>
    <cellStyle name="Обычный 5 38 2 5" xfId="22223" xr:uid="{00000000-0005-0000-0000-000088500000}"/>
    <cellStyle name="Обычный 5 38 2 6" xfId="27563" xr:uid="{00000000-0005-0000-0000-000089500000}"/>
    <cellStyle name="Обычный 5 38 2 7" xfId="32903" xr:uid="{00000000-0005-0000-0000-00008A500000}"/>
    <cellStyle name="Обычный 5 38 2 8" xfId="38243" xr:uid="{00000000-0005-0000-0000-00008B500000}"/>
    <cellStyle name="Обычный 5 38 2 9" xfId="43583" xr:uid="{00000000-0005-0000-0000-00008C500000}"/>
    <cellStyle name="Обычный 5 38 3" xfId="5735" xr:uid="{00000000-0005-0000-0000-00008D500000}"/>
    <cellStyle name="Обычный 5 38 3 2" xfId="53797" xr:uid="{00000000-0005-0000-0000-00008E500000}"/>
    <cellStyle name="Обычный 5 38 4" xfId="11076" xr:uid="{00000000-0005-0000-0000-00008F500000}"/>
    <cellStyle name="Обычный 5 38 5" xfId="16416" xr:uid="{00000000-0005-0000-0000-000090500000}"/>
    <cellStyle name="Обычный 5 38 6" xfId="21756" xr:uid="{00000000-0005-0000-0000-000091500000}"/>
    <cellStyle name="Обычный 5 38 7" xfId="27096" xr:uid="{00000000-0005-0000-0000-000092500000}"/>
    <cellStyle name="Обычный 5 38 8" xfId="32436" xr:uid="{00000000-0005-0000-0000-000093500000}"/>
    <cellStyle name="Обычный 5 38 9" xfId="37776" xr:uid="{00000000-0005-0000-0000-000094500000}"/>
    <cellStyle name="Обычный 5 39" xfId="404" xr:uid="{00000000-0005-0000-0000-000095500000}"/>
    <cellStyle name="Обычный 5 39 10" xfId="43126" xr:uid="{00000000-0005-0000-0000-000096500000}"/>
    <cellStyle name="Обычный 5 39 11" xfId="48466" xr:uid="{00000000-0005-0000-0000-000097500000}"/>
    <cellStyle name="Обычный 5 39 2" xfId="871" xr:uid="{00000000-0005-0000-0000-000098500000}"/>
    <cellStyle name="Обычный 5 39 2 10" xfId="48933" xr:uid="{00000000-0005-0000-0000-000099500000}"/>
    <cellStyle name="Обычный 5 39 2 2" xfId="6212" xr:uid="{00000000-0005-0000-0000-00009A500000}"/>
    <cellStyle name="Обычный 5 39 2 2 2" xfId="54274" xr:uid="{00000000-0005-0000-0000-00009B500000}"/>
    <cellStyle name="Обычный 5 39 2 3" xfId="11553" xr:uid="{00000000-0005-0000-0000-00009C500000}"/>
    <cellStyle name="Обычный 5 39 2 4" xfId="16893" xr:uid="{00000000-0005-0000-0000-00009D500000}"/>
    <cellStyle name="Обычный 5 39 2 5" xfId="22233" xr:uid="{00000000-0005-0000-0000-00009E500000}"/>
    <cellStyle name="Обычный 5 39 2 6" xfId="27573" xr:uid="{00000000-0005-0000-0000-00009F500000}"/>
    <cellStyle name="Обычный 5 39 2 7" xfId="32913" xr:uid="{00000000-0005-0000-0000-0000A0500000}"/>
    <cellStyle name="Обычный 5 39 2 8" xfId="38253" xr:uid="{00000000-0005-0000-0000-0000A1500000}"/>
    <cellStyle name="Обычный 5 39 2 9" xfId="43593" xr:uid="{00000000-0005-0000-0000-0000A2500000}"/>
    <cellStyle name="Обычный 5 39 3" xfId="5745" xr:uid="{00000000-0005-0000-0000-0000A3500000}"/>
    <cellStyle name="Обычный 5 39 3 2" xfId="53807" xr:uid="{00000000-0005-0000-0000-0000A4500000}"/>
    <cellStyle name="Обычный 5 39 4" xfId="11086" xr:uid="{00000000-0005-0000-0000-0000A5500000}"/>
    <cellStyle name="Обычный 5 39 5" xfId="16426" xr:uid="{00000000-0005-0000-0000-0000A6500000}"/>
    <cellStyle name="Обычный 5 39 6" xfId="21766" xr:uid="{00000000-0005-0000-0000-0000A7500000}"/>
    <cellStyle name="Обычный 5 39 7" xfId="27106" xr:uid="{00000000-0005-0000-0000-0000A8500000}"/>
    <cellStyle name="Обычный 5 39 8" xfId="32446" xr:uid="{00000000-0005-0000-0000-0000A9500000}"/>
    <cellStyle name="Обычный 5 39 9" xfId="37786" xr:uid="{00000000-0005-0000-0000-0000AA500000}"/>
    <cellStyle name="Обычный 5 4" xfId="82" xr:uid="{00000000-0005-0000-0000-0000AB500000}"/>
    <cellStyle name="Обычный 5 4 10" xfId="42804" xr:uid="{00000000-0005-0000-0000-0000AC500000}"/>
    <cellStyle name="Обычный 5 4 11" xfId="48144" xr:uid="{00000000-0005-0000-0000-0000AD500000}"/>
    <cellStyle name="Обычный 5 4 2" xfId="549" xr:uid="{00000000-0005-0000-0000-0000AE500000}"/>
    <cellStyle name="Обычный 5 4 2 10" xfId="48611" xr:uid="{00000000-0005-0000-0000-0000AF500000}"/>
    <cellStyle name="Обычный 5 4 2 2" xfId="5890" xr:uid="{00000000-0005-0000-0000-0000B0500000}"/>
    <cellStyle name="Обычный 5 4 2 2 2" xfId="53952" xr:uid="{00000000-0005-0000-0000-0000B1500000}"/>
    <cellStyle name="Обычный 5 4 2 3" xfId="11231" xr:uid="{00000000-0005-0000-0000-0000B2500000}"/>
    <cellStyle name="Обычный 5 4 2 4" xfId="16571" xr:uid="{00000000-0005-0000-0000-0000B3500000}"/>
    <cellStyle name="Обычный 5 4 2 5" xfId="21911" xr:uid="{00000000-0005-0000-0000-0000B4500000}"/>
    <cellStyle name="Обычный 5 4 2 6" xfId="27251" xr:uid="{00000000-0005-0000-0000-0000B5500000}"/>
    <cellStyle name="Обычный 5 4 2 7" xfId="32591" xr:uid="{00000000-0005-0000-0000-0000B6500000}"/>
    <cellStyle name="Обычный 5 4 2 8" xfId="37931" xr:uid="{00000000-0005-0000-0000-0000B7500000}"/>
    <cellStyle name="Обычный 5 4 2 9" xfId="43271" xr:uid="{00000000-0005-0000-0000-0000B8500000}"/>
    <cellStyle name="Обычный 5 4 3" xfId="5423" xr:uid="{00000000-0005-0000-0000-0000B9500000}"/>
    <cellStyle name="Обычный 5 4 3 2" xfId="53485" xr:uid="{00000000-0005-0000-0000-0000BA500000}"/>
    <cellStyle name="Обычный 5 4 4" xfId="10764" xr:uid="{00000000-0005-0000-0000-0000BB500000}"/>
    <cellStyle name="Обычный 5 4 5" xfId="16104" xr:uid="{00000000-0005-0000-0000-0000BC500000}"/>
    <cellStyle name="Обычный 5 4 6" xfId="21444" xr:uid="{00000000-0005-0000-0000-0000BD500000}"/>
    <cellStyle name="Обычный 5 4 7" xfId="26784" xr:uid="{00000000-0005-0000-0000-0000BE500000}"/>
    <cellStyle name="Обычный 5 4 8" xfId="32124" xr:uid="{00000000-0005-0000-0000-0000BF500000}"/>
    <cellStyle name="Обычный 5 4 9" xfId="37464" xr:uid="{00000000-0005-0000-0000-0000C0500000}"/>
    <cellStyle name="Обычный 5 40" xfId="414" xr:uid="{00000000-0005-0000-0000-0000C1500000}"/>
    <cellStyle name="Обычный 5 40 10" xfId="43136" xr:uid="{00000000-0005-0000-0000-0000C2500000}"/>
    <cellStyle name="Обычный 5 40 11" xfId="48476" xr:uid="{00000000-0005-0000-0000-0000C3500000}"/>
    <cellStyle name="Обычный 5 40 2" xfId="881" xr:uid="{00000000-0005-0000-0000-0000C4500000}"/>
    <cellStyle name="Обычный 5 40 2 10" xfId="48943" xr:uid="{00000000-0005-0000-0000-0000C5500000}"/>
    <cellStyle name="Обычный 5 40 2 2" xfId="6222" xr:uid="{00000000-0005-0000-0000-0000C6500000}"/>
    <cellStyle name="Обычный 5 40 2 2 2" xfId="54284" xr:uid="{00000000-0005-0000-0000-0000C7500000}"/>
    <cellStyle name="Обычный 5 40 2 3" xfId="11563" xr:uid="{00000000-0005-0000-0000-0000C8500000}"/>
    <cellStyle name="Обычный 5 40 2 4" xfId="16903" xr:uid="{00000000-0005-0000-0000-0000C9500000}"/>
    <cellStyle name="Обычный 5 40 2 5" xfId="22243" xr:uid="{00000000-0005-0000-0000-0000CA500000}"/>
    <cellStyle name="Обычный 5 40 2 6" xfId="27583" xr:uid="{00000000-0005-0000-0000-0000CB500000}"/>
    <cellStyle name="Обычный 5 40 2 7" xfId="32923" xr:uid="{00000000-0005-0000-0000-0000CC500000}"/>
    <cellStyle name="Обычный 5 40 2 8" xfId="38263" xr:uid="{00000000-0005-0000-0000-0000CD500000}"/>
    <cellStyle name="Обычный 5 40 2 9" xfId="43603" xr:uid="{00000000-0005-0000-0000-0000CE500000}"/>
    <cellStyle name="Обычный 5 40 3" xfId="5755" xr:uid="{00000000-0005-0000-0000-0000CF500000}"/>
    <cellStyle name="Обычный 5 40 3 2" xfId="53817" xr:uid="{00000000-0005-0000-0000-0000D0500000}"/>
    <cellStyle name="Обычный 5 40 4" xfId="11096" xr:uid="{00000000-0005-0000-0000-0000D1500000}"/>
    <cellStyle name="Обычный 5 40 5" xfId="16436" xr:uid="{00000000-0005-0000-0000-0000D2500000}"/>
    <cellStyle name="Обычный 5 40 6" xfId="21776" xr:uid="{00000000-0005-0000-0000-0000D3500000}"/>
    <cellStyle name="Обычный 5 40 7" xfId="27116" xr:uid="{00000000-0005-0000-0000-0000D4500000}"/>
    <cellStyle name="Обычный 5 40 8" xfId="32456" xr:uid="{00000000-0005-0000-0000-0000D5500000}"/>
    <cellStyle name="Обычный 5 40 9" xfId="37796" xr:uid="{00000000-0005-0000-0000-0000D6500000}"/>
    <cellStyle name="Обычный 5 41" xfId="426" xr:uid="{00000000-0005-0000-0000-0000D7500000}"/>
    <cellStyle name="Обычный 5 41 10" xfId="43148" xr:uid="{00000000-0005-0000-0000-0000D8500000}"/>
    <cellStyle name="Обычный 5 41 11" xfId="48488" xr:uid="{00000000-0005-0000-0000-0000D9500000}"/>
    <cellStyle name="Обычный 5 41 2" xfId="893" xr:uid="{00000000-0005-0000-0000-0000DA500000}"/>
    <cellStyle name="Обычный 5 41 2 10" xfId="48955" xr:uid="{00000000-0005-0000-0000-0000DB500000}"/>
    <cellStyle name="Обычный 5 41 2 2" xfId="6234" xr:uid="{00000000-0005-0000-0000-0000DC500000}"/>
    <cellStyle name="Обычный 5 41 2 2 2" xfId="54296" xr:uid="{00000000-0005-0000-0000-0000DD500000}"/>
    <cellStyle name="Обычный 5 41 2 3" xfId="11575" xr:uid="{00000000-0005-0000-0000-0000DE500000}"/>
    <cellStyle name="Обычный 5 41 2 4" xfId="16915" xr:uid="{00000000-0005-0000-0000-0000DF500000}"/>
    <cellStyle name="Обычный 5 41 2 5" xfId="22255" xr:uid="{00000000-0005-0000-0000-0000E0500000}"/>
    <cellStyle name="Обычный 5 41 2 6" xfId="27595" xr:uid="{00000000-0005-0000-0000-0000E1500000}"/>
    <cellStyle name="Обычный 5 41 2 7" xfId="32935" xr:uid="{00000000-0005-0000-0000-0000E2500000}"/>
    <cellStyle name="Обычный 5 41 2 8" xfId="38275" xr:uid="{00000000-0005-0000-0000-0000E3500000}"/>
    <cellStyle name="Обычный 5 41 2 9" xfId="43615" xr:uid="{00000000-0005-0000-0000-0000E4500000}"/>
    <cellStyle name="Обычный 5 41 3" xfId="5767" xr:uid="{00000000-0005-0000-0000-0000E5500000}"/>
    <cellStyle name="Обычный 5 41 3 2" xfId="53829" xr:uid="{00000000-0005-0000-0000-0000E6500000}"/>
    <cellStyle name="Обычный 5 41 4" xfId="11108" xr:uid="{00000000-0005-0000-0000-0000E7500000}"/>
    <cellStyle name="Обычный 5 41 5" xfId="16448" xr:uid="{00000000-0005-0000-0000-0000E8500000}"/>
    <cellStyle name="Обычный 5 41 6" xfId="21788" xr:uid="{00000000-0005-0000-0000-0000E9500000}"/>
    <cellStyle name="Обычный 5 41 7" xfId="27128" xr:uid="{00000000-0005-0000-0000-0000EA500000}"/>
    <cellStyle name="Обычный 5 41 8" xfId="32468" xr:uid="{00000000-0005-0000-0000-0000EB500000}"/>
    <cellStyle name="Обычный 5 41 9" xfId="37808" xr:uid="{00000000-0005-0000-0000-0000EC500000}"/>
    <cellStyle name="Обычный 5 42" xfId="438" xr:uid="{00000000-0005-0000-0000-0000ED500000}"/>
    <cellStyle name="Обычный 5 42 10" xfId="43160" xr:uid="{00000000-0005-0000-0000-0000EE500000}"/>
    <cellStyle name="Обычный 5 42 11" xfId="48500" xr:uid="{00000000-0005-0000-0000-0000EF500000}"/>
    <cellStyle name="Обычный 5 42 2" xfId="905" xr:uid="{00000000-0005-0000-0000-0000F0500000}"/>
    <cellStyle name="Обычный 5 42 2 10" xfId="48967" xr:uid="{00000000-0005-0000-0000-0000F1500000}"/>
    <cellStyle name="Обычный 5 42 2 2" xfId="6246" xr:uid="{00000000-0005-0000-0000-0000F2500000}"/>
    <cellStyle name="Обычный 5 42 2 2 2" xfId="54308" xr:uid="{00000000-0005-0000-0000-0000F3500000}"/>
    <cellStyle name="Обычный 5 42 2 3" xfId="11587" xr:uid="{00000000-0005-0000-0000-0000F4500000}"/>
    <cellStyle name="Обычный 5 42 2 4" xfId="16927" xr:uid="{00000000-0005-0000-0000-0000F5500000}"/>
    <cellStyle name="Обычный 5 42 2 5" xfId="22267" xr:uid="{00000000-0005-0000-0000-0000F6500000}"/>
    <cellStyle name="Обычный 5 42 2 6" xfId="27607" xr:uid="{00000000-0005-0000-0000-0000F7500000}"/>
    <cellStyle name="Обычный 5 42 2 7" xfId="32947" xr:uid="{00000000-0005-0000-0000-0000F8500000}"/>
    <cellStyle name="Обычный 5 42 2 8" xfId="38287" xr:uid="{00000000-0005-0000-0000-0000F9500000}"/>
    <cellStyle name="Обычный 5 42 2 9" xfId="43627" xr:uid="{00000000-0005-0000-0000-0000FA500000}"/>
    <cellStyle name="Обычный 5 42 3" xfId="5779" xr:uid="{00000000-0005-0000-0000-0000FB500000}"/>
    <cellStyle name="Обычный 5 42 3 2" xfId="53841" xr:uid="{00000000-0005-0000-0000-0000FC500000}"/>
    <cellStyle name="Обычный 5 42 4" xfId="11120" xr:uid="{00000000-0005-0000-0000-0000FD500000}"/>
    <cellStyle name="Обычный 5 42 5" xfId="16460" xr:uid="{00000000-0005-0000-0000-0000FE500000}"/>
    <cellStyle name="Обычный 5 42 6" xfId="21800" xr:uid="{00000000-0005-0000-0000-0000FF500000}"/>
    <cellStyle name="Обычный 5 42 7" xfId="27140" xr:uid="{00000000-0005-0000-0000-000000510000}"/>
    <cellStyle name="Обычный 5 42 8" xfId="32480" xr:uid="{00000000-0005-0000-0000-000001510000}"/>
    <cellStyle name="Обычный 5 42 9" xfId="37820" xr:uid="{00000000-0005-0000-0000-000002510000}"/>
    <cellStyle name="Обычный 5 43" xfId="450" xr:uid="{00000000-0005-0000-0000-000003510000}"/>
    <cellStyle name="Обычный 5 43 10" xfId="43172" xr:uid="{00000000-0005-0000-0000-000004510000}"/>
    <cellStyle name="Обычный 5 43 11" xfId="48512" xr:uid="{00000000-0005-0000-0000-000005510000}"/>
    <cellStyle name="Обычный 5 43 2" xfId="917" xr:uid="{00000000-0005-0000-0000-000006510000}"/>
    <cellStyle name="Обычный 5 43 2 10" xfId="48979" xr:uid="{00000000-0005-0000-0000-000007510000}"/>
    <cellStyle name="Обычный 5 43 2 2" xfId="6258" xr:uid="{00000000-0005-0000-0000-000008510000}"/>
    <cellStyle name="Обычный 5 43 2 2 2" xfId="54320" xr:uid="{00000000-0005-0000-0000-000009510000}"/>
    <cellStyle name="Обычный 5 43 2 3" xfId="11599" xr:uid="{00000000-0005-0000-0000-00000A510000}"/>
    <cellStyle name="Обычный 5 43 2 4" xfId="16939" xr:uid="{00000000-0005-0000-0000-00000B510000}"/>
    <cellStyle name="Обычный 5 43 2 5" xfId="22279" xr:uid="{00000000-0005-0000-0000-00000C510000}"/>
    <cellStyle name="Обычный 5 43 2 6" xfId="27619" xr:uid="{00000000-0005-0000-0000-00000D510000}"/>
    <cellStyle name="Обычный 5 43 2 7" xfId="32959" xr:uid="{00000000-0005-0000-0000-00000E510000}"/>
    <cellStyle name="Обычный 5 43 2 8" xfId="38299" xr:uid="{00000000-0005-0000-0000-00000F510000}"/>
    <cellStyle name="Обычный 5 43 2 9" xfId="43639" xr:uid="{00000000-0005-0000-0000-000010510000}"/>
    <cellStyle name="Обычный 5 43 3" xfId="5791" xr:uid="{00000000-0005-0000-0000-000011510000}"/>
    <cellStyle name="Обычный 5 43 3 2" xfId="53853" xr:uid="{00000000-0005-0000-0000-000012510000}"/>
    <cellStyle name="Обычный 5 43 4" xfId="11132" xr:uid="{00000000-0005-0000-0000-000013510000}"/>
    <cellStyle name="Обычный 5 43 5" xfId="16472" xr:uid="{00000000-0005-0000-0000-000014510000}"/>
    <cellStyle name="Обычный 5 43 6" xfId="21812" xr:uid="{00000000-0005-0000-0000-000015510000}"/>
    <cellStyle name="Обычный 5 43 7" xfId="27152" xr:uid="{00000000-0005-0000-0000-000016510000}"/>
    <cellStyle name="Обычный 5 43 8" xfId="32492" xr:uid="{00000000-0005-0000-0000-000017510000}"/>
    <cellStyle name="Обычный 5 43 9" xfId="37832" xr:uid="{00000000-0005-0000-0000-000018510000}"/>
    <cellStyle name="Обычный 5 44" xfId="462" xr:uid="{00000000-0005-0000-0000-000019510000}"/>
    <cellStyle name="Обычный 5 44 10" xfId="43184" xr:uid="{00000000-0005-0000-0000-00001A510000}"/>
    <cellStyle name="Обычный 5 44 11" xfId="48524" xr:uid="{00000000-0005-0000-0000-00001B510000}"/>
    <cellStyle name="Обычный 5 44 2" xfId="929" xr:uid="{00000000-0005-0000-0000-00001C510000}"/>
    <cellStyle name="Обычный 5 44 2 10" xfId="48991" xr:uid="{00000000-0005-0000-0000-00001D510000}"/>
    <cellStyle name="Обычный 5 44 2 2" xfId="6270" xr:uid="{00000000-0005-0000-0000-00001E510000}"/>
    <cellStyle name="Обычный 5 44 2 2 2" xfId="54332" xr:uid="{00000000-0005-0000-0000-00001F510000}"/>
    <cellStyle name="Обычный 5 44 2 3" xfId="11611" xr:uid="{00000000-0005-0000-0000-000020510000}"/>
    <cellStyle name="Обычный 5 44 2 4" xfId="16951" xr:uid="{00000000-0005-0000-0000-000021510000}"/>
    <cellStyle name="Обычный 5 44 2 5" xfId="22291" xr:uid="{00000000-0005-0000-0000-000022510000}"/>
    <cellStyle name="Обычный 5 44 2 6" xfId="27631" xr:uid="{00000000-0005-0000-0000-000023510000}"/>
    <cellStyle name="Обычный 5 44 2 7" xfId="32971" xr:uid="{00000000-0005-0000-0000-000024510000}"/>
    <cellStyle name="Обычный 5 44 2 8" xfId="38311" xr:uid="{00000000-0005-0000-0000-000025510000}"/>
    <cellStyle name="Обычный 5 44 2 9" xfId="43651" xr:uid="{00000000-0005-0000-0000-000026510000}"/>
    <cellStyle name="Обычный 5 44 3" xfId="5803" xr:uid="{00000000-0005-0000-0000-000027510000}"/>
    <cellStyle name="Обычный 5 44 3 2" xfId="53865" xr:uid="{00000000-0005-0000-0000-000028510000}"/>
    <cellStyle name="Обычный 5 44 4" xfId="11144" xr:uid="{00000000-0005-0000-0000-000029510000}"/>
    <cellStyle name="Обычный 5 44 5" xfId="16484" xr:uid="{00000000-0005-0000-0000-00002A510000}"/>
    <cellStyle name="Обычный 5 44 6" xfId="21824" xr:uid="{00000000-0005-0000-0000-00002B510000}"/>
    <cellStyle name="Обычный 5 44 7" xfId="27164" xr:uid="{00000000-0005-0000-0000-00002C510000}"/>
    <cellStyle name="Обычный 5 44 8" xfId="32504" xr:uid="{00000000-0005-0000-0000-00002D510000}"/>
    <cellStyle name="Обычный 5 44 9" xfId="37844" xr:uid="{00000000-0005-0000-0000-00002E510000}"/>
    <cellStyle name="Обычный 5 45" xfId="474" xr:uid="{00000000-0005-0000-0000-00002F510000}"/>
    <cellStyle name="Обычный 5 45 10" xfId="43196" xr:uid="{00000000-0005-0000-0000-000030510000}"/>
    <cellStyle name="Обычный 5 45 11" xfId="48536" xr:uid="{00000000-0005-0000-0000-000031510000}"/>
    <cellStyle name="Обычный 5 45 2" xfId="941" xr:uid="{00000000-0005-0000-0000-000032510000}"/>
    <cellStyle name="Обычный 5 45 2 10" xfId="49003" xr:uid="{00000000-0005-0000-0000-000033510000}"/>
    <cellStyle name="Обычный 5 45 2 2" xfId="6282" xr:uid="{00000000-0005-0000-0000-000034510000}"/>
    <cellStyle name="Обычный 5 45 2 2 2" xfId="54344" xr:uid="{00000000-0005-0000-0000-000035510000}"/>
    <cellStyle name="Обычный 5 45 2 3" xfId="11623" xr:uid="{00000000-0005-0000-0000-000036510000}"/>
    <cellStyle name="Обычный 5 45 2 4" xfId="16963" xr:uid="{00000000-0005-0000-0000-000037510000}"/>
    <cellStyle name="Обычный 5 45 2 5" xfId="22303" xr:uid="{00000000-0005-0000-0000-000038510000}"/>
    <cellStyle name="Обычный 5 45 2 6" xfId="27643" xr:uid="{00000000-0005-0000-0000-000039510000}"/>
    <cellStyle name="Обычный 5 45 2 7" xfId="32983" xr:uid="{00000000-0005-0000-0000-00003A510000}"/>
    <cellStyle name="Обычный 5 45 2 8" xfId="38323" xr:uid="{00000000-0005-0000-0000-00003B510000}"/>
    <cellStyle name="Обычный 5 45 2 9" xfId="43663" xr:uid="{00000000-0005-0000-0000-00003C510000}"/>
    <cellStyle name="Обычный 5 45 3" xfId="5815" xr:uid="{00000000-0005-0000-0000-00003D510000}"/>
    <cellStyle name="Обычный 5 45 3 2" xfId="53877" xr:uid="{00000000-0005-0000-0000-00003E510000}"/>
    <cellStyle name="Обычный 5 45 4" xfId="11156" xr:uid="{00000000-0005-0000-0000-00003F510000}"/>
    <cellStyle name="Обычный 5 45 5" xfId="16496" xr:uid="{00000000-0005-0000-0000-000040510000}"/>
    <cellStyle name="Обычный 5 45 6" xfId="21836" xr:uid="{00000000-0005-0000-0000-000041510000}"/>
    <cellStyle name="Обычный 5 45 7" xfId="27176" xr:uid="{00000000-0005-0000-0000-000042510000}"/>
    <cellStyle name="Обычный 5 45 8" xfId="32516" xr:uid="{00000000-0005-0000-0000-000043510000}"/>
    <cellStyle name="Обычный 5 45 9" xfId="37856" xr:uid="{00000000-0005-0000-0000-000044510000}"/>
    <cellStyle name="Обычный 5 46" xfId="486" xr:uid="{00000000-0005-0000-0000-000045510000}"/>
    <cellStyle name="Обычный 5 46 10" xfId="43208" xr:uid="{00000000-0005-0000-0000-000046510000}"/>
    <cellStyle name="Обычный 5 46 11" xfId="48548" xr:uid="{00000000-0005-0000-0000-000047510000}"/>
    <cellStyle name="Обычный 5 46 2" xfId="953" xr:uid="{00000000-0005-0000-0000-000048510000}"/>
    <cellStyle name="Обычный 5 46 2 10" xfId="49015" xr:uid="{00000000-0005-0000-0000-000049510000}"/>
    <cellStyle name="Обычный 5 46 2 2" xfId="6294" xr:uid="{00000000-0005-0000-0000-00004A510000}"/>
    <cellStyle name="Обычный 5 46 2 2 2" xfId="54356" xr:uid="{00000000-0005-0000-0000-00004B510000}"/>
    <cellStyle name="Обычный 5 46 2 3" xfId="11635" xr:uid="{00000000-0005-0000-0000-00004C510000}"/>
    <cellStyle name="Обычный 5 46 2 4" xfId="16975" xr:uid="{00000000-0005-0000-0000-00004D510000}"/>
    <cellStyle name="Обычный 5 46 2 5" xfId="22315" xr:uid="{00000000-0005-0000-0000-00004E510000}"/>
    <cellStyle name="Обычный 5 46 2 6" xfId="27655" xr:uid="{00000000-0005-0000-0000-00004F510000}"/>
    <cellStyle name="Обычный 5 46 2 7" xfId="32995" xr:uid="{00000000-0005-0000-0000-000050510000}"/>
    <cellStyle name="Обычный 5 46 2 8" xfId="38335" xr:uid="{00000000-0005-0000-0000-000051510000}"/>
    <cellStyle name="Обычный 5 46 2 9" xfId="43675" xr:uid="{00000000-0005-0000-0000-000052510000}"/>
    <cellStyle name="Обычный 5 46 3" xfId="5827" xr:uid="{00000000-0005-0000-0000-000053510000}"/>
    <cellStyle name="Обычный 5 46 3 2" xfId="53889" xr:uid="{00000000-0005-0000-0000-000054510000}"/>
    <cellStyle name="Обычный 5 46 4" xfId="11168" xr:uid="{00000000-0005-0000-0000-000055510000}"/>
    <cellStyle name="Обычный 5 46 5" xfId="16508" xr:uid="{00000000-0005-0000-0000-000056510000}"/>
    <cellStyle name="Обычный 5 46 6" xfId="21848" xr:uid="{00000000-0005-0000-0000-000057510000}"/>
    <cellStyle name="Обычный 5 46 7" xfId="27188" xr:uid="{00000000-0005-0000-0000-000058510000}"/>
    <cellStyle name="Обычный 5 46 8" xfId="32528" xr:uid="{00000000-0005-0000-0000-000059510000}"/>
    <cellStyle name="Обычный 5 46 9" xfId="37868" xr:uid="{00000000-0005-0000-0000-00005A510000}"/>
    <cellStyle name="Обычный 5 47" xfId="498" xr:uid="{00000000-0005-0000-0000-00005B510000}"/>
    <cellStyle name="Обычный 5 47 10" xfId="43220" xr:uid="{00000000-0005-0000-0000-00005C510000}"/>
    <cellStyle name="Обычный 5 47 11" xfId="48560" xr:uid="{00000000-0005-0000-0000-00005D510000}"/>
    <cellStyle name="Обычный 5 47 2" xfId="965" xr:uid="{00000000-0005-0000-0000-00005E510000}"/>
    <cellStyle name="Обычный 5 47 2 10" xfId="49027" xr:uid="{00000000-0005-0000-0000-00005F510000}"/>
    <cellStyle name="Обычный 5 47 2 2" xfId="6306" xr:uid="{00000000-0005-0000-0000-000060510000}"/>
    <cellStyle name="Обычный 5 47 2 2 2" xfId="54368" xr:uid="{00000000-0005-0000-0000-000061510000}"/>
    <cellStyle name="Обычный 5 47 2 3" xfId="11647" xr:uid="{00000000-0005-0000-0000-000062510000}"/>
    <cellStyle name="Обычный 5 47 2 4" xfId="16987" xr:uid="{00000000-0005-0000-0000-000063510000}"/>
    <cellStyle name="Обычный 5 47 2 5" xfId="22327" xr:uid="{00000000-0005-0000-0000-000064510000}"/>
    <cellStyle name="Обычный 5 47 2 6" xfId="27667" xr:uid="{00000000-0005-0000-0000-000065510000}"/>
    <cellStyle name="Обычный 5 47 2 7" xfId="33007" xr:uid="{00000000-0005-0000-0000-000066510000}"/>
    <cellStyle name="Обычный 5 47 2 8" xfId="38347" xr:uid="{00000000-0005-0000-0000-000067510000}"/>
    <cellStyle name="Обычный 5 47 2 9" xfId="43687" xr:uid="{00000000-0005-0000-0000-000068510000}"/>
    <cellStyle name="Обычный 5 47 3" xfId="5839" xr:uid="{00000000-0005-0000-0000-000069510000}"/>
    <cellStyle name="Обычный 5 47 3 2" xfId="53901" xr:uid="{00000000-0005-0000-0000-00006A510000}"/>
    <cellStyle name="Обычный 5 47 4" xfId="11180" xr:uid="{00000000-0005-0000-0000-00006B510000}"/>
    <cellStyle name="Обычный 5 47 5" xfId="16520" xr:uid="{00000000-0005-0000-0000-00006C510000}"/>
    <cellStyle name="Обычный 5 47 6" xfId="21860" xr:uid="{00000000-0005-0000-0000-00006D510000}"/>
    <cellStyle name="Обычный 5 47 7" xfId="27200" xr:uid="{00000000-0005-0000-0000-00006E510000}"/>
    <cellStyle name="Обычный 5 47 8" xfId="32540" xr:uid="{00000000-0005-0000-0000-00006F510000}"/>
    <cellStyle name="Обычный 5 47 9" xfId="37880" xr:uid="{00000000-0005-0000-0000-000070510000}"/>
    <cellStyle name="Обычный 5 48" xfId="510" xr:uid="{00000000-0005-0000-0000-000071510000}"/>
    <cellStyle name="Обычный 5 48 10" xfId="43232" xr:uid="{00000000-0005-0000-0000-000072510000}"/>
    <cellStyle name="Обычный 5 48 11" xfId="48572" xr:uid="{00000000-0005-0000-0000-000073510000}"/>
    <cellStyle name="Обычный 5 48 2" xfId="977" xr:uid="{00000000-0005-0000-0000-000074510000}"/>
    <cellStyle name="Обычный 5 48 2 10" xfId="49039" xr:uid="{00000000-0005-0000-0000-000075510000}"/>
    <cellStyle name="Обычный 5 48 2 2" xfId="6318" xr:uid="{00000000-0005-0000-0000-000076510000}"/>
    <cellStyle name="Обычный 5 48 2 2 2" xfId="54380" xr:uid="{00000000-0005-0000-0000-000077510000}"/>
    <cellStyle name="Обычный 5 48 2 3" xfId="11659" xr:uid="{00000000-0005-0000-0000-000078510000}"/>
    <cellStyle name="Обычный 5 48 2 4" xfId="16999" xr:uid="{00000000-0005-0000-0000-000079510000}"/>
    <cellStyle name="Обычный 5 48 2 5" xfId="22339" xr:uid="{00000000-0005-0000-0000-00007A510000}"/>
    <cellStyle name="Обычный 5 48 2 6" xfId="27679" xr:uid="{00000000-0005-0000-0000-00007B510000}"/>
    <cellStyle name="Обычный 5 48 2 7" xfId="33019" xr:uid="{00000000-0005-0000-0000-00007C510000}"/>
    <cellStyle name="Обычный 5 48 2 8" xfId="38359" xr:uid="{00000000-0005-0000-0000-00007D510000}"/>
    <cellStyle name="Обычный 5 48 2 9" xfId="43699" xr:uid="{00000000-0005-0000-0000-00007E510000}"/>
    <cellStyle name="Обычный 5 48 3" xfId="5851" xr:uid="{00000000-0005-0000-0000-00007F510000}"/>
    <cellStyle name="Обычный 5 48 3 2" xfId="53913" xr:uid="{00000000-0005-0000-0000-000080510000}"/>
    <cellStyle name="Обычный 5 48 4" xfId="11192" xr:uid="{00000000-0005-0000-0000-000081510000}"/>
    <cellStyle name="Обычный 5 48 5" xfId="16532" xr:uid="{00000000-0005-0000-0000-000082510000}"/>
    <cellStyle name="Обычный 5 48 6" xfId="21872" xr:uid="{00000000-0005-0000-0000-000083510000}"/>
    <cellStyle name="Обычный 5 48 7" xfId="27212" xr:uid="{00000000-0005-0000-0000-000084510000}"/>
    <cellStyle name="Обычный 5 48 8" xfId="32552" xr:uid="{00000000-0005-0000-0000-000085510000}"/>
    <cellStyle name="Обычный 5 48 9" xfId="37892" xr:uid="{00000000-0005-0000-0000-000086510000}"/>
    <cellStyle name="Обычный 5 49" xfId="527" xr:uid="{00000000-0005-0000-0000-000087510000}"/>
    <cellStyle name="Обычный 5 49 10" xfId="48589" xr:uid="{00000000-0005-0000-0000-000088510000}"/>
    <cellStyle name="Обычный 5 49 2" xfId="5868" xr:uid="{00000000-0005-0000-0000-000089510000}"/>
    <cellStyle name="Обычный 5 49 2 2" xfId="53930" xr:uid="{00000000-0005-0000-0000-00008A510000}"/>
    <cellStyle name="Обычный 5 49 3" xfId="11209" xr:uid="{00000000-0005-0000-0000-00008B510000}"/>
    <cellStyle name="Обычный 5 49 4" xfId="16549" xr:uid="{00000000-0005-0000-0000-00008C510000}"/>
    <cellStyle name="Обычный 5 49 5" xfId="21889" xr:uid="{00000000-0005-0000-0000-00008D510000}"/>
    <cellStyle name="Обычный 5 49 6" xfId="27229" xr:uid="{00000000-0005-0000-0000-00008E510000}"/>
    <cellStyle name="Обычный 5 49 7" xfId="32569" xr:uid="{00000000-0005-0000-0000-00008F510000}"/>
    <cellStyle name="Обычный 5 49 8" xfId="37909" xr:uid="{00000000-0005-0000-0000-000090510000}"/>
    <cellStyle name="Обычный 5 49 9" xfId="43249" xr:uid="{00000000-0005-0000-0000-000091510000}"/>
    <cellStyle name="Обычный 5 5" xfId="86" xr:uid="{00000000-0005-0000-0000-000092510000}"/>
    <cellStyle name="Обычный 5 5 10" xfId="42808" xr:uid="{00000000-0005-0000-0000-000093510000}"/>
    <cellStyle name="Обычный 5 5 11" xfId="48148" xr:uid="{00000000-0005-0000-0000-000094510000}"/>
    <cellStyle name="Обычный 5 5 2" xfId="553" xr:uid="{00000000-0005-0000-0000-000095510000}"/>
    <cellStyle name="Обычный 5 5 2 10" xfId="48615" xr:uid="{00000000-0005-0000-0000-000096510000}"/>
    <cellStyle name="Обычный 5 5 2 2" xfId="5894" xr:uid="{00000000-0005-0000-0000-000097510000}"/>
    <cellStyle name="Обычный 5 5 2 2 2" xfId="53956" xr:uid="{00000000-0005-0000-0000-000098510000}"/>
    <cellStyle name="Обычный 5 5 2 3" xfId="11235" xr:uid="{00000000-0005-0000-0000-000099510000}"/>
    <cellStyle name="Обычный 5 5 2 4" xfId="16575" xr:uid="{00000000-0005-0000-0000-00009A510000}"/>
    <cellStyle name="Обычный 5 5 2 5" xfId="21915" xr:uid="{00000000-0005-0000-0000-00009B510000}"/>
    <cellStyle name="Обычный 5 5 2 6" xfId="27255" xr:uid="{00000000-0005-0000-0000-00009C510000}"/>
    <cellStyle name="Обычный 5 5 2 7" xfId="32595" xr:uid="{00000000-0005-0000-0000-00009D510000}"/>
    <cellStyle name="Обычный 5 5 2 8" xfId="37935" xr:uid="{00000000-0005-0000-0000-00009E510000}"/>
    <cellStyle name="Обычный 5 5 2 9" xfId="43275" xr:uid="{00000000-0005-0000-0000-00009F510000}"/>
    <cellStyle name="Обычный 5 5 3" xfId="5427" xr:uid="{00000000-0005-0000-0000-0000A0510000}"/>
    <cellStyle name="Обычный 5 5 3 2" xfId="53489" xr:uid="{00000000-0005-0000-0000-0000A1510000}"/>
    <cellStyle name="Обычный 5 5 4" xfId="10768" xr:uid="{00000000-0005-0000-0000-0000A2510000}"/>
    <cellStyle name="Обычный 5 5 5" xfId="16108" xr:uid="{00000000-0005-0000-0000-0000A3510000}"/>
    <cellStyle name="Обычный 5 5 6" xfId="21448" xr:uid="{00000000-0005-0000-0000-0000A4510000}"/>
    <cellStyle name="Обычный 5 5 7" xfId="26788" xr:uid="{00000000-0005-0000-0000-0000A5510000}"/>
    <cellStyle name="Обычный 5 5 8" xfId="32128" xr:uid="{00000000-0005-0000-0000-0000A6510000}"/>
    <cellStyle name="Обычный 5 5 9" xfId="37468" xr:uid="{00000000-0005-0000-0000-0000A7510000}"/>
    <cellStyle name="Обычный 5 50" xfId="989" xr:uid="{00000000-0005-0000-0000-0000A8510000}"/>
    <cellStyle name="Обычный 5 50 10" xfId="49051" xr:uid="{00000000-0005-0000-0000-0000A9510000}"/>
    <cellStyle name="Обычный 5 50 2" xfId="6330" xr:uid="{00000000-0005-0000-0000-0000AA510000}"/>
    <cellStyle name="Обычный 5 50 2 2" xfId="54392" xr:uid="{00000000-0005-0000-0000-0000AB510000}"/>
    <cellStyle name="Обычный 5 50 3" xfId="11671" xr:uid="{00000000-0005-0000-0000-0000AC510000}"/>
    <cellStyle name="Обычный 5 50 4" xfId="17011" xr:uid="{00000000-0005-0000-0000-0000AD510000}"/>
    <cellStyle name="Обычный 5 50 5" xfId="22351" xr:uid="{00000000-0005-0000-0000-0000AE510000}"/>
    <cellStyle name="Обычный 5 50 6" xfId="27691" xr:uid="{00000000-0005-0000-0000-0000AF510000}"/>
    <cellStyle name="Обычный 5 50 7" xfId="33031" xr:uid="{00000000-0005-0000-0000-0000B0510000}"/>
    <cellStyle name="Обычный 5 50 8" xfId="38371" xr:uid="{00000000-0005-0000-0000-0000B1510000}"/>
    <cellStyle name="Обычный 5 50 9" xfId="43711" xr:uid="{00000000-0005-0000-0000-0000B2510000}"/>
    <cellStyle name="Обычный 5 51" xfId="1013" xr:uid="{00000000-0005-0000-0000-0000B3510000}"/>
    <cellStyle name="Обычный 5 51 10" xfId="49075" xr:uid="{00000000-0005-0000-0000-0000B4510000}"/>
    <cellStyle name="Обычный 5 51 2" xfId="6354" xr:uid="{00000000-0005-0000-0000-0000B5510000}"/>
    <cellStyle name="Обычный 5 51 2 2" xfId="54416" xr:uid="{00000000-0005-0000-0000-0000B6510000}"/>
    <cellStyle name="Обычный 5 51 3" xfId="11695" xr:uid="{00000000-0005-0000-0000-0000B7510000}"/>
    <cellStyle name="Обычный 5 51 4" xfId="17035" xr:uid="{00000000-0005-0000-0000-0000B8510000}"/>
    <cellStyle name="Обычный 5 51 5" xfId="22375" xr:uid="{00000000-0005-0000-0000-0000B9510000}"/>
    <cellStyle name="Обычный 5 51 6" xfId="27715" xr:uid="{00000000-0005-0000-0000-0000BA510000}"/>
    <cellStyle name="Обычный 5 51 7" xfId="33055" xr:uid="{00000000-0005-0000-0000-0000BB510000}"/>
    <cellStyle name="Обычный 5 51 8" xfId="38395" xr:uid="{00000000-0005-0000-0000-0000BC510000}"/>
    <cellStyle name="Обычный 5 51 9" xfId="43735" xr:uid="{00000000-0005-0000-0000-0000BD510000}"/>
    <cellStyle name="Обычный 5 52" xfId="1037" xr:uid="{00000000-0005-0000-0000-0000BE510000}"/>
    <cellStyle name="Обычный 5 52 10" xfId="49099" xr:uid="{00000000-0005-0000-0000-0000BF510000}"/>
    <cellStyle name="Обычный 5 52 2" xfId="6378" xr:uid="{00000000-0005-0000-0000-0000C0510000}"/>
    <cellStyle name="Обычный 5 52 2 2" xfId="54440" xr:uid="{00000000-0005-0000-0000-0000C1510000}"/>
    <cellStyle name="Обычный 5 52 3" xfId="11719" xr:uid="{00000000-0005-0000-0000-0000C2510000}"/>
    <cellStyle name="Обычный 5 52 4" xfId="17059" xr:uid="{00000000-0005-0000-0000-0000C3510000}"/>
    <cellStyle name="Обычный 5 52 5" xfId="22399" xr:uid="{00000000-0005-0000-0000-0000C4510000}"/>
    <cellStyle name="Обычный 5 52 6" xfId="27739" xr:uid="{00000000-0005-0000-0000-0000C5510000}"/>
    <cellStyle name="Обычный 5 52 7" xfId="33079" xr:uid="{00000000-0005-0000-0000-0000C6510000}"/>
    <cellStyle name="Обычный 5 52 8" xfId="38419" xr:uid="{00000000-0005-0000-0000-0000C7510000}"/>
    <cellStyle name="Обычный 5 52 9" xfId="43759" xr:uid="{00000000-0005-0000-0000-0000C8510000}"/>
    <cellStyle name="Обычный 5 53" xfId="1062" xr:uid="{00000000-0005-0000-0000-0000C9510000}"/>
    <cellStyle name="Обычный 5 53 10" xfId="49125" xr:uid="{00000000-0005-0000-0000-0000CA510000}"/>
    <cellStyle name="Обычный 5 53 2" xfId="6404" xr:uid="{00000000-0005-0000-0000-0000CB510000}"/>
    <cellStyle name="Обычный 5 53 2 2" xfId="54466" xr:uid="{00000000-0005-0000-0000-0000CC510000}"/>
    <cellStyle name="Обычный 5 53 3" xfId="11745" xr:uid="{00000000-0005-0000-0000-0000CD510000}"/>
    <cellStyle name="Обычный 5 53 4" xfId="17085" xr:uid="{00000000-0005-0000-0000-0000CE510000}"/>
    <cellStyle name="Обычный 5 53 5" xfId="22425" xr:uid="{00000000-0005-0000-0000-0000CF510000}"/>
    <cellStyle name="Обычный 5 53 6" xfId="27765" xr:uid="{00000000-0005-0000-0000-0000D0510000}"/>
    <cellStyle name="Обычный 5 53 7" xfId="33105" xr:uid="{00000000-0005-0000-0000-0000D1510000}"/>
    <cellStyle name="Обычный 5 53 8" xfId="38445" xr:uid="{00000000-0005-0000-0000-0000D2510000}"/>
    <cellStyle name="Обычный 5 53 9" xfId="43785" xr:uid="{00000000-0005-0000-0000-0000D3510000}"/>
    <cellStyle name="Обычный 5 54" xfId="1088" xr:uid="{00000000-0005-0000-0000-0000D4510000}"/>
    <cellStyle name="Обычный 5 54 10" xfId="49151" xr:uid="{00000000-0005-0000-0000-0000D5510000}"/>
    <cellStyle name="Обычный 5 54 2" xfId="6430" xr:uid="{00000000-0005-0000-0000-0000D6510000}"/>
    <cellStyle name="Обычный 5 54 2 2" xfId="54492" xr:uid="{00000000-0005-0000-0000-0000D7510000}"/>
    <cellStyle name="Обычный 5 54 3" xfId="11771" xr:uid="{00000000-0005-0000-0000-0000D8510000}"/>
    <cellStyle name="Обычный 5 54 4" xfId="17111" xr:uid="{00000000-0005-0000-0000-0000D9510000}"/>
    <cellStyle name="Обычный 5 54 5" xfId="22451" xr:uid="{00000000-0005-0000-0000-0000DA510000}"/>
    <cellStyle name="Обычный 5 54 6" xfId="27791" xr:uid="{00000000-0005-0000-0000-0000DB510000}"/>
    <cellStyle name="Обычный 5 54 7" xfId="33131" xr:uid="{00000000-0005-0000-0000-0000DC510000}"/>
    <cellStyle name="Обычный 5 54 8" xfId="38471" xr:uid="{00000000-0005-0000-0000-0000DD510000}"/>
    <cellStyle name="Обычный 5 54 9" xfId="43811" xr:uid="{00000000-0005-0000-0000-0000DE510000}"/>
    <cellStyle name="Обычный 5 55" xfId="1114" xr:uid="{00000000-0005-0000-0000-0000DF510000}"/>
    <cellStyle name="Обычный 5 55 10" xfId="49177" xr:uid="{00000000-0005-0000-0000-0000E0510000}"/>
    <cellStyle name="Обычный 5 55 2" xfId="6456" xr:uid="{00000000-0005-0000-0000-0000E1510000}"/>
    <cellStyle name="Обычный 5 55 2 2" xfId="54518" xr:uid="{00000000-0005-0000-0000-0000E2510000}"/>
    <cellStyle name="Обычный 5 55 3" xfId="11797" xr:uid="{00000000-0005-0000-0000-0000E3510000}"/>
    <cellStyle name="Обычный 5 55 4" xfId="17137" xr:uid="{00000000-0005-0000-0000-0000E4510000}"/>
    <cellStyle name="Обычный 5 55 5" xfId="22477" xr:uid="{00000000-0005-0000-0000-0000E5510000}"/>
    <cellStyle name="Обычный 5 55 6" xfId="27817" xr:uid="{00000000-0005-0000-0000-0000E6510000}"/>
    <cellStyle name="Обычный 5 55 7" xfId="33157" xr:uid="{00000000-0005-0000-0000-0000E7510000}"/>
    <cellStyle name="Обычный 5 55 8" xfId="38497" xr:uid="{00000000-0005-0000-0000-0000E8510000}"/>
    <cellStyle name="Обычный 5 55 9" xfId="43837" xr:uid="{00000000-0005-0000-0000-0000E9510000}"/>
    <cellStyle name="Обычный 5 56" xfId="1140" xr:uid="{00000000-0005-0000-0000-0000EA510000}"/>
    <cellStyle name="Обычный 5 56 10" xfId="49203" xr:uid="{00000000-0005-0000-0000-0000EB510000}"/>
    <cellStyle name="Обычный 5 56 2" xfId="6482" xr:uid="{00000000-0005-0000-0000-0000EC510000}"/>
    <cellStyle name="Обычный 5 56 2 2" xfId="54544" xr:uid="{00000000-0005-0000-0000-0000ED510000}"/>
    <cellStyle name="Обычный 5 56 3" xfId="11823" xr:uid="{00000000-0005-0000-0000-0000EE510000}"/>
    <cellStyle name="Обычный 5 56 4" xfId="17163" xr:uid="{00000000-0005-0000-0000-0000EF510000}"/>
    <cellStyle name="Обычный 5 56 5" xfId="22503" xr:uid="{00000000-0005-0000-0000-0000F0510000}"/>
    <cellStyle name="Обычный 5 56 6" xfId="27843" xr:uid="{00000000-0005-0000-0000-0000F1510000}"/>
    <cellStyle name="Обычный 5 56 7" xfId="33183" xr:uid="{00000000-0005-0000-0000-0000F2510000}"/>
    <cellStyle name="Обычный 5 56 8" xfId="38523" xr:uid="{00000000-0005-0000-0000-0000F3510000}"/>
    <cellStyle name="Обычный 5 56 9" xfId="43863" xr:uid="{00000000-0005-0000-0000-0000F4510000}"/>
    <cellStyle name="Обычный 5 57" xfId="1166" xr:uid="{00000000-0005-0000-0000-0000F5510000}"/>
    <cellStyle name="Обычный 5 57 10" xfId="49229" xr:uid="{00000000-0005-0000-0000-0000F6510000}"/>
    <cellStyle name="Обычный 5 57 2" xfId="6508" xr:uid="{00000000-0005-0000-0000-0000F7510000}"/>
    <cellStyle name="Обычный 5 57 2 2" xfId="54570" xr:uid="{00000000-0005-0000-0000-0000F8510000}"/>
    <cellStyle name="Обычный 5 57 3" xfId="11849" xr:uid="{00000000-0005-0000-0000-0000F9510000}"/>
    <cellStyle name="Обычный 5 57 4" xfId="17189" xr:uid="{00000000-0005-0000-0000-0000FA510000}"/>
    <cellStyle name="Обычный 5 57 5" xfId="22529" xr:uid="{00000000-0005-0000-0000-0000FB510000}"/>
    <cellStyle name="Обычный 5 57 6" xfId="27869" xr:uid="{00000000-0005-0000-0000-0000FC510000}"/>
    <cellStyle name="Обычный 5 57 7" xfId="33209" xr:uid="{00000000-0005-0000-0000-0000FD510000}"/>
    <cellStyle name="Обычный 5 57 8" xfId="38549" xr:uid="{00000000-0005-0000-0000-0000FE510000}"/>
    <cellStyle name="Обычный 5 57 9" xfId="43889" xr:uid="{00000000-0005-0000-0000-0000FF510000}"/>
    <cellStyle name="Обычный 5 58" xfId="1192" xr:uid="{00000000-0005-0000-0000-000000520000}"/>
    <cellStyle name="Обычный 5 58 10" xfId="49255" xr:uid="{00000000-0005-0000-0000-000001520000}"/>
    <cellStyle name="Обычный 5 58 2" xfId="6534" xr:uid="{00000000-0005-0000-0000-000002520000}"/>
    <cellStyle name="Обычный 5 58 2 2" xfId="54596" xr:uid="{00000000-0005-0000-0000-000003520000}"/>
    <cellStyle name="Обычный 5 58 3" xfId="11875" xr:uid="{00000000-0005-0000-0000-000004520000}"/>
    <cellStyle name="Обычный 5 58 4" xfId="17215" xr:uid="{00000000-0005-0000-0000-000005520000}"/>
    <cellStyle name="Обычный 5 58 5" xfId="22555" xr:uid="{00000000-0005-0000-0000-000006520000}"/>
    <cellStyle name="Обычный 5 58 6" xfId="27895" xr:uid="{00000000-0005-0000-0000-000007520000}"/>
    <cellStyle name="Обычный 5 58 7" xfId="33235" xr:uid="{00000000-0005-0000-0000-000008520000}"/>
    <cellStyle name="Обычный 5 58 8" xfId="38575" xr:uid="{00000000-0005-0000-0000-000009520000}"/>
    <cellStyle name="Обычный 5 58 9" xfId="43915" xr:uid="{00000000-0005-0000-0000-00000A520000}"/>
    <cellStyle name="Обычный 5 59" xfId="1218" xr:uid="{00000000-0005-0000-0000-00000B520000}"/>
    <cellStyle name="Обычный 5 59 10" xfId="49281" xr:uid="{00000000-0005-0000-0000-00000C520000}"/>
    <cellStyle name="Обычный 5 59 2" xfId="6560" xr:uid="{00000000-0005-0000-0000-00000D520000}"/>
    <cellStyle name="Обычный 5 59 2 2" xfId="54622" xr:uid="{00000000-0005-0000-0000-00000E520000}"/>
    <cellStyle name="Обычный 5 59 3" xfId="11901" xr:uid="{00000000-0005-0000-0000-00000F520000}"/>
    <cellStyle name="Обычный 5 59 4" xfId="17241" xr:uid="{00000000-0005-0000-0000-000010520000}"/>
    <cellStyle name="Обычный 5 59 5" xfId="22581" xr:uid="{00000000-0005-0000-0000-000011520000}"/>
    <cellStyle name="Обычный 5 59 6" xfId="27921" xr:uid="{00000000-0005-0000-0000-000012520000}"/>
    <cellStyle name="Обычный 5 59 7" xfId="33261" xr:uid="{00000000-0005-0000-0000-000013520000}"/>
    <cellStyle name="Обычный 5 59 8" xfId="38601" xr:uid="{00000000-0005-0000-0000-000014520000}"/>
    <cellStyle name="Обычный 5 59 9" xfId="43941" xr:uid="{00000000-0005-0000-0000-000015520000}"/>
    <cellStyle name="Обычный 5 6" xfId="90" xr:uid="{00000000-0005-0000-0000-000016520000}"/>
    <cellStyle name="Обычный 5 6 10" xfId="42812" xr:uid="{00000000-0005-0000-0000-000017520000}"/>
    <cellStyle name="Обычный 5 6 11" xfId="48152" xr:uid="{00000000-0005-0000-0000-000018520000}"/>
    <cellStyle name="Обычный 5 6 2" xfId="557" xr:uid="{00000000-0005-0000-0000-000019520000}"/>
    <cellStyle name="Обычный 5 6 2 10" xfId="48619" xr:uid="{00000000-0005-0000-0000-00001A520000}"/>
    <cellStyle name="Обычный 5 6 2 2" xfId="5898" xr:uid="{00000000-0005-0000-0000-00001B520000}"/>
    <cellStyle name="Обычный 5 6 2 2 2" xfId="53960" xr:uid="{00000000-0005-0000-0000-00001C520000}"/>
    <cellStyle name="Обычный 5 6 2 3" xfId="11239" xr:uid="{00000000-0005-0000-0000-00001D520000}"/>
    <cellStyle name="Обычный 5 6 2 4" xfId="16579" xr:uid="{00000000-0005-0000-0000-00001E520000}"/>
    <cellStyle name="Обычный 5 6 2 5" xfId="21919" xr:uid="{00000000-0005-0000-0000-00001F520000}"/>
    <cellStyle name="Обычный 5 6 2 6" xfId="27259" xr:uid="{00000000-0005-0000-0000-000020520000}"/>
    <cellStyle name="Обычный 5 6 2 7" xfId="32599" xr:uid="{00000000-0005-0000-0000-000021520000}"/>
    <cellStyle name="Обычный 5 6 2 8" xfId="37939" xr:uid="{00000000-0005-0000-0000-000022520000}"/>
    <cellStyle name="Обычный 5 6 2 9" xfId="43279" xr:uid="{00000000-0005-0000-0000-000023520000}"/>
    <cellStyle name="Обычный 5 6 3" xfId="5431" xr:uid="{00000000-0005-0000-0000-000024520000}"/>
    <cellStyle name="Обычный 5 6 3 2" xfId="53493" xr:uid="{00000000-0005-0000-0000-000025520000}"/>
    <cellStyle name="Обычный 5 6 4" xfId="10772" xr:uid="{00000000-0005-0000-0000-000026520000}"/>
    <cellStyle name="Обычный 5 6 5" xfId="16112" xr:uid="{00000000-0005-0000-0000-000027520000}"/>
    <cellStyle name="Обычный 5 6 6" xfId="21452" xr:uid="{00000000-0005-0000-0000-000028520000}"/>
    <cellStyle name="Обычный 5 6 7" xfId="26792" xr:uid="{00000000-0005-0000-0000-000029520000}"/>
    <cellStyle name="Обычный 5 6 8" xfId="32132" xr:uid="{00000000-0005-0000-0000-00002A520000}"/>
    <cellStyle name="Обычный 5 6 9" xfId="37472" xr:uid="{00000000-0005-0000-0000-00002B520000}"/>
    <cellStyle name="Обычный 5 60" xfId="1244" xr:uid="{00000000-0005-0000-0000-00002C520000}"/>
    <cellStyle name="Обычный 5 60 10" xfId="49307" xr:uid="{00000000-0005-0000-0000-00002D520000}"/>
    <cellStyle name="Обычный 5 60 2" xfId="6586" xr:uid="{00000000-0005-0000-0000-00002E520000}"/>
    <cellStyle name="Обычный 5 60 2 2" xfId="54648" xr:uid="{00000000-0005-0000-0000-00002F520000}"/>
    <cellStyle name="Обычный 5 60 3" xfId="11927" xr:uid="{00000000-0005-0000-0000-000030520000}"/>
    <cellStyle name="Обычный 5 60 4" xfId="17267" xr:uid="{00000000-0005-0000-0000-000031520000}"/>
    <cellStyle name="Обычный 5 60 5" xfId="22607" xr:uid="{00000000-0005-0000-0000-000032520000}"/>
    <cellStyle name="Обычный 5 60 6" xfId="27947" xr:uid="{00000000-0005-0000-0000-000033520000}"/>
    <cellStyle name="Обычный 5 60 7" xfId="33287" xr:uid="{00000000-0005-0000-0000-000034520000}"/>
    <cellStyle name="Обычный 5 60 8" xfId="38627" xr:uid="{00000000-0005-0000-0000-000035520000}"/>
    <cellStyle name="Обычный 5 60 9" xfId="43967" xr:uid="{00000000-0005-0000-0000-000036520000}"/>
    <cellStyle name="Обычный 5 61" xfId="1270" xr:uid="{00000000-0005-0000-0000-000037520000}"/>
    <cellStyle name="Обычный 5 61 10" xfId="49333" xr:uid="{00000000-0005-0000-0000-000038520000}"/>
    <cellStyle name="Обычный 5 61 2" xfId="6612" xr:uid="{00000000-0005-0000-0000-000039520000}"/>
    <cellStyle name="Обычный 5 61 2 2" xfId="54674" xr:uid="{00000000-0005-0000-0000-00003A520000}"/>
    <cellStyle name="Обычный 5 61 3" xfId="11953" xr:uid="{00000000-0005-0000-0000-00003B520000}"/>
    <cellStyle name="Обычный 5 61 4" xfId="17293" xr:uid="{00000000-0005-0000-0000-00003C520000}"/>
    <cellStyle name="Обычный 5 61 5" xfId="22633" xr:uid="{00000000-0005-0000-0000-00003D520000}"/>
    <cellStyle name="Обычный 5 61 6" xfId="27973" xr:uid="{00000000-0005-0000-0000-00003E520000}"/>
    <cellStyle name="Обычный 5 61 7" xfId="33313" xr:uid="{00000000-0005-0000-0000-00003F520000}"/>
    <cellStyle name="Обычный 5 61 8" xfId="38653" xr:uid="{00000000-0005-0000-0000-000040520000}"/>
    <cellStyle name="Обычный 5 61 9" xfId="43993" xr:uid="{00000000-0005-0000-0000-000041520000}"/>
    <cellStyle name="Обычный 5 62" xfId="1296" xr:uid="{00000000-0005-0000-0000-000042520000}"/>
    <cellStyle name="Обычный 5 62 10" xfId="49359" xr:uid="{00000000-0005-0000-0000-000043520000}"/>
    <cellStyle name="Обычный 5 62 2" xfId="6638" xr:uid="{00000000-0005-0000-0000-000044520000}"/>
    <cellStyle name="Обычный 5 62 2 2" xfId="54700" xr:uid="{00000000-0005-0000-0000-000045520000}"/>
    <cellStyle name="Обычный 5 62 3" xfId="11979" xr:uid="{00000000-0005-0000-0000-000046520000}"/>
    <cellStyle name="Обычный 5 62 4" xfId="17319" xr:uid="{00000000-0005-0000-0000-000047520000}"/>
    <cellStyle name="Обычный 5 62 5" xfId="22659" xr:uid="{00000000-0005-0000-0000-000048520000}"/>
    <cellStyle name="Обычный 5 62 6" xfId="27999" xr:uid="{00000000-0005-0000-0000-000049520000}"/>
    <cellStyle name="Обычный 5 62 7" xfId="33339" xr:uid="{00000000-0005-0000-0000-00004A520000}"/>
    <cellStyle name="Обычный 5 62 8" xfId="38679" xr:uid="{00000000-0005-0000-0000-00004B520000}"/>
    <cellStyle name="Обычный 5 62 9" xfId="44019" xr:uid="{00000000-0005-0000-0000-00004C520000}"/>
    <cellStyle name="Обычный 5 63" xfId="1322" xr:uid="{00000000-0005-0000-0000-00004D520000}"/>
    <cellStyle name="Обычный 5 63 10" xfId="49385" xr:uid="{00000000-0005-0000-0000-00004E520000}"/>
    <cellStyle name="Обычный 5 63 2" xfId="6664" xr:uid="{00000000-0005-0000-0000-00004F520000}"/>
    <cellStyle name="Обычный 5 63 2 2" xfId="54726" xr:uid="{00000000-0005-0000-0000-000050520000}"/>
    <cellStyle name="Обычный 5 63 3" xfId="12005" xr:uid="{00000000-0005-0000-0000-000051520000}"/>
    <cellStyle name="Обычный 5 63 4" xfId="17345" xr:uid="{00000000-0005-0000-0000-000052520000}"/>
    <cellStyle name="Обычный 5 63 5" xfId="22685" xr:uid="{00000000-0005-0000-0000-000053520000}"/>
    <cellStyle name="Обычный 5 63 6" xfId="28025" xr:uid="{00000000-0005-0000-0000-000054520000}"/>
    <cellStyle name="Обычный 5 63 7" xfId="33365" xr:uid="{00000000-0005-0000-0000-000055520000}"/>
    <cellStyle name="Обычный 5 63 8" xfId="38705" xr:uid="{00000000-0005-0000-0000-000056520000}"/>
    <cellStyle name="Обычный 5 63 9" xfId="44045" xr:uid="{00000000-0005-0000-0000-000057520000}"/>
    <cellStyle name="Обычный 5 64" xfId="1348" xr:uid="{00000000-0005-0000-0000-000058520000}"/>
    <cellStyle name="Обычный 5 64 10" xfId="49411" xr:uid="{00000000-0005-0000-0000-000059520000}"/>
    <cellStyle name="Обычный 5 64 2" xfId="6690" xr:uid="{00000000-0005-0000-0000-00005A520000}"/>
    <cellStyle name="Обычный 5 64 2 2" xfId="54752" xr:uid="{00000000-0005-0000-0000-00005B520000}"/>
    <cellStyle name="Обычный 5 64 3" xfId="12031" xr:uid="{00000000-0005-0000-0000-00005C520000}"/>
    <cellStyle name="Обычный 5 64 4" xfId="17371" xr:uid="{00000000-0005-0000-0000-00005D520000}"/>
    <cellStyle name="Обычный 5 64 5" xfId="22711" xr:uid="{00000000-0005-0000-0000-00005E520000}"/>
    <cellStyle name="Обычный 5 64 6" xfId="28051" xr:uid="{00000000-0005-0000-0000-00005F520000}"/>
    <cellStyle name="Обычный 5 64 7" xfId="33391" xr:uid="{00000000-0005-0000-0000-000060520000}"/>
    <cellStyle name="Обычный 5 64 8" xfId="38731" xr:uid="{00000000-0005-0000-0000-000061520000}"/>
    <cellStyle name="Обычный 5 64 9" xfId="44071" xr:uid="{00000000-0005-0000-0000-000062520000}"/>
    <cellStyle name="Обычный 5 65" xfId="1374" xr:uid="{00000000-0005-0000-0000-000063520000}"/>
    <cellStyle name="Обычный 5 65 10" xfId="49437" xr:uid="{00000000-0005-0000-0000-000064520000}"/>
    <cellStyle name="Обычный 5 65 2" xfId="6716" xr:uid="{00000000-0005-0000-0000-000065520000}"/>
    <cellStyle name="Обычный 5 65 2 2" xfId="54778" xr:uid="{00000000-0005-0000-0000-000066520000}"/>
    <cellStyle name="Обычный 5 65 3" xfId="12057" xr:uid="{00000000-0005-0000-0000-000067520000}"/>
    <cellStyle name="Обычный 5 65 4" xfId="17397" xr:uid="{00000000-0005-0000-0000-000068520000}"/>
    <cellStyle name="Обычный 5 65 5" xfId="22737" xr:uid="{00000000-0005-0000-0000-000069520000}"/>
    <cellStyle name="Обычный 5 65 6" xfId="28077" xr:uid="{00000000-0005-0000-0000-00006A520000}"/>
    <cellStyle name="Обычный 5 65 7" xfId="33417" xr:uid="{00000000-0005-0000-0000-00006B520000}"/>
    <cellStyle name="Обычный 5 65 8" xfId="38757" xr:uid="{00000000-0005-0000-0000-00006C520000}"/>
    <cellStyle name="Обычный 5 65 9" xfId="44097" xr:uid="{00000000-0005-0000-0000-00006D520000}"/>
    <cellStyle name="Обычный 5 66" xfId="1400" xr:uid="{00000000-0005-0000-0000-00006E520000}"/>
    <cellStyle name="Обычный 5 66 10" xfId="49463" xr:uid="{00000000-0005-0000-0000-00006F520000}"/>
    <cellStyle name="Обычный 5 66 2" xfId="6742" xr:uid="{00000000-0005-0000-0000-000070520000}"/>
    <cellStyle name="Обычный 5 66 2 2" xfId="54804" xr:uid="{00000000-0005-0000-0000-000071520000}"/>
    <cellStyle name="Обычный 5 66 3" xfId="12083" xr:uid="{00000000-0005-0000-0000-000072520000}"/>
    <cellStyle name="Обычный 5 66 4" xfId="17423" xr:uid="{00000000-0005-0000-0000-000073520000}"/>
    <cellStyle name="Обычный 5 66 5" xfId="22763" xr:uid="{00000000-0005-0000-0000-000074520000}"/>
    <cellStyle name="Обычный 5 66 6" xfId="28103" xr:uid="{00000000-0005-0000-0000-000075520000}"/>
    <cellStyle name="Обычный 5 66 7" xfId="33443" xr:uid="{00000000-0005-0000-0000-000076520000}"/>
    <cellStyle name="Обычный 5 66 8" xfId="38783" xr:uid="{00000000-0005-0000-0000-000077520000}"/>
    <cellStyle name="Обычный 5 66 9" xfId="44123" xr:uid="{00000000-0005-0000-0000-000078520000}"/>
    <cellStyle name="Обычный 5 67" xfId="1426" xr:uid="{00000000-0005-0000-0000-000079520000}"/>
    <cellStyle name="Обычный 5 67 10" xfId="49489" xr:uid="{00000000-0005-0000-0000-00007A520000}"/>
    <cellStyle name="Обычный 5 67 2" xfId="6768" xr:uid="{00000000-0005-0000-0000-00007B520000}"/>
    <cellStyle name="Обычный 5 67 2 2" xfId="54830" xr:uid="{00000000-0005-0000-0000-00007C520000}"/>
    <cellStyle name="Обычный 5 67 3" xfId="12109" xr:uid="{00000000-0005-0000-0000-00007D520000}"/>
    <cellStyle name="Обычный 5 67 4" xfId="17449" xr:uid="{00000000-0005-0000-0000-00007E520000}"/>
    <cellStyle name="Обычный 5 67 5" xfId="22789" xr:uid="{00000000-0005-0000-0000-00007F520000}"/>
    <cellStyle name="Обычный 5 67 6" xfId="28129" xr:uid="{00000000-0005-0000-0000-000080520000}"/>
    <cellStyle name="Обычный 5 67 7" xfId="33469" xr:uid="{00000000-0005-0000-0000-000081520000}"/>
    <cellStyle name="Обычный 5 67 8" xfId="38809" xr:uid="{00000000-0005-0000-0000-000082520000}"/>
    <cellStyle name="Обычный 5 67 9" xfId="44149" xr:uid="{00000000-0005-0000-0000-000083520000}"/>
    <cellStyle name="Обычный 5 68" xfId="1452" xr:uid="{00000000-0005-0000-0000-000084520000}"/>
    <cellStyle name="Обычный 5 68 10" xfId="49515" xr:uid="{00000000-0005-0000-0000-000085520000}"/>
    <cellStyle name="Обычный 5 68 2" xfId="6794" xr:uid="{00000000-0005-0000-0000-000086520000}"/>
    <cellStyle name="Обычный 5 68 2 2" xfId="54856" xr:uid="{00000000-0005-0000-0000-000087520000}"/>
    <cellStyle name="Обычный 5 68 3" xfId="12135" xr:uid="{00000000-0005-0000-0000-000088520000}"/>
    <cellStyle name="Обычный 5 68 4" xfId="17475" xr:uid="{00000000-0005-0000-0000-000089520000}"/>
    <cellStyle name="Обычный 5 68 5" xfId="22815" xr:uid="{00000000-0005-0000-0000-00008A520000}"/>
    <cellStyle name="Обычный 5 68 6" xfId="28155" xr:uid="{00000000-0005-0000-0000-00008B520000}"/>
    <cellStyle name="Обычный 5 68 7" xfId="33495" xr:uid="{00000000-0005-0000-0000-00008C520000}"/>
    <cellStyle name="Обычный 5 68 8" xfId="38835" xr:uid="{00000000-0005-0000-0000-00008D520000}"/>
    <cellStyle name="Обычный 5 68 9" xfId="44175" xr:uid="{00000000-0005-0000-0000-00008E520000}"/>
    <cellStyle name="Обычный 5 69" xfId="1478" xr:uid="{00000000-0005-0000-0000-00008F520000}"/>
    <cellStyle name="Обычный 5 69 10" xfId="49541" xr:uid="{00000000-0005-0000-0000-000090520000}"/>
    <cellStyle name="Обычный 5 69 2" xfId="6820" xr:uid="{00000000-0005-0000-0000-000091520000}"/>
    <cellStyle name="Обычный 5 69 2 2" xfId="54882" xr:uid="{00000000-0005-0000-0000-000092520000}"/>
    <cellStyle name="Обычный 5 69 3" xfId="12161" xr:uid="{00000000-0005-0000-0000-000093520000}"/>
    <cellStyle name="Обычный 5 69 4" xfId="17501" xr:uid="{00000000-0005-0000-0000-000094520000}"/>
    <cellStyle name="Обычный 5 69 5" xfId="22841" xr:uid="{00000000-0005-0000-0000-000095520000}"/>
    <cellStyle name="Обычный 5 69 6" xfId="28181" xr:uid="{00000000-0005-0000-0000-000096520000}"/>
    <cellStyle name="Обычный 5 69 7" xfId="33521" xr:uid="{00000000-0005-0000-0000-000097520000}"/>
    <cellStyle name="Обычный 5 69 8" xfId="38861" xr:uid="{00000000-0005-0000-0000-000098520000}"/>
    <cellStyle name="Обычный 5 69 9" xfId="44201" xr:uid="{00000000-0005-0000-0000-000099520000}"/>
    <cellStyle name="Обычный 5 7" xfId="94" xr:uid="{00000000-0005-0000-0000-00009A520000}"/>
    <cellStyle name="Обычный 5 7 10" xfId="42816" xr:uid="{00000000-0005-0000-0000-00009B520000}"/>
    <cellStyle name="Обычный 5 7 11" xfId="48156" xr:uid="{00000000-0005-0000-0000-00009C520000}"/>
    <cellStyle name="Обычный 5 7 2" xfId="561" xr:uid="{00000000-0005-0000-0000-00009D520000}"/>
    <cellStyle name="Обычный 5 7 2 10" xfId="48623" xr:uid="{00000000-0005-0000-0000-00009E520000}"/>
    <cellStyle name="Обычный 5 7 2 2" xfId="5902" xr:uid="{00000000-0005-0000-0000-00009F520000}"/>
    <cellStyle name="Обычный 5 7 2 2 2" xfId="53964" xr:uid="{00000000-0005-0000-0000-0000A0520000}"/>
    <cellStyle name="Обычный 5 7 2 3" xfId="11243" xr:uid="{00000000-0005-0000-0000-0000A1520000}"/>
    <cellStyle name="Обычный 5 7 2 4" xfId="16583" xr:uid="{00000000-0005-0000-0000-0000A2520000}"/>
    <cellStyle name="Обычный 5 7 2 5" xfId="21923" xr:uid="{00000000-0005-0000-0000-0000A3520000}"/>
    <cellStyle name="Обычный 5 7 2 6" xfId="27263" xr:uid="{00000000-0005-0000-0000-0000A4520000}"/>
    <cellStyle name="Обычный 5 7 2 7" xfId="32603" xr:uid="{00000000-0005-0000-0000-0000A5520000}"/>
    <cellStyle name="Обычный 5 7 2 8" xfId="37943" xr:uid="{00000000-0005-0000-0000-0000A6520000}"/>
    <cellStyle name="Обычный 5 7 2 9" xfId="43283" xr:uid="{00000000-0005-0000-0000-0000A7520000}"/>
    <cellStyle name="Обычный 5 7 3" xfId="5435" xr:uid="{00000000-0005-0000-0000-0000A8520000}"/>
    <cellStyle name="Обычный 5 7 3 2" xfId="53497" xr:uid="{00000000-0005-0000-0000-0000A9520000}"/>
    <cellStyle name="Обычный 5 7 4" xfId="10776" xr:uid="{00000000-0005-0000-0000-0000AA520000}"/>
    <cellStyle name="Обычный 5 7 5" xfId="16116" xr:uid="{00000000-0005-0000-0000-0000AB520000}"/>
    <cellStyle name="Обычный 5 7 6" xfId="21456" xr:uid="{00000000-0005-0000-0000-0000AC520000}"/>
    <cellStyle name="Обычный 5 7 7" xfId="26796" xr:uid="{00000000-0005-0000-0000-0000AD520000}"/>
    <cellStyle name="Обычный 5 7 8" xfId="32136" xr:uid="{00000000-0005-0000-0000-0000AE520000}"/>
    <cellStyle name="Обычный 5 7 9" xfId="37476" xr:uid="{00000000-0005-0000-0000-0000AF520000}"/>
    <cellStyle name="Обычный 5 70" xfId="1504" xr:uid="{00000000-0005-0000-0000-0000B0520000}"/>
    <cellStyle name="Обычный 5 70 10" xfId="49567" xr:uid="{00000000-0005-0000-0000-0000B1520000}"/>
    <cellStyle name="Обычный 5 70 2" xfId="6846" xr:uid="{00000000-0005-0000-0000-0000B2520000}"/>
    <cellStyle name="Обычный 5 70 2 2" xfId="54908" xr:uid="{00000000-0005-0000-0000-0000B3520000}"/>
    <cellStyle name="Обычный 5 70 3" xfId="12187" xr:uid="{00000000-0005-0000-0000-0000B4520000}"/>
    <cellStyle name="Обычный 5 70 4" xfId="17527" xr:uid="{00000000-0005-0000-0000-0000B5520000}"/>
    <cellStyle name="Обычный 5 70 5" xfId="22867" xr:uid="{00000000-0005-0000-0000-0000B6520000}"/>
    <cellStyle name="Обычный 5 70 6" xfId="28207" xr:uid="{00000000-0005-0000-0000-0000B7520000}"/>
    <cellStyle name="Обычный 5 70 7" xfId="33547" xr:uid="{00000000-0005-0000-0000-0000B8520000}"/>
    <cellStyle name="Обычный 5 70 8" xfId="38887" xr:uid="{00000000-0005-0000-0000-0000B9520000}"/>
    <cellStyle name="Обычный 5 70 9" xfId="44227" xr:uid="{00000000-0005-0000-0000-0000BA520000}"/>
    <cellStyle name="Обычный 5 71" xfId="1530" xr:uid="{00000000-0005-0000-0000-0000BB520000}"/>
    <cellStyle name="Обычный 5 71 10" xfId="49593" xr:uid="{00000000-0005-0000-0000-0000BC520000}"/>
    <cellStyle name="Обычный 5 71 2" xfId="6872" xr:uid="{00000000-0005-0000-0000-0000BD520000}"/>
    <cellStyle name="Обычный 5 71 2 2" xfId="54934" xr:uid="{00000000-0005-0000-0000-0000BE520000}"/>
    <cellStyle name="Обычный 5 71 3" xfId="12213" xr:uid="{00000000-0005-0000-0000-0000BF520000}"/>
    <cellStyle name="Обычный 5 71 4" xfId="17553" xr:uid="{00000000-0005-0000-0000-0000C0520000}"/>
    <cellStyle name="Обычный 5 71 5" xfId="22893" xr:uid="{00000000-0005-0000-0000-0000C1520000}"/>
    <cellStyle name="Обычный 5 71 6" xfId="28233" xr:uid="{00000000-0005-0000-0000-0000C2520000}"/>
    <cellStyle name="Обычный 5 71 7" xfId="33573" xr:uid="{00000000-0005-0000-0000-0000C3520000}"/>
    <cellStyle name="Обычный 5 71 8" xfId="38913" xr:uid="{00000000-0005-0000-0000-0000C4520000}"/>
    <cellStyle name="Обычный 5 71 9" xfId="44253" xr:uid="{00000000-0005-0000-0000-0000C5520000}"/>
    <cellStyle name="Обычный 5 72" xfId="1556" xr:uid="{00000000-0005-0000-0000-0000C6520000}"/>
    <cellStyle name="Обычный 5 72 10" xfId="49619" xr:uid="{00000000-0005-0000-0000-0000C7520000}"/>
    <cellStyle name="Обычный 5 72 2" xfId="6898" xr:uid="{00000000-0005-0000-0000-0000C8520000}"/>
    <cellStyle name="Обычный 5 72 2 2" xfId="54960" xr:uid="{00000000-0005-0000-0000-0000C9520000}"/>
    <cellStyle name="Обычный 5 72 3" xfId="12239" xr:uid="{00000000-0005-0000-0000-0000CA520000}"/>
    <cellStyle name="Обычный 5 72 4" xfId="17579" xr:uid="{00000000-0005-0000-0000-0000CB520000}"/>
    <cellStyle name="Обычный 5 72 5" xfId="22919" xr:uid="{00000000-0005-0000-0000-0000CC520000}"/>
    <cellStyle name="Обычный 5 72 6" xfId="28259" xr:uid="{00000000-0005-0000-0000-0000CD520000}"/>
    <cellStyle name="Обычный 5 72 7" xfId="33599" xr:uid="{00000000-0005-0000-0000-0000CE520000}"/>
    <cellStyle name="Обычный 5 72 8" xfId="38939" xr:uid="{00000000-0005-0000-0000-0000CF520000}"/>
    <cellStyle name="Обычный 5 72 9" xfId="44279" xr:uid="{00000000-0005-0000-0000-0000D0520000}"/>
    <cellStyle name="Обычный 5 73" xfId="1582" xr:uid="{00000000-0005-0000-0000-0000D1520000}"/>
    <cellStyle name="Обычный 5 73 10" xfId="49645" xr:uid="{00000000-0005-0000-0000-0000D2520000}"/>
    <cellStyle name="Обычный 5 73 2" xfId="6924" xr:uid="{00000000-0005-0000-0000-0000D3520000}"/>
    <cellStyle name="Обычный 5 73 2 2" xfId="54986" xr:uid="{00000000-0005-0000-0000-0000D4520000}"/>
    <cellStyle name="Обычный 5 73 3" xfId="12265" xr:uid="{00000000-0005-0000-0000-0000D5520000}"/>
    <cellStyle name="Обычный 5 73 4" xfId="17605" xr:uid="{00000000-0005-0000-0000-0000D6520000}"/>
    <cellStyle name="Обычный 5 73 5" xfId="22945" xr:uid="{00000000-0005-0000-0000-0000D7520000}"/>
    <cellStyle name="Обычный 5 73 6" xfId="28285" xr:uid="{00000000-0005-0000-0000-0000D8520000}"/>
    <cellStyle name="Обычный 5 73 7" xfId="33625" xr:uid="{00000000-0005-0000-0000-0000D9520000}"/>
    <cellStyle name="Обычный 5 73 8" xfId="38965" xr:uid="{00000000-0005-0000-0000-0000DA520000}"/>
    <cellStyle name="Обычный 5 73 9" xfId="44305" xr:uid="{00000000-0005-0000-0000-0000DB520000}"/>
    <cellStyle name="Обычный 5 74" xfId="1608" xr:uid="{00000000-0005-0000-0000-0000DC520000}"/>
    <cellStyle name="Обычный 5 74 10" xfId="49671" xr:uid="{00000000-0005-0000-0000-0000DD520000}"/>
    <cellStyle name="Обычный 5 74 2" xfId="6950" xr:uid="{00000000-0005-0000-0000-0000DE520000}"/>
    <cellStyle name="Обычный 5 74 2 2" xfId="55012" xr:uid="{00000000-0005-0000-0000-0000DF520000}"/>
    <cellStyle name="Обычный 5 74 3" xfId="12291" xr:uid="{00000000-0005-0000-0000-0000E0520000}"/>
    <cellStyle name="Обычный 5 74 4" xfId="17631" xr:uid="{00000000-0005-0000-0000-0000E1520000}"/>
    <cellStyle name="Обычный 5 74 5" xfId="22971" xr:uid="{00000000-0005-0000-0000-0000E2520000}"/>
    <cellStyle name="Обычный 5 74 6" xfId="28311" xr:uid="{00000000-0005-0000-0000-0000E3520000}"/>
    <cellStyle name="Обычный 5 74 7" xfId="33651" xr:uid="{00000000-0005-0000-0000-0000E4520000}"/>
    <cellStyle name="Обычный 5 74 8" xfId="38991" xr:uid="{00000000-0005-0000-0000-0000E5520000}"/>
    <cellStyle name="Обычный 5 74 9" xfId="44331" xr:uid="{00000000-0005-0000-0000-0000E6520000}"/>
    <cellStyle name="Обычный 5 75" xfId="1634" xr:uid="{00000000-0005-0000-0000-0000E7520000}"/>
    <cellStyle name="Обычный 5 75 10" xfId="49697" xr:uid="{00000000-0005-0000-0000-0000E8520000}"/>
    <cellStyle name="Обычный 5 75 2" xfId="6976" xr:uid="{00000000-0005-0000-0000-0000E9520000}"/>
    <cellStyle name="Обычный 5 75 2 2" xfId="55038" xr:uid="{00000000-0005-0000-0000-0000EA520000}"/>
    <cellStyle name="Обычный 5 75 3" xfId="12317" xr:uid="{00000000-0005-0000-0000-0000EB520000}"/>
    <cellStyle name="Обычный 5 75 4" xfId="17657" xr:uid="{00000000-0005-0000-0000-0000EC520000}"/>
    <cellStyle name="Обычный 5 75 5" xfId="22997" xr:uid="{00000000-0005-0000-0000-0000ED520000}"/>
    <cellStyle name="Обычный 5 75 6" xfId="28337" xr:uid="{00000000-0005-0000-0000-0000EE520000}"/>
    <cellStyle name="Обычный 5 75 7" xfId="33677" xr:uid="{00000000-0005-0000-0000-0000EF520000}"/>
    <cellStyle name="Обычный 5 75 8" xfId="39017" xr:uid="{00000000-0005-0000-0000-0000F0520000}"/>
    <cellStyle name="Обычный 5 75 9" xfId="44357" xr:uid="{00000000-0005-0000-0000-0000F1520000}"/>
    <cellStyle name="Обычный 5 76" xfId="1660" xr:uid="{00000000-0005-0000-0000-0000F2520000}"/>
    <cellStyle name="Обычный 5 76 10" xfId="49723" xr:uid="{00000000-0005-0000-0000-0000F3520000}"/>
    <cellStyle name="Обычный 5 76 2" xfId="7002" xr:uid="{00000000-0005-0000-0000-0000F4520000}"/>
    <cellStyle name="Обычный 5 76 2 2" xfId="55064" xr:uid="{00000000-0005-0000-0000-0000F5520000}"/>
    <cellStyle name="Обычный 5 76 3" xfId="12343" xr:uid="{00000000-0005-0000-0000-0000F6520000}"/>
    <cellStyle name="Обычный 5 76 4" xfId="17683" xr:uid="{00000000-0005-0000-0000-0000F7520000}"/>
    <cellStyle name="Обычный 5 76 5" xfId="23023" xr:uid="{00000000-0005-0000-0000-0000F8520000}"/>
    <cellStyle name="Обычный 5 76 6" xfId="28363" xr:uid="{00000000-0005-0000-0000-0000F9520000}"/>
    <cellStyle name="Обычный 5 76 7" xfId="33703" xr:uid="{00000000-0005-0000-0000-0000FA520000}"/>
    <cellStyle name="Обычный 5 76 8" xfId="39043" xr:uid="{00000000-0005-0000-0000-0000FB520000}"/>
    <cellStyle name="Обычный 5 76 9" xfId="44383" xr:uid="{00000000-0005-0000-0000-0000FC520000}"/>
    <cellStyle name="Обычный 5 77" xfId="1686" xr:uid="{00000000-0005-0000-0000-0000FD520000}"/>
    <cellStyle name="Обычный 5 77 10" xfId="49749" xr:uid="{00000000-0005-0000-0000-0000FE520000}"/>
    <cellStyle name="Обычный 5 77 2" xfId="7028" xr:uid="{00000000-0005-0000-0000-0000FF520000}"/>
    <cellStyle name="Обычный 5 77 2 2" xfId="55090" xr:uid="{00000000-0005-0000-0000-000000530000}"/>
    <cellStyle name="Обычный 5 77 3" xfId="12369" xr:uid="{00000000-0005-0000-0000-000001530000}"/>
    <cellStyle name="Обычный 5 77 4" xfId="17709" xr:uid="{00000000-0005-0000-0000-000002530000}"/>
    <cellStyle name="Обычный 5 77 5" xfId="23049" xr:uid="{00000000-0005-0000-0000-000003530000}"/>
    <cellStyle name="Обычный 5 77 6" xfId="28389" xr:uid="{00000000-0005-0000-0000-000004530000}"/>
    <cellStyle name="Обычный 5 77 7" xfId="33729" xr:uid="{00000000-0005-0000-0000-000005530000}"/>
    <cellStyle name="Обычный 5 77 8" xfId="39069" xr:uid="{00000000-0005-0000-0000-000006530000}"/>
    <cellStyle name="Обычный 5 77 9" xfId="44409" xr:uid="{00000000-0005-0000-0000-000007530000}"/>
    <cellStyle name="Обычный 5 78" xfId="1712" xr:uid="{00000000-0005-0000-0000-000008530000}"/>
    <cellStyle name="Обычный 5 78 10" xfId="49775" xr:uid="{00000000-0005-0000-0000-000009530000}"/>
    <cellStyle name="Обычный 5 78 2" xfId="7054" xr:uid="{00000000-0005-0000-0000-00000A530000}"/>
    <cellStyle name="Обычный 5 78 2 2" xfId="55116" xr:uid="{00000000-0005-0000-0000-00000B530000}"/>
    <cellStyle name="Обычный 5 78 3" xfId="12395" xr:uid="{00000000-0005-0000-0000-00000C530000}"/>
    <cellStyle name="Обычный 5 78 4" xfId="17735" xr:uid="{00000000-0005-0000-0000-00000D530000}"/>
    <cellStyle name="Обычный 5 78 5" xfId="23075" xr:uid="{00000000-0005-0000-0000-00000E530000}"/>
    <cellStyle name="Обычный 5 78 6" xfId="28415" xr:uid="{00000000-0005-0000-0000-00000F530000}"/>
    <cellStyle name="Обычный 5 78 7" xfId="33755" xr:uid="{00000000-0005-0000-0000-000010530000}"/>
    <cellStyle name="Обычный 5 78 8" xfId="39095" xr:uid="{00000000-0005-0000-0000-000011530000}"/>
    <cellStyle name="Обычный 5 78 9" xfId="44435" xr:uid="{00000000-0005-0000-0000-000012530000}"/>
    <cellStyle name="Обычный 5 79" xfId="1738" xr:uid="{00000000-0005-0000-0000-000013530000}"/>
    <cellStyle name="Обычный 5 79 10" xfId="49801" xr:uid="{00000000-0005-0000-0000-000014530000}"/>
    <cellStyle name="Обычный 5 79 2" xfId="7080" xr:uid="{00000000-0005-0000-0000-000015530000}"/>
    <cellStyle name="Обычный 5 79 2 2" xfId="55142" xr:uid="{00000000-0005-0000-0000-000016530000}"/>
    <cellStyle name="Обычный 5 79 3" xfId="12421" xr:uid="{00000000-0005-0000-0000-000017530000}"/>
    <cellStyle name="Обычный 5 79 4" xfId="17761" xr:uid="{00000000-0005-0000-0000-000018530000}"/>
    <cellStyle name="Обычный 5 79 5" xfId="23101" xr:uid="{00000000-0005-0000-0000-000019530000}"/>
    <cellStyle name="Обычный 5 79 6" xfId="28441" xr:uid="{00000000-0005-0000-0000-00001A530000}"/>
    <cellStyle name="Обычный 5 79 7" xfId="33781" xr:uid="{00000000-0005-0000-0000-00001B530000}"/>
    <cellStyle name="Обычный 5 79 8" xfId="39121" xr:uid="{00000000-0005-0000-0000-00001C530000}"/>
    <cellStyle name="Обычный 5 79 9" xfId="44461" xr:uid="{00000000-0005-0000-0000-00001D530000}"/>
    <cellStyle name="Обычный 5 8" xfId="98" xr:uid="{00000000-0005-0000-0000-00001E530000}"/>
    <cellStyle name="Обычный 5 8 10" xfId="42820" xr:uid="{00000000-0005-0000-0000-00001F530000}"/>
    <cellStyle name="Обычный 5 8 11" xfId="48160" xr:uid="{00000000-0005-0000-0000-000020530000}"/>
    <cellStyle name="Обычный 5 8 2" xfId="565" xr:uid="{00000000-0005-0000-0000-000021530000}"/>
    <cellStyle name="Обычный 5 8 2 10" xfId="48627" xr:uid="{00000000-0005-0000-0000-000022530000}"/>
    <cellStyle name="Обычный 5 8 2 2" xfId="5906" xr:uid="{00000000-0005-0000-0000-000023530000}"/>
    <cellStyle name="Обычный 5 8 2 2 2" xfId="53968" xr:uid="{00000000-0005-0000-0000-000024530000}"/>
    <cellStyle name="Обычный 5 8 2 3" xfId="11247" xr:uid="{00000000-0005-0000-0000-000025530000}"/>
    <cellStyle name="Обычный 5 8 2 4" xfId="16587" xr:uid="{00000000-0005-0000-0000-000026530000}"/>
    <cellStyle name="Обычный 5 8 2 5" xfId="21927" xr:uid="{00000000-0005-0000-0000-000027530000}"/>
    <cellStyle name="Обычный 5 8 2 6" xfId="27267" xr:uid="{00000000-0005-0000-0000-000028530000}"/>
    <cellStyle name="Обычный 5 8 2 7" xfId="32607" xr:uid="{00000000-0005-0000-0000-000029530000}"/>
    <cellStyle name="Обычный 5 8 2 8" xfId="37947" xr:uid="{00000000-0005-0000-0000-00002A530000}"/>
    <cellStyle name="Обычный 5 8 2 9" xfId="43287" xr:uid="{00000000-0005-0000-0000-00002B530000}"/>
    <cellStyle name="Обычный 5 8 3" xfId="5439" xr:uid="{00000000-0005-0000-0000-00002C530000}"/>
    <cellStyle name="Обычный 5 8 3 2" xfId="53501" xr:uid="{00000000-0005-0000-0000-00002D530000}"/>
    <cellStyle name="Обычный 5 8 4" xfId="10780" xr:uid="{00000000-0005-0000-0000-00002E530000}"/>
    <cellStyle name="Обычный 5 8 5" xfId="16120" xr:uid="{00000000-0005-0000-0000-00002F530000}"/>
    <cellStyle name="Обычный 5 8 6" xfId="21460" xr:uid="{00000000-0005-0000-0000-000030530000}"/>
    <cellStyle name="Обычный 5 8 7" xfId="26800" xr:uid="{00000000-0005-0000-0000-000031530000}"/>
    <cellStyle name="Обычный 5 8 8" xfId="32140" xr:uid="{00000000-0005-0000-0000-000032530000}"/>
    <cellStyle name="Обычный 5 8 9" xfId="37480" xr:uid="{00000000-0005-0000-0000-000033530000}"/>
    <cellStyle name="Обычный 5 80" xfId="1764" xr:uid="{00000000-0005-0000-0000-000034530000}"/>
    <cellStyle name="Обычный 5 80 10" xfId="49827" xr:uid="{00000000-0005-0000-0000-000035530000}"/>
    <cellStyle name="Обычный 5 80 2" xfId="7106" xr:uid="{00000000-0005-0000-0000-000036530000}"/>
    <cellStyle name="Обычный 5 80 2 2" xfId="55168" xr:uid="{00000000-0005-0000-0000-000037530000}"/>
    <cellStyle name="Обычный 5 80 3" xfId="12447" xr:uid="{00000000-0005-0000-0000-000038530000}"/>
    <cellStyle name="Обычный 5 80 4" xfId="17787" xr:uid="{00000000-0005-0000-0000-000039530000}"/>
    <cellStyle name="Обычный 5 80 5" xfId="23127" xr:uid="{00000000-0005-0000-0000-00003A530000}"/>
    <cellStyle name="Обычный 5 80 6" xfId="28467" xr:uid="{00000000-0005-0000-0000-00003B530000}"/>
    <cellStyle name="Обычный 5 80 7" xfId="33807" xr:uid="{00000000-0005-0000-0000-00003C530000}"/>
    <cellStyle name="Обычный 5 80 8" xfId="39147" xr:uid="{00000000-0005-0000-0000-00003D530000}"/>
    <cellStyle name="Обычный 5 80 9" xfId="44487" xr:uid="{00000000-0005-0000-0000-00003E530000}"/>
    <cellStyle name="Обычный 5 81" xfId="1790" xr:uid="{00000000-0005-0000-0000-00003F530000}"/>
    <cellStyle name="Обычный 5 81 10" xfId="49853" xr:uid="{00000000-0005-0000-0000-000040530000}"/>
    <cellStyle name="Обычный 5 81 2" xfId="7132" xr:uid="{00000000-0005-0000-0000-000041530000}"/>
    <cellStyle name="Обычный 5 81 2 2" xfId="55194" xr:uid="{00000000-0005-0000-0000-000042530000}"/>
    <cellStyle name="Обычный 5 81 3" xfId="12473" xr:uid="{00000000-0005-0000-0000-000043530000}"/>
    <cellStyle name="Обычный 5 81 4" xfId="17813" xr:uid="{00000000-0005-0000-0000-000044530000}"/>
    <cellStyle name="Обычный 5 81 5" xfId="23153" xr:uid="{00000000-0005-0000-0000-000045530000}"/>
    <cellStyle name="Обычный 5 81 6" xfId="28493" xr:uid="{00000000-0005-0000-0000-000046530000}"/>
    <cellStyle name="Обычный 5 81 7" xfId="33833" xr:uid="{00000000-0005-0000-0000-000047530000}"/>
    <cellStyle name="Обычный 5 81 8" xfId="39173" xr:uid="{00000000-0005-0000-0000-000048530000}"/>
    <cellStyle name="Обычный 5 81 9" xfId="44513" xr:uid="{00000000-0005-0000-0000-000049530000}"/>
    <cellStyle name="Обычный 5 82" xfId="1816" xr:uid="{00000000-0005-0000-0000-00004A530000}"/>
    <cellStyle name="Обычный 5 82 10" xfId="49879" xr:uid="{00000000-0005-0000-0000-00004B530000}"/>
    <cellStyle name="Обычный 5 82 2" xfId="7158" xr:uid="{00000000-0005-0000-0000-00004C530000}"/>
    <cellStyle name="Обычный 5 82 2 2" xfId="55220" xr:uid="{00000000-0005-0000-0000-00004D530000}"/>
    <cellStyle name="Обычный 5 82 3" xfId="12499" xr:uid="{00000000-0005-0000-0000-00004E530000}"/>
    <cellStyle name="Обычный 5 82 4" xfId="17839" xr:uid="{00000000-0005-0000-0000-00004F530000}"/>
    <cellStyle name="Обычный 5 82 5" xfId="23179" xr:uid="{00000000-0005-0000-0000-000050530000}"/>
    <cellStyle name="Обычный 5 82 6" xfId="28519" xr:uid="{00000000-0005-0000-0000-000051530000}"/>
    <cellStyle name="Обычный 5 82 7" xfId="33859" xr:uid="{00000000-0005-0000-0000-000052530000}"/>
    <cellStyle name="Обычный 5 82 8" xfId="39199" xr:uid="{00000000-0005-0000-0000-000053530000}"/>
    <cellStyle name="Обычный 5 82 9" xfId="44539" xr:uid="{00000000-0005-0000-0000-000054530000}"/>
    <cellStyle name="Обычный 5 83" xfId="1842" xr:uid="{00000000-0005-0000-0000-000055530000}"/>
    <cellStyle name="Обычный 5 83 10" xfId="49905" xr:uid="{00000000-0005-0000-0000-000056530000}"/>
    <cellStyle name="Обычный 5 83 2" xfId="7184" xr:uid="{00000000-0005-0000-0000-000057530000}"/>
    <cellStyle name="Обычный 5 83 2 2" xfId="55246" xr:uid="{00000000-0005-0000-0000-000058530000}"/>
    <cellStyle name="Обычный 5 83 3" xfId="12525" xr:uid="{00000000-0005-0000-0000-000059530000}"/>
    <cellStyle name="Обычный 5 83 4" xfId="17865" xr:uid="{00000000-0005-0000-0000-00005A530000}"/>
    <cellStyle name="Обычный 5 83 5" xfId="23205" xr:uid="{00000000-0005-0000-0000-00005B530000}"/>
    <cellStyle name="Обычный 5 83 6" xfId="28545" xr:uid="{00000000-0005-0000-0000-00005C530000}"/>
    <cellStyle name="Обычный 5 83 7" xfId="33885" xr:uid="{00000000-0005-0000-0000-00005D530000}"/>
    <cellStyle name="Обычный 5 83 8" xfId="39225" xr:uid="{00000000-0005-0000-0000-00005E530000}"/>
    <cellStyle name="Обычный 5 83 9" xfId="44565" xr:uid="{00000000-0005-0000-0000-00005F530000}"/>
    <cellStyle name="Обычный 5 84" xfId="1868" xr:uid="{00000000-0005-0000-0000-000060530000}"/>
    <cellStyle name="Обычный 5 84 10" xfId="49931" xr:uid="{00000000-0005-0000-0000-000061530000}"/>
    <cellStyle name="Обычный 5 84 2" xfId="7210" xr:uid="{00000000-0005-0000-0000-000062530000}"/>
    <cellStyle name="Обычный 5 84 2 2" xfId="55272" xr:uid="{00000000-0005-0000-0000-000063530000}"/>
    <cellStyle name="Обычный 5 84 3" xfId="12551" xr:uid="{00000000-0005-0000-0000-000064530000}"/>
    <cellStyle name="Обычный 5 84 4" xfId="17891" xr:uid="{00000000-0005-0000-0000-000065530000}"/>
    <cellStyle name="Обычный 5 84 5" xfId="23231" xr:uid="{00000000-0005-0000-0000-000066530000}"/>
    <cellStyle name="Обычный 5 84 6" xfId="28571" xr:uid="{00000000-0005-0000-0000-000067530000}"/>
    <cellStyle name="Обычный 5 84 7" xfId="33911" xr:uid="{00000000-0005-0000-0000-000068530000}"/>
    <cellStyle name="Обычный 5 84 8" xfId="39251" xr:uid="{00000000-0005-0000-0000-000069530000}"/>
    <cellStyle name="Обычный 5 84 9" xfId="44591" xr:uid="{00000000-0005-0000-0000-00006A530000}"/>
    <cellStyle name="Обычный 5 85" xfId="1894" xr:uid="{00000000-0005-0000-0000-00006B530000}"/>
    <cellStyle name="Обычный 5 85 10" xfId="49957" xr:uid="{00000000-0005-0000-0000-00006C530000}"/>
    <cellStyle name="Обычный 5 85 2" xfId="7236" xr:uid="{00000000-0005-0000-0000-00006D530000}"/>
    <cellStyle name="Обычный 5 85 2 2" xfId="55298" xr:uid="{00000000-0005-0000-0000-00006E530000}"/>
    <cellStyle name="Обычный 5 85 3" xfId="12577" xr:uid="{00000000-0005-0000-0000-00006F530000}"/>
    <cellStyle name="Обычный 5 85 4" xfId="17917" xr:uid="{00000000-0005-0000-0000-000070530000}"/>
    <cellStyle name="Обычный 5 85 5" xfId="23257" xr:uid="{00000000-0005-0000-0000-000071530000}"/>
    <cellStyle name="Обычный 5 85 6" xfId="28597" xr:uid="{00000000-0005-0000-0000-000072530000}"/>
    <cellStyle name="Обычный 5 85 7" xfId="33937" xr:uid="{00000000-0005-0000-0000-000073530000}"/>
    <cellStyle name="Обычный 5 85 8" xfId="39277" xr:uid="{00000000-0005-0000-0000-000074530000}"/>
    <cellStyle name="Обычный 5 85 9" xfId="44617" xr:uid="{00000000-0005-0000-0000-000075530000}"/>
    <cellStyle name="Обычный 5 86" xfId="1920" xr:uid="{00000000-0005-0000-0000-000076530000}"/>
    <cellStyle name="Обычный 5 86 10" xfId="49983" xr:uid="{00000000-0005-0000-0000-000077530000}"/>
    <cellStyle name="Обычный 5 86 2" xfId="7262" xr:uid="{00000000-0005-0000-0000-000078530000}"/>
    <cellStyle name="Обычный 5 86 2 2" xfId="55324" xr:uid="{00000000-0005-0000-0000-000079530000}"/>
    <cellStyle name="Обычный 5 86 3" xfId="12603" xr:uid="{00000000-0005-0000-0000-00007A530000}"/>
    <cellStyle name="Обычный 5 86 4" xfId="17943" xr:uid="{00000000-0005-0000-0000-00007B530000}"/>
    <cellStyle name="Обычный 5 86 5" xfId="23283" xr:uid="{00000000-0005-0000-0000-00007C530000}"/>
    <cellStyle name="Обычный 5 86 6" xfId="28623" xr:uid="{00000000-0005-0000-0000-00007D530000}"/>
    <cellStyle name="Обычный 5 86 7" xfId="33963" xr:uid="{00000000-0005-0000-0000-00007E530000}"/>
    <cellStyle name="Обычный 5 86 8" xfId="39303" xr:uid="{00000000-0005-0000-0000-00007F530000}"/>
    <cellStyle name="Обычный 5 86 9" xfId="44643" xr:uid="{00000000-0005-0000-0000-000080530000}"/>
    <cellStyle name="Обычный 5 87" xfId="1948" xr:uid="{00000000-0005-0000-0000-000081530000}"/>
    <cellStyle name="Обычный 5 87 10" xfId="50011" xr:uid="{00000000-0005-0000-0000-000082530000}"/>
    <cellStyle name="Обычный 5 87 2" xfId="7290" xr:uid="{00000000-0005-0000-0000-000083530000}"/>
    <cellStyle name="Обычный 5 87 2 2" xfId="55352" xr:uid="{00000000-0005-0000-0000-000084530000}"/>
    <cellStyle name="Обычный 5 87 3" xfId="12631" xr:uid="{00000000-0005-0000-0000-000085530000}"/>
    <cellStyle name="Обычный 5 87 4" xfId="17971" xr:uid="{00000000-0005-0000-0000-000086530000}"/>
    <cellStyle name="Обычный 5 87 5" xfId="23311" xr:uid="{00000000-0005-0000-0000-000087530000}"/>
    <cellStyle name="Обычный 5 87 6" xfId="28651" xr:uid="{00000000-0005-0000-0000-000088530000}"/>
    <cellStyle name="Обычный 5 87 7" xfId="33991" xr:uid="{00000000-0005-0000-0000-000089530000}"/>
    <cellStyle name="Обычный 5 87 8" xfId="39331" xr:uid="{00000000-0005-0000-0000-00008A530000}"/>
    <cellStyle name="Обычный 5 87 9" xfId="44671" xr:uid="{00000000-0005-0000-0000-00008B530000}"/>
    <cellStyle name="Обычный 5 88" xfId="1975" xr:uid="{00000000-0005-0000-0000-00008C530000}"/>
    <cellStyle name="Обычный 5 88 10" xfId="50039" xr:uid="{00000000-0005-0000-0000-00008D530000}"/>
    <cellStyle name="Обычный 5 88 2" xfId="7318" xr:uid="{00000000-0005-0000-0000-00008E530000}"/>
    <cellStyle name="Обычный 5 88 2 2" xfId="55380" xr:uid="{00000000-0005-0000-0000-00008F530000}"/>
    <cellStyle name="Обычный 5 88 3" xfId="12659" xr:uid="{00000000-0005-0000-0000-000090530000}"/>
    <cellStyle name="Обычный 5 88 4" xfId="17999" xr:uid="{00000000-0005-0000-0000-000091530000}"/>
    <cellStyle name="Обычный 5 88 5" xfId="23339" xr:uid="{00000000-0005-0000-0000-000092530000}"/>
    <cellStyle name="Обычный 5 88 6" xfId="28679" xr:uid="{00000000-0005-0000-0000-000093530000}"/>
    <cellStyle name="Обычный 5 88 7" xfId="34019" xr:uid="{00000000-0005-0000-0000-000094530000}"/>
    <cellStyle name="Обычный 5 88 8" xfId="39359" xr:uid="{00000000-0005-0000-0000-000095530000}"/>
    <cellStyle name="Обычный 5 88 9" xfId="44699" xr:uid="{00000000-0005-0000-0000-000096530000}"/>
    <cellStyle name="Обычный 5 89" xfId="2003" xr:uid="{00000000-0005-0000-0000-000097530000}"/>
    <cellStyle name="Обычный 5 89 10" xfId="50067" xr:uid="{00000000-0005-0000-0000-000098530000}"/>
    <cellStyle name="Обычный 5 89 2" xfId="7346" xr:uid="{00000000-0005-0000-0000-000099530000}"/>
    <cellStyle name="Обычный 5 89 2 2" xfId="55408" xr:uid="{00000000-0005-0000-0000-00009A530000}"/>
    <cellStyle name="Обычный 5 89 3" xfId="12687" xr:uid="{00000000-0005-0000-0000-00009B530000}"/>
    <cellStyle name="Обычный 5 89 4" xfId="18027" xr:uid="{00000000-0005-0000-0000-00009C530000}"/>
    <cellStyle name="Обычный 5 89 5" xfId="23367" xr:uid="{00000000-0005-0000-0000-00009D530000}"/>
    <cellStyle name="Обычный 5 89 6" xfId="28707" xr:uid="{00000000-0005-0000-0000-00009E530000}"/>
    <cellStyle name="Обычный 5 89 7" xfId="34047" xr:uid="{00000000-0005-0000-0000-00009F530000}"/>
    <cellStyle name="Обычный 5 89 8" xfId="39387" xr:uid="{00000000-0005-0000-0000-0000A0530000}"/>
    <cellStyle name="Обычный 5 89 9" xfId="44727" xr:uid="{00000000-0005-0000-0000-0000A1530000}"/>
    <cellStyle name="Обычный 5 9" xfId="106" xr:uid="{00000000-0005-0000-0000-0000A2530000}"/>
    <cellStyle name="Обычный 5 9 10" xfId="42828" xr:uid="{00000000-0005-0000-0000-0000A3530000}"/>
    <cellStyle name="Обычный 5 9 11" xfId="48168" xr:uid="{00000000-0005-0000-0000-0000A4530000}"/>
    <cellStyle name="Обычный 5 9 2" xfId="573" xr:uid="{00000000-0005-0000-0000-0000A5530000}"/>
    <cellStyle name="Обычный 5 9 2 10" xfId="48635" xr:uid="{00000000-0005-0000-0000-0000A6530000}"/>
    <cellStyle name="Обычный 5 9 2 2" xfId="5914" xr:uid="{00000000-0005-0000-0000-0000A7530000}"/>
    <cellStyle name="Обычный 5 9 2 2 2" xfId="53976" xr:uid="{00000000-0005-0000-0000-0000A8530000}"/>
    <cellStyle name="Обычный 5 9 2 3" xfId="11255" xr:uid="{00000000-0005-0000-0000-0000A9530000}"/>
    <cellStyle name="Обычный 5 9 2 4" xfId="16595" xr:uid="{00000000-0005-0000-0000-0000AA530000}"/>
    <cellStyle name="Обычный 5 9 2 5" xfId="21935" xr:uid="{00000000-0005-0000-0000-0000AB530000}"/>
    <cellStyle name="Обычный 5 9 2 6" xfId="27275" xr:uid="{00000000-0005-0000-0000-0000AC530000}"/>
    <cellStyle name="Обычный 5 9 2 7" xfId="32615" xr:uid="{00000000-0005-0000-0000-0000AD530000}"/>
    <cellStyle name="Обычный 5 9 2 8" xfId="37955" xr:uid="{00000000-0005-0000-0000-0000AE530000}"/>
    <cellStyle name="Обычный 5 9 2 9" xfId="43295" xr:uid="{00000000-0005-0000-0000-0000AF530000}"/>
    <cellStyle name="Обычный 5 9 3" xfId="5447" xr:uid="{00000000-0005-0000-0000-0000B0530000}"/>
    <cellStyle name="Обычный 5 9 3 2" xfId="53509" xr:uid="{00000000-0005-0000-0000-0000B1530000}"/>
    <cellStyle name="Обычный 5 9 4" xfId="10788" xr:uid="{00000000-0005-0000-0000-0000B2530000}"/>
    <cellStyle name="Обычный 5 9 5" xfId="16128" xr:uid="{00000000-0005-0000-0000-0000B3530000}"/>
    <cellStyle name="Обычный 5 9 6" xfId="21468" xr:uid="{00000000-0005-0000-0000-0000B4530000}"/>
    <cellStyle name="Обычный 5 9 7" xfId="26808" xr:uid="{00000000-0005-0000-0000-0000B5530000}"/>
    <cellStyle name="Обычный 5 9 8" xfId="32148" xr:uid="{00000000-0005-0000-0000-0000B6530000}"/>
    <cellStyle name="Обычный 5 9 9" xfId="37488" xr:uid="{00000000-0005-0000-0000-0000B7530000}"/>
    <cellStyle name="Обычный 5 90" xfId="2031" xr:uid="{00000000-0005-0000-0000-0000B8530000}"/>
    <cellStyle name="Обычный 5 90 10" xfId="50095" xr:uid="{00000000-0005-0000-0000-0000B9530000}"/>
    <cellStyle name="Обычный 5 90 2" xfId="7374" xr:uid="{00000000-0005-0000-0000-0000BA530000}"/>
    <cellStyle name="Обычный 5 90 2 2" xfId="55436" xr:uid="{00000000-0005-0000-0000-0000BB530000}"/>
    <cellStyle name="Обычный 5 90 3" xfId="12715" xr:uid="{00000000-0005-0000-0000-0000BC530000}"/>
    <cellStyle name="Обычный 5 90 4" xfId="18055" xr:uid="{00000000-0005-0000-0000-0000BD530000}"/>
    <cellStyle name="Обычный 5 90 5" xfId="23395" xr:uid="{00000000-0005-0000-0000-0000BE530000}"/>
    <cellStyle name="Обычный 5 90 6" xfId="28735" xr:uid="{00000000-0005-0000-0000-0000BF530000}"/>
    <cellStyle name="Обычный 5 90 7" xfId="34075" xr:uid="{00000000-0005-0000-0000-0000C0530000}"/>
    <cellStyle name="Обычный 5 90 8" xfId="39415" xr:uid="{00000000-0005-0000-0000-0000C1530000}"/>
    <cellStyle name="Обычный 5 90 9" xfId="44755" xr:uid="{00000000-0005-0000-0000-0000C2530000}"/>
    <cellStyle name="Обычный 5 91" xfId="2059" xr:uid="{00000000-0005-0000-0000-0000C3530000}"/>
    <cellStyle name="Обычный 5 91 10" xfId="50123" xr:uid="{00000000-0005-0000-0000-0000C4530000}"/>
    <cellStyle name="Обычный 5 91 2" xfId="7402" xr:uid="{00000000-0005-0000-0000-0000C5530000}"/>
    <cellStyle name="Обычный 5 91 2 2" xfId="55464" xr:uid="{00000000-0005-0000-0000-0000C6530000}"/>
    <cellStyle name="Обычный 5 91 3" xfId="12743" xr:uid="{00000000-0005-0000-0000-0000C7530000}"/>
    <cellStyle name="Обычный 5 91 4" xfId="18083" xr:uid="{00000000-0005-0000-0000-0000C8530000}"/>
    <cellStyle name="Обычный 5 91 5" xfId="23423" xr:uid="{00000000-0005-0000-0000-0000C9530000}"/>
    <cellStyle name="Обычный 5 91 6" xfId="28763" xr:uid="{00000000-0005-0000-0000-0000CA530000}"/>
    <cellStyle name="Обычный 5 91 7" xfId="34103" xr:uid="{00000000-0005-0000-0000-0000CB530000}"/>
    <cellStyle name="Обычный 5 91 8" xfId="39443" xr:uid="{00000000-0005-0000-0000-0000CC530000}"/>
    <cellStyle name="Обычный 5 91 9" xfId="44783" xr:uid="{00000000-0005-0000-0000-0000CD530000}"/>
    <cellStyle name="Обычный 5 92" xfId="2087" xr:uid="{00000000-0005-0000-0000-0000CE530000}"/>
    <cellStyle name="Обычный 5 92 10" xfId="50151" xr:uid="{00000000-0005-0000-0000-0000CF530000}"/>
    <cellStyle name="Обычный 5 92 2" xfId="7430" xr:uid="{00000000-0005-0000-0000-0000D0530000}"/>
    <cellStyle name="Обычный 5 92 2 2" xfId="55492" xr:uid="{00000000-0005-0000-0000-0000D1530000}"/>
    <cellStyle name="Обычный 5 92 3" xfId="12771" xr:uid="{00000000-0005-0000-0000-0000D2530000}"/>
    <cellStyle name="Обычный 5 92 4" xfId="18111" xr:uid="{00000000-0005-0000-0000-0000D3530000}"/>
    <cellStyle name="Обычный 5 92 5" xfId="23451" xr:uid="{00000000-0005-0000-0000-0000D4530000}"/>
    <cellStyle name="Обычный 5 92 6" xfId="28791" xr:uid="{00000000-0005-0000-0000-0000D5530000}"/>
    <cellStyle name="Обычный 5 92 7" xfId="34131" xr:uid="{00000000-0005-0000-0000-0000D6530000}"/>
    <cellStyle name="Обычный 5 92 8" xfId="39471" xr:uid="{00000000-0005-0000-0000-0000D7530000}"/>
    <cellStyle name="Обычный 5 92 9" xfId="44811" xr:uid="{00000000-0005-0000-0000-0000D8530000}"/>
    <cellStyle name="Обычный 5 93" xfId="2115" xr:uid="{00000000-0005-0000-0000-0000D9530000}"/>
    <cellStyle name="Обычный 5 93 10" xfId="50179" xr:uid="{00000000-0005-0000-0000-0000DA530000}"/>
    <cellStyle name="Обычный 5 93 2" xfId="7458" xr:uid="{00000000-0005-0000-0000-0000DB530000}"/>
    <cellStyle name="Обычный 5 93 2 2" xfId="55520" xr:uid="{00000000-0005-0000-0000-0000DC530000}"/>
    <cellStyle name="Обычный 5 93 3" xfId="12799" xr:uid="{00000000-0005-0000-0000-0000DD530000}"/>
    <cellStyle name="Обычный 5 93 4" xfId="18139" xr:uid="{00000000-0005-0000-0000-0000DE530000}"/>
    <cellStyle name="Обычный 5 93 5" xfId="23479" xr:uid="{00000000-0005-0000-0000-0000DF530000}"/>
    <cellStyle name="Обычный 5 93 6" xfId="28819" xr:uid="{00000000-0005-0000-0000-0000E0530000}"/>
    <cellStyle name="Обычный 5 93 7" xfId="34159" xr:uid="{00000000-0005-0000-0000-0000E1530000}"/>
    <cellStyle name="Обычный 5 93 8" xfId="39499" xr:uid="{00000000-0005-0000-0000-0000E2530000}"/>
    <cellStyle name="Обычный 5 93 9" xfId="44839" xr:uid="{00000000-0005-0000-0000-0000E3530000}"/>
    <cellStyle name="Обычный 5 94" xfId="2145" xr:uid="{00000000-0005-0000-0000-0000E4530000}"/>
    <cellStyle name="Обычный 5 94 10" xfId="50209" xr:uid="{00000000-0005-0000-0000-0000E5530000}"/>
    <cellStyle name="Обычный 5 94 2" xfId="7488" xr:uid="{00000000-0005-0000-0000-0000E6530000}"/>
    <cellStyle name="Обычный 5 94 2 2" xfId="55550" xr:uid="{00000000-0005-0000-0000-0000E7530000}"/>
    <cellStyle name="Обычный 5 94 3" xfId="12829" xr:uid="{00000000-0005-0000-0000-0000E8530000}"/>
    <cellStyle name="Обычный 5 94 4" xfId="18169" xr:uid="{00000000-0005-0000-0000-0000E9530000}"/>
    <cellStyle name="Обычный 5 94 5" xfId="23509" xr:uid="{00000000-0005-0000-0000-0000EA530000}"/>
    <cellStyle name="Обычный 5 94 6" xfId="28849" xr:uid="{00000000-0005-0000-0000-0000EB530000}"/>
    <cellStyle name="Обычный 5 94 7" xfId="34189" xr:uid="{00000000-0005-0000-0000-0000EC530000}"/>
    <cellStyle name="Обычный 5 94 8" xfId="39529" xr:uid="{00000000-0005-0000-0000-0000ED530000}"/>
    <cellStyle name="Обычный 5 94 9" xfId="44869" xr:uid="{00000000-0005-0000-0000-0000EE530000}"/>
    <cellStyle name="Обычный 5 95" xfId="2175" xr:uid="{00000000-0005-0000-0000-0000EF530000}"/>
    <cellStyle name="Обычный 5 95 10" xfId="50239" xr:uid="{00000000-0005-0000-0000-0000F0530000}"/>
    <cellStyle name="Обычный 5 95 2" xfId="7518" xr:uid="{00000000-0005-0000-0000-0000F1530000}"/>
    <cellStyle name="Обычный 5 95 2 2" xfId="55580" xr:uid="{00000000-0005-0000-0000-0000F2530000}"/>
    <cellStyle name="Обычный 5 95 3" xfId="12859" xr:uid="{00000000-0005-0000-0000-0000F3530000}"/>
    <cellStyle name="Обычный 5 95 4" xfId="18199" xr:uid="{00000000-0005-0000-0000-0000F4530000}"/>
    <cellStyle name="Обычный 5 95 5" xfId="23539" xr:uid="{00000000-0005-0000-0000-0000F5530000}"/>
    <cellStyle name="Обычный 5 95 6" xfId="28879" xr:uid="{00000000-0005-0000-0000-0000F6530000}"/>
    <cellStyle name="Обычный 5 95 7" xfId="34219" xr:uid="{00000000-0005-0000-0000-0000F7530000}"/>
    <cellStyle name="Обычный 5 95 8" xfId="39559" xr:uid="{00000000-0005-0000-0000-0000F8530000}"/>
    <cellStyle name="Обычный 5 95 9" xfId="44899" xr:uid="{00000000-0005-0000-0000-0000F9530000}"/>
    <cellStyle name="Обычный 5 96" xfId="2205" xr:uid="{00000000-0005-0000-0000-0000FA530000}"/>
    <cellStyle name="Обычный 5 96 10" xfId="50269" xr:uid="{00000000-0005-0000-0000-0000FB530000}"/>
    <cellStyle name="Обычный 5 96 2" xfId="7548" xr:uid="{00000000-0005-0000-0000-0000FC530000}"/>
    <cellStyle name="Обычный 5 96 2 2" xfId="55610" xr:uid="{00000000-0005-0000-0000-0000FD530000}"/>
    <cellStyle name="Обычный 5 96 3" xfId="12889" xr:uid="{00000000-0005-0000-0000-0000FE530000}"/>
    <cellStyle name="Обычный 5 96 4" xfId="18229" xr:uid="{00000000-0005-0000-0000-0000FF530000}"/>
    <cellStyle name="Обычный 5 96 5" xfId="23569" xr:uid="{00000000-0005-0000-0000-000000540000}"/>
    <cellStyle name="Обычный 5 96 6" xfId="28909" xr:uid="{00000000-0005-0000-0000-000001540000}"/>
    <cellStyle name="Обычный 5 96 7" xfId="34249" xr:uid="{00000000-0005-0000-0000-000002540000}"/>
    <cellStyle name="Обычный 5 96 8" xfId="39589" xr:uid="{00000000-0005-0000-0000-000003540000}"/>
    <cellStyle name="Обычный 5 96 9" xfId="44929" xr:uid="{00000000-0005-0000-0000-000004540000}"/>
    <cellStyle name="Обычный 5 97" xfId="2235" xr:uid="{00000000-0005-0000-0000-000005540000}"/>
    <cellStyle name="Обычный 5 97 10" xfId="50299" xr:uid="{00000000-0005-0000-0000-000006540000}"/>
    <cellStyle name="Обычный 5 97 2" xfId="7578" xr:uid="{00000000-0005-0000-0000-000007540000}"/>
    <cellStyle name="Обычный 5 97 2 2" xfId="55640" xr:uid="{00000000-0005-0000-0000-000008540000}"/>
    <cellStyle name="Обычный 5 97 3" xfId="12919" xr:uid="{00000000-0005-0000-0000-000009540000}"/>
    <cellStyle name="Обычный 5 97 4" xfId="18259" xr:uid="{00000000-0005-0000-0000-00000A540000}"/>
    <cellStyle name="Обычный 5 97 5" xfId="23599" xr:uid="{00000000-0005-0000-0000-00000B540000}"/>
    <cellStyle name="Обычный 5 97 6" xfId="28939" xr:uid="{00000000-0005-0000-0000-00000C540000}"/>
    <cellStyle name="Обычный 5 97 7" xfId="34279" xr:uid="{00000000-0005-0000-0000-00000D540000}"/>
    <cellStyle name="Обычный 5 97 8" xfId="39619" xr:uid="{00000000-0005-0000-0000-00000E540000}"/>
    <cellStyle name="Обычный 5 97 9" xfId="44959" xr:uid="{00000000-0005-0000-0000-00000F540000}"/>
    <cellStyle name="Обычный 5 98" xfId="2265" xr:uid="{00000000-0005-0000-0000-000010540000}"/>
    <cellStyle name="Обычный 5 98 10" xfId="50329" xr:uid="{00000000-0005-0000-0000-000011540000}"/>
    <cellStyle name="Обычный 5 98 2" xfId="7608" xr:uid="{00000000-0005-0000-0000-000012540000}"/>
    <cellStyle name="Обычный 5 98 2 2" xfId="55670" xr:uid="{00000000-0005-0000-0000-000013540000}"/>
    <cellStyle name="Обычный 5 98 3" xfId="12949" xr:uid="{00000000-0005-0000-0000-000014540000}"/>
    <cellStyle name="Обычный 5 98 4" xfId="18289" xr:uid="{00000000-0005-0000-0000-000015540000}"/>
    <cellStyle name="Обычный 5 98 5" xfId="23629" xr:uid="{00000000-0005-0000-0000-000016540000}"/>
    <cellStyle name="Обычный 5 98 6" xfId="28969" xr:uid="{00000000-0005-0000-0000-000017540000}"/>
    <cellStyle name="Обычный 5 98 7" xfId="34309" xr:uid="{00000000-0005-0000-0000-000018540000}"/>
    <cellStyle name="Обычный 5 98 8" xfId="39649" xr:uid="{00000000-0005-0000-0000-000019540000}"/>
    <cellStyle name="Обычный 5 98 9" xfId="44989" xr:uid="{00000000-0005-0000-0000-00001A540000}"/>
    <cellStyle name="Обычный 5 99" xfId="2295" xr:uid="{00000000-0005-0000-0000-00001B540000}"/>
    <cellStyle name="Обычный 5 99 10" xfId="50359" xr:uid="{00000000-0005-0000-0000-00001C540000}"/>
    <cellStyle name="Обычный 5 99 2" xfId="7638" xr:uid="{00000000-0005-0000-0000-00001D540000}"/>
    <cellStyle name="Обычный 5 99 2 2" xfId="55700" xr:uid="{00000000-0005-0000-0000-00001E540000}"/>
    <cellStyle name="Обычный 5 99 3" xfId="12979" xr:uid="{00000000-0005-0000-0000-00001F540000}"/>
    <cellStyle name="Обычный 5 99 4" xfId="18319" xr:uid="{00000000-0005-0000-0000-000020540000}"/>
    <cellStyle name="Обычный 5 99 5" xfId="23659" xr:uid="{00000000-0005-0000-0000-000021540000}"/>
    <cellStyle name="Обычный 5 99 6" xfId="28999" xr:uid="{00000000-0005-0000-0000-000022540000}"/>
    <cellStyle name="Обычный 5 99 7" xfId="34339" xr:uid="{00000000-0005-0000-0000-000023540000}"/>
    <cellStyle name="Обычный 5 99 8" xfId="39679" xr:uid="{00000000-0005-0000-0000-000024540000}"/>
    <cellStyle name="Обычный 5 99 9" xfId="45019" xr:uid="{00000000-0005-0000-0000-000025540000}"/>
    <cellStyle name="Обычный 6" xfId="120" xr:uid="{00000000-0005-0000-0000-000026540000}"/>
    <cellStyle name="Обычный 6 10" xfId="210" xr:uid="{00000000-0005-0000-0000-000027540000}"/>
    <cellStyle name="Обычный 6 10 10" xfId="42932" xr:uid="{00000000-0005-0000-0000-000028540000}"/>
    <cellStyle name="Обычный 6 10 11" xfId="48272" xr:uid="{00000000-0005-0000-0000-000029540000}"/>
    <cellStyle name="Обычный 6 10 2" xfId="677" xr:uid="{00000000-0005-0000-0000-00002A540000}"/>
    <cellStyle name="Обычный 6 10 2 10" xfId="48739" xr:uid="{00000000-0005-0000-0000-00002B540000}"/>
    <cellStyle name="Обычный 6 10 2 2" xfId="6018" xr:uid="{00000000-0005-0000-0000-00002C540000}"/>
    <cellStyle name="Обычный 6 10 2 2 2" xfId="54080" xr:uid="{00000000-0005-0000-0000-00002D540000}"/>
    <cellStyle name="Обычный 6 10 2 3" xfId="11359" xr:uid="{00000000-0005-0000-0000-00002E540000}"/>
    <cellStyle name="Обычный 6 10 2 4" xfId="16699" xr:uid="{00000000-0005-0000-0000-00002F540000}"/>
    <cellStyle name="Обычный 6 10 2 5" xfId="22039" xr:uid="{00000000-0005-0000-0000-000030540000}"/>
    <cellStyle name="Обычный 6 10 2 6" xfId="27379" xr:uid="{00000000-0005-0000-0000-000031540000}"/>
    <cellStyle name="Обычный 6 10 2 7" xfId="32719" xr:uid="{00000000-0005-0000-0000-000032540000}"/>
    <cellStyle name="Обычный 6 10 2 8" xfId="38059" xr:uid="{00000000-0005-0000-0000-000033540000}"/>
    <cellStyle name="Обычный 6 10 2 9" xfId="43399" xr:uid="{00000000-0005-0000-0000-000034540000}"/>
    <cellStyle name="Обычный 6 10 3" xfId="5551" xr:uid="{00000000-0005-0000-0000-000035540000}"/>
    <cellStyle name="Обычный 6 10 3 2" xfId="53613" xr:uid="{00000000-0005-0000-0000-000036540000}"/>
    <cellStyle name="Обычный 6 10 4" xfId="10892" xr:uid="{00000000-0005-0000-0000-000037540000}"/>
    <cellStyle name="Обычный 6 10 5" xfId="16232" xr:uid="{00000000-0005-0000-0000-000038540000}"/>
    <cellStyle name="Обычный 6 10 6" xfId="21572" xr:uid="{00000000-0005-0000-0000-000039540000}"/>
    <cellStyle name="Обычный 6 10 7" xfId="26912" xr:uid="{00000000-0005-0000-0000-00003A540000}"/>
    <cellStyle name="Обычный 6 10 8" xfId="32252" xr:uid="{00000000-0005-0000-0000-00003B540000}"/>
    <cellStyle name="Обычный 6 10 9" xfId="37592" xr:uid="{00000000-0005-0000-0000-00003C540000}"/>
    <cellStyle name="Обычный 6 100" xfId="2611" xr:uid="{00000000-0005-0000-0000-00003D540000}"/>
    <cellStyle name="Обычный 6 100 10" xfId="50675" xr:uid="{00000000-0005-0000-0000-00003E540000}"/>
    <cellStyle name="Обычный 6 100 2" xfId="7954" xr:uid="{00000000-0005-0000-0000-00003F540000}"/>
    <cellStyle name="Обычный 6 100 2 2" xfId="56016" xr:uid="{00000000-0005-0000-0000-000040540000}"/>
    <cellStyle name="Обычный 6 100 3" xfId="13295" xr:uid="{00000000-0005-0000-0000-000041540000}"/>
    <cellStyle name="Обычный 6 100 4" xfId="18635" xr:uid="{00000000-0005-0000-0000-000042540000}"/>
    <cellStyle name="Обычный 6 100 5" xfId="23975" xr:uid="{00000000-0005-0000-0000-000043540000}"/>
    <cellStyle name="Обычный 6 100 6" xfId="29315" xr:uid="{00000000-0005-0000-0000-000044540000}"/>
    <cellStyle name="Обычный 6 100 7" xfId="34655" xr:uid="{00000000-0005-0000-0000-000045540000}"/>
    <cellStyle name="Обычный 6 100 8" xfId="39995" xr:uid="{00000000-0005-0000-0000-000046540000}"/>
    <cellStyle name="Обычный 6 100 9" xfId="45335" xr:uid="{00000000-0005-0000-0000-000047540000}"/>
    <cellStyle name="Обычный 6 101" xfId="2643" xr:uid="{00000000-0005-0000-0000-000048540000}"/>
    <cellStyle name="Обычный 6 101 10" xfId="50707" xr:uid="{00000000-0005-0000-0000-000049540000}"/>
    <cellStyle name="Обычный 6 101 2" xfId="7986" xr:uid="{00000000-0005-0000-0000-00004A540000}"/>
    <cellStyle name="Обычный 6 101 2 2" xfId="56048" xr:uid="{00000000-0005-0000-0000-00004B540000}"/>
    <cellStyle name="Обычный 6 101 3" xfId="13327" xr:uid="{00000000-0005-0000-0000-00004C540000}"/>
    <cellStyle name="Обычный 6 101 4" xfId="18667" xr:uid="{00000000-0005-0000-0000-00004D540000}"/>
    <cellStyle name="Обычный 6 101 5" xfId="24007" xr:uid="{00000000-0005-0000-0000-00004E540000}"/>
    <cellStyle name="Обычный 6 101 6" xfId="29347" xr:uid="{00000000-0005-0000-0000-00004F540000}"/>
    <cellStyle name="Обычный 6 101 7" xfId="34687" xr:uid="{00000000-0005-0000-0000-000050540000}"/>
    <cellStyle name="Обычный 6 101 8" xfId="40027" xr:uid="{00000000-0005-0000-0000-000051540000}"/>
    <cellStyle name="Обычный 6 101 9" xfId="45367" xr:uid="{00000000-0005-0000-0000-000052540000}"/>
    <cellStyle name="Обычный 6 102" xfId="2675" xr:uid="{00000000-0005-0000-0000-000053540000}"/>
    <cellStyle name="Обычный 6 102 10" xfId="50739" xr:uid="{00000000-0005-0000-0000-000054540000}"/>
    <cellStyle name="Обычный 6 102 2" xfId="8018" xr:uid="{00000000-0005-0000-0000-000055540000}"/>
    <cellStyle name="Обычный 6 102 2 2" xfId="56080" xr:uid="{00000000-0005-0000-0000-000056540000}"/>
    <cellStyle name="Обычный 6 102 3" xfId="13359" xr:uid="{00000000-0005-0000-0000-000057540000}"/>
    <cellStyle name="Обычный 6 102 4" xfId="18699" xr:uid="{00000000-0005-0000-0000-000058540000}"/>
    <cellStyle name="Обычный 6 102 5" xfId="24039" xr:uid="{00000000-0005-0000-0000-000059540000}"/>
    <cellStyle name="Обычный 6 102 6" xfId="29379" xr:uid="{00000000-0005-0000-0000-00005A540000}"/>
    <cellStyle name="Обычный 6 102 7" xfId="34719" xr:uid="{00000000-0005-0000-0000-00005B540000}"/>
    <cellStyle name="Обычный 6 102 8" xfId="40059" xr:uid="{00000000-0005-0000-0000-00005C540000}"/>
    <cellStyle name="Обычный 6 102 9" xfId="45399" xr:uid="{00000000-0005-0000-0000-00005D540000}"/>
    <cellStyle name="Обычный 6 103" xfId="2707" xr:uid="{00000000-0005-0000-0000-00005E540000}"/>
    <cellStyle name="Обычный 6 103 10" xfId="50771" xr:uid="{00000000-0005-0000-0000-00005F540000}"/>
    <cellStyle name="Обычный 6 103 2" xfId="8050" xr:uid="{00000000-0005-0000-0000-000060540000}"/>
    <cellStyle name="Обычный 6 103 2 2" xfId="56112" xr:uid="{00000000-0005-0000-0000-000061540000}"/>
    <cellStyle name="Обычный 6 103 3" xfId="13391" xr:uid="{00000000-0005-0000-0000-000062540000}"/>
    <cellStyle name="Обычный 6 103 4" xfId="18731" xr:uid="{00000000-0005-0000-0000-000063540000}"/>
    <cellStyle name="Обычный 6 103 5" xfId="24071" xr:uid="{00000000-0005-0000-0000-000064540000}"/>
    <cellStyle name="Обычный 6 103 6" xfId="29411" xr:uid="{00000000-0005-0000-0000-000065540000}"/>
    <cellStyle name="Обычный 6 103 7" xfId="34751" xr:uid="{00000000-0005-0000-0000-000066540000}"/>
    <cellStyle name="Обычный 6 103 8" xfId="40091" xr:uid="{00000000-0005-0000-0000-000067540000}"/>
    <cellStyle name="Обычный 6 103 9" xfId="45431" xr:uid="{00000000-0005-0000-0000-000068540000}"/>
    <cellStyle name="Обычный 6 104" xfId="2739" xr:uid="{00000000-0005-0000-0000-000069540000}"/>
    <cellStyle name="Обычный 6 104 10" xfId="50803" xr:uid="{00000000-0005-0000-0000-00006A540000}"/>
    <cellStyle name="Обычный 6 104 2" xfId="8082" xr:uid="{00000000-0005-0000-0000-00006B540000}"/>
    <cellStyle name="Обычный 6 104 2 2" xfId="56144" xr:uid="{00000000-0005-0000-0000-00006C540000}"/>
    <cellStyle name="Обычный 6 104 3" xfId="13423" xr:uid="{00000000-0005-0000-0000-00006D540000}"/>
    <cellStyle name="Обычный 6 104 4" xfId="18763" xr:uid="{00000000-0005-0000-0000-00006E540000}"/>
    <cellStyle name="Обычный 6 104 5" xfId="24103" xr:uid="{00000000-0005-0000-0000-00006F540000}"/>
    <cellStyle name="Обычный 6 104 6" xfId="29443" xr:uid="{00000000-0005-0000-0000-000070540000}"/>
    <cellStyle name="Обычный 6 104 7" xfId="34783" xr:uid="{00000000-0005-0000-0000-000071540000}"/>
    <cellStyle name="Обычный 6 104 8" xfId="40123" xr:uid="{00000000-0005-0000-0000-000072540000}"/>
    <cellStyle name="Обычный 6 104 9" xfId="45463" xr:uid="{00000000-0005-0000-0000-000073540000}"/>
    <cellStyle name="Обычный 6 105" xfId="2773" xr:uid="{00000000-0005-0000-0000-000074540000}"/>
    <cellStyle name="Обычный 6 105 10" xfId="50837" xr:uid="{00000000-0005-0000-0000-000075540000}"/>
    <cellStyle name="Обычный 6 105 2" xfId="8116" xr:uid="{00000000-0005-0000-0000-000076540000}"/>
    <cellStyle name="Обычный 6 105 2 2" xfId="56178" xr:uid="{00000000-0005-0000-0000-000077540000}"/>
    <cellStyle name="Обычный 6 105 3" xfId="13457" xr:uid="{00000000-0005-0000-0000-000078540000}"/>
    <cellStyle name="Обычный 6 105 4" xfId="18797" xr:uid="{00000000-0005-0000-0000-000079540000}"/>
    <cellStyle name="Обычный 6 105 5" xfId="24137" xr:uid="{00000000-0005-0000-0000-00007A540000}"/>
    <cellStyle name="Обычный 6 105 6" xfId="29477" xr:uid="{00000000-0005-0000-0000-00007B540000}"/>
    <cellStyle name="Обычный 6 105 7" xfId="34817" xr:uid="{00000000-0005-0000-0000-00007C540000}"/>
    <cellStyle name="Обычный 6 105 8" xfId="40157" xr:uid="{00000000-0005-0000-0000-00007D540000}"/>
    <cellStyle name="Обычный 6 105 9" xfId="45497" xr:uid="{00000000-0005-0000-0000-00007E540000}"/>
    <cellStyle name="Обычный 6 106" xfId="2805" xr:uid="{00000000-0005-0000-0000-00007F540000}"/>
    <cellStyle name="Обычный 6 106 10" xfId="50869" xr:uid="{00000000-0005-0000-0000-000080540000}"/>
    <cellStyle name="Обычный 6 106 2" xfId="8148" xr:uid="{00000000-0005-0000-0000-000081540000}"/>
    <cellStyle name="Обычный 6 106 2 2" xfId="56210" xr:uid="{00000000-0005-0000-0000-000082540000}"/>
    <cellStyle name="Обычный 6 106 3" xfId="13489" xr:uid="{00000000-0005-0000-0000-000083540000}"/>
    <cellStyle name="Обычный 6 106 4" xfId="18829" xr:uid="{00000000-0005-0000-0000-000084540000}"/>
    <cellStyle name="Обычный 6 106 5" xfId="24169" xr:uid="{00000000-0005-0000-0000-000085540000}"/>
    <cellStyle name="Обычный 6 106 6" xfId="29509" xr:uid="{00000000-0005-0000-0000-000086540000}"/>
    <cellStyle name="Обычный 6 106 7" xfId="34849" xr:uid="{00000000-0005-0000-0000-000087540000}"/>
    <cellStyle name="Обычный 6 106 8" xfId="40189" xr:uid="{00000000-0005-0000-0000-000088540000}"/>
    <cellStyle name="Обычный 6 106 9" xfId="45529" xr:uid="{00000000-0005-0000-0000-000089540000}"/>
    <cellStyle name="Обычный 6 107" xfId="2837" xr:uid="{00000000-0005-0000-0000-00008A540000}"/>
    <cellStyle name="Обычный 6 107 10" xfId="50901" xr:uid="{00000000-0005-0000-0000-00008B540000}"/>
    <cellStyle name="Обычный 6 107 2" xfId="8180" xr:uid="{00000000-0005-0000-0000-00008C540000}"/>
    <cellStyle name="Обычный 6 107 2 2" xfId="56242" xr:uid="{00000000-0005-0000-0000-00008D540000}"/>
    <cellStyle name="Обычный 6 107 3" xfId="13521" xr:uid="{00000000-0005-0000-0000-00008E540000}"/>
    <cellStyle name="Обычный 6 107 4" xfId="18861" xr:uid="{00000000-0005-0000-0000-00008F540000}"/>
    <cellStyle name="Обычный 6 107 5" xfId="24201" xr:uid="{00000000-0005-0000-0000-000090540000}"/>
    <cellStyle name="Обычный 6 107 6" xfId="29541" xr:uid="{00000000-0005-0000-0000-000091540000}"/>
    <cellStyle name="Обычный 6 107 7" xfId="34881" xr:uid="{00000000-0005-0000-0000-000092540000}"/>
    <cellStyle name="Обычный 6 107 8" xfId="40221" xr:uid="{00000000-0005-0000-0000-000093540000}"/>
    <cellStyle name="Обычный 6 107 9" xfId="45561" xr:uid="{00000000-0005-0000-0000-000094540000}"/>
    <cellStyle name="Обычный 6 108" xfId="2869" xr:uid="{00000000-0005-0000-0000-000095540000}"/>
    <cellStyle name="Обычный 6 108 10" xfId="50933" xr:uid="{00000000-0005-0000-0000-000096540000}"/>
    <cellStyle name="Обычный 6 108 2" xfId="8212" xr:uid="{00000000-0005-0000-0000-000097540000}"/>
    <cellStyle name="Обычный 6 108 2 2" xfId="56274" xr:uid="{00000000-0005-0000-0000-000098540000}"/>
    <cellStyle name="Обычный 6 108 3" xfId="13553" xr:uid="{00000000-0005-0000-0000-000099540000}"/>
    <cellStyle name="Обычный 6 108 4" xfId="18893" xr:uid="{00000000-0005-0000-0000-00009A540000}"/>
    <cellStyle name="Обычный 6 108 5" xfId="24233" xr:uid="{00000000-0005-0000-0000-00009B540000}"/>
    <cellStyle name="Обычный 6 108 6" xfId="29573" xr:uid="{00000000-0005-0000-0000-00009C540000}"/>
    <cellStyle name="Обычный 6 108 7" xfId="34913" xr:uid="{00000000-0005-0000-0000-00009D540000}"/>
    <cellStyle name="Обычный 6 108 8" xfId="40253" xr:uid="{00000000-0005-0000-0000-00009E540000}"/>
    <cellStyle name="Обычный 6 108 9" xfId="45593" xr:uid="{00000000-0005-0000-0000-00009F540000}"/>
    <cellStyle name="Обычный 6 109" xfId="2901" xr:uid="{00000000-0005-0000-0000-0000A0540000}"/>
    <cellStyle name="Обычный 6 109 10" xfId="50965" xr:uid="{00000000-0005-0000-0000-0000A1540000}"/>
    <cellStyle name="Обычный 6 109 2" xfId="8244" xr:uid="{00000000-0005-0000-0000-0000A2540000}"/>
    <cellStyle name="Обычный 6 109 2 2" xfId="56306" xr:uid="{00000000-0005-0000-0000-0000A3540000}"/>
    <cellStyle name="Обычный 6 109 3" xfId="13585" xr:uid="{00000000-0005-0000-0000-0000A4540000}"/>
    <cellStyle name="Обычный 6 109 4" xfId="18925" xr:uid="{00000000-0005-0000-0000-0000A5540000}"/>
    <cellStyle name="Обычный 6 109 5" xfId="24265" xr:uid="{00000000-0005-0000-0000-0000A6540000}"/>
    <cellStyle name="Обычный 6 109 6" xfId="29605" xr:uid="{00000000-0005-0000-0000-0000A7540000}"/>
    <cellStyle name="Обычный 6 109 7" xfId="34945" xr:uid="{00000000-0005-0000-0000-0000A8540000}"/>
    <cellStyle name="Обычный 6 109 8" xfId="40285" xr:uid="{00000000-0005-0000-0000-0000A9540000}"/>
    <cellStyle name="Обычный 6 109 9" xfId="45625" xr:uid="{00000000-0005-0000-0000-0000AA540000}"/>
    <cellStyle name="Обычный 6 11" xfId="220" xr:uid="{00000000-0005-0000-0000-0000AB540000}"/>
    <cellStyle name="Обычный 6 11 10" xfId="42942" xr:uid="{00000000-0005-0000-0000-0000AC540000}"/>
    <cellStyle name="Обычный 6 11 11" xfId="48282" xr:uid="{00000000-0005-0000-0000-0000AD540000}"/>
    <cellStyle name="Обычный 6 11 2" xfId="687" xr:uid="{00000000-0005-0000-0000-0000AE540000}"/>
    <cellStyle name="Обычный 6 11 2 10" xfId="48749" xr:uid="{00000000-0005-0000-0000-0000AF540000}"/>
    <cellStyle name="Обычный 6 11 2 2" xfId="6028" xr:uid="{00000000-0005-0000-0000-0000B0540000}"/>
    <cellStyle name="Обычный 6 11 2 2 2" xfId="54090" xr:uid="{00000000-0005-0000-0000-0000B1540000}"/>
    <cellStyle name="Обычный 6 11 2 3" xfId="11369" xr:uid="{00000000-0005-0000-0000-0000B2540000}"/>
    <cellStyle name="Обычный 6 11 2 4" xfId="16709" xr:uid="{00000000-0005-0000-0000-0000B3540000}"/>
    <cellStyle name="Обычный 6 11 2 5" xfId="22049" xr:uid="{00000000-0005-0000-0000-0000B4540000}"/>
    <cellStyle name="Обычный 6 11 2 6" xfId="27389" xr:uid="{00000000-0005-0000-0000-0000B5540000}"/>
    <cellStyle name="Обычный 6 11 2 7" xfId="32729" xr:uid="{00000000-0005-0000-0000-0000B6540000}"/>
    <cellStyle name="Обычный 6 11 2 8" xfId="38069" xr:uid="{00000000-0005-0000-0000-0000B7540000}"/>
    <cellStyle name="Обычный 6 11 2 9" xfId="43409" xr:uid="{00000000-0005-0000-0000-0000B8540000}"/>
    <cellStyle name="Обычный 6 11 3" xfId="5561" xr:uid="{00000000-0005-0000-0000-0000B9540000}"/>
    <cellStyle name="Обычный 6 11 3 2" xfId="53623" xr:uid="{00000000-0005-0000-0000-0000BA540000}"/>
    <cellStyle name="Обычный 6 11 4" xfId="10902" xr:uid="{00000000-0005-0000-0000-0000BB540000}"/>
    <cellStyle name="Обычный 6 11 5" xfId="16242" xr:uid="{00000000-0005-0000-0000-0000BC540000}"/>
    <cellStyle name="Обычный 6 11 6" xfId="21582" xr:uid="{00000000-0005-0000-0000-0000BD540000}"/>
    <cellStyle name="Обычный 6 11 7" xfId="26922" xr:uid="{00000000-0005-0000-0000-0000BE540000}"/>
    <cellStyle name="Обычный 6 11 8" xfId="32262" xr:uid="{00000000-0005-0000-0000-0000BF540000}"/>
    <cellStyle name="Обычный 6 11 9" xfId="37602" xr:uid="{00000000-0005-0000-0000-0000C0540000}"/>
    <cellStyle name="Обычный 6 110" xfId="2933" xr:uid="{00000000-0005-0000-0000-0000C1540000}"/>
    <cellStyle name="Обычный 6 110 10" xfId="50997" xr:uid="{00000000-0005-0000-0000-0000C2540000}"/>
    <cellStyle name="Обычный 6 110 2" xfId="8276" xr:uid="{00000000-0005-0000-0000-0000C3540000}"/>
    <cellStyle name="Обычный 6 110 2 2" xfId="56338" xr:uid="{00000000-0005-0000-0000-0000C4540000}"/>
    <cellStyle name="Обычный 6 110 3" xfId="13617" xr:uid="{00000000-0005-0000-0000-0000C5540000}"/>
    <cellStyle name="Обычный 6 110 4" xfId="18957" xr:uid="{00000000-0005-0000-0000-0000C6540000}"/>
    <cellStyle name="Обычный 6 110 5" xfId="24297" xr:uid="{00000000-0005-0000-0000-0000C7540000}"/>
    <cellStyle name="Обычный 6 110 6" xfId="29637" xr:uid="{00000000-0005-0000-0000-0000C8540000}"/>
    <cellStyle name="Обычный 6 110 7" xfId="34977" xr:uid="{00000000-0005-0000-0000-0000C9540000}"/>
    <cellStyle name="Обычный 6 110 8" xfId="40317" xr:uid="{00000000-0005-0000-0000-0000CA540000}"/>
    <cellStyle name="Обычный 6 110 9" xfId="45657" xr:uid="{00000000-0005-0000-0000-0000CB540000}"/>
    <cellStyle name="Обычный 6 111" xfId="2965" xr:uid="{00000000-0005-0000-0000-0000CC540000}"/>
    <cellStyle name="Обычный 6 111 10" xfId="51029" xr:uid="{00000000-0005-0000-0000-0000CD540000}"/>
    <cellStyle name="Обычный 6 111 2" xfId="8308" xr:uid="{00000000-0005-0000-0000-0000CE540000}"/>
    <cellStyle name="Обычный 6 111 2 2" xfId="56370" xr:uid="{00000000-0005-0000-0000-0000CF540000}"/>
    <cellStyle name="Обычный 6 111 3" xfId="13649" xr:uid="{00000000-0005-0000-0000-0000D0540000}"/>
    <cellStyle name="Обычный 6 111 4" xfId="18989" xr:uid="{00000000-0005-0000-0000-0000D1540000}"/>
    <cellStyle name="Обычный 6 111 5" xfId="24329" xr:uid="{00000000-0005-0000-0000-0000D2540000}"/>
    <cellStyle name="Обычный 6 111 6" xfId="29669" xr:uid="{00000000-0005-0000-0000-0000D3540000}"/>
    <cellStyle name="Обычный 6 111 7" xfId="35009" xr:uid="{00000000-0005-0000-0000-0000D4540000}"/>
    <cellStyle name="Обычный 6 111 8" xfId="40349" xr:uid="{00000000-0005-0000-0000-0000D5540000}"/>
    <cellStyle name="Обычный 6 111 9" xfId="45689" xr:uid="{00000000-0005-0000-0000-0000D6540000}"/>
    <cellStyle name="Обычный 6 112" xfId="2997" xr:uid="{00000000-0005-0000-0000-0000D7540000}"/>
    <cellStyle name="Обычный 6 112 10" xfId="51061" xr:uid="{00000000-0005-0000-0000-0000D8540000}"/>
    <cellStyle name="Обычный 6 112 2" xfId="8340" xr:uid="{00000000-0005-0000-0000-0000D9540000}"/>
    <cellStyle name="Обычный 6 112 2 2" xfId="56402" xr:uid="{00000000-0005-0000-0000-0000DA540000}"/>
    <cellStyle name="Обычный 6 112 3" xfId="13681" xr:uid="{00000000-0005-0000-0000-0000DB540000}"/>
    <cellStyle name="Обычный 6 112 4" xfId="19021" xr:uid="{00000000-0005-0000-0000-0000DC540000}"/>
    <cellStyle name="Обычный 6 112 5" xfId="24361" xr:uid="{00000000-0005-0000-0000-0000DD540000}"/>
    <cellStyle name="Обычный 6 112 6" xfId="29701" xr:uid="{00000000-0005-0000-0000-0000DE540000}"/>
    <cellStyle name="Обычный 6 112 7" xfId="35041" xr:uid="{00000000-0005-0000-0000-0000DF540000}"/>
    <cellStyle name="Обычный 6 112 8" xfId="40381" xr:uid="{00000000-0005-0000-0000-0000E0540000}"/>
    <cellStyle name="Обычный 6 112 9" xfId="45721" xr:uid="{00000000-0005-0000-0000-0000E1540000}"/>
    <cellStyle name="Обычный 6 113" xfId="3029" xr:uid="{00000000-0005-0000-0000-0000E2540000}"/>
    <cellStyle name="Обычный 6 113 10" xfId="51093" xr:uid="{00000000-0005-0000-0000-0000E3540000}"/>
    <cellStyle name="Обычный 6 113 2" xfId="8372" xr:uid="{00000000-0005-0000-0000-0000E4540000}"/>
    <cellStyle name="Обычный 6 113 2 2" xfId="56434" xr:uid="{00000000-0005-0000-0000-0000E5540000}"/>
    <cellStyle name="Обычный 6 113 3" xfId="13713" xr:uid="{00000000-0005-0000-0000-0000E6540000}"/>
    <cellStyle name="Обычный 6 113 4" xfId="19053" xr:uid="{00000000-0005-0000-0000-0000E7540000}"/>
    <cellStyle name="Обычный 6 113 5" xfId="24393" xr:uid="{00000000-0005-0000-0000-0000E8540000}"/>
    <cellStyle name="Обычный 6 113 6" xfId="29733" xr:uid="{00000000-0005-0000-0000-0000E9540000}"/>
    <cellStyle name="Обычный 6 113 7" xfId="35073" xr:uid="{00000000-0005-0000-0000-0000EA540000}"/>
    <cellStyle name="Обычный 6 113 8" xfId="40413" xr:uid="{00000000-0005-0000-0000-0000EB540000}"/>
    <cellStyle name="Обычный 6 113 9" xfId="45753" xr:uid="{00000000-0005-0000-0000-0000EC540000}"/>
    <cellStyle name="Обычный 6 114" xfId="3061" xr:uid="{00000000-0005-0000-0000-0000ED540000}"/>
    <cellStyle name="Обычный 6 114 10" xfId="51125" xr:uid="{00000000-0005-0000-0000-0000EE540000}"/>
    <cellStyle name="Обычный 6 114 2" xfId="8404" xr:uid="{00000000-0005-0000-0000-0000EF540000}"/>
    <cellStyle name="Обычный 6 114 2 2" xfId="56466" xr:uid="{00000000-0005-0000-0000-0000F0540000}"/>
    <cellStyle name="Обычный 6 114 3" xfId="13745" xr:uid="{00000000-0005-0000-0000-0000F1540000}"/>
    <cellStyle name="Обычный 6 114 4" xfId="19085" xr:uid="{00000000-0005-0000-0000-0000F2540000}"/>
    <cellStyle name="Обычный 6 114 5" xfId="24425" xr:uid="{00000000-0005-0000-0000-0000F3540000}"/>
    <cellStyle name="Обычный 6 114 6" xfId="29765" xr:uid="{00000000-0005-0000-0000-0000F4540000}"/>
    <cellStyle name="Обычный 6 114 7" xfId="35105" xr:uid="{00000000-0005-0000-0000-0000F5540000}"/>
    <cellStyle name="Обычный 6 114 8" xfId="40445" xr:uid="{00000000-0005-0000-0000-0000F6540000}"/>
    <cellStyle name="Обычный 6 114 9" xfId="45785" xr:uid="{00000000-0005-0000-0000-0000F7540000}"/>
    <cellStyle name="Обычный 6 115" xfId="3093" xr:uid="{00000000-0005-0000-0000-0000F8540000}"/>
    <cellStyle name="Обычный 6 115 10" xfId="51157" xr:uid="{00000000-0005-0000-0000-0000F9540000}"/>
    <cellStyle name="Обычный 6 115 2" xfId="8436" xr:uid="{00000000-0005-0000-0000-0000FA540000}"/>
    <cellStyle name="Обычный 6 115 2 2" xfId="56498" xr:uid="{00000000-0005-0000-0000-0000FB540000}"/>
    <cellStyle name="Обычный 6 115 3" xfId="13777" xr:uid="{00000000-0005-0000-0000-0000FC540000}"/>
    <cellStyle name="Обычный 6 115 4" xfId="19117" xr:uid="{00000000-0005-0000-0000-0000FD540000}"/>
    <cellStyle name="Обычный 6 115 5" xfId="24457" xr:uid="{00000000-0005-0000-0000-0000FE540000}"/>
    <cellStyle name="Обычный 6 115 6" xfId="29797" xr:uid="{00000000-0005-0000-0000-0000FF540000}"/>
    <cellStyle name="Обычный 6 115 7" xfId="35137" xr:uid="{00000000-0005-0000-0000-000000550000}"/>
    <cellStyle name="Обычный 6 115 8" xfId="40477" xr:uid="{00000000-0005-0000-0000-000001550000}"/>
    <cellStyle name="Обычный 6 115 9" xfId="45817" xr:uid="{00000000-0005-0000-0000-000002550000}"/>
    <cellStyle name="Обычный 6 116" xfId="3126" xr:uid="{00000000-0005-0000-0000-000003550000}"/>
    <cellStyle name="Обычный 6 116 10" xfId="51189" xr:uid="{00000000-0005-0000-0000-000004550000}"/>
    <cellStyle name="Обычный 6 116 2" xfId="8469" xr:uid="{00000000-0005-0000-0000-000005550000}"/>
    <cellStyle name="Обычный 6 116 2 2" xfId="56530" xr:uid="{00000000-0005-0000-0000-000006550000}"/>
    <cellStyle name="Обычный 6 116 3" xfId="13809" xr:uid="{00000000-0005-0000-0000-000007550000}"/>
    <cellStyle name="Обычный 6 116 4" xfId="19149" xr:uid="{00000000-0005-0000-0000-000008550000}"/>
    <cellStyle name="Обычный 6 116 5" xfId="24489" xr:uid="{00000000-0005-0000-0000-000009550000}"/>
    <cellStyle name="Обычный 6 116 6" xfId="29829" xr:uid="{00000000-0005-0000-0000-00000A550000}"/>
    <cellStyle name="Обычный 6 116 7" xfId="35169" xr:uid="{00000000-0005-0000-0000-00000B550000}"/>
    <cellStyle name="Обычный 6 116 8" xfId="40509" xr:uid="{00000000-0005-0000-0000-00000C550000}"/>
    <cellStyle name="Обычный 6 116 9" xfId="45849" xr:uid="{00000000-0005-0000-0000-00000D550000}"/>
    <cellStyle name="Обычный 6 117" xfId="3158" xr:uid="{00000000-0005-0000-0000-00000E550000}"/>
    <cellStyle name="Обычный 6 117 10" xfId="51221" xr:uid="{00000000-0005-0000-0000-00000F550000}"/>
    <cellStyle name="Обычный 6 117 2" xfId="8501" xr:uid="{00000000-0005-0000-0000-000010550000}"/>
    <cellStyle name="Обычный 6 117 2 2" xfId="56562" xr:uid="{00000000-0005-0000-0000-000011550000}"/>
    <cellStyle name="Обычный 6 117 3" xfId="13841" xr:uid="{00000000-0005-0000-0000-000012550000}"/>
    <cellStyle name="Обычный 6 117 4" xfId="19181" xr:uid="{00000000-0005-0000-0000-000013550000}"/>
    <cellStyle name="Обычный 6 117 5" xfId="24521" xr:uid="{00000000-0005-0000-0000-000014550000}"/>
    <cellStyle name="Обычный 6 117 6" xfId="29861" xr:uid="{00000000-0005-0000-0000-000015550000}"/>
    <cellStyle name="Обычный 6 117 7" xfId="35201" xr:uid="{00000000-0005-0000-0000-000016550000}"/>
    <cellStyle name="Обычный 6 117 8" xfId="40541" xr:uid="{00000000-0005-0000-0000-000017550000}"/>
    <cellStyle name="Обычный 6 117 9" xfId="45881" xr:uid="{00000000-0005-0000-0000-000018550000}"/>
    <cellStyle name="Обычный 6 118" xfId="3190" xr:uid="{00000000-0005-0000-0000-000019550000}"/>
    <cellStyle name="Обычный 6 118 10" xfId="51253" xr:uid="{00000000-0005-0000-0000-00001A550000}"/>
    <cellStyle name="Обычный 6 118 2" xfId="8533" xr:uid="{00000000-0005-0000-0000-00001B550000}"/>
    <cellStyle name="Обычный 6 118 2 2" xfId="56594" xr:uid="{00000000-0005-0000-0000-00001C550000}"/>
    <cellStyle name="Обычный 6 118 3" xfId="13873" xr:uid="{00000000-0005-0000-0000-00001D550000}"/>
    <cellStyle name="Обычный 6 118 4" xfId="19213" xr:uid="{00000000-0005-0000-0000-00001E550000}"/>
    <cellStyle name="Обычный 6 118 5" xfId="24553" xr:uid="{00000000-0005-0000-0000-00001F550000}"/>
    <cellStyle name="Обычный 6 118 6" xfId="29893" xr:uid="{00000000-0005-0000-0000-000020550000}"/>
    <cellStyle name="Обычный 6 118 7" xfId="35233" xr:uid="{00000000-0005-0000-0000-000021550000}"/>
    <cellStyle name="Обычный 6 118 8" xfId="40573" xr:uid="{00000000-0005-0000-0000-000022550000}"/>
    <cellStyle name="Обычный 6 118 9" xfId="45913" xr:uid="{00000000-0005-0000-0000-000023550000}"/>
    <cellStyle name="Обычный 6 119" xfId="3222" xr:uid="{00000000-0005-0000-0000-000024550000}"/>
    <cellStyle name="Обычный 6 119 10" xfId="51285" xr:uid="{00000000-0005-0000-0000-000025550000}"/>
    <cellStyle name="Обычный 6 119 2" xfId="8565" xr:uid="{00000000-0005-0000-0000-000026550000}"/>
    <cellStyle name="Обычный 6 119 2 2" xfId="56626" xr:uid="{00000000-0005-0000-0000-000027550000}"/>
    <cellStyle name="Обычный 6 119 3" xfId="13905" xr:uid="{00000000-0005-0000-0000-000028550000}"/>
    <cellStyle name="Обычный 6 119 4" xfId="19245" xr:uid="{00000000-0005-0000-0000-000029550000}"/>
    <cellStyle name="Обычный 6 119 5" xfId="24585" xr:uid="{00000000-0005-0000-0000-00002A550000}"/>
    <cellStyle name="Обычный 6 119 6" xfId="29925" xr:uid="{00000000-0005-0000-0000-00002B550000}"/>
    <cellStyle name="Обычный 6 119 7" xfId="35265" xr:uid="{00000000-0005-0000-0000-00002C550000}"/>
    <cellStyle name="Обычный 6 119 8" xfId="40605" xr:uid="{00000000-0005-0000-0000-00002D550000}"/>
    <cellStyle name="Обычный 6 119 9" xfId="45945" xr:uid="{00000000-0005-0000-0000-00002E550000}"/>
    <cellStyle name="Обычный 6 12" xfId="230" xr:uid="{00000000-0005-0000-0000-00002F550000}"/>
    <cellStyle name="Обычный 6 12 10" xfId="42952" xr:uid="{00000000-0005-0000-0000-000030550000}"/>
    <cellStyle name="Обычный 6 12 11" xfId="48292" xr:uid="{00000000-0005-0000-0000-000031550000}"/>
    <cellStyle name="Обычный 6 12 2" xfId="697" xr:uid="{00000000-0005-0000-0000-000032550000}"/>
    <cellStyle name="Обычный 6 12 2 10" xfId="48759" xr:uid="{00000000-0005-0000-0000-000033550000}"/>
    <cellStyle name="Обычный 6 12 2 2" xfId="6038" xr:uid="{00000000-0005-0000-0000-000034550000}"/>
    <cellStyle name="Обычный 6 12 2 2 2" xfId="54100" xr:uid="{00000000-0005-0000-0000-000035550000}"/>
    <cellStyle name="Обычный 6 12 2 3" xfId="11379" xr:uid="{00000000-0005-0000-0000-000036550000}"/>
    <cellStyle name="Обычный 6 12 2 4" xfId="16719" xr:uid="{00000000-0005-0000-0000-000037550000}"/>
    <cellStyle name="Обычный 6 12 2 5" xfId="22059" xr:uid="{00000000-0005-0000-0000-000038550000}"/>
    <cellStyle name="Обычный 6 12 2 6" xfId="27399" xr:uid="{00000000-0005-0000-0000-000039550000}"/>
    <cellStyle name="Обычный 6 12 2 7" xfId="32739" xr:uid="{00000000-0005-0000-0000-00003A550000}"/>
    <cellStyle name="Обычный 6 12 2 8" xfId="38079" xr:uid="{00000000-0005-0000-0000-00003B550000}"/>
    <cellStyle name="Обычный 6 12 2 9" xfId="43419" xr:uid="{00000000-0005-0000-0000-00003C550000}"/>
    <cellStyle name="Обычный 6 12 3" xfId="5571" xr:uid="{00000000-0005-0000-0000-00003D550000}"/>
    <cellStyle name="Обычный 6 12 3 2" xfId="53633" xr:uid="{00000000-0005-0000-0000-00003E550000}"/>
    <cellStyle name="Обычный 6 12 4" xfId="10912" xr:uid="{00000000-0005-0000-0000-00003F550000}"/>
    <cellStyle name="Обычный 6 12 5" xfId="16252" xr:uid="{00000000-0005-0000-0000-000040550000}"/>
    <cellStyle name="Обычный 6 12 6" xfId="21592" xr:uid="{00000000-0005-0000-0000-000041550000}"/>
    <cellStyle name="Обычный 6 12 7" xfId="26932" xr:uid="{00000000-0005-0000-0000-000042550000}"/>
    <cellStyle name="Обычный 6 12 8" xfId="32272" xr:uid="{00000000-0005-0000-0000-000043550000}"/>
    <cellStyle name="Обычный 6 12 9" xfId="37612" xr:uid="{00000000-0005-0000-0000-000044550000}"/>
    <cellStyle name="Обычный 6 120" xfId="3254" xr:uid="{00000000-0005-0000-0000-000045550000}"/>
    <cellStyle name="Обычный 6 120 10" xfId="51317" xr:uid="{00000000-0005-0000-0000-000046550000}"/>
    <cellStyle name="Обычный 6 120 2" xfId="8597" xr:uid="{00000000-0005-0000-0000-000047550000}"/>
    <cellStyle name="Обычный 6 120 2 2" xfId="56658" xr:uid="{00000000-0005-0000-0000-000048550000}"/>
    <cellStyle name="Обычный 6 120 3" xfId="13937" xr:uid="{00000000-0005-0000-0000-000049550000}"/>
    <cellStyle name="Обычный 6 120 4" xfId="19277" xr:uid="{00000000-0005-0000-0000-00004A550000}"/>
    <cellStyle name="Обычный 6 120 5" xfId="24617" xr:uid="{00000000-0005-0000-0000-00004B550000}"/>
    <cellStyle name="Обычный 6 120 6" xfId="29957" xr:uid="{00000000-0005-0000-0000-00004C550000}"/>
    <cellStyle name="Обычный 6 120 7" xfId="35297" xr:uid="{00000000-0005-0000-0000-00004D550000}"/>
    <cellStyle name="Обычный 6 120 8" xfId="40637" xr:uid="{00000000-0005-0000-0000-00004E550000}"/>
    <cellStyle name="Обычный 6 120 9" xfId="45977" xr:uid="{00000000-0005-0000-0000-00004F550000}"/>
    <cellStyle name="Обычный 6 121" xfId="3286" xr:uid="{00000000-0005-0000-0000-000050550000}"/>
    <cellStyle name="Обычный 6 121 10" xfId="51349" xr:uid="{00000000-0005-0000-0000-000051550000}"/>
    <cellStyle name="Обычный 6 121 2" xfId="8629" xr:uid="{00000000-0005-0000-0000-000052550000}"/>
    <cellStyle name="Обычный 6 121 2 2" xfId="56690" xr:uid="{00000000-0005-0000-0000-000053550000}"/>
    <cellStyle name="Обычный 6 121 3" xfId="13969" xr:uid="{00000000-0005-0000-0000-000054550000}"/>
    <cellStyle name="Обычный 6 121 4" xfId="19309" xr:uid="{00000000-0005-0000-0000-000055550000}"/>
    <cellStyle name="Обычный 6 121 5" xfId="24649" xr:uid="{00000000-0005-0000-0000-000056550000}"/>
    <cellStyle name="Обычный 6 121 6" xfId="29989" xr:uid="{00000000-0005-0000-0000-000057550000}"/>
    <cellStyle name="Обычный 6 121 7" xfId="35329" xr:uid="{00000000-0005-0000-0000-000058550000}"/>
    <cellStyle name="Обычный 6 121 8" xfId="40669" xr:uid="{00000000-0005-0000-0000-000059550000}"/>
    <cellStyle name="Обычный 6 121 9" xfId="46009" xr:uid="{00000000-0005-0000-0000-00005A550000}"/>
    <cellStyle name="Обычный 6 122" xfId="3318" xr:uid="{00000000-0005-0000-0000-00005B550000}"/>
    <cellStyle name="Обычный 6 122 10" xfId="51381" xr:uid="{00000000-0005-0000-0000-00005C550000}"/>
    <cellStyle name="Обычный 6 122 2" xfId="8661" xr:uid="{00000000-0005-0000-0000-00005D550000}"/>
    <cellStyle name="Обычный 6 122 2 2" xfId="56722" xr:uid="{00000000-0005-0000-0000-00005E550000}"/>
    <cellStyle name="Обычный 6 122 3" xfId="14001" xr:uid="{00000000-0005-0000-0000-00005F550000}"/>
    <cellStyle name="Обычный 6 122 4" xfId="19341" xr:uid="{00000000-0005-0000-0000-000060550000}"/>
    <cellStyle name="Обычный 6 122 5" xfId="24681" xr:uid="{00000000-0005-0000-0000-000061550000}"/>
    <cellStyle name="Обычный 6 122 6" xfId="30021" xr:uid="{00000000-0005-0000-0000-000062550000}"/>
    <cellStyle name="Обычный 6 122 7" xfId="35361" xr:uid="{00000000-0005-0000-0000-000063550000}"/>
    <cellStyle name="Обычный 6 122 8" xfId="40701" xr:uid="{00000000-0005-0000-0000-000064550000}"/>
    <cellStyle name="Обычный 6 122 9" xfId="46041" xr:uid="{00000000-0005-0000-0000-000065550000}"/>
    <cellStyle name="Обычный 6 123" xfId="3350" xr:uid="{00000000-0005-0000-0000-000066550000}"/>
    <cellStyle name="Обычный 6 123 10" xfId="51413" xr:uid="{00000000-0005-0000-0000-000067550000}"/>
    <cellStyle name="Обычный 6 123 2" xfId="8693" xr:uid="{00000000-0005-0000-0000-000068550000}"/>
    <cellStyle name="Обычный 6 123 2 2" xfId="56754" xr:uid="{00000000-0005-0000-0000-000069550000}"/>
    <cellStyle name="Обычный 6 123 3" xfId="14033" xr:uid="{00000000-0005-0000-0000-00006A550000}"/>
    <cellStyle name="Обычный 6 123 4" xfId="19373" xr:uid="{00000000-0005-0000-0000-00006B550000}"/>
    <cellStyle name="Обычный 6 123 5" xfId="24713" xr:uid="{00000000-0005-0000-0000-00006C550000}"/>
    <cellStyle name="Обычный 6 123 6" xfId="30053" xr:uid="{00000000-0005-0000-0000-00006D550000}"/>
    <cellStyle name="Обычный 6 123 7" xfId="35393" xr:uid="{00000000-0005-0000-0000-00006E550000}"/>
    <cellStyle name="Обычный 6 123 8" xfId="40733" xr:uid="{00000000-0005-0000-0000-00006F550000}"/>
    <cellStyle name="Обычный 6 123 9" xfId="46073" xr:uid="{00000000-0005-0000-0000-000070550000}"/>
    <cellStyle name="Обычный 6 124" xfId="3382" xr:uid="{00000000-0005-0000-0000-000071550000}"/>
    <cellStyle name="Обычный 6 124 10" xfId="51445" xr:uid="{00000000-0005-0000-0000-000072550000}"/>
    <cellStyle name="Обычный 6 124 2" xfId="8725" xr:uid="{00000000-0005-0000-0000-000073550000}"/>
    <cellStyle name="Обычный 6 124 2 2" xfId="56786" xr:uid="{00000000-0005-0000-0000-000074550000}"/>
    <cellStyle name="Обычный 6 124 3" xfId="14065" xr:uid="{00000000-0005-0000-0000-000075550000}"/>
    <cellStyle name="Обычный 6 124 4" xfId="19405" xr:uid="{00000000-0005-0000-0000-000076550000}"/>
    <cellStyle name="Обычный 6 124 5" xfId="24745" xr:uid="{00000000-0005-0000-0000-000077550000}"/>
    <cellStyle name="Обычный 6 124 6" xfId="30085" xr:uid="{00000000-0005-0000-0000-000078550000}"/>
    <cellStyle name="Обычный 6 124 7" xfId="35425" xr:uid="{00000000-0005-0000-0000-000079550000}"/>
    <cellStyle name="Обычный 6 124 8" xfId="40765" xr:uid="{00000000-0005-0000-0000-00007A550000}"/>
    <cellStyle name="Обычный 6 124 9" xfId="46105" xr:uid="{00000000-0005-0000-0000-00007B550000}"/>
    <cellStyle name="Обычный 6 125" xfId="3414" xr:uid="{00000000-0005-0000-0000-00007C550000}"/>
    <cellStyle name="Обычный 6 125 10" xfId="51477" xr:uid="{00000000-0005-0000-0000-00007D550000}"/>
    <cellStyle name="Обычный 6 125 2" xfId="8757" xr:uid="{00000000-0005-0000-0000-00007E550000}"/>
    <cellStyle name="Обычный 6 125 2 2" xfId="56818" xr:uid="{00000000-0005-0000-0000-00007F550000}"/>
    <cellStyle name="Обычный 6 125 3" xfId="14097" xr:uid="{00000000-0005-0000-0000-000080550000}"/>
    <cellStyle name="Обычный 6 125 4" xfId="19437" xr:uid="{00000000-0005-0000-0000-000081550000}"/>
    <cellStyle name="Обычный 6 125 5" xfId="24777" xr:uid="{00000000-0005-0000-0000-000082550000}"/>
    <cellStyle name="Обычный 6 125 6" xfId="30117" xr:uid="{00000000-0005-0000-0000-000083550000}"/>
    <cellStyle name="Обычный 6 125 7" xfId="35457" xr:uid="{00000000-0005-0000-0000-000084550000}"/>
    <cellStyle name="Обычный 6 125 8" xfId="40797" xr:uid="{00000000-0005-0000-0000-000085550000}"/>
    <cellStyle name="Обычный 6 125 9" xfId="46137" xr:uid="{00000000-0005-0000-0000-000086550000}"/>
    <cellStyle name="Обычный 6 126" xfId="3446" xr:uid="{00000000-0005-0000-0000-000087550000}"/>
    <cellStyle name="Обычный 6 126 10" xfId="51509" xr:uid="{00000000-0005-0000-0000-000088550000}"/>
    <cellStyle name="Обычный 6 126 2" xfId="8789" xr:uid="{00000000-0005-0000-0000-000089550000}"/>
    <cellStyle name="Обычный 6 126 2 2" xfId="56850" xr:uid="{00000000-0005-0000-0000-00008A550000}"/>
    <cellStyle name="Обычный 6 126 3" xfId="14129" xr:uid="{00000000-0005-0000-0000-00008B550000}"/>
    <cellStyle name="Обычный 6 126 4" xfId="19469" xr:uid="{00000000-0005-0000-0000-00008C550000}"/>
    <cellStyle name="Обычный 6 126 5" xfId="24809" xr:uid="{00000000-0005-0000-0000-00008D550000}"/>
    <cellStyle name="Обычный 6 126 6" xfId="30149" xr:uid="{00000000-0005-0000-0000-00008E550000}"/>
    <cellStyle name="Обычный 6 126 7" xfId="35489" xr:uid="{00000000-0005-0000-0000-00008F550000}"/>
    <cellStyle name="Обычный 6 126 8" xfId="40829" xr:uid="{00000000-0005-0000-0000-000090550000}"/>
    <cellStyle name="Обычный 6 126 9" xfId="46169" xr:uid="{00000000-0005-0000-0000-000091550000}"/>
    <cellStyle name="Обычный 6 127" xfId="3478" xr:uid="{00000000-0005-0000-0000-000092550000}"/>
    <cellStyle name="Обычный 6 127 10" xfId="51541" xr:uid="{00000000-0005-0000-0000-000093550000}"/>
    <cellStyle name="Обычный 6 127 2" xfId="8821" xr:uid="{00000000-0005-0000-0000-000094550000}"/>
    <cellStyle name="Обычный 6 127 2 2" xfId="56882" xr:uid="{00000000-0005-0000-0000-000095550000}"/>
    <cellStyle name="Обычный 6 127 3" xfId="14161" xr:uid="{00000000-0005-0000-0000-000096550000}"/>
    <cellStyle name="Обычный 6 127 4" xfId="19501" xr:uid="{00000000-0005-0000-0000-000097550000}"/>
    <cellStyle name="Обычный 6 127 5" xfId="24841" xr:uid="{00000000-0005-0000-0000-000098550000}"/>
    <cellStyle name="Обычный 6 127 6" xfId="30181" xr:uid="{00000000-0005-0000-0000-000099550000}"/>
    <cellStyle name="Обычный 6 127 7" xfId="35521" xr:uid="{00000000-0005-0000-0000-00009A550000}"/>
    <cellStyle name="Обычный 6 127 8" xfId="40861" xr:uid="{00000000-0005-0000-0000-00009B550000}"/>
    <cellStyle name="Обычный 6 127 9" xfId="46201" xr:uid="{00000000-0005-0000-0000-00009C550000}"/>
    <cellStyle name="Обычный 6 128" xfId="3510" xr:uid="{00000000-0005-0000-0000-00009D550000}"/>
    <cellStyle name="Обычный 6 128 10" xfId="51573" xr:uid="{00000000-0005-0000-0000-00009E550000}"/>
    <cellStyle name="Обычный 6 128 2" xfId="8853" xr:uid="{00000000-0005-0000-0000-00009F550000}"/>
    <cellStyle name="Обычный 6 128 2 2" xfId="56914" xr:uid="{00000000-0005-0000-0000-0000A0550000}"/>
    <cellStyle name="Обычный 6 128 3" xfId="14193" xr:uid="{00000000-0005-0000-0000-0000A1550000}"/>
    <cellStyle name="Обычный 6 128 4" xfId="19533" xr:uid="{00000000-0005-0000-0000-0000A2550000}"/>
    <cellStyle name="Обычный 6 128 5" xfId="24873" xr:uid="{00000000-0005-0000-0000-0000A3550000}"/>
    <cellStyle name="Обычный 6 128 6" xfId="30213" xr:uid="{00000000-0005-0000-0000-0000A4550000}"/>
    <cellStyle name="Обычный 6 128 7" xfId="35553" xr:uid="{00000000-0005-0000-0000-0000A5550000}"/>
    <cellStyle name="Обычный 6 128 8" xfId="40893" xr:uid="{00000000-0005-0000-0000-0000A6550000}"/>
    <cellStyle name="Обычный 6 128 9" xfId="46233" xr:uid="{00000000-0005-0000-0000-0000A7550000}"/>
    <cellStyle name="Обычный 6 129" xfId="3542" xr:uid="{00000000-0005-0000-0000-0000A8550000}"/>
    <cellStyle name="Обычный 6 129 10" xfId="51605" xr:uid="{00000000-0005-0000-0000-0000A9550000}"/>
    <cellStyle name="Обычный 6 129 2" xfId="8885" xr:uid="{00000000-0005-0000-0000-0000AA550000}"/>
    <cellStyle name="Обычный 6 129 2 2" xfId="56946" xr:uid="{00000000-0005-0000-0000-0000AB550000}"/>
    <cellStyle name="Обычный 6 129 3" xfId="14225" xr:uid="{00000000-0005-0000-0000-0000AC550000}"/>
    <cellStyle name="Обычный 6 129 4" xfId="19565" xr:uid="{00000000-0005-0000-0000-0000AD550000}"/>
    <cellStyle name="Обычный 6 129 5" xfId="24905" xr:uid="{00000000-0005-0000-0000-0000AE550000}"/>
    <cellStyle name="Обычный 6 129 6" xfId="30245" xr:uid="{00000000-0005-0000-0000-0000AF550000}"/>
    <cellStyle name="Обычный 6 129 7" xfId="35585" xr:uid="{00000000-0005-0000-0000-0000B0550000}"/>
    <cellStyle name="Обычный 6 129 8" xfId="40925" xr:uid="{00000000-0005-0000-0000-0000B1550000}"/>
    <cellStyle name="Обычный 6 129 9" xfId="46265" xr:uid="{00000000-0005-0000-0000-0000B2550000}"/>
    <cellStyle name="Обычный 6 13" xfId="240" xr:uid="{00000000-0005-0000-0000-0000B3550000}"/>
    <cellStyle name="Обычный 6 13 10" xfId="42962" xr:uid="{00000000-0005-0000-0000-0000B4550000}"/>
    <cellStyle name="Обычный 6 13 11" xfId="48302" xr:uid="{00000000-0005-0000-0000-0000B5550000}"/>
    <cellStyle name="Обычный 6 13 2" xfId="707" xr:uid="{00000000-0005-0000-0000-0000B6550000}"/>
    <cellStyle name="Обычный 6 13 2 10" xfId="48769" xr:uid="{00000000-0005-0000-0000-0000B7550000}"/>
    <cellStyle name="Обычный 6 13 2 2" xfId="6048" xr:uid="{00000000-0005-0000-0000-0000B8550000}"/>
    <cellStyle name="Обычный 6 13 2 2 2" xfId="54110" xr:uid="{00000000-0005-0000-0000-0000B9550000}"/>
    <cellStyle name="Обычный 6 13 2 3" xfId="11389" xr:uid="{00000000-0005-0000-0000-0000BA550000}"/>
    <cellStyle name="Обычный 6 13 2 4" xfId="16729" xr:uid="{00000000-0005-0000-0000-0000BB550000}"/>
    <cellStyle name="Обычный 6 13 2 5" xfId="22069" xr:uid="{00000000-0005-0000-0000-0000BC550000}"/>
    <cellStyle name="Обычный 6 13 2 6" xfId="27409" xr:uid="{00000000-0005-0000-0000-0000BD550000}"/>
    <cellStyle name="Обычный 6 13 2 7" xfId="32749" xr:uid="{00000000-0005-0000-0000-0000BE550000}"/>
    <cellStyle name="Обычный 6 13 2 8" xfId="38089" xr:uid="{00000000-0005-0000-0000-0000BF550000}"/>
    <cellStyle name="Обычный 6 13 2 9" xfId="43429" xr:uid="{00000000-0005-0000-0000-0000C0550000}"/>
    <cellStyle name="Обычный 6 13 3" xfId="5581" xr:uid="{00000000-0005-0000-0000-0000C1550000}"/>
    <cellStyle name="Обычный 6 13 3 2" xfId="53643" xr:uid="{00000000-0005-0000-0000-0000C2550000}"/>
    <cellStyle name="Обычный 6 13 4" xfId="10922" xr:uid="{00000000-0005-0000-0000-0000C3550000}"/>
    <cellStyle name="Обычный 6 13 5" xfId="16262" xr:uid="{00000000-0005-0000-0000-0000C4550000}"/>
    <cellStyle name="Обычный 6 13 6" xfId="21602" xr:uid="{00000000-0005-0000-0000-0000C5550000}"/>
    <cellStyle name="Обычный 6 13 7" xfId="26942" xr:uid="{00000000-0005-0000-0000-0000C6550000}"/>
    <cellStyle name="Обычный 6 13 8" xfId="32282" xr:uid="{00000000-0005-0000-0000-0000C7550000}"/>
    <cellStyle name="Обычный 6 13 9" xfId="37622" xr:uid="{00000000-0005-0000-0000-0000C8550000}"/>
    <cellStyle name="Обычный 6 130" xfId="3574" xr:uid="{00000000-0005-0000-0000-0000C9550000}"/>
    <cellStyle name="Обычный 6 130 10" xfId="51637" xr:uid="{00000000-0005-0000-0000-0000CA550000}"/>
    <cellStyle name="Обычный 6 130 2" xfId="8917" xr:uid="{00000000-0005-0000-0000-0000CB550000}"/>
    <cellStyle name="Обычный 6 130 2 2" xfId="56978" xr:uid="{00000000-0005-0000-0000-0000CC550000}"/>
    <cellStyle name="Обычный 6 130 3" xfId="14257" xr:uid="{00000000-0005-0000-0000-0000CD550000}"/>
    <cellStyle name="Обычный 6 130 4" xfId="19597" xr:uid="{00000000-0005-0000-0000-0000CE550000}"/>
    <cellStyle name="Обычный 6 130 5" xfId="24937" xr:uid="{00000000-0005-0000-0000-0000CF550000}"/>
    <cellStyle name="Обычный 6 130 6" xfId="30277" xr:uid="{00000000-0005-0000-0000-0000D0550000}"/>
    <cellStyle name="Обычный 6 130 7" xfId="35617" xr:uid="{00000000-0005-0000-0000-0000D1550000}"/>
    <cellStyle name="Обычный 6 130 8" xfId="40957" xr:uid="{00000000-0005-0000-0000-0000D2550000}"/>
    <cellStyle name="Обычный 6 130 9" xfId="46297" xr:uid="{00000000-0005-0000-0000-0000D3550000}"/>
    <cellStyle name="Обычный 6 131" xfId="3606" xr:uid="{00000000-0005-0000-0000-0000D4550000}"/>
    <cellStyle name="Обычный 6 131 10" xfId="51669" xr:uid="{00000000-0005-0000-0000-0000D5550000}"/>
    <cellStyle name="Обычный 6 131 2" xfId="8949" xr:uid="{00000000-0005-0000-0000-0000D6550000}"/>
    <cellStyle name="Обычный 6 131 2 2" xfId="57010" xr:uid="{00000000-0005-0000-0000-0000D7550000}"/>
    <cellStyle name="Обычный 6 131 3" xfId="14289" xr:uid="{00000000-0005-0000-0000-0000D8550000}"/>
    <cellStyle name="Обычный 6 131 4" xfId="19629" xr:uid="{00000000-0005-0000-0000-0000D9550000}"/>
    <cellStyle name="Обычный 6 131 5" xfId="24969" xr:uid="{00000000-0005-0000-0000-0000DA550000}"/>
    <cellStyle name="Обычный 6 131 6" xfId="30309" xr:uid="{00000000-0005-0000-0000-0000DB550000}"/>
    <cellStyle name="Обычный 6 131 7" xfId="35649" xr:uid="{00000000-0005-0000-0000-0000DC550000}"/>
    <cellStyle name="Обычный 6 131 8" xfId="40989" xr:uid="{00000000-0005-0000-0000-0000DD550000}"/>
    <cellStyle name="Обычный 6 131 9" xfId="46329" xr:uid="{00000000-0005-0000-0000-0000DE550000}"/>
    <cellStyle name="Обычный 6 132" xfId="3638" xr:uid="{00000000-0005-0000-0000-0000DF550000}"/>
    <cellStyle name="Обычный 6 132 10" xfId="51701" xr:uid="{00000000-0005-0000-0000-0000E0550000}"/>
    <cellStyle name="Обычный 6 132 2" xfId="8981" xr:uid="{00000000-0005-0000-0000-0000E1550000}"/>
    <cellStyle name="Обычный 6 132 2 2" xfId="57042" xr:uid="{00000000-0005-0000-0000-0000E2550000}"/>
    <cellStyle name="Обычный 6 132 3" xfId="14321" xr:uid="{00000000-0005-0000-0000-0000E3550000}"/>
    <cellStyle name="Обычный 6 132 4" xfId="19661" xr:uid="{00000000-0005-0000-0000-0000E4550000}"/>
    <cellStyle name="Обычный 6 132 5" xfId="25001" xr:uid="{00000000-0005-0000-0000-0000E5550000}"/>
    <cellStyle name="Обычный 6 132 6" xfId="30341" xr:uid="{00000000-0005-0000-0000-0000E6550000}"/>
    <cellStyle name="Обычный 6 132 7" xfId="35681" xr:uid="{00000000-0005-0000-0000-0000E7550000}"/>
    <cellStyle name="Обычный 6 132 8" xfId="41021" xr:uid="{00000000-0005-0000-0000-0000E8550000}"/>
    <cellStyle name="Обычный 6 132 9" xfId="46361" xr:uid="{00000000-0005-0000-0000-0000E9550000}"/>
    <cellStyle name="Обычный 6 133" xfId="3670" xr:uid="{00000000-0005-0000-0000-0000EA550000}"/>
    <cellStyle name="Обычный 6 133 10" xfId="51733" xr:uid="{00000000-0005-0000-0000-0000EB550000}"/>
    <cellStyle name="Обычный 6 133 2" xfId="9013" xr:uid="{00000000-0005-0000-0000-0000EC550000}"/>
    <cellStyle name="Обычный 6 133 2 2" xfId="57074" xr:uid="{00000000-0005-0000-0000-0000ED550000}"/>
    <cellStyle name="Обычный 6 133 3" xfId="14353" xr:uid="{00000000-0005-0000-0000-0000EE550000}"/>
    <cellStyle name="Обычный 6 133 4" xfId="19693" xr:uid="{00000000-0005-0000-0000-0000EF550000}"/>
    <cellStyle name="Обычный 6 133 5" xfId="25033" xr:uid="{00000000-0005-0000-0000-0000F0550000}"/>
    <cellStyle name="Обычный 6 133 6" xfId="30373" xr:uid="{00000000-0005-0000-0000-0000F1550000}"/>
    <cellStyle name="Обычный 6 133 7" xfId="35713" xr:uid="{00000000-0005-0000-0000-0000F2550000}"/>
    <cellStyle name="Обычный 6 133 8" xfId="41053" xr:uid="{00000000-0005-0000-0000-0000F3550000}"/>
    <cellStyle name="Обычный 6 133 9" xfId="46393" xr:uid="{00000000-0005-0000-0000-0000F4550000}"/>
    <cellStyle name="Обычный 6 134" xfId="3702" xr:uid="{00000000-0005-0000-0000-0000F5550000}"/>
    <cellStyle name="Обычный 6 134 10" xfId="51765" xr:uid="{00000000-0005-0000-0000-0000F6550000}"/>
    <cellStyle name="Обычный 6 134 2" xfId="9045" xr:uid="{00000000-0005-0000-0000-0000F7550000}"/>
    <cellStyle name="Обычный 6 134 2 2" xfId="57106" xr:uid="{00000000-0005-0000-0000-0000F8550000}"/>
    <cellStyle name="Обычный 6 134 3" xfId="14385" xr:uid="{00000000-0005-0000-0000-0000F9550000}"/>
    <cellStyle name="Обычный 6 134 4" xfId="19725" xr:uid="{00000000-0005-0000-0000-0000FA550000}"/>
    <cellStyle name="Обычный 6 134 5" xfId="25065" xr:uid="{00000000-0005-0000-0000-0000FB550000}"/>
    <cellStyle name="Обычный 6 134 6" xfId="30405" xr:uid="{00000000-0005-0000-0000-0000FC550000}"/>
    <cellStyle name="Обычный 6 134 7" xfId="35745" xr:uid="{00000000-0005-0000-0000-0000FD550000}"/>
    <cellStyle name="Обычный 6 134 8" xfId="41085" xr:uid="{00000000-0005-0000-0000-0000FE550000}"/>
    <cellStyle name="Обычный 6 134 9" xfId="46425" xr:uid="{00000000-0005-0000-0000-0000FF550000}"/>
    <cellStyle name="Обычный 6 135" xfId="3734" xr:uid="{00000000-0005-0000-0000-000000560000}"/>
    <cellStyle name="Обычный 6 135 10" xfId="51797" xr:uid="{00000000-0005-0000-0000-000001560000}"/>
    <cellStyle name="Обычный 6 135 2" xfId="9077" xr:uid="{00000000-0005-0000-0000-000002560000}"/>
    <cellStyle name="Обычный 6 135 2 2" xfId="57138" xr:uid="{00000000-0005-0000-0000-000003560000}"/>
    <cellStyle name="Обычный 6 135 3" xfId="14417" xr:uid="{00000000-0005-0000-0000-000004560000}"/>
    <cellStyle name="Обычный 6 135 4" xfId="19757" xr:uid="{00000000-0005-0000-0000-000005560000}"/>
    <cellStyle name="Обычный 6 135 5" xfId="25097" xr:uid="{00000000-0005-0000-0000-000006560000}"/>
    <cellStyle name="Обычный 6 135 6" xfId="30437" xr:uid="{00000000-0005-0000-0000-000007560000}"/>
    <cellStyle name="Обычный 6 135 7" xfId="35777" xr:uid="{00000000-0005-0000-0000-000008560000}"/>
    <cellStyle name="Обычный 6 135 8" xfId="41117" xr:uid="{00000000-0005-0000-0000-000009560000}"/>
    <cellStyle name="Обычный 6 135 9" xfId="46457" xr:uid="{00000000-0005-0000-0000-00000A560000}"/>
    <cellStyle name="Обычный 6 136" xfId="3766" xr:uid="{00000000-0005-0000-0000-00000B560000}"/>
    <cellStyle name="Обычный 6 136 10" xfId="51829" xr:uid="{00000000-0005-0000-0000-00000C560000}"/>
    <cellStyle name="Обычный 6 136 2" xfId="9109" xr:uid="{00000000-0005-0000-0000-00000D560000}"/>
    <cellStyle name="Обычный 6 136 2 2" xfId="57170" xr:uid="{00000000-0005-0000-0000-00000E560000}"/>
    <cellStyle name="Обычный 6 136 3" xfId="14449" xr:uid="{00000000-0005-0000-0000-00000F560000}"/>
    <cellStyle name="Обычный 6 136 4" xfId="19789" xr:uid="{00000000-0005-0000-0000-000010560000}"/>
    <cellStyle name="Обычный 6 136 5" xfId="25129" xr:uid="{00000000-0005-0000-0000-000011560000}"/>
    <cellStyle name="Обычный 6 136 6" xfId="30469" xr:uid="{00000000-0005-0000-0000-000012560000}"/>
    <cellStyle name="Обычный 6 136 7" xfId="35809" xr:uid="{00000000-0005-0000-0000-000013560000}"/>
    <cellStyle name="Обычный 6 136 8" xfId="41149" xr:uid="{00000000-0005-0000-0000-000014560000}"/>
    <cellStyle name="Обычный 6 136 9" xfId="46489" xr:uid="{00000000-0005-0000-0000-000015560000}"/>
    <cellStyle name="Обычный 6 137" xfId="3798" xr:uid="{00000000-0005-0000-0000-000016560000}"/>
    <cellStyle name="Обычный 6 137 10" xfId="51861" xr:uid="{00000000-0005-0000-0000-000017560000}"/>
    <cellStyle name="Обычный 6 137 2" xfId="9141" xr:uid="{00000000-0005-0000-0000-000018560000}"/>
    <cellStyle name="Обычный 6 137 2 2" xfId="57202" xr:uid="{00000000-0005-0000-0000-000019560000}"/>
    <cellStyle name="Обычный 6 137 3" xfId="14481" xr:uid="{00000000-0005-0000-0000-00001A560000}"/>
    <cellStyle name="Обычный 6 137 4" xfId="19821" xr:uid="{00000000-0005-0000-0000-00001B560000}"/>
    <cellStyle name="Обычный 6 137 5" xfId="25161" xr:uid="{00000000-0005-0000-0000-00001C560000}"/>
    <cellStyle name="Обычный 6 137 6" xfId="30501" xr:uid="{00000000-0005-0000-0000-00001D560000}"/>
    <cellStyle name="Обычный 6 137 7" xfId="35841" xr:uid="{00000000-0005-0000-0000-00001E560000}"/>
    <cellStyle name="Обычный 6 137 8" xfId="41181" xr:uid="{00000000-0005-0000-0000-00001F560000}"/>
    <cellStyle name="Обычный 6 137 9" xfId="46521" xr:uid="{00000000-0005-0000-0000-000020560000}"/>
    <cellStyle name="Обычный 6 138" xfId="3830" xr:uid="{00000000-0005-0000-0000-000021560000}"/>
    <cellStyle name="Обычный 6 138 10" xfId="51893" xr:uid="{00000000-0005-0000-0000-000022560000}"/>
    <cellStyle name="Обычный 6 138 2" xfId="9173" xr:uid="{00000000-0005-0000-0000-000023560000}"/>
    <cellStyle name="Обычный 6 138 2 2" xfId="57234" xr:uid="{00000000-0005-0000-0000-000024560000}"/>
    <cellStyle name="Обычный 6 138 3" xfId="14513" xr:uid="{00000000-0005-0000-0000-000025560000}"/>
    <cellStyle name="Обычный 6 138 4" xfId="19853" xr:uid="{00000000-0005-0000-0000-000026560000}"/>
    <cellStyle name="Обычный 6 138 5" xfId="25193" xr:uid="{00000000-0005-0000-0000-000027560000}"/>
    <cellStyle name="Обычный 6 138 6" xfId="30533" xr:uid="{00000000-0005-0000-0000-000028560000}"/>
    <cellStyle name="Обычный 6 138 7" xfId="35873" xr:uid="{00000000-0005-0000-0000-000029560000}"/>
    <cellStyle name="Обычный 6 138 8" xfId="41213" xr:uid="{00000000-0005-0000-0000-00002A560000}"/>
    <cellStyle name="Обычный 6 138 9" xfId="46553" xr:uid="{00000000-0005-0000-0000-00002B560000}"/>
    <cellStyle name="Обычный 6 139" xfId="3862" xr:uid="{00000000-0005-0000-0000-00002C560000}"/>
    <cellStyle name="Обычный 6 139 10" xfId="51925" xr:uid="{00000000-0005-0000-0000-00002D560000}"/>
    <cellStyle name="Обычный 6 139 2" xfId="9205" xr:uid="{00000000-0005-0000-0000-00002E560000}"/>
    <cellStyle name="Обычный 6 139 2 2" xfId="57266" xr:uid="{00000000-0005-0000-0000-00002F560000}"/>
    <cellStyle name="Обычный 6 139 3" xfId="14545" xr:uid="{00000000-0005-0000-0000-000030560000}"/>
    <cellStyle name="Обычный 6 139 4" xfId="19885" xr:uid="{00000000-0005-0000-0000-000031560000}"/>
    <cellStyle name="Обычный 6 139 5" xfId="25225" xr:uid="{00000000-0005-0000-0000-000032560000}"/>
    <cellStyle name="Обычный 6 139 6" xfId="30565" xr:uid="{00000000-0005-0000-0000-000033560000}"/>
    <cellStyle name="Обычный 6 139 7" xfId="35905" xr:uid="{00000000-0005-0000-0000-000034560000}"/>
    <cellStyle name="Обычный 6 139 8" xfId="41245" xr:uid="{00000000-0005-0000-0000-000035560000}"/>
    <cellStyle name="Обычный 6 139 9" xfId="46585" xr:uid="{00000000-0005-0000-0000-000036560000}"/>
    <cellStyle name="Обычный 6 14" xfId="250" xr:uid="{00000000-0005-0000-0000-000037560000}"/>
    <cellStyle name="Обычный 6 14 10" xfId="42972" xr:uid="{00000000-0005-0000-0000-000038560000}"/>
    <cellStyle name="Обычный 6 14 11" xfId="48312" xr:uid="{00000000-0005-0000-0000-000039560000}"/>
    <cellStyle name="Обычный 6 14 2" xfId="717" xr:uid="{00000000-0005-0000-0000-00003A560000}"/>
    <cellStyle name="Обычный 6 14 2 10" xfId="48779" xr:uid="{00000000-0005-0000-0000-00003B560000}"/>
    <cellStyle name="Обычный 6 14 2 2" xfId="6058" xr:uid="{00000000-0005-0000-0000-00003C560000}"/>
    <cellStyle name="Обычный 6 14 2 2 2" xfId="54120" xr:uid="{00000000-0005-0000-0000-00003D560000}"/>
    <cellStyle name="Обычный 6 14 2 3" xfId="11399" xr:uid="{00000000-0005-0000-0000-00003E560000}"/>
    <cellStyle name="Обычный 6 14 2 4" xfId="16739" xr:uid="{00000000-0005-0000-0000-00003F560000}"/>
    <cellStyle name="Обычный 6 14 2 5" xfId="22079" xr:uid="{00000000-0005-0000-0000-000040560000}"/>
    <cellStyle name="Обычный 6 14 2 6" xfId="27419" xr:uid="{00000000-0005-0000-0000-000041560000}"/>
    <cellStyle name="Обычный 6 14 2 7" xfId="32759" xr:uid="{00000000-0005-0000-0000-000042560000}"/>
    <cellStyle name="Обычный 6 14 2 8" xfId="38099" xr:uid="{00000000-0005-0000-0000-000043560000}"/>
    <cellStyle name="Обычный 6 14 2 9" xfId="43439" xr:uid="{00000000-0005-0000-0000-000044560000}"/>
    <cellStyle name="Обычный 6 14 3" xfId="5591" xr:uid="{00000000-0005-0000-0000-000045560000}"/>
    <cellStyle name="Обычный 6 14 3 2" xfId="53653" xr:uid="{00000000-0005-0000-0000-000046560000}"/>
    <cellStyle name="Обычный 6 14 4" xfId="10932" xr:uid="{00000000-0005-0000-0000-000047560000}"/>
    <cellStyle name="Обычный 6 14 5" xfId="16272" xr:uid="{00000000-0005-0000-0000-000048560000}"/>
    <cellStyle name="Обычный 6 14 6" xfId="21612" xr:uid="{00000000-0005-0000-0000-000049560000}"/>
    <cellStyle name="Обычный 6 14 7" xfId="26952" xr:uid="{00000000-0005-0000-0000-00004A560000}"/>
    <cellStyle name="Обычный 6 14 8" xfId="32292" xr:uid="{00000000-0005-0000-0000-00004B560000}"/>
    <cellStyle name="Обычный 6 14 9" xfId="37632" xr:uid="{00000000-0005-0000-0000-00004C560000}"/>
    <cellStyle name="Обычный 6 140" xfId="3894" xr:uid="{00000000-0005-0000-0000-00004D560000}"/>
    <cellStyle name="Обычный 6 140 10" xfId="51957" xr:uid="{00000000-0005-0000-0000-00004E560000}"/>
    <cellStyle name="Обычный 6 140 2" xfId="9237" xr:uid="{00000000-0005-0000-0000-00004F560000}"/>
    <cellStyle name="Обычный 6 140 2 2" xfId="57298" xr:uid="{00000000-0005-0000-0000-000050560000}"/>
    <cellStyle name="Обычный 6 140 3" xfId="14577" xr:uid="{00000000-0005-0000-0000-000051560000}"/>
    <cellStyle name="Обычный 6 140 4" xfId="19917" xr:uid="{00000000-0005-0000-0000-000052560000}"/>
    <cellStyle name="Обычный 6 140 5" xfId="25257" xr:uid="{00000000-0005-0000-0000-000053560000}"/>
    <cellStyle name="Обычный 6 140 6" xfId="30597" xr:uid="{00000000-0005-0000-0000-000054560000}"/>
    <cellStyle name="Обычный 6 140 7" xfId="35937" xr:uid="{00000000-0005-0000-0000-000055560000}"/>
    <cellStyle name="Обычный 6 140 8" xfId="41277" xr:uid="{00000000-0005-0000-0000-000056560000}"/>
    <cellStyle name="Обычный 6 140 9" xfId="46617" xr:uid="{00000000-0005-0000-0000-000057560000}"/>
    <cellStyle name="Обычный 6 141" xfId="3926" xr:uid="{00000000-0005-0000-0000-000058560000}"/>
    <cellStyle name="Обычный 6 141 10" xfId="51989" xr:uid="{00000000-0005-0000-0000-000059560000}"/>
    <cellStyle name="Обычный 6 141 2" xfId="9269" xr:uid="{00000000-0005-0000-0000-00005A560000}"/>
    <cellStyle name="Обычный 6 141 2 2" xfId="57330" xr:uid="{00000000-0005-0000-0000-00005B560000}"/>
    <cellStyle name="Обычный 6 141 3" xfId="14609" xr:uid="{00000000-0005-0000-0000-00005C560000}"/>
    <cellStyle name="Обычный 6 141 4" xfId="19949" xr:uid="{00000000-0005-0000-0000-00005D560000}"/>
    <cellStyle name="Обычный 6 141 5" xfId="25289" xr:uid="{00000000-0005-0000-0000-00005E560000}"/>
    <cellStyle name="Обычный 6 141 6" xfId="30629" xr:uid="{00000000-0005-0000-0000-00005F560000}"/>
    <cellStyle name="Обычный 6 141 7" xfId="35969" xr:uid="{00000000-0005-0000-0000-000060560000}"/>
    <cellStyle name="Обычный 6 141 8" xfId="41309" xr:uid="{00000000-0005-0000-0000-000061560000}"/>
    <cellStyle name="Обычный 6 141 9" xfId="46649" xr:uid="{00000000-0005-0000-0000-000062560000}"/>
    <cellStyle name="Обычный 6 142" xfId="3958" xr:uid="{00000000-0005-0000-0000-000063560000}"/>
    <cellStyle name="Обычный 6 142 10" xfId="52021" xr:uid="{00000000-0005-0000-0000-000064560000}"/>
    <cellStyle name="Обычный 6 142 2" xfId="9301" xr:uid="{00000000-0005-0000-0000-000065560000}"/>
    <cellStyle name="Обычный 6 142 2 2" xfId="57362" xr:uid="{00000000-0005-0000-0000-000066560000}"/>
    <cellStyle name="Обычный 6 142 3" xfId="14641" xr:uid="{00000000-0005-0000-0000-000067560000}"/>
    <cellStyle name="Обычный 6 142 4" xfId="19981" xr:uid="{00000000-0005-0000-0000-000068560000}"/>
    <cellStyle name="Обычный 6 142 5" xfId="25321" xr:uid="{00000000-0005-0000-0000-000069560000}"/>
    <cellStyle name="Обычный 6 142 6" xfId="30661" xr:uid="{00000000-0005-0000-0000-00006A560000}"/>
    <cellStyle name="Обычный 6 142 7" xfId="36001" xr:uid="{00000000-0005-0000-0000-00006B560000}"/>
    <cellStyle name="Обычный 6 142 8" xfId="41341" xr:uid="{00000000-0005-0000-0000-00006C560000}"/>
    <cellStyle name="Обычный 6 142 9" xfId="46681" xr:uid="{00000000-0005-0000-0000-00006D560000}"/>
    <cellStyle name="Обычный 6 143" xfId="3990" xr:uid="{00000000-0005-0000-0000-00006E560000}"/>
    <cellStyle name="Обычный 6 143 10" xfId="52053" xr:uid="{00000000-0005-0000-0000-00006F560000}"/>
    <cellStyle name="Обычный 6 143 2" xfId="9333" xr:uid="{00000000-0005-0000-0000-000070560000}"/>
    <cellStyle name="Обычный 6 143 2 2" xfId="57394" xr:uid="{00000000-0005-0000-0000-000071560000}"/>
    <cellStyle name="Обычный 6 143 3" xfId="14673" xr:uid="{00000000-0005-0000-0000-000072560000}"/>
    <cellStyle name="Обычный 6 143 4" xfId="20013" xr:uid="{00000000-0005-0000-0000-000073560000}"/>
    <cellStyle name="Обычный 6 143 5" xfId="25353" xr:uid="{00000000-0005-0000-0000-000074560000}"/>
    <cellStyle name="Обычный 6 143 6" xfId="30693" xr:uid="{00000000-0005-0000-0000-000075560000}"/>
    <cellStyle name="Обычный 6 143 7" xfId="36033" xr:uid="{00000000-0005-0000-0000-000076560000}"/>
    <cellStyle name="Обычный 6 143 8" xfId="41373" xr:uid="{00000000-0005-0000-0000-000077560000}"/>
    <cellStyle name="Обычный 6 143 9" xfId="46713" xr:uid="{00000000-0005-0000-0000-000078560000}"/>
    <cellStyle name="Обычный 6 144" xfId="4022" xr:uid="{00000000-0005-0000-0000-000079560000}"/>
    <cellStyle name="Обычный 6 144 10" xfId="52085" xr:uid="{00000000-0005-0000-0000-00007A560000}"/>
    <cellStyle name="Обычный 6 144 2" xfId="9365" xr:uid="{00000000-0005-0000-0000-00007B560000}"/>
    <cellStyle name="Обычный 6 144 2 2" xfId="57426" xr:uid="{00000000-0005-0000-0000-00007C560000}"/>
    <cellStyle name="Обычный 6 144 3" xfId="14705" xr:uid="{00000000-0005-0000-0000-00007D560000}"/>
    <cellStyle name="Обычный 6 144 4" xfId="20045" xr:uid="{00000000-0005-0000-0000-00007E560000}"/>
    <cellStyle name="Обычный 6 144 5" xfId="25385" xr:uid="{00000000-0005-0000-0000-00007F560000}"/>
    <cellStyle name="Обычный 6 144 6" xfId="30725" xr:uid="{00000000-0005-0000-0000-000080560000}"/>
    <cellStyle name="Обычный 6 144 7" xfId="36065" xr:uid="{00000000-0005-0000-0000-000081560000}"/>
    <cellStyle name="Обычный 6 144 8" xfId="41405" xr:uid="{00000000-0005-0000-0000-000082560000}"/>
    <cellStyle name="Обычный 6 144 9" xfId="46745" xr:uid="{00000000-0005-0000-0000-000083560000}"/>
    <cellStyle name="Обычный 6 145" xfId="4054" xr:uid="{00000000-0005-0000-0000-000084560000}"/>
    <cellStyle name="Обычный 6 145 10" xfId="52117" xr:uid="{00000000-0005-0000-0000-000085560000}"/>
    <cellStyle name="Обычный 6 145 2" xfId="9397" xr:uid="{00000000-0005-0000-0000-000086560000}"/>
    <cellStyle name="Обычный 6 145 2 2" xfId="57458" xr:uid="{00000000-0005-0000-0000-000087560000}"/>
    <cellStyle name="Обычный 6 145 3" xfId="14737" xr:uid="{00000000-0005-0000-0000-000088560000}"/>
    <cellStyle name="Обычный 6 145 4" xfId="20077" xr:uid="{00000000-0005-0000-0000-000089560000}"/>
    <cellStyle name="Обычный 6 145 5" xfId="25417" xr:uid="{00000000-0005-0000-0000-00008A560000}"/>
    <cellStyle name="Обычный 6 145 6" xfId="30757" xr:uid="{00000000-0005-0000-0000-00008B560000}"/>
    <cellStyle name="Обычный 6 145 7" xfId="36097" xr:uid="{00000000-0005-0000-0000-00008C560000}"/>
    <cellStyle name="Обычный 6 145 8" xfId="41437" xr:uid="{00000000-0005-0000-0000-00008D560000}"/>
    <cellStyle name="Обычный 6 145 9" xfId="46777" xr:uid="{00000000-0005-0000-0000-00008E560000}"/>
    <cellStyle name="Обычный 6 146" xfId="4086" xr:uid="{00000000-0005-0000-0000-00008F560000}"/>
    <cellStyle name="Обычный 6 146 10" xfId="52149" xr:uid="{00000000-0005-0000-0000-000090560000}"/>
    <cellStyle name="Обычный 6 146 2" xfId="9429" xr:uid="{00000000-0005-0000-0000-000091560000}"/>
    <cellStyle name="Обычный 6 146 2 2" xfId="57490" xr:uid="{00000000-0005-0000-0000-000092560000}"/>
    <cellStyle name="Обычный 6 146 3" xfId="14769" xr:uid="{00000000-0005-0000-0000-000093560000}"/>
    <cellStyle name="Обычный 6 146 4" xfId="20109" xr:uid="{00000000-0005-0000-0000-000094560000}"/>
    <cellStyle name="Обычный 6 146 5" xfId="25449" xr:uid="{00000000-0005-0000-0000-000095560000}"/>
    <cellStyle name="Обычный 6 146 6" xfId="30789" xr:uid="{00000000-0005-0000-0000-000096560000}"/>
    <cellStyle name="Обычный 6 146 7" xfId="36129" xr:uid="{00000000-0005-0000-0000-000097560000}"/>
    <cellStyle name="Обычный 6 146 8" xfId="41469" xr:uid="{00000000-0005-0000-0000-000098560000}"/>
    <cellStyle name="Обычный 6 146 9" xfId="46809" xr:uid="{00000000-0005-0000-0000-000099560000}"/>
    <cellStyle name="Обычный 6 147" xfId="4118" xr:uid="{00000000-0005-0000-0000-00009A560000}"/>
    <cellStyle name="Обычный 6 147 10" xfId="52181" xr:uid="{00000000-0005-0000-0000-00009B560000}"/>
    <cellStyle name="Обычный 6 147 2" xfId="9461" xr:uid="{00000000-0005-0000-0000-00009C560000}"/>
    <cellStyle name="Обычный 6 147 2 2" xfId="57522" xr:uid="{00000000-0005-0000-0000-00009D560000}"/>
    <cellStyle name="Обычный 6 147 3" xfId="14801" xr:uid="{00000000-0005-0000-0000-00009E560000}"/>
    <cellStyle name="Обычный 6 147 4" xfId="20141" xr:uid="{00000000-0005-0000-0000-00009F560000}"/>
    <cellStyle name="Обычный 6 147 5" xfId="25481" xr:uid="{00000000-0005-0000-0000-0000A0560000}"/>
    <cellStyle name="Обычный 6 147 6" xfId="30821" xr:uid="{00000000-0005-0000-0000-0000A1560000}"/>
    <cellStyle name="Обычный 6 147 7" xfId="36161" xr:uid="{00000000-0005-0000-0000-0000A2560000}"/>
    <cellStyle name="Обычный 6 147 8" xfId="41501" xr:uid="{00000000-0005-0000-0000-0000A3560000}"/>
    <cellStyle name="Обычный 6 147 9" xfId="46841" xr:uid="{00000000-0005-0000-0000-0000A4560000}"/>
    <cellStyle name="Обычный 6 148" xfId="4150" xr:uid="{00000000-0005-0000-0000-0000A5560000}"/>
    <cellStyle name="Обычный 6 148 10" xfId="52213" xr:uid="{00000000-0005-0000-0000-0000A6560000}"/>
    <cellStyle name="Обычный 6 148 2" xfId="9493" xr:uid="{00000000-0005-0000-0000-0000A7560000}"/>
    <cellStyle name="Обычный 6 148 2 2" xfId="57554" xr:uid="{00000000-0005-0000-0000-0000A8560000}"/>
    <cellStyle name="Обычный 6 148 3" xfId="14833" xr:uid="{00000000-0005-0000-0000-0000A9560000}"/>
    <cellStyle name="Обычный 6 148 4" xfId="20173" xr:uid="{00000000-0005-0000-0000-0000AA560000}"/>
    <cellStyle name="Обычный 6 148 5" xfId="25513" xr:uid="{00000000-0005-0000-0000-0000AB560000}"/>
    <cellStyle name="Обычный 6 148 6" xfId="30853" xr:uid="{00000000-0005-0000-0000-0000AC560000}"/>
    <cellStyle name="Обычный 6 148 7" xfId="36193" xr:uid="{00000000-0005-0000-0000-0000AD560000}"/>
    <cellStyle name="Обычный 6 148 8" xfId="41533" xr:uid="{00000000-0005-0000-0000-0000AE560000}"/>
    <cellStyle name="Обычный 6 148 9" xfId="46873" xr:uid="{00000000-0005-0000-0000-0000AF560000}"/>
    <cellStyle name="Обычный 6 149" xfId="4182" xr:uid="{00000000-0005-0000-0000-0000B0560000}"/>
    <cellStyle name="Обычный 6 149 10" xfId="52245" xr:uid="{00000000-0005-0000-0000-0000B1560000}"/>
    <cellStyle name="Обычный 6 149 2" xfId="9525" xr:uid="{00000000-0005-0000-0000-0000B2560000}"/>
    <cellStyle name="Обычный 6 149 2 2" xfId="57586" xr:uid="{00000000-0005-0000-0000-0000B3560000}"/>
    <cellStyle name="Обычный 6 149 3" xfId="14865" xr:uid="{00000000-0005-0000-0000-0000B4560000}"/>
    <cellStyle name="Обычный 6 149 4" xfId="20205" xr:uid="{00000000-0005-0000-0000-0000B5560000}"/>
    <cellStyle name="Обычный 6 149 5" xfId="25545" xr:uid="{00000000-0005-0000-0000-0000B6560000}"/>
    <cellStyle name="Обычный 6 149 6" xfId="30885" xr:uid="{00000000-0005-0000-0000-0000B7560000}"/>
    <cellStyle name="Обычный 6 149 7" xfId="36225" xr:uid="{00000000-0005-0000-0000-0000B8560000}"/>
    <cellStyle name="Обычный 6 149 8" xfId="41565" xr:uid="{00000000-0005-0000-0000-0000B9560000}"/>
    <cellStyle name="Обычный 6 149 9" xfId="46905" xr:uid="{00000000-0005-0000-0000-0000BA560000}"/>
    <cellStyle name="Обычный 6 15" xfId="260" xr:uid="{00000000-0005-0000-0000-0000BB560000}"/>
    <cellStyle name="Обычный 6 15 10" xfId="42982" xr:uid="{00000000-0005-0000-0000-0000BC560000}"/>
    <cellStyle name="Обычный 6 15 11" xfId="48322" xr:uid="{00000000-0005-0000-0000-0000BD560000}"/>
    <cellStyle name="Обычный 6 15 2" xfId="727" xr:uid="{00000000-0005-0000-0000-0000BE560000}"/>
    <cellStyle name="Обычный 6 15 2 10" xfId="48789" xr:uid="{00000000-0005-0000-0000-0000BF560000}"/>
    <cellStyle name="Обычный 6 15 2 2" xfId="6068" xr:uid="{00000000-0005-0000-0000-0000C0560000}"/>
    <cellStyle name="Обычный 6 15 2 2 2" xfId="54130" xr:uid="{00000000-0005-0000-0000-0000C1560000}"/>
    <cellStyle name="Обычный 6 15 2 3" xfId="11409" xr:uid="{00000000-0005-0000-0000-0000C2560000}"/>
    <cellStyle name="Обычный 6 15 2 4" xfId="16749" xr:uid="{00000000-0005-0000-0000-0000C3560000}"/>
    <cellStyle name="Обычный 6 15 2 5" xfId="22089" xr:uid="{00000000-0005-0000-0000-0000C4560000}"/>
    <cellStyle name="Обычный 6 15 2 6" xfId="27429" xr:uid="{00000000-0005-0000-0000-0000C5560000}"/>
    <cellStyle name="Обычный 6 15 2 7" xfId="32769" xr:uid="{00000000-0005-0000-0000-0000C6560000}"/>
    <cellStyle name="Обычный 6 15 2 8" xfId="38109" xr:uid="{00000000-0005-0000-0000-0000C7560000}"/>
    <cellStyle name="Обычный 6 15 2 9" xfId="43449" xr:uid="{00000000-0005-0000-0000-0000C8560000}"/>
    <cellStyle name="Обычный 6 15 3" xfId="5601" xr:uid="{00000000-0005-0000-0000-0000C9560000}"/>
    <cellStyle name="Обычный 6 15 3 2" xfId="53663" xr:uid="{00000000-0005-0000-0000-0000CA560000}"/>
    <cellStyle name="Обычный 6 15 4" xfId="10942" xr:uid="{00000000-0005-0000-0000-0000CB560000}"/>
    <cellStyle name="Обычный 6 15 5" xfId="16282" xr:uid="{00000000-0005-0000-0000-0000CC560000}"/>
    <cellStyle name="Обычный 6 15 6" xfId="21622" xr:uid="{00000000-0005-0000-0000-0000CD560000}"/>
    <cellStyle name="Обычный 6 15 7" xfId="26962" xr:uid="{00000000-0005-0000-0000-0000CE560000}"/>
    <cellStyle name="Обычный 6 15 8" xfId="32302" xr:uid="{00000000-0005-0000-0000-0000CF560000}"/>
    <cellStyle name="Обычный 6 15 9" xfId="37642" xr:uid="{00000000-0005-0000-0000-0000D0560000}"/>
    <cellStyle name="Обычный 6 150" xfId="4214" xr:uid="{00000000-0005-0000-0000-0000D1560000}"/>
    <cellStyle name="Обычный 6 150 10" xfId="52277" xr:uid="{00000000-0005-0000-0000-0000D2560000}"/>
    <cellStyle name="Обычный 6 150 2" xfId="9557" xr:uid="{00000000-0005-0000-0000-0000D3560000}"/>
    <cellStyle name="Обычный 6 150 2 2" xfId="57618" xr:uid="{00000000-0005-0000-0000-0000D4560000}"/>
    <cellStyle name="Обычный 6 150 3" xfId="14897" xr:uid="{00000000-0005-0000-0000-0000D5560000}"/>
    <cellStyle name="Обычный 6 150 4" xfId="20237" xr:uid="{00000000-0005-0000-0000-0000D6560000}"/>
    <cellStyle name="Обычный 6 150 5" xfId="25577" xr:uid="{00000000-0005-0000-0000-0000D7560000}"/>
    <cellStyle name="Обычный 6 150 6" xfId="30917" xr:uid="{00000000-0005-0000-0000-0000D8560000}"/>
    <cellStyle name="Обычный 6 150 7" xfId="36257" xr:uid="{00000000-0005-0000-0000-0000D9560000}"/>
    <cellStyle name="Обычный 6 150 8" xfId="41597" xr:uid="{00000000-0005-0000-0000-0000DA560000}"/>
    <cellStyle name="Обычный 6 150 9" xfId="46937" xr:uid="{00000000-0005-0000-0000-0000DB560000}"/>
    <cellStyle name="Обычный 6 151" xfId="4246" xr:uid="{00000000-0005-0000-0000-0000DC560000}"/>
    <cellStyle name="Обычный 6 151 10" xfId="52309" xr:uid="{00000000-0005-0000-0000-0000DD560000}"/>
    <cellStyle name="Обычный 6 151 2" xfId="9589" xr:uid="{00000000-0005-0000-0000-0000DE560000}"/>
    <cellStyle name="Обычный 6 151 2 2" xfId="57650" xr:uid="{00000000-0005-0000-0000-0000DF560000}"/>
    <cellStyle name="Обычный 6 151 3" xfId="14929" xr:uid="{00000000-0005-0000-0000-0000E0560000}"/>
    <cellStyle name="Обычный 6 151 4" xfId="20269" xr:uid="{00000000-0005-0000-0000-0000E1560000}"/>
    <cellStyle name="Обычный 6 151 5" xfId="25609" xr:uid="{00000000-0005-0000-0000-0000E2560000}"/>
    <cellStyle name="Обычный 6 151 6" xfId="30949" xr:uid="{00000000-0005-0000-0000-0000E3560000}"/>
    <cellStyle name="Обычный 6 151 7" xfId="36289" xr:uid="{00000000-0005-0000-0000-0000E4560000}"/>
    <cellStyle name="Обычный 6 151 8" xfId="41629" xr:uid="{00000000-0005-0000-0000-0000E5560000}"/>
    <cellStyle name="Обычный 6 151 9" xfId="46969" xr:uid="{00000000-0005-0000-0000-0000E6560000}"/>
    <cellStyle name="Обычный 6 152" xfId="4278" xr:uid="{00000000-0005-0000-0000-0000E7560000}"/>
    <cellStyle name="Обычный 6 152 10" xfId="52341" xr:uid="{00000000-0005-0000-0000-0000E8560000}"/>
    <cellStyle name="Обычный 6 152 2" xfId="9621" xr:uid="{00000000-0005-0000-0000-0000E9560000}"/>
    <cellStyle name="Обычный 6 152 2 2" xfId="57682" xr:uid="{00000000-0005-0000-0000-0000EA560000}"/>
    <cellStyle name="Обычный 6 152 3" xfId="14961" xr:uid="{00000000-0005-0000-0000-0000EB560000}"/>
    <cellStyle name="Обычный 6 152 4" xfId="20301" xr:uid="{00000000-0005-0000-0000-0000EC560000}"/>
    <cellStyle name="Обычный 6 152 5" xfId="25641" xr:uid="{00000000-0005-0000-0000-0000ED560000}"/>
    <cellStyle name="Обычный 6 152 6" xfId="30981" xr:uid="{00000000-0005-0000-0000-0000EE560000}"/>
    <cellStyle name="Обычный 6 152 7" xfId="36321" xr:uid="{00000000-0005-0000-0000-0000EF560000}"/>
    <cellStyle name="Обычный 6 152 8" xfId="41661" xr:uid="{00000000-0005-0000-0000-0000F0560000}"/>
    <cellStyle name="Обычный 6 152 9" xfId="47001" xr:uid="{00000000-0005-0000-0000-0000F1560000}"/>
    <cellStyle name="Обычный 6 153" xfId="4310" xr:uid="{00000000-0005-0000-0000-0000F2560000}"/>
    <cellStyle name="Обычный 6 153 10" xfId="52373" xr:uid="{00000000-0005-0000-0000-0000F3560000}"/>
    <cellStyle name="Обычный 6 153 2" xfId="9653" xr:uid="{00000000-0005-0000-0000-0000F4560000}"/>
    <cellStyle name="Обычный 6 153 2 2" xfId="57714" xr:uid="{00000000-0005-0000-0000-0000F5560000}"/>
    <cellStyle name="Обычный 6 153 3" xfId="14993" xr:uid="{00000000-0005-0000-0000-0000F6560000}"/>
    <cellStyle name="Обычный 6 153 4" xfId="20333" xr:uid="{00000000-0005-0000-0000-0000F7560000}"/>
    <cellStyle name="Обычный 6 153 5" xfId="25673" xr:uid="{00000000-0005-0000-0000-0000F8560000}"/>
    <cellStyle name="Обычный 6 153 6" xfId="31013" xr:uid="{00000000-0005-0000-0000-0000F9560000}"/>
    <cellStyle name="Обычный 6 153 7" xfId="36353" xr:uid="{00000000-0005-0000-0000-0000FA560000}"/>
    <cellStyle name="Обычный 6 153 8" xfId="41693" xr:uid="{00000000-0005-0000-0000-0000FB560000}"/>
    <cellStyle name="Обычный 6 153 9" xfId="47033" xr:uid="{00000000-0005-0000-0000-0000FC560000}"/>
    <cellStyle name="Обычный 6 154" xfId="4342" xr:uid="{00000000-0005-0000-0000-0000FD560000}"/>
    <cellStyle name="Обычный 6 154 10" xfId="52405" xr:uid="{00000000-0005-0000-0000-0000FE560000}"/>
    <cellStyle name="Обычный 6 154 2" xfId="9685" xr:uid="{00000000-0005-0000-0000-0000FF560000}"/>
    <cellStyle name="Обычный 6 154 2 2" xfId="57746" xr:uid="{00000000-0005-0000-0000-000000570000}"/>
    <cellStyle name="Обычный 6 154 3" xfId="15025" xr:uid="{00000000-0005-0000-0000-000001570000}"/>
    <cellStyle name="Обычный 6 154 4" xfId="20365" xr:uid="{00000000-0005-0000-0000-000002570000}"/>
    <cellStyle name="Обычный 6 154 5" xfId="25705" xr:uid="{00000000-0005-0000-0000-000003570000}"/>
    <cellStyle name="Обычный 6 154 6" xfId="31045" xr:uid="{00000000-0005-0000-0000-000004570000}"/>
    <cellStyle name="Обычный 6 154 7" xfId="36385" xr:uid="{00000000-0005-0000-0000-000005570000}"/>
    <cellStyle name="Обычный 6 154 8" xfId="41725" xr:uid="{00000000-0005-0000-0000-000006570000}"/>
    <cellStyle name="Обычный 6 154 9" xfId="47065" xr:uid="{00000000-0005-0000-0000-000007570000}"/>
    <cellStyle name="Обычный 6 155" xfId="4374" xr:uid="{00000000-0005-0000-0000-000008570000}"/>
    <cellStyle name="Обычный 6 155 10" xfId="52437" xr:uid="{00000000-0005-0000-0000-000009570000}"/>
    <cellStyle name="Обычный 6 155 2" xfId="9717" xr:uid="{00000000-0005-0000-0000-00000A570000}"/>
    <cellStyle name="Обычный 6 155 2 2" xfId="57778" xr:uid="{00000000-0005-0000-0000-00000B570000}"/>
    <cellStyle name="Обычный 6 155 3" xfId="15057" xr:uid="{00000000-0005-0000-0000-00000C570000}"/>
    <cellStyle name="Обычный 6 155 4" xfId="20397" xr:uid="{00000000-0005-0000-0000-00000D570000}"/>
    <cellStyle name="Обычный 6 155 5" xfId="25737" xr:uid="{00000000-0005-0000-0000-00000E570000}"/>
    <cellStyle name="Обычный 6 155 6" xfId="31077" xr:uid="{00000000-0005-0000-0000-00000F570000}"/>
    <cellStyle name="Обычный 6 155 7" xfId="36417" xr:uid="{00000000-0005-0000-0000-000010570000}"/>
    <cellStyle name="Обычный 6 155 8" xfId="41757" xr:uid="{00000000-0005-0000-0000-000011570000}"/>
    <cellStyle name="Обычный 6 155 9" xfId="47097" xr:uid="{00000000-0005-0000-0000-000012570000}"/>
    <cellStyle name="Обычный 6 156" xfId="4406" xr:uid="{00000000-0005-0000-0000-000013570000}"/>
    <cellStyle name="Обычный 6 156 10" xfId="52469" xr:uid="{00000000-0005-0000-0000-000014570000}"/>
    <cellStyle name="Обычный 6 156 2" xfId="9749" xr:uid="{00000000-0005-0000-0000-000015570000}"/>
    <cellStyle name="Обычный 6 156 2 2" xfId="57810" xr:uid="{00000000-0005-0000-0000-000016570000}"/>
    <cellStyle name="Обычный 6 156 3" xfId="15089" xr:uid="{00000000-0005-0000-0000-000017570000}"/>
    <cellStyle name="Обычный 6 156 4" xfId="20429" xr:uid="{00000000-0005-0000-0000-000018570000}"/>
    <cellStyle name="Обычный 6 156 5" xfId="25769" xr:uid="{00000000-0005-0000-0000-000019570000}"/>
    <cellStyle name="Обычный 6 156 6" xfId="31109" xr:uid="{00000000-0005-0000-0000-00001A570000}"/>
    <cellStyle name="Обычный 6 156 7" xfId="36449" xr:uid="{00000000-0005-0000-0000-00001B570000}"/>
    <cellStyle name="Обычный 6 156 8" xfId="41789" xr:uid="{00000000-0005-0000-0000-00001C570000}"/>
    <cellStyle name="Обычный 6 156 9" xfId="47129" xr:uid="{00000000-0005-0000-0000-00001D570000}"/>
    <cellStyle name="Обычный 6 157" xfId="4438" xr:uid="{00000000-0005-0000-0000-00001E570000}"/>
    <cellStyle name="Обычный 6 157 10" xfId="52501" xr:uid="{00000000-0005-0000-0000-00001F570000}"/>
    <cellStyle name="Обычный 6 157 2" xfId="9781" xr:uid="{00000000-0005-0000-0000-000020570000}"/>
    <cellStyle name="Обычный 6 157 2 2" xfId="57842" xr:uid="{00000000-0005-0000-0000-000021570000}"/>
    <cellStyle name="Обычный 6 157 3" xfId="15121" xr:uid="{00000000-0005-0000-0000-000022570000}"/>
    <cellStyle name="Обычный 6 157 4" xfId="20461" xr:uid="{00000000-0005-0000-0000-000023570000}"/>
    <cellStyle name="Обычный 6 157 5" xfId="25801" xr:uid="{00000000-0005-0000-0000-000024570000}"/>
    <cellStyle name="Обычный 6 157 6" xfId="31141" xr:uid="{00000000-0005-0000-0000-000025570000}"/>
    <cellStyle name="Обычный 6 157 7" xfId="36481" xr:uid="{00000000-0005-0000-0000-000026570000}"/>
    <cellStyle name="Обычный 6 157 8" xfId="41821" xr:uid="{00000000-0005-0000-0000-000027570000}"/>
    <cellStyle name="Обычный 6 157 9" xfId="47161" xr:uid="{00000000-0005-0000-0000-000028570000}"/>
    <cellStyle name="Обычный 6 158" xfId="4470" xr:uid="{00000000-0005-0000-0000-000029570000}"/>
    <cellStyle name="Обычный 6 158 10" xfId="52533" xr:uid="{00000000-0005-0000-0000-00002A570000}"/>
    <cellStyle name="Обычный 6 158 2" xfId="9813" xr:uid="{00000000-0005-0000-0000-00002B570000}"/>
    <cellStyle name="Обычный 6 158 2 2" xfId="57874" xr:uid="{00000000-0005-0000-0000-00002C570000}"/>
    <cellStyle name="Обычный 6 158 3" xfId="15153" xr:uid="{00000000-0005-0000-0000-00002D570000}"/>
    <cellStyle name="Обычный 6 158 4" xfId="20493" xr:uid="{00000000-0005-0000-0000-00002E570000}"/>
    <cellStyle name="Обычный 6 158 5" xfId="25833" xr:uid="{00000000-0005-0000-0000-00002F570000}"/>
    <cellStyle name="Обычный 6 158 6" xfId="31173" xr:uid="{00000000-0005-0000-0000-000030570000}"/>
    <cellStyle name="Обычный 6 158 7" xfId="36513" xr:uid="{00000000-0005-0000-0000-000031570000}"/>
    <cellStyle name="Обычный 6 158 8" xfId="41853" xr:uid="{00000000-0005-0000-0000-000032570000}"/>
    <cellStyle name="Обычный 6 158 9" xfId="47193" xr:uid="{00000000-0005-0000-0000-000033570000}"/>
    <cellStyle name="Обычный 6 159" xfId="4502" xr:uid="{00000000-0005-0000-0000-000034570000}"/>
    <cellStyle name="Обычный 6 159 10" xfId="52565" xr:uid="{00000000-0005-0000-0000-000035570000}"/>
    <cellStyle name="Обычный 6 159 2" xfId="9845" xr:uid="{00000000-0005-0000-0000-000036570000}"/>
    <cellStyle name="Обычный 6 159 2 2" xfId="57906" xr:uid="{00000000-0005-0000-0000-000037570000}"/>
    <cellStyle name="Обычный 6 159 3" xfId="15185" xr:uid="{00000000-0005-0000-0000-000038570000}"/>
    <cellStyle name="Обычный 6 159 4" xfId="20525" xr:uid="{00000000-0005-0000-0000-000039570000}"/>
    <cellStyle name="Обычный 6 159 5" xfId="25865" xr:uid="{00000000-0005-0000-0000-00003A570000}"/>
    <cellStyle name="Обычный 6 159 6" xfId="31205" xr:uid="{00000000-0005-0000-0000-00003B570000}"/>
    <cellStyle name="Обычный 6 159 7" xfId="36545" xr:uid="{00000000-0005-0000-0000-00003C570000}"/>
    <cellStyle name="Обычный 6 159 8" xfId="41885" xr:uid="{00000000-0005-0000-0000-00003D570000}"/>
    <cellStyle name="Обычный 6 159 9" xfId="47225" xr:uid="{00000000-0005-0000-0000-00003E570000}"/>
    <cellStyle name="Обычный 6 16" xfId="270" xr:uid="{00000000-0005-0000-0000-00003F570000}"/>
    <cellStyle name="Обычный 6 16 10" xfId="42992" xr:uid="{00000000-0005-0000-0000-000040570000}"/>
    <cellStyle name="Обычный 6 16 11" xfId="48332" xr:uid="{00000000-0005-0000-0000-000041570000}"/>
    <cellStyle name="Обычный 6 16 2" xfId="737" xr:uid="{00000000-0005-0000-0000-000042570000}"/>
    <cellStyle name="Обычный 6 16 2 10" xfId="48799" xr:uid="{00000000-0005-0000-0000-000043570000}"/>
    <cellStyle name="Обычный 6 16 2 2" xfId="6078" xr:uid="{00000000-0005-0000-0000-000044570000}"/>
    <cellStyle name="Обычный 6 16 2 2 2" xfId="54140" xr:uid="{00000000-0005-0000-0000-000045570000}"/>
    <cellStyle name="Обычный 6 16 2 3" xfId="11419" xr:uid="{00000000-0005-0000-0000-000046570000}"/>
    <cellStyle name="Обычный 6 16 2 4" xfId="16759" xr:uid="{00000000-0005-0000-0000-000047570000}"/>
    <cellStyle name="Обычный 6 16 2 5" xfId="22099" xr:uid="{00000000-0005-0000-0000-000048570000}"/>
    <cellStyle name="Обычный 6 16 2 6" xfId="27439" xr:uid="{00000000-0005-0000-0000-000049570000}"/>
    <cellStyle name="Обычный 6 16 2 7" xfId="32779" xr:uid="{00000000-0005-0000-0000-00004A570000}"/>
    <cellStyle name="Обычный 6 16 2 8" xfId="38119" xr:uid="{00000000-0005-0000-0000-00004B570000}"/>
    <cellStyle name="Обычный 6 16 2 9" xfId="43459" xr:uid="{00000000-0005-0000-0000-00004C570000}"/>
    <cellStyle name="Обычный 6 16 3" xfId="5611" xr:uid="{00000000-0005-0000-0000-00004D570000}"/>
    <cellStyle name="Обычный 6 16 3 2" xfId="53673" xr:uid="{00000000-0005-0000-0000-00004E570000}"/>
    <cellStyle name="Обычный 6 16 4" xfId="10952" xr:uid="{00000000-0005-0000-0000-00004F570000}"/>
    <cellStyle name="Обычный 6 16 5" xfId="16292" xr:uid="{00000000-0005-0000-0000-000050570000}"/>
    <cellStyle name="Обычный 6 16 6" xfId="21632" xr:uid="{00000000-0005-0000-0000-000051570000}"/>
    <cellStyle name="Обычный 6 16 7" xfId="26972" xr:uid="{00000000-0005-0000-0000-000052570000}"/>
    <cellStyle name="Обычный 6 16 8" xfId="32312" xr:uid="{00000000-0005-0000-0000-000053570000}"/>
    <cellStyle name="Обычный 6 16 9" xfId="37652" xr:uid="{00000000-0005-0000-0000-000054570000}"/>
    <cellStyle name="Обычный 6 160" xfId="4534" xr:uid="{00000000-0005-0000-0000-000055570000}"/>
    <cellStyle name="Обычный 6 160 10" xfId="52597" xr:uid="{00000000-0005-0000-0000-000056570000}"/>
    <cellStyle name="Обычный 6 160 2" xfId="9877" xr:uid="{00000000-0005-0000-0000-000057570000}"/>
    <cellStyle name="Обычный 6 160 2 2" xfId="57938" xr:uid="{00000000-0005-0000-0000-000058570000}"/>
    <cellStyle name="Обычный 6 160 3" xfId="15217" xr:uid="{00000000-0005-0000-0000-000059570000}"/>
    <cellStyle name="Обычный 6 160 4" xfId="20557" xr:uid="{00000000-0005-0000-0000-00005A570000}"/>
    <cellStyle name="Обычный 6 160 5" xfId="25897" xr:uid="{00000000-0005-0000-0000-00005B570000}"/>
    <cellStyle name="Обычный 6 160 6" xfId="31237" xr:uid="{00000000-0005-0000-0000-00005C570000}"/>
    <cellStyle name="Обычный 6 160 7" xfId="36577" xr:uid="{00000000-0005-0000-0000-00005D570000}"/>
    <cellStyle name="Обычный 6 160 8" xfId="41917" xr:uid="{00000000-0005-0000-0000-00005E570000}"/>
    <cellStyle name="Обычный 6 160 9" xfId="47257" xr:uid="{00000000-0005-0000-0000-00005F570000}"/>
    <cellStyle name="Обычный 6 161" xfId="4566" xr:uid="{00000000-0005-0000-0000-000060570000}"/>
    <cellStyle name="Обычный 6 161 10" xfId="52629" xr:uid="{00000000-0005-0000-0000-000061570000}"/>
    <cellStyle name="Обычный 6 161 2" xfId="9909" xr:uid="{00000000-0005-0000-0000-000062570000}"/>
    <cellStyle name="Обычный 6 161 2 2" xfId="57970" xr:uid="{00000000-0005-0000-0000-000063570000}"/>
    <cellStyle name="Обычный 6 161 3" xfId="15249" xr:uid="{00000000-0005-0000-0000-000064570000}"/>
    <cellStyle name="Обычный 6 161 4" xfId="20589" xr:uid="{00000000-0005-0000-0000-000065570000}"/>
    <cellStyle name="Обычный 6 161 5" xfId="25929" xr:uid="{00000000-0005-0000-0000-000066570000}"/>
    <cellStyle name="Обычный 6 161 6" xfId="31269" xr:uid="{00000000-0005-0000-0000-000067570000}"/>
    <cellStyle name="Обычный 6 161 7" xfId="36609" xr:uid="{00000000-0005-0000-0000-000068570000}"/>
    <cellStyle name="Обычный 6 161 8" xfId="41949" xr:uid="{00000000-0005-0000-0000-000069570000}"/>
    <cellStyle name="Обычный 6 161 9" xfId="47289" xr:uid="{00000000-0005-0000-0000-00006A570000}"/>
    <cellStyle name="Обычный 6 162" xfId="4598" xr:uid="{00000000-0005-0000-0000-00006B570000}"/>
    <cellStyle name="Обычный 6 162 10" xfId="52661" xr:uid="{00000000-0005-0000-0000-00006C570000}"/>
    <cellStyle name="Обычный 6 162 2" xfId="9941" xr:uid="{00000000-0005-0000-0000-00006D570000}"/>
    <cellStyle name="Обычный 6 162 2 2" xfId="58002" xr:uid="{00000000-0005-0000-0000-00006E570000}"/>
    <cellStyle name="Обычный 6 162 3" xfId="15281" xr:uid="{00000000-0005-0000-0000-00006F570000}"/>
    <cellStyle name="Обычный 6 162 4" xfId="20621" xr:uid="{00000000-0005-0000-0000-000070570000}"/>
    <cellStyle name="Обычный 6 162 5" xfId="25961" xr:uid="{00000000-0005-0000-0000-000071570000}"/>
    <cellStyle name="Обычный 6 162 6" xfId="31301" xr:uid="{00000000-0005-0000-0000-000072570000}"/>
    <cellStyle name="Обычный 6 162 7" xfId="36641" xr:uid="{00000000-0005-0000-0000-000073570000}"/>
    <cellStyle name="Обычный 6 162 8" xfId="41981" xr:uid="{00000000-0005-0000-0000-000074570000}"/>
    <cellStyle name="Обычный 6 162 9" xfId="47321" xr:uid="{00000000-0005-0000-0000-000075570000}"/>
    <cellStyle name="Обычный 6 163" xfId="4630" xr:uid="{00000000-0005-0000-0000-000076570000}"/>
    <cellStyle name="Обычный 6 163 10" xfId="52693" xr:uid="{00000000-0005-0000-0000-000077570000}"/>
    <cellStyle name="Обычный 6 163 2" xfId="9973" xr:uid="{00000000-0005-0000-0000-000078570000}"/>
    <cellStyle name="Обычный 6 163 2 2" xfId="58034" xr:uid="{00000000-0005-0000-0000-000079570000}"/>
    <cellStyle name="Обычный 6 163 3" xfId="15313" xr:uid="{00000000-0005-0000-0000-00007A570000}"/>
    <cellStyle name="Обычный 6 163 4" xfId="20653" xr:uid="{00000000-0005-0000-0000-00007B570000}"/>
    <cellStyle name="Обычный 6 163 5" xfId="25993" xr:uid="{00000000-0005-0000-0000-00007C570000}"/>
    <cellStyle name="Обычный 6 163 6" xfId="31333" xr:uid="{00000000-0005-0000-0000-00007D570000}"/>
    <cellStyle name="Обычный 6 163 7" xfId="36673" xr:uid="{00000000-0005-0000-0000-00007E570000}"/>
    <cellStyle name="Обычный 6 163 8" xfId="42013" xr:uid="{00000000-0005-0000-0000-00007F570000}"/>
    <cellStyle name="Обычный 6 163 9" xfId="47353" xr:uid="{00000000-0005-0000-0000-000080570000}"/>
    <cellStyle name="Обычный 6 164" xfId="4662" xr:uid="{00000000-0005-0000-0000-000081570000}"/>
    <cellStyle name="Обычный 6 164 10" xfId="52725" xr:uid="{00000000-0005-0000-0000-000082570000}"/>
    <cellStyle name="Обычный 6 164 2" xfId="10005" xr:uid="{00000000-0005-0000-0000-000083570000}"/>
    <cellStyle name="Обычный 6 164 2 2" xfId="58066" xr:uid="{00000000-0005-0000-0000-000084570000}"/>
    <cellStyle name="Обычный 6 164 3" xfId="15345" xr:uid="{00000000-0005-0000-0000-000085570000}"/>
    <cellStyle name="Обычный 6 164 4" xfId="20685" xr:uid="{00000000-0005-0000-0000-000086570000}"/>
    <cellStyle name="Обычный 6 164 5" xfId="26025" xr:uid="{00000000-0005-0000-0000-000087570000}"/>
    <cellStyle name="Обычный 6 164 6" xfId="31365" xr:uid="{00000000-0005-0000-0000-000088570000}"/>
    <cellStyle name="Обычный 6 164 7" xfId="36705" xr:uid="{00000000-0005-0000-0000-000089570000}"/>
    <cellStyle name="Обычный 6 164 8" xfId="42045" xr:uid="{00000000-0005-0000-0000-00008A570000}"/>
    <cellStyle name="Обычный 6 164 9" xfId="47385" xr:uid="{00000000-0005-0000-0000-00008B570000}"/>
    <cellStyle name="Обычный 6 165" xfId="4694" xr:uid="{00000000-0005-0000-0000-00008C570000}"/>
    <cellStyle name="Обычный 6 165 10" xfId="52757" xr:uid="{00000000-0005-0000-0000-00008D570000}"/>
    <cellStyle name="Обычный 6 165 2" xfId="10037" xr:uid="{00000000-0005-0000-0000-00008E570000}"/>
    <cellStyle name="Обычный 6 165 2 2" xfId="58098" xr:uid="{00000000-0005-0000-0000-00008F570000}"/>
    <cellStyle name="Обычный 6 165 3" xfId="15377" xr:uid="{00000000-0005-0000-0000-000090570000}"/>
    <cellStyle name="Обычный 6 165 4" xfId="20717" xr:uid="{00000000-0005-0000-0000-000091570000}"/>
    <cellStyle name="Обычный 6 165 5" xfId="26057" xr:uid="{00000000-0005-0000-0000-000092570000}"/>
    <cellStyle name="Обычный 6 165 6" xfId="31397" xr:uid="{00000000-0005-0000-0000-000093570000}"/>
    <cellStyle name="Обычный 6 165 7" xfId="36737" xr:uid="{00000000-0005-0000-0000-000094570000}"/>
    <cellStyle name="Обычный 6 165 8" xfId="42077" xr:uid="{00000000-0005-0000-0000-000095570000}"/>
    <cellStyle name="Обычный 6 165 9" xfId="47417" xr:uid="{00000000-0005-0000-0000-000096570000}"/>
    <cellStyle name="Обычный 6 166" xfId="4728" xr:uid="{00000000-0005-0000-0000-000097570000}"/>
    <cellStyle name="Обычный 6 166 10" xfId="52791" xr:uid="{00000000-0005-0000-0000-000098570000}"/>
    <cellStyle name="Обычный 6 166 2" xfId="10071" xr:uid="{00000000-0005-0000-0000-000099570000}"/>
    <cellStyle name="Обычный 6 166 2 2" xfId="58132" xr:uid="{00000000-0005-0000-0000-00009A570000}"/>
    <cellStyle name="Обычный 6 166 3" xfId="15411" xr:uid="{00000000-0005-0000-0000-00009B570000}"/>
    <cellStyle name="Обычный 6 166 4" xfId="20751" xr:uid="{00000000-0005-0000-0000-00009C570000}"/>
    <cellStyle name="Обычный 6 166 5" xfId="26091" xr:uid="{00000000-0005-0000-0000-00009D570000}"/>
    <cellStyle name="Обычный 6 166 6" xfId="31431" xr:uid="{00000000-0005-0000-0000-00009E570000}"/>
    <cellStyle name="Обычный 6 166 7" xfId="36771" xr:uid="{00000000-0005-0000-0000-00009F570000}"/>
    <cellStyle name="Обычный 6 166 8" xfId="42111" xr:uid="{00000000-0005-0000-0000-0000A0570000}"/>
    <cellStyle name="Обычный 6 166 9" xfId="47451" xr:uid="{00000000-0005-0000-0000-0000A1570000}"/>
    <cellStyle name="Обычный 6 167" xfId="4760" xr:uid="{00000000-0005-0000-0000-0000A2570000}"/>
    <cellStyle name="Обычный 6 167 10" xfId="52823" xr:uid="{00000000-0005-0000-0000-0000A3570000}"/>
    <cellStyle name="Обычный 6 167 2" xfId="10103" xr:uid="{00000000-0005-0000-0000-0000A4570000}"/>
    <cellStyle name="Обычный 6 167 2 2" xfId="58164" xr:uid="{00000000-0005-0000-0000-0000A5570000}"/>
    <cellStyle name="Обычный 6 167 3" xfId="15443" xr:uid="{00000000-0005-0000-0000-0000A6570000}"/>
    <cellStyle name="Обычный 6 167 4" xfId="20783" xr:uid="{00000000-0005-0000-0000-0000A7570000}"/>
    <cellStyle name="Обычный 6 167 5" xfId="26123" xr:uid="{00000000-0005-0000-0000-0000A8570000}"/>
    <cellStyle name="Обычный 6 167 6" xfId="31463" xr:uid="{00000000-0005-0000-0000-0000A9570000}"/>
    <cellStyle name="Обычный 6 167 7" xfId="36803" xr:uid="{00000000-0005-0000-0000-0000AA570000}"/>
    <cellStyle name="Обычный 6 167 8" xfId="42143" xr:uid="{00000000-0005-0000-0000-0000AB570000}"/>
    <cellStyle name="Обычный 6 167 9" xfId="47483" xr:uid="{00000000-0005-0000-0000-0000AC570000}"/>
    <cellStyle name="Обычный 6 168" xfId="4792" xr:uid="{00000000-0005-0000-0000-0000AD570000}"/>
    <cellStyle name="Обычный 6 168 10" xfId="52855" xr:uid="{00000000-0005-0000-0000-0000AE570000}"/>
    <cellStyle name="Обычный 6 168 2" xfId="10135" xr:uid="{00000000-0005-0000-0000-0000AF570000}"/>
    <cellStyle name="Обычный 6 168 2 2" xfId="58196" xr:uid="{00000000-0005-0000-0000-0000B0570000}"/>
    <cellStyle name="Обычный 6 168 3" xfId="15475" xr:uid="{00000000-0005-0000-0000-0000B1570000}"/>
    <cellStyle name="Обычный 6 168 4" xfId="20815" xr:uid="{00000000-0005-0000-0000-0000B2570000}"/>
    <cellStyle name="Обычный 6 168 5" xfId="26155" xr:uid="{00000000-0005-0000-0000-0000B3570000}"/>
    <cellStyle name="Обычный 6 168 6" xfId="31495" xr:uid="{00000000-0005-0000-0000-0000B4570000}"/>
    <cellStyle name="Обычный 6 168 7" xfId="36835" xr:uid="{00000000-0005-0000-0000-0000B5570000}"/>
    <cellStyle name="Обычный 6 168 8" xfId="42175" xr:uid="{00000000-0005-0000-0000-0000B6570000}"/>
    <cellStyle name="Обычный 6 168 9" xfId="47515" xr:uid="{00000000-0005-0000-0000-0000B7570000}"/>
    <cellStyle name="Обычный 6 169" xfId="4824" xr:uid="{00000000-0005-0000-0000-0000B8570000}"/>
    <cellStyle name="Обычный 6 169 10" xfId="52887" xr:uid="{00000000-0005-0000-0000-0000B9570000}"/>
    <cellStyle name="Обычный 6 169 2" xfId="10167" xr:uid="{00000000-0005-0000-0000-0000BA570000}"/>
    <cellStyle name="Обычный 6 169 2 2" xfId="58228" xr:uid="{00000000-0005-0000-0000-0000BB570000}"/>
    <cellStyle name="Обычный 6 169 3" xfId="15507" xr:uid="{00000000-0005-0000-0000-0000BC570000}"/>
    <cellStyle name="Обычный 6 169 4" xfId="20847" xr:uid="{00000000-0005-0000-0000-0000BD570000}"/>
    <cellStyle name="Обычный 6 169 5" xfId="26187" xr:uid="{00000000-0005-0000-0000-0000BE570000}"/>
    <cellStyle name="Обычный 6 169 6" xfId="31527" xr:uid="{00000000-0005-0000-0000-0000BF570000}"/>
    <cellStyle name="Обычный 6 169 7" xfId="36867" xr:uid="{00000000-0005-0000-0000-0000C0570000}"/>
    <cellStyle name="Обычный 6 169 8" xfId="42207" xr:uid="{00000000-0005-0000-0000-0000C1570000}"/>
    <cellStyle name="Обычный 6 169 9" xfId="47547" xr:uid="{00000000-0005-0000-0000-0000C2570000}"/>
    <cellStyle name="Обычный 6 17" xfId="280" xr:uid="{00000000-0005-0000-0000-0000C3570000}"/>
    <cellStyle name="Обычный 6 17 10" xfId="43002" xr:uid="{00000000-0005-0000-0000-0000C4570000}"/>
    <cellStyle name="Обычный 6 17 11" xfId="48342" xr:uid="{00000000-0005-0000-0000-0000C5570000}"/>
    <cellStyle name="Обычный 6 17 2" xfId="747" xr:uid="{00000000-0005-0000-0000-0000C6570000}"/>
    <cellStyle name="Обычный 6 17 2 10" xfId="48809" xr:uid="{00000000-0005-0000-0000-0000C7570000}"/>
    <cellStyle name="Обычный 6 17 2 2" xfId="6088" xr:uid="{00000000-0005-0000-0000-0000C8570000}"/>
    <cellStyle name="Обычный 6 17 2 2 2" xfId="54150" xr:uid="{00000000-0005-0000-0000-0000C9570000}"/>
    <cellStyle name="Обычный 6 17 2 3" xfId="11429" xr:uid="{00000000-0005-0000-0000-0000CA570000}"/>
    <cellStyle name="Обычный 6 17 2 4" xfId="16769" xr:uid="{00000000-0005-0000-0000-0000CB570000}"/>
    <cellStyle name="Обычный 6 17 2 5" xfId="22109" xr:uid="{00000000-0005-0000-0000-0000CC570000}"/>
    <cellStyle name="Обычный 6 17 2 6" xfId="27449" xr:uid="{00000000-0005-0000-0000-0000CD570000}"/>
    <cellStyle name="Обычный 6 17 2 7" xfId="32789" xr:uid="{00000000-0005-0000-0000-0000CE570000}"/>
    <cellStyle name="Обычный 6 17 2 8" xfId="38129" xr:uid="{00000000-0005-0000-0000-0000CF570000}"/>
    <cellStyle name="Обычный 6 17 2 9" xfId="43469" xr:uid="{00000000-0005-0000-0000-0000D0570000}"/>
    <cellStyle name="Обычный 6 17 3" xfId="5621" xr:uid="{00000000-0005-0000-0000-0000D1570000}"/>
    <cellStyle name="Обычный 6 17 3 2" xfId="53683" xr:uid="{00000000-0005-0000-0000-0000D2570000}"/>
    <cellStyle name="Обычный 6 17 4" xfId="10962" xr:uid="{00000000-0005-0000-0000-0000D3570000}"/>
    <cellStyle name="Обычный 6 17 5" xfId="16302" xr:uid="{00000000-0005-0000-0000-0000D4570000}"/>
    <cellStyle name="Обычный 6 17 6" xfId="21642" xr:uid="{00000000-0005-0000-0000-0000D5570000}"/>
    <cellStyle name="Обычный 6 17 7" xfId="26982" xr:uid="{00000000-0005-0000-0000-0000D6570000}"/>
    <cellStyle name="Обычный 6 17 8" xfId="32322" xr:uid="{00000000-0005-0000-0000-0000D7570000}"/>
    <cellStyle name="Обычный 6 17 9" xfId="37662" xr:uid="{00000000-0005-0000-0000-0000D8570000}"/>
    <cellStyle name="Обычный 6 170" xfId="4856" xr:uid="{00000000-0005-0000-0000-0000D9570000}"/>
    <cellStyle name="Обычный 6 170 10" xfId="52919" xr:uid="{00000000-0005-0000-0000-0000DA570000}"/>
    <cellStyle name="Обычный 6 170 2" xfId="10199" xr:uid="{00000000-0005-0000-0000-0000DB570000}"/>
    <cellStyle name="Обычный 6 170 2 2" xfId="58260" xr:uid="{00000000-0005-0000-0000-0000DC570000}"/>
    <cellStyle name="Обычный 6 170 3" xfId="15539" xr:uid="{00000000-0005-0000-0000-0000DD570000}"/>
    <cellStyle name="Обычный 6 170 4" xfId="20879" xr:uid="{00000000-0005-0000-0000-0000DE570000}"/>
    <cellStyle name="Обычный 6 170 5" xfId="26219" xr:uid="{00000000-0005-0000-0000-0000DF570000}"/>
    <cellStyle name="Обычный 6 170 6" xfId="31559" xr:uid="{00000000-0005-0000-0000-0000E0570000}"/>
    <cellStyle name="Обычный 6 170 7" xfId="36899" xr:uid="{00000000-0005-0000-0000-0000E1570000}"/>
    <cellStyle name="Обычный 6 170 8" xfId="42239" xr:uid="{00000000-0005-0000-0000-0000E2570000}"/>
    <cellStyle name="Обычный 6 170 9" xfId="47579" xr:uid="{00000000-0005-0000-0000-0000E3570000}"/>
    <cellStyle name="Обычный 6 171" xfId="4888" xr:uid="{00000000-0005-0000-0000-0000E4570000}"/>
    <cellStyle name="Обычный 6 171 10" xfId="52951" xr:uid="{00000000-0005-0000-0000-0000E5570000}"/>
    <cellStyle name="Обычный 6 171 2" xfId="10231" xr:uid="{00000000-0005-0000-0000-0000E6570000}"/>
    <cellStyle name="Обычный 6 171 2 2" xfId="58292" xr:uid="{00000000-0005-0000-0000-0000E7570000}"/>
    <cellStyle name="Обычный 6 171 3" xfId="15571" xr:uid="{00000000-0005-0000-0000-0000E8570000}"/>
    <cellStyle name="Обычный 6 171 4" xfId="20911" xr:uid="{00000000-0005-0000-0000-0000E9570000}"/>
    <cellStyle name="Обычный 6 171 5" xfId="26251" xr:uid="{00000000-0005-0000-0000-0000EA570000}"/>
    <cellStyle name="Обычный 6 171 6" xfId="31591" xr:uid="{00000000-0005-0000-0000-0000EB570000}"/>
    <cellStyle name="Обычный 6 171 7" xfId="36931" xr:uid="{00000000-0005-0000-0000-0000EC570000}"/>
    <cellStyle name="Обычный 6 171 8" xfId="42271" xr:uid="{00000000-0005-0000-0000-0000ED570000}"/>
    <cellStyle name="Обычный 6 171 9" xfId="47611" xr:uid="{00000000-0005-0000-0000-0000EE570000}"/>
    <cellStyle name="Обычный 6 172" xfId="4920" xr:uid="{00000000-0005-0000-0000-0000EF570000}"/>
    <cellStyle name="Обычный 6 172 10" xfId="52983" xr:uid="{00000000-0005-0000-0000-0000F0570000}"/>
    <cellStyle name="Обычный 6 172 2" xfId="10263" xr:uid="{00000000-0005-0000-0000-0000F1570000}"/>
    <cellStyle name="Обычный 6 172 2 2" xfId="58324" xr:uid="{00000000-0005-0000-0000-0000F2570000}"/>
    <cellStyle name="Обычный 6 172 3" xfId="15603" xr:uid="{00000000-0005-0000-0000-0000F3570000}"/>
    <cellStyle name="Обычный 6 172 4" xfId="20943" xr:uid="{00000000-0005-0000-0000-0000F4570000}"/>
    <cellStyle name="Обычный 6 172 5" xfId="26283" xr:uid="{00000000-0005-0000-0000-0000F5570000}"/>
    <cellStyle name="Обычный 6 172 6" xfId="31623" xr:uid="{00000000-0005-0000-0000-0000F6570000}"/>
    <cellStyle name="Обычный 6 172 7" xfId="36963" xr:uid="{00000000-0005-0000-0000-0000F7570000}"/>
    <cellStyle name="Обычный 6 172 8" xfId="42303" xr:uid="{00000000-0005-0000-0000-0000F8570000}"/>
    <cellStyle name="Обычный 6 172 9" xfId="47643" xr:uid="{00000000-0005-0000-0000-0000F9570000}"/>
    <cellStyle name="Обычный 6 173" xfId="4952" xr:uid="{00000000-0005-0000-0000-0000FA570000}"/>
    <cellStyle name="Обычный 6 173 10" xfId="53015" xr:uid="{00000000-0005-0000-0000-0000FB570000}"/>
    <cellStyle name="Обычный 6 173 2" xfId="10295" xr:uid="{00000000-0005-0000-0000-0000FC570000}"/>
    <cellStyle name="Обычный 6 173 2 2" xfId="58356" xr:uid="{00000000-0005-0000-0000-0000FD570000}"/>
    <cellStyle name="Обычный 6 173 3" xfId="15635" xr:uid="{00000000-0005-0000-0000-0000FE570000}"/>
    <cellStyle name="Обычный 6 173 4" xfId="20975" xr:uid="{00000000-0005-0000-0000-0000FF570000}"/>
    <cellStyle name="Обычный 6 173 5" xfId="26315" xr:uid="{00000000-0005-0000-0000-000000580000}"/>
    <cellStyle name="Обычный 6 173 6" xfId="31655" xr:uid="{00000000-0005-0000-0000-000001580000}"/>
    <cellStyle name="Обычный 6 173 7" xfId="36995" xr:uid="{00000000-0005-0000-0000-000002580000}"/>
    <cellStyle name="Обычный 6 173 8" xfId="42335" xr:uid="{00000000-0005-0000-0000-000003580000}"/>
    <cellStyle name="Обычный 6 173 9" xfId="47675" xr:uid="{00000000-0005-0000-0000-000004580000}"/>
    <cellStyle name="Обычный 6 174" xfId="4984" xr:uid="{00000000-0005-0000-0000-000005580000}"/>
    <cellStyle name="Обычный 6 174 10" xfId="53047" xr:uid="{00000000-0005-0000-0000-000006580000}"/>
    <cellStyle name="Обычный 6 174 2" xfId="10327" xr:uid="{00000000-0005-0000-0000-000007580000}"/>
    <cellStyle name="Обычный 6 174 2 2" xfId="58388" xr:uid="{00000000-0005-0000-0000-000008580000}"/>
    <cellStyle name="Обычный 6 174 3" xfId="15667" xr:uid="{00000000-0005-0000-0000-000009580000}"/>
    <cellStyle name="Обычный 6 174 4" xfId="21007" xr:uid="{00000000-0005-0000-0000-00000A580000}"/>
    <cellStyle name="Обычный 6 174 5" xfId="26347" xr:uid="{00000000-0005-0000-0000-00000B580000}"/>
    <cellStyle name="Обычный 6 174 6" xfId="31687" xr:uid="{00000000-0005-0000-0000-00000C580000}"/>
    <cellStyle name="Обычный 6 174 7" xfId="37027" xr:uid="{00000000-0005-0000-0000-00000D580000}"/>
    <cellStyle name="Обычный 6 174 8" xfId="42367" xr:uid="{00000000-0005-0000-0000-00000E580000}"/>
    <cellStyle name="Обычный 6 174 9" xfId="47707" xr:uid="{00000000-0005-0000-0000-00000F580000}"/>
    <cellStyle name="Обычный 6 175" xfId="5016" xr:uid="{00000000-0005-0000-0000-000010580000}"/>
    <cellStyle name="Обычный 6 175 10" xfId="53079" xr:uid="{00000000-0005-0000-0000-000011580000}"/>
    <cellStyle name="Обычный 6 175 2" xfId="10359" xr:uid="{00000000-0005-0000-0000-000012580000}"/>
    <cellStyle name="Обычный 6 175 2 2" xfId="58420" xr:uid="{00000000-0005-0000-0000-000013580000}"/>
    <cellStyle name="Обычный 6 175 3" xfId="15699" xr:uid="{00000000-0005-0000-0000-000014580000}"/>
    <cellStyle name="Обычный 6 175 4" xfId="21039" xr:uid="{00000000-0005-0000-0000-000015580000}"/>
    <cellStyle name="Обычный 6 175 5" xfId="26379" xr:uid="{00000000-0005-0000-0000-000016580000}"/>
    <cellStyle name="Обычный 6 175 6" xfId="31719" xr:uid="{00000000-0005-0000-0000-000017580000}"/>
    <cellStyle name="Обычный 6 175 7" xfId="37059" xr:uid="{00000000-0005-0000-0000-000018580000}"/>
    <cellStyle name="Обычный 6 175 8" xfId="42399" xr:uid="{00000000-0005-0000-0000-000019580000}"/>
    <cellStyle name="Обычный 6 175 9" xfId="47739" xr:uid="{00000000-0005-0000-0000-00001A580000}"/>
    <cellStyle name="Обычный 6 176" xfId="5048" xr:uid="{00000000-0005-0000-0000-00001B580000}"/>
    <cellStyle name="Обычный 6 176 10" xfId="53111" xr:uid="{00000000-0005-0000-0000-00001C580000}"/>
    <cellStyle name="Обычный 6 176 2" xfId="10391" xr:uid="{00000000-0005-0000-0000-00001D580000}"/>
    <cellStyle name="Обычный 6 176 2 2" xfId="58452" xr:uid="{00000000-0005-0000-0000-00001E580000}"/>
    <cellStyle name="Обычный 6 176 3" xfId="15731" xr:uid="{00000000-0005-0000-0000-00001F580000}"/>
    <cellStyle name="Обычный 6 176 4" xfId="21071" xr:uid="{00000000-0005-0000-0000-000020580000}"/>
    <cellStyle name="Обычный 6 176 5" xfId="26411" xr:uid="{00000000-0005-0000-0000-000021580000}"/>
    <cellStyle name="Обычный 6 176 6" xfId="31751" xr:uid="{00000000-0005-0000-0000-000022580000}"/>
    <cellStyle name="Обычный 6 176 7" xfId="37091" xr:uid="{00000000-0005-0000-0000-000023580000}"/>
    <cellStyle name="Обычный 6 176 8" xfId="42431" xr:uid="{00000000-0005-0000-0000-000024580000}"/>
    <cellStyle name="Обычный 6 176 9" xfId="47771" xr:uid="{00000000-0005-0000-0000-000025580000}"/>
    <cellStyle name="Обычный 6 177" xfId="5080" xr:uid="{00000000-0005-0000-0000-000026580000}"/>
    <cellStyle name="Обычный 6 177 10" xfId="53143" xr:uid="{00000000-0005-0000-0000-000027580000}"/>
    <cellStyle name="Обычный 6 177 2" xfId="10423" xr:uid="{00000000-0005-0000-0000-000028580000}"/>
    <cellStyle name="Обычный 6 177 2 2" xfId="58484" xr:uid="{00000000-0005-0000-0000-000029580000}"/>
    <cellStyle name="Обычный 6 177 3" xfId="15763" xr:uid="{00000000-0005-0000-0000-00002A580000}"/>
    <cellStyle name="Обычный 6 177 4" xfId="21103" xr:uid="{00000000-0005-0000-0000-00002B580000}"/>
    <cellStyle name="Обычный 6 177 5" xfId="26443" xr:uid="{00000000-0005-0000-0000-00002C580000}"/>
    <cellStyle name="Обычный 6 177 6" xfId="31783" xr:uid="{00000000-0005-0000-0000-00002D580000}"/>
    <cellStyle name="Обычный 6 177 7" xfId="37123" xr:uid="{00000000-0005-0000-0000-00002E580000}"/>
    <cellStyle name="Обычный 6 177 8" xfId="42463" xr:uid="{00000000-0005-0000-0000-00002F580000}"/>
    <cellStyle name="Обычный 6 177 9" xfId="47803" xr:uid="{00000000-0005-0000-0000-000030580000}"/>
    <cellStyle name="Обычный 6 178" xfId="5112" xr:uid="{00000000-0005-0000-0000-000031580000}"/>
    <cellStyle name="Обычный 6 178 10" xfId="53175" xr:uid="{00000000-0005-0000-0000-000032580000}"/>
    <cellStyle name="Обычный 6 178 2" xfId="10455" xr:uid="{00000000-0005-0000-0000-000033580000}"/>
    <cellStyle name="Обычный 6 178 2 2" xfId="58516" xr:uid="{00000000-0005-0000-0000-000034580000}"/>
    <cellStyle name="Обычный 6 178 3" xfId="15795" xr:uid="{00000000-0005-0000-0000-000035580000}"/>
    <cellStyle name="Обычный 6 178 4" xfId="21135" xr:uid="{00000000-0005-0000-0000-000036580000}"/>
    <cellStyle name="Обычный 6 178 5" xfId="26475" xr:uid="{00000000-0005-0000-0000-000037580000}"/>
    <cellStyle name="Обычный 6 178 6" xfId="31815" xr:uid="{00000000-0005-0000-0000-000038580000}"/>
    <cellStyle name="Обычный 6 178 7" xfId="37155" xr:uid="{00000000-0005-0000-0000-000039580000}"/>
    <cellStyle name="Обычный 6 178 8" xfId="42495" xr:uid="{00000000-0005-0000-0000-00003A580000}"/>
    <cellStyle name="Обычный 6 178 9" xfId="47835" xr:uid="{00000000-0005-0000-0000-00003B580000}"/>
    <cellStyle name="Обычный 6 179" xfId="5144" xr:uid="{00000000-0005-0000-0000-00003C580000}"/>
    <cellStyle name="Обычный 6 179 10" xfId="53207" xr:uid="{00000000-0005-0000-0000-00003D580000}"/>
    <cellStyle name="Обычный 6 179 2" xfId="10487" xr:uid="{00000000-0005-0000-0000-00003E580000}"/>
    <cellStyle name="Обычный 6 179 2 2" xfId="58548" xr:uid="{00000000-0005-0000-0000-00003F580000}"/>
    <cellStyle name="Обычный 6 179 3" xfId="15827" xr:uid="{00000000-0005-0000-0000-000040580000}"/>
    <cellStyle name="Обычный 6 179 4" xfId="21167" xr:uid="{00000000-0005-0000-0000-000041580000}"/>
    <cellStyle name="Обычный 6 179 5" xfId="26507" xr:uid="{00000000-0005-0000-0000-000042580000}"/>
    <cellStyle name="Обычный 6 179 6" xfId="31847" xr:uid="{00000000-0005-0000-0000-000043580000}"/>
    <cellStyle name="Обычный 6 179 7" xfId="37187" xr:uid="{00000000-0005-0000-0000-000044580000}"/>
    <cellStyle name="Обычный 6 179 8" xfId="42527" xr:uid="{00000000-0005-0000-0000-000045580000}"/>
    <cellStyle name="Обычный 6 179 9" xfId="47867" xr:uid="{00000000-0005-0000-0000-000046580000}"/>
    <cellStyle name="Обычный 6 18" xfId="290" xr:uid="{00000000-0005-0000-0000-000047580000}"/>
    <cellStyle name="Обычный 6 18 10" xfId="43012" xr:uid="{00000000-0005-0000-0000-000048580000}"/>
    <cellStyle name="Обычный 6 18 11" xfId="48352" xr:uid="{00000000-0005-0000-0000-000049580000}"/>
    <cellStyle name="Обычный 6 18 2" xfId="757" xr:uid="{00000000-0005-0000-0000-00004A580000}"/>
    <cellStyle name="Обычный 6 18 2 10" xfId="48819" xr:uid="{00000000-0005-0000-0000-00004B580000}"/>
    <cellStyle name="Обычный 6 18 2 2" xfId="6098" xr:uid="{00000000-0005-0000-0000-00004C580000}"/>
    <cellStyle name="Обычный 6 18 2 2 2" xfId="54160" xr:uid="{00000000-0005-0000-0000-00004D580000}"/>
    <cellStyle name="Обычный 6 18 2 3" xfId="11439" xr:uid="{00000000-0005-0000-0000-00004E580000}"/>
    <cellStyle name="Обычный 6 18 2 4" xfId="16779" xr:uid="{00000000-0005-0000-0000-00004F580000}"/>
    <cellStyle name="Обычный 6 18 2 5" xfId="22119" xr:uid="{00000000-0005-0000-0000-000050580000}"/>
    <cellStyle name="Обычный 6 18 2 6" xfId="27459" xr:uid="{00000000-0005-0000-0000-000051580000}"/>
    <cellStyle name="Обычный 6 18 2 7" xfId="32799" xr:uid="{00000000-0005-0000-0000-000052580000}"/>
    <cellStyle name="Обычный 6 18 2 8" xfId="38139" xr:uid="{00000000-0005-0000-0000-000053580000}"/>
    <cellStyle name="Обычный 6 18 2 9" xfId="43479" xr:uid="{00000000-0005-0000-0000-000054580000}"/>
    <cellStyle name="Обычный 6 18 3" xfId="5631" xr:uid="{00000000-0005-0000-0000-000055580000}"/>
    <cellStyle name="Обычный 6 18 3 2" xfId="53693" xr:uid="{00000000-0005-0000-0000-000056580000}"/>
    <cellStyle name="Обычный 6 18 4" xfId="10972" xr:uid="{00000000-0005-0000-0000-000057580000}"/>
    <cellStyle name="Обычный 6 18 5" xfId="16312" xr:uid="{00000000-0005-0000-0000-000058580000}"/>
    <cellStyle name="Обычный 6 18 6" xfId="21652" xr:uid="{00000000-0005-0000-0000-000059580000}"/>
    <cellStyle name="Обычный 6 18 7" xfId="26992" xr:uid="{00000000-0005-0000-0000-00005A580000}"/>
    <cellStyle name="Обычный 6 18 8" xfId="32332" xr:uid="{00000000-0005-0000-0000-00005B580000}"/>
    <cellStyle name="Обычный 6 18 9" xfId="37672" xr:uid="{00000000-0005-0000-0000-00005C580000}"/>
    <cellStyle name="Обычный 6 180" xfId="5176" xr:uid="{00000000-0005-0000-0000-00005D580000}"/>
    <cellStyle name="Обычный 6 180 10" xfId="53239" xr:uid="{00000000-0005-0000-0000-00005E580000}"/>
    <cellStyle name="Обычный 6 180 2" xfId="10519" xr:uid="{00000000-0005-0000-0000-00005F580000}"/>
    <cellStyle name="Обычный 6 180 2 2" xfId="58580" xr:uid="{00000000-0005-0000-0000-000060580000}"/>
    <cellStyle name="Обычный 6 180 3" xfId="15859" xr:uid="{00000000-0005-0000-0000-000061580000}"/>
    <cellStyle name="Обычный 6 180 4" xfId="21199" xr:uid="{00000000-0005-0000-0000-000062580000}"/>
    <cellStyle name="Обычный 6 180 5" xfId="26539" xr:uid="{00000000-0005-0000-0000-000063580000}"/>
    <cellStyle name="Обычный 6 180 6" xfId="31879" xr:uid="{00000000-0005-0000-0000-000064580000}"/>
    <cellStyle name="Обычный 6 180 7" xfId="37219" xr:uid="{00000000-0005-0000-0000-000065580000}"/>
    <cellStyle name="Обычный 6 180 8" xfId="42559" xr:uid="{00000000-0005-0000-0000-000066580000}"/>
    <cellStyle name="Обычный 6 180 9" xfId="47899" xr:uid="{00000000-0005-0000-0000-000067580000}"/>
    <cellStyle name="Обычный 6 181" xfId="5208" xr:uid="{00000000-0005-0000-0000-000068580000}"/>
    <cellStyle name="Обычный 6 181 10" xfId="53271" xr:uid="{00000000-0005-0000-0000-000069580000}"/>
    <cellStyle name="Обычный 6 181 2" xfId="10551" xr:uid="{00000000-0005-0000-0000-00006A580000}"/>
    <cellStyle name="Обычный 6 181 2 2" xfId="58612" xr:uid="{00000000-0005-0000-0000-00006B580000}"/>
    <cellStyle name="Обычный 6 181 3" xfId="15891" xr:uid="{00000000-0005-0000-0000-00006C580000}"/>
    <cellStyle name="Обычный 6 181 4" xfId="21231" xr:uid="{00000000-0005-0000-0000-00006D580000}"/>
    <cellStyle name="Обычный 6 181 5" xfId="26571" xr:uid="{00000000-0005-0000-0000-00006E580000}"/>
    <cellStyle name="Обычный 6 181 6" xfId="31911" xr:uid="{00000000-0005-0000-0000-00006F580000}"/>
    <cellStyle name="Обычный 6 181 7" xfId="37251" xr:uid="{00000000-0005-0000-0000-000070580000}"/>
    <cellStyle name="Обычный 6 181 8" xfId="42591" xr:uid="{00000000-0005-0000-0000-000071580000}"/>
    <cellStyle name="Обычный 6 181 9" xfId="47931" xr:uid="{00000000-0005-0000-0000-000072580000}"/>
    <cellStyle name="Обычный 6 182" xfId="5240" xr:uid="{00000000-0005-0000-0000-000073580000}"/>
    <cellStyle name="Обычный 6 182 10" xfId="53303" xr:uid="{00000000-0005-0000-0000-000074580000}"/>
    <cellStyle name="Обычный 6 182 2" xfId="10583" xr:uid="{00000000-0005-0000-0000-000075580000}"/>
    <cellStyle name="Обычный 6 182 2 2" xfId="58644" xr:uid="{00000000-0005-0000-0000-000076580000}"/>
    <cellStyle name="Обычный 6 182 3" xfId="15923" xr:uid="{00000000-0005-0000-0000-000077580000}"/>
    <cellStyle name="Обычный 6 182 4" xfId="21263" xr:uid="{00000000-0005-0000-0000-000078580000}"/>
    <cellStyle name="Обычный 6 182 5" xfId="26603" xr:uid="{00000000-0005-0000-0000-000079580000}"/>
    <cellStyle name="Обычный 6 182 6" xfId="31943" xr:uid="{00000000-0005-0000-0000-00007A580000}"/>
    <cellStyle name="Обычный 6 182 7" xfId="37283" xr:uid="{00000000-0005-0000-0000-00007B580000}"/>
    <cellStyle name="Обычный 6 182 8" xfId="42623" xr:uid="{00000000-0005-0000-0000-00007C580000}"/>
    <cellStyle name="Обычный 6 182 9" xfId="47963" xr:uid="{00000000-0005-0000-0000-00007D580000}"/>
    <cellStyle name="Обычный 6 183" xfId="5272" xr:uid="{00000000-0005-0000-0000-00007E580000}"/>
    <cellStyle name="Обычный 6 183 10" xfId="53335" xr:uid="{00000000-0005-0000-0000-00007F580000}"/>
    <cellStyle name="Обычный 6 183 2" xfId="10615" xr:uid="{00000000-0005-0000-0000-000080580000}"/>
    <cellStyle name="Обычный 6 183 2 2" xfId="58676" xr:uid="{00000000-0005-0000-0000-000081580000}"/>
    <cellStyle name="Обычный 6 183 3" xfId="15955" xr:uid="{00000000-0005-0000-0000-000082580000}"/>
    <cellStyle name="Обычный 6 183 4" xfId="21295" xr:uid="{00000000-0005-0000-0000-000083580000}"/>
    <cellStyle name="Обычный 6 183 5" xfId="26635" xr:uid="{00000000-0005-0000-0000-000084580000}"/>
    <cellStyle name="Обычный 6 183 6" xfId="31975" xr:uid="{00000000-0005-0000-0000-000085580000}"/>
    <cellStyle name="Обычный 6 183 7" xfId="37315" xr:uid="{00000000-0005-0000-0000-000086580000}"/>
    <cellStyle name="Обычный 6 183 8" xfId="42655" xr:uid="{00000000-0005-0000-0000-000087580000}"/>
    <cellStyle name="Обычный 6 183 9" xfId="47995" xr:uid="{00000000-0005-0000-0000-000088580000}"/>
    <cellStyle name="Обычный 6 184" xfId="5304" xr:uid="{00000000-0005-0000-0000-000089580000}"/>
    <cellStyle name="Обычный 6 184 10" xfId="53367" xr:uid="{00000000-0005-0000-0000-00008A580000}"/>
    <cellStyle name="Обычный 6 184 2" xfId="10647" xr:uid="{00000000-0005-0000-0000-00008B580000}"/>
    <cellStyle name="Обычный 6 184 2 2" xfId="58708" xr:uid="{00000000-0005-0000-0000-00008C580000}"/>
    <cellStyle name="Обычный 6 184 3" xfId="15987" xr:uid="{00000000-0005-0000-0000-00008D580000}"/>
    <cellStyle name="Обычный 6 184 4" xfId="21327" xr:uid="{00000000-0005-0000-0000-00008E580000}"/>
    <cellStyle name="Обычный 6 184 5" xfId="26667" xr:uid="{00000000-0005-0000-0000-00008F580000}"/>
    <cellStyle name="Обычный 6 184 6" xfId="32007" xr:uid="{00000000-0005-0000-0000-000090580000}"/>
    <cellStyle name="Обычный 6 184 7" xfId="37347" xr:uid="{00000000-0005-0000-0000-000091580000}"/>
    <cellStyle name="Обычный 6 184 8" xfId="42687" xr:uid="{00000000-0005-0000-0000-000092580000}"/>
    <cellStyle name="Обычный 6 184 9" xfId="48027" xr:uid="{00000000-0005-0000-0000-000093580000}"/>
    <cellStyle name="Обычный 6 185" xfId="5336" xr:uid="{00000000-0005-0000-0000-000094580000}"/>
    <cellStyle name="Обычный 6 185 10" xfId="53399" xr:uid="{00000000-0005-0000-0000-000095580000}"/>
    <cellStyle name="Обычный 6 185 2" xfId="10679" xr:uid="{00000000-0005-0000-0000-000096580000}"/>
    <cellStyle name="Обычный 6 185 2 2" xfId="58740" xr:uid="{00000000-0005-0000-0000-000097580000}"/>
    <cellStyle name="Обычный 6 185 3" xfId="16019" xr:uid="{00000000-0005-0000-0000-000098580000}"/>
    <cellStyle name="Обычный 6 185 4" xfId="21359" xr:uid="{00000000-0005-0000-0000-000099580000}"/>
    <cellStyle name="Обычный 6 185 5" xfId="26699" xr:uid="{00000000-0005-0000-0000-00009A580000}"/>
    <cellStyle name="Обычный 6 185 6" xfId="32039" xr:uid="{00000000-0005-0000-0000-00009B580000}"/>
    <cellStyle name="Обычный 6 185 7" xfId="37379" xr:uid="{00000000-0005-0000-0000-00009C580000}"/>
    <cellStyle name="Обычный 6 185 8" xfId="42719" xr:uid="{00000000-0005-0000-0000-00009D580000}"/>
    <cellStyle name="Обычный 6 185 9" xfId="48059" xr:uid="{00000000-0005-0000-0000-00009E580000}"/>
    <cellStyle name="Обычный 6 186" xfId="5368" xr:uid="{00000000-0005-0000-0000-00009F580000}"/>
    <cellStyle name="Обычный 6 186 10" xfId="53431" xr:uid="{00000000-0005-0000-0000-0000A0580000}"/>
    <cellStyle name="Обычный 6 186 2" xfId="10711" xr:uid="{00000000-0005-0000-0000-0000A1580000}"/>
    <cellStyle name="Обычный 6 186 2 2" xfId="58772" xr:uid="{00000000-0005-0000-0000-0000A2580000}"/>
    <cellStyle name="Обычный 6 186 3" xfId="16051" xr:uid="{00000000-0005-0000-0000-0000A3580000}"/>
    <cellStyle name="Обычный 6 186 4" xfId="21391" xr:uid="{00000000-0005-0000-0000-0000A4580000}"/>
    <cellStyle name="Обычный 6 186 5" xfId="26731" xr:uid="{00000000-0005-0000-0000-0000A5580000}"/>
    <cellStyle name="Обычный 6 186 6" xfId="32071" xr:uid="{00000000-0005-0000-0000-0000A6580000}"/>
    <cellStyle name="Обычный 6 186 7" xfId="37411" xr:uid="{00000000-0005-0000-0000-0000A7580000}"/>
    <cellStyle name="Обычный 6 186 8" xfId="42751" xr:uid="{00000000-0005-0000-0000-0000A8580000}"/>
    <cellStyle name="Обычный 6 186 9" xfId="48091" xr:uid="{00000000-0005-0000-0000-0000A9580000}"/>
    <cellStyle name="Обычный 6 187" xfId="5461" xr:uid="{00000000-0005-0000-0000-0000AA580000}"/>
    <cellStyle name="Обычный 6 187 2" xfId="53523" xr:uid="{00000000-0005-0000-0000-0000AB580000}"/>
    <cellStyle name="Обычный 6 188" xfId="10802" xr:uid="{00000000-0005-0000-0000-0000AC580000}"/>
    <cellStyle name="Обычный 6 189" xfId="16142" xr:uid="{00000000-0005-0000-0000-0000AD580000}"/>
    <cellStyle name="Обычный 6 19" xfId="300" xr:uid="{00000000-0005-0000-0000-0000AE580000}"/>
    <cellStyle name="Обычный 6 19 10" xfId="43022" xr:uid="{00000000-0005-0000-0000-0000AF580000}"/>
    <cellStyle name="Обычный 6 19 11" xfId="48362" xr:uid="{00000000-0005-0000-0000-0000B0580000}"/>
    <cellStyle name="Обычный 6 19 2" xfId="767" xr:uid="{00000000-0005-0000-0000-0000B1580000}"/>
    <cellStyle name="Обычный 6 19 2 10" xfId="48829" xr:uid="{00000000-0005-0000-0000-0000B2580000}"/>
    <cellStyle name="Обычный 6 19 2 2" xfId="6108" xr:uid="{00000000-0005-0000-0000-0000B3580000}"/>
    <cellStyle name="Обычный 6 19 2 2 2" xfId="54170" xr:uid="{00000000-0005-0000-0000-0000B4580000}"/>
    <cellStyle name="Обычный 6 19 2 3" xfId="11449" xr:uid="{00000000-0005-0000-0000-0000B5580000}"/>
    <cellStyle name="Обычный 6 19 2 4" xfId="16789" xr:uid="{00000000-0005-0000-0000-0000B6580000}"/>
    <cellStyle name="Обычный 6 19 2 5" xfId="22129" xr:uid="{00000000-0005-0000-0000-0000B7580000}"/>
    <cellStyle name="Обычный 6 19 2 6" xfId="27469" xr:uid="{00000000-0005-0000-0000-0000B8580000}"/>
    <cellStyle name="Обычный 6 19 2 7" xfId="32809" xr:uid="{00000000-0005-0000-0000-0000B9580000}"/>
    <cellStyle name="Обычный 6 19 2 8" xfId="38149" xr:uid="{00000000-0005-0000-0000-0000BA580000}"/>
    <cellStyle name="Обычный 6 19 2 9" xfId="43489" xr:uid="{00000000-0005-0000-0000-0000BB580000}"/>
    <cellStyle name="Обычный 6 19 3" xfId="5641" xr:uid="{00000000-0005-0000-0000-0000BC580000}"/>
    <cellStyle name="Обычный 6 19 3 2" xfId="53703" xr:uid="{00000000-0005-0000-0000-0000BD580000}"/>
    <cellStyle name="Обычный 6 19 4" xfId="10982" xr:uid="{00000000-0005-0000-0000-0000BE580000}"/>
    <cellStyle name="Обычный 6 19 5" xfId="16322" xr:uid="{00000000-0005-0000-0000-0000BF580000}"/>
    <cellStyle name="Обычный 6 19 6" xfId="21662" xr:uid="{00000000-0005-0000-0000-0000C0580000}"/>
    <cellStyle name="Обычный 6 19 7" xfId="27002" xr:uid="{00000000-0005-0000-0000-0000C1580000}"/>
    <cellStyle name="Обычный 6 19 8" xfId="32342" xr:uid="{00000000-0005-0000-0000-0000C2580000}"/>
    <cellStyle name="Обычный 6 19 9" xfId="37682" xr:uid="{00000000-0005-0000-0000-0000C3580000}"/>
    <cellStyle name="Обычный 6 190" xfId="21482" xr:uid="{00000000-0005-0000-0000-0000C4580000}"/>
    <cellStyle name="Обычный 6 191" xfId="26822" xr:uid="{00000000-0005-0000-0000-0000C5580000}"/>
    <cellStyle name="Обычный 6 192" xfId="32162" xr:uid="{00000000-0005-0000-0000-0000C6580000}"/>
    <cellStyle name="Обычный 6 193" xfId="37502" xr:uid="{00000000-0005-0000-0000-0000C7580000}"/>
    <cellStyle name="Обычный 6 194" xfId="42842" xr:uid="{00000000-0005-0000-0000-0000C8580000}"/>
    <cellStyle name="Обычный 6 195" xfId="48182" xr:uid="{00000000-0005-0000-0000-0000C9580000}"/>
    <cellStyle name="Обычный 6 2" xfId="130" xr:uid="{00000000-0005-0000-0000-0000CA580000}"/>
    <cellStyle name="Обычный 6 2 10" xfId="1184" xr:uid="{00000000-0005-0000-0000-0000CB580000}"/>
    <cellStyle name="Обычный 6 2 10 10" xfId="49247" xr:uid="{00000000-0005-0000-0000-0000CC580000}"/>
    <cellStyle name="Обычный 6 2 10 2" xfId="6526" xr:uid="{00000000-0005-0000-0000-0000CD580000}"/>
    <cellStyle name="Обычный 6 2 10 2 2" xfId="54588" xr:uid="{00000000-0005-0000-0000-0000CE580000}"/>
    <cellStyle name="Обычный 6 2 10 3" xfId="11867" xr:uid="{00000000-0005-0000-0000-0000CF580000}"/>
    <cellStyle name="Обычный 6 2 10 4" xfId="17207" xr:uid="{00000000-0005-0000-0000-0000D0580000}"/>
    <cellStyle name="Обычный 6 2 10 5" xfId="22547" xr:uid="{00000000-0005-0000-0000-0000D1580000}"/>
    <cellStyle name="Обычный 6 2 10 6" xfId="27887" xr:uid="{00000000-0005-0000-0000-0000D2580000}"/>
    <cellStyle name="Обычный 6 2 10 7" xfId="33227" xr:uid="{00000000-0005-0000-0000-0000D3580000}"/>
    <cellStyle name="Обычный 6 2 10 8" xfId="38567" xr:uid="{00000000-0005-0000-0000-0000D4580000}"/>
    <cellStyle name="Обычный 6 2 10 9" xfId="43907" xr:uid="{00000000-0005-0000-0000-0000D5580000}"/>
    <cellStyle name="Обычный 6 2 100" xfId="3842" xr:uid="{00000000-0005-0000-0000-0000D6580000}"/>
    <cellStyle name="Обычный 6 2 100 10" xfId="51905" xr:uid="{00000000-0005-0000-0000-0000D7580000}"/>
    <cellStyle name="Обычный 6 2 100 2" xfId="9185" xr:uid="{00000000-0005-0000-0000-0000D8580000}"/>
    <cellStyle name="Обычный 6 2 100 2 2" xfId="57246" xr:uid="{00000000-0005-0000-0000-0000D9580000}"/>
    <cellStyle name="Обычный 6 2 100 3" xfId="14525" xr:uid="{00000000-0005-0000-0000-0000DA580000}"/>
    <cellStyle name="Обычный 6 2 100 4" xfId="19865" xr:uid="{00000000-0005-0000-0000-0000DB580000}"/>
    <cellStyle name="Обычный 6 2 100 5" xfId="25205" xr:uid="{00000000-0005-0000-0000-0000DC580000}"/>
    <cellStyle name="Обычный 6 2 100 6" xfId="30545" xr:uid="{00000000-0005-0000-0000-0000DD580000}"/>
    <cellStyle name="Обычный 6 2 100 7" xfId="35885" xr:uid="{00000000-0005-0000-0000-0000DE580000}"/>
    <cellStyle name="Обычный 6 2 100 8" xfId="41225" xr:uid="{00000000-0005-0000-0000-0000DF580000}"/>
    <cellStyle name="Обычный 6 2 100 9" xfId="46565" xr:uid="{00000000-0005-0000-0000-0000E0580000}"/>
    <cellStyle name="Обычный 6 2 101" xfId="3874" xr:uid="{00000000-0005-0000-0000-0000E1580000}"/>
    <cellStyle name="Обычный 6 2 101 10" xfId="51937" xr:uid="{00000000-0005-0000-0000-0000E2580000}"/>
    <cellStyle name="Обычный 6 2 101 2" xfId="9217" xr:uid="{00000000-0005-0000-0000-0000E3580000}"/>
    <cellStyle name="Обычный 6 2 101 2 2" xfId="57278" xr:uid="{00000000-0005-0000-0000-0000E4580000}"/>
    <cellStyle name="Обычный 6 2 101 3" xfId="14557" xr:uid="{00000000-0005-0000-0000-0000E5580000}"/>
    <cellStyle name="Обычный 6 2 101 4" xfId="19897" xr:uid="{00000000-0005-0000-0000-0000E6580000}"/>
    <cellStyle name="Обычный 6 2 101 5" xfId="25237" xr:uid="{00000000-0005-0000-0000-0000E7580000}"/>
    <cellStyle name="Обычный 6 2 101 6" xfId="30577" xr:uid="{00000000-0005-0000-0000-0000E8580000}"/>
    <cellStyle name="Обычный 6 2 101 7" xfId="35917" xr:uid="{00000000-0005-0000-0000-0000E9580000}"/>
    <cellStyle name="Обычный 6 2 101 8" xfId="41257" xr:uid="{00000000-0005-0000-0000-0000EA580000}"/>
    <cellStyle name="Обычный 6 2 101 9" xfId="46597" xr:uid="{00000000-0005-0000-0000-0000EB580000}"/>
    <cellStyle name="Обычный 6 2 102" xfId="3906" xr:uid="{00000000-0005-0000-0000-0000EC580000}"/>
    <cellStyle name="Обычный 6 2 102 10" xfId="51969" xr:uid="{00000000-0005-0000-0000-0000ED580000}"/>
    <cellStyle name="Обычный 6 2 102 2" xfId="9249" xr:uid="{00000000-0005-0000-0000-0000EE580000}"/>
    <cellStyle name="Обычный 6 2 102 2 2" xfId="57310" xr:uid="{00000000-0005-0000-0000-0000EF580000}"/>
    <cellStyle name="Обычный 6 2 102 3" xfId="14589" xr:uid="{00000000-0005-0000-0000-0000F0580000}"/>
    <cellStyle name="Обычный 6 2 102 4" xfId="19929" xr:uid="{00000000-0005-0000-0000-0000F1580000}"/>
    <cellStyle name="Обычный 6 2 102 5" xfId="25269" xr:uid="{00000000-0005-0000-0000-0000F2580000}"/>
    <cellStyle name="Обычный 6 2 102 6" xfId="30609" xr:uid="{00000000-0005-0000-0000-0000F3580000}"/>
    <cellStyle name="Обычный 6 2 102 7" xfId="35949" xr:uid="{00000000-0005-0000-0000-0000F4580000}"/>
    <cellStyle name="Обычный 6 2 102 8" xfId="41289" xr:uid="{00000000-0005-0000-0000-0000F5580000}"/>
    <cellStyle name="Обычный 6 2 102 9" xfId="46629" xr:uid="{00000000-0005-0000-0000-0000F6580000}"/>
    <cellStyle name="Обычный 6 2 103" xfId="3938" xr:uid="{00000000-0005-0000-0000-0000F7580000}"/>
    <cellStyle name="Обычный 6 2 103 10" xfId="52001" xr:uid="{00000000-0005-0000-0000-0000F8580000}"/>
    <cellStyle name="Обычный 6 2 103 2" xfId="9281" xr:uid="{00000000-0005-0000-0000-0000F9580000}"/>
    <cellStyle name="Обычный 6 2 103 2 2" xfId="57342" xr:uid="{00000000-0005-0000-0000-0000FA580000}"/>
    <cellStyle name="Обычный 6 2 103 3" xfId="14621" xr:uid="{00000000-0005-0000-0000-0000FB580000}"/>
    <cellStyle name="Обычный 6 2 103 4" xfId="19961" xr:uid="{00000000-0005-0000-0000-0000FC580000}"/>
    <cellStyle name="Обычный 6 2 103 5" xfId="25301" xr:uid="{00000000-0005-0000-0000-0000FD580000}"/>
    <cellStyle name="Обычный 6 2 103 6" xfId="30641" xr:uid="{00000000-0005-0000-0000-0000FE580000}"/>
    <cellStyle name="Обычный 6 2 103 7" xfId="35981" xr:uid="{00000000-0005-0000-0000-0000FF580000}"/>
    <cellStyle name="Обычный 6 2 103 8" xfId="41321" xr:uid="{00000000-0005-0000-0000-000000590000}"/>
    <cellStyle name="Обычный 6 2 103 9" xfId="46661" xr:uid="{00000000-0005-0000-0000-000001590000}"/>
    <cellStyle name="Обычный 6 2 104" xfId="3970" xr:uid="{00000000-0005-0000-0000-000002590000}"/>
    <cellStyle name="Обычный 6 2 104 10" xfId="52033" xr:uid="{00000000-0005-0000-0000-000003590000}"/>
    <cellStyle name="Обычный 6 2 104 2" xfId="9313" xr:uid="{00000000-0005-0000-0000-000004590000}"/>
    <cellStyle name="Обычный 6 2 104 2 2" xfId="57374" xr:uid="{00000000-0005-0000-0000-000005590000}"/>
    <cellStyle name="Обычный 6 2 104 3" xfId="14653" xr:uid="{00000000-0005-0000-0000-000006590000}"/>
    <cellStyle name="Обычный 6 2 104 4" xfId="19993" xr:uid="{00000000-0005-0000-0000-000007590000}"/>
    <cellStyle name="Обычный 6 2 104 5" xfId="25333" xr:uid="{00000000-0005-0000-0000-000008590000}"/>
    <cellStyle name="Обычный 6 2 104 6" xfId="30673" xr:uid="{00000000-0005-0000-0000-000009590000}"/>
    <cellStyle name="Обычный 6 2 104 7" xfId="36013" xr:uid="{00000000-0005-0000-0000-00000A590000}"/>
    <cellStyle name="Обычный 6 2 104 8" xfId="41353" xr:uid="{00000000-0005-0000-0000-00000B590000}"/>
    <cellStyle name="Обычный 6 2 104 9" xfId="46693" xr:uid="{00000000-0005-0000-0000-00000C590000}"/>
    <cellStyle name="Обычный 6 2 105" xfId="4002" xr:uid="{00000000-0005-0000-0000-00000D590000}"/>
    <cellStyle name="Обычный 6 2 105 10" xfId="52065" xr:uid="{00000000-0005-0000-0000-00000E590000}"/>
    <cellStyle name="Обычный 6 2 105 2" xfId="9345" xr:uid="{00000000-0005-0000-0000-00000F590000}"/>
    <cellStyle name="Обычный 6 2 105 2 2" xfId="57406" xr:uid="{00000000-0005-0000-0000-000010590000}"/>
    <cellStyle name="Обычный 6 2 105 3" xfId="14685" xr:uid="{00000000-0005-0000-0000-000011590000}"/>
    <cellStyle name="Обычный 6 2 105 4" xfId="20025" xr:uid="{00000000-0005-0000-0000-000012590000}"/>
    <cellStyle name="Обычный 6 2 105 5" xfId="25365" xr:uid="{00000000-0005-0000-0000-000013590000}"/>
    <cellStyle name="Обычный 6 2 105 6" xfId="30705" xr:uid="{00000000-0005-0000-0000-000014590000}"/>
    <cellStyle name="Обычный 6 2 105 7" xfId="36045" xr:uid="{00000000-0005-0000-0000-000015590000}"/>
    <cellStyle name="Обычный 6 2 105 8" xfId="41385" xr:uid="{00000000-0005-0000-0000-000016590000}"/>
    <cellStyle name="Обычный 6 2 105 9" xfId="46725" xr:uid="{00000000-0005-0000-0000-000017590000}"/>
    <cellStyle name="Обычный 6 2 106" xfId="4034" xr:uid="{00000000-0005-0000-0000-000018590000}"/>
    <cellStyle name="Обычный 6 2 106 10" xfId="52097" xr:uid="{00000000-0005-0000-0000-000019590000}"/>
    <cellStyle name="Обычный 6 2 106 2" xfId="9377" xr:uid="{00000000-0005-0000-0000-00001A590000}"/>
    <cellStyle name="Обычный 6 2 106 2 2" xfId="57438" xr:uid="{00000000-0005-0000-0000-00001B590000}"/>
    <cellStyle name="Обычный 6 2 106 3" xfId="14717" xr:uid="{00000000-0005-0000-0000-00001C590000}"/>
    <cellStyle name="Обычный 6 2 106 4" xfId="20057" xr:uid="{00000000-0005-0000-0000-00001D590000}"/>
    <cellStyle name="Обычный 6 2 106 5" xfId="25397" xr:uid="{00000000-0005-0000-0000-00001E590000}"/>
    <cellStyle name="Обычный 6 2 106 6" xfId="30737" xr:uid="{00000000-0005-0000-0000-00001F590000}"/>
    <cellStyle name="Обычный 6 2 106 7" xfId="36077" xr:uid="{00000000-0005-0000-0000-000020590000}"/>
    <cellStyle name="Обычный 6 2 106 8" xfId="41417" xr:uid="{00000000-0005-0000-0000-000021590000}"/>
    <cellStyle name="Обычный 6 2 106 9" xfId="46757" xr:uid="{00000000-0005-0000-0000-000022590000}"/>
    <cellStyle name="Обычный 6 2 107" xfId="4066" xr:uid="{00000000-0005-0000-0000-000023590000}"/>
    <cellStyle name="Обычный 6 2 107 10" xfId="52129" xr:uid="{00000000-0005-0000-0000-000024590000}"/>
    <cellStyle name="Обычный 6 2 107 2" xfId="9409" xr:uid="{00000000-0005-0000-0000-000025590000}"/>
    <cellStyle name="Обычный 6 2 107 2 2" xfId="57470" xr:uid="{00000000-0005-0000-0000-000026590000}"/>
    <cellStyle name="Обычный 6 2 107 3" xfId="14749" xr:uid="{00000000-0005-0000-0000-000027590000}"/>
    <cellStyle name="Обычный 6 2 107 4" xfId="20089" xr:uid="{00000000-0005-0000-0000-000028590000}"/>
    <cellStyle name="Обычный 6 2 107 5" xfId="25429" xr:uid="{00000000-0005-0000-0000-000029590000}"/>
    <cellStyle name="Обычный 6 2 107 6" xfId="30769" xr:uid="{00000000-0005-0000-0000-00002A590000}"/>
    <cellStyle name="Обычный 6 2 107 7" xfId="36109" xr:uid="{00000000-0005-0000-0000-00002B590000}"/>
    <cellStyle name="Обычный 6 2 107 8" xfId="41449" xr:uid="{00000000-0005-0000-0000-00002C590000}"/>
    <cellStyle name="Обычный 6 2 107 9" xfId="46789" xr:uid="{00000000-0005-0000-0000-00002D590000}"/>
    <cellStyle name="Обычный 6 2 108" xfId="4098" xr:uid="{00000000-0005-0000-0000-00002E590000}"/>
    <cellStyle name="Обычный 6 2 108 10" xfId="52161" xr:uid="{00000000-0005-0000-0000-00002F590000}"/>
    <cellStyle name="Обычный 6 2 108 2" xfId="9441" xr:uid="{00000000-0005-0000-0000-000030590000}"/>
    <cellStyle name="Обычный 6 2 108 2 2" xfId="57502" xr:uid="{00000000-0005-0000-0000-000031590000}"/>
    <cellStyle name="Обычный 6 2 108 3" xfId="14781" xr:uid="{00000000-0005-0000-0000-000032590000}"/>
    <cellStyle name="Обычный 6 2 108 4" xfId="20121" xr:uid="{00000000-0005-0000-0000-000033590000}"/>
    <cellStyle name="Обычный 6 2 108 5" xfId="25461" xr:uid="{00000000-0005-0000-0000-000034590000}"/>
    <cellStyle name="Обычный 6 2 108 6" xfId="30801" xr:uid="{00000000-0005-0000-0000-000035590000}"/>
    <cellStyle name="Обычный 6 2 108 7" xfId="36141" xr:uid="{00000000-0005-0000-0000-000036590000}"/>
    <cellStyle name="Обычный 6 2 108 8" xfId="41481" xr:uid="{00000000-0005-0000-0000-000037590000}"/>
    <cellStyle name="Обычный 6 2 108 9" xfId="46821" xr:uid="{00000000-0005-0000-0000-000038590000}"/>
    <cellStyle name="Обычный 6 2 109" xfId="4130" xr:uid="{00000000-0005-0000-0000-000039590000}"/>
    <cellStyle name="Обычный 6 2 109 10" xfId="52193" xr:uid="{00000000-0005-0000-0000-00003A590000}"/>
    <cellStyle name="Обычный 6 2 109 2" xfId="9473" xr:uid="{00000000-0005-0000-0000-00003B590000}"/>
    <cellStyle name="Обычный 6 2 109 2 2" xfId="57534" xr:uid="{00000000-0005-0000-0000-00003C590000}"/>
    <cellStyle name="Обычный 6 2 109 3" xfId="14813" xr:uid="{00000000-0005-0000-0000-00003D590000}"/>
    <cellStyle name="Обычный 6 2 109 4" xfId="20153" xr:uid="{00000000-0005-0000-0000-00003E590000}"/>
    <cellStyle name="Обычный 6 2 109 5" xfId="25493" xr:uid="{00000000-0005-0000-0000-00003F590000}"/>
    <cellStyle name="Обычный 6 2 109 6" xfId="30833" xr:uid="{00000000-0005-0000-0000-000040590000}"/>
    <cellStyle name="Обычный 6 2 109 7" xfId="36173" xr:uid="{00000000-0005-0000-0000-000041590000}"/>
    <cellStyle name="Обычный 6 2 109 8" xfId="41513" xr:uid="{00000000-0005-0000-0000-000042590000}"/>
    <cellStyle name="Обычный 6 2 109 9" xfId="46853" xr:uid="{00000000-0005-0000-0000-000043590000}"/>
    <cellStyle name="Обычный 6 2 11" xfId="1210" xr:uid="{00000000-0005-0000-0000-000044590000}"/>
    <cellStyle name="Обычный 6 2 11 10" xfId="49273" xr:uid="{00000000-0005-0000-0000-000045590000}"/>
    <cellStyle name="Обычный 6 2 11 2" xfId="6552" xr:uid="{00000000-0005-0000-0000-000046590000}"/>
    <cellStyle name="Обычный 6 2 11 2 2" xfId="54614" xr:uid="{00000000-0005-0000-0000-000047590000}"/>
    <cellStyle name="Обычный 6 2 11 3" xfId="11893" xr:uid="{00000000-0005-0000-0000-000048590000}"/>
    <cellStyle name="Обычный 6 2 11 4" xfId="17233" xr:uid="{00000000-0005-0000-0000-000049590000}"/>
    <cellStyle name="Обычный 6 2 11 5" xfId="22573" xr:uid="{00000000-0005-0000-0000-00004A590000}"/>
    <cellStyle name="Обычный 6 2 11 6" xfId="27913" xr:uid="{00000000-0005-0000-0000-00004B590000}"/>
    <cellStyle name="Обычный 6 2 11 7" xfId="33253" xr:uid="{00000000-0005-0000-0000-00004C590000}"/>
    <cellStyle name="Обычный 6 2 11 8" xfId="38593" xr:uid="{00000000-0005-0000-0000-00004D590000}"/>
    <cellStyle name="Обычный 6 2 11 9" xfId="43933" xr:uid="{00000000-0005-0000-0000-00004E590000}"/>
    <cellStyle name="Обычный 6 2 110" xfId="4162" xr:uid="{00000000-0005-0000-0000-00004F590000}"/>
    <cellStyle name="Обычный 6 2 110 10" xfId="52225" xr:uid="{00000000-0005-0000-0000-000050590000}"/>
    <cellStyle name="Обычный 6 2 110 2" xfId="9505" xr:uid="{00000000-0005-0000-0000-000051590000}"/>
    <cellStyle name="Обычный 6 2 110 2 2" xfId="57566" xr:uid="{00000000-0005-0000-0000-000052590000}"/>
    <cellStyle name="Обычный 6 2 110 3" xfId="14845" xr:uid="{00000000-0005-0000-0000-000053590000}"/>
    <cellStyle name="Обычный 6 2 110 4" xfId="20185" xr:uid="{00000000-0005-0000-0000-000054590000}"/>
    <cellStyle name="Обычный 6 2 110 5" xfId="25525" xr:uid="{00000000-0005-0000-0000-000055590000}"/>
    <cellStyle name="Обычный 6 2 110 6" xfId="30865" xr:uid="{00000000-0005-0000-0000-000056590000}"/>
    <cellStyle name="Обычный 6 2 110 7" xfId="36205" xr:uid="{00000000-0005-0000-0000-000057590000}"/>
    <cellStyle name="Обычный 6 2 110 8" xfId="41545" xr:uid="{00000000-0005-0000-0000-000058590000}"/>
    <cellStyle name="Обычный 6 2 110 9" xfId="46885" xr:uid="{00000000-0005-0000-0000-000059590000}"/>
    <cellStyle name="Обычный 6 2 111" xfId="4194" xr:uid="{00000000-0005-0000-0000-00005A590000}"/>
    <cellStyle name="Обычный 6 2 111 10" xfId="52257" xr:uid="{00000000-0005-0000-0000-00005B590000}"/>
    <cellStyle name="Обычный 6 2 111 2" xfId="9537" xr:uid="{00000000-0005-0000-0000-00005C590000}"/>
    <cellStyle name="Обычный 6 2 111 2 2" xfId="57598" xr:uid="{00000000-0005-0000-0000-00005D590000}"/>
    <cellStyle name="Обычный 6 2 111 3" xfId="14877" xr:uid="{00000000-0005-0000-0000-00005E590000}"/>
    <cellStyle name="Обычный 6 2 111 4" xfId="20217" xr:uid="{00000000-0005-0000-0000-00005F590000}"/>
    <cellStyle name="Обычный 6 2 111 5" xfId="25557" xr:uid="{00000000-0005-0000-0000-000060590000}"/>
    <cellStyle name="Обычный 6 2 111 6" xfId="30897" xr:uid="{00000000-0005-0000-0000-000061590000}"/>
    <cellStyle name="Обычный 6 2 111 7" xfId="36237" xr:uid="{00000000-0005-0000-0000-000062590000}"/>
    <cellStyle name="Обычный 6 2 111 8" xfId="41577" xr:uid="{00000000-0005-0000-0000-000063590000}"/>
    <cellStyle name="Обычный 6 2 111 9" xfId="46917" xr:uid="{00000000-0005-0000-0000-000064590000}"/>
    <cellStyle name="Обычный 6 2 112" xfId="4226" xr:uid="{00000000-0005-0000-0000-000065590000}"/>
    <cellStyle name="Обычный 6 2 112 10" xfId="52289" xr:uid="{00000000-0005-0000-0000-000066590000}"/>
    <cellStyle name="Обычный 6 2 112 2" xfId="9569" xr:uid="{00000000-0005-0000-0000-000067590000}"/>
    <cellStyle name="Обычный 6 2 112 2 2" xfId="57630" xr:uid="{00000000-0005-0000-0000-000068590000}"/>
    <cellStyle name="Обычный 6 2 112 3" xfId="14909" xr:uid="{00000000-0005-0000-0000-000069590000}"/>
    <cellStyle name="Обычный 6 2 112 4" xfId="20249" xr:uid="{00000000-0005-0000-0000-00006A590000}"/>
    <cellStyle name="Обычный 6 2 112 5" xfId="25589" xr:uid="{00000000-0005-0000-0000-00006B590000}"/>
    <cellStyle name="Обычный 6 2 112 6" xfId="30929" xr:uid="{00000000-0005-0000-0000-00006C590000}"/>
    <cellStyle name="Обычный 6 2 112 7" xfId="36269" xr:uid="{00000000-0005-0000-0000-00006D590000}"/>
    <cellStyle name="Обычный 6 2 112 8" xfId="41609" xr:uid="{00000000-0005-0000-0000-00006E590000}"/>
    <cellStyle name="Обычный 6 2 112 9" xfId="46949" xr:uid="{00000000-0005-0000-0000-00006F590000}"/>
    <cellStyle name="Обычный 6 2 113" xfId="4258" xr:uid="{00000000-0005-0000-0000-000070590000}"/>
    <cellStyle name="Обычный 6 2 113 10" xfId="52321" xr:uid="{00000000-0005-0000-0000-000071590000}"/>
    <cellStyle name="Обычный 6 2 113 2" xfId="9601" xr:uid="{00000000-0005-0000-0000-000072590000}"/>
    <cellStyle name="Обычный 6 2 113 2 2" xfId="57662" xr:uid="{00000000-0005-0000-0000-000073590000}"/>
    <cellStyle name="Обычный 6 2 113 3" xfId="14941" xr:uid="{00000000-0005-0000-0000-000074590000}"/>
    <cellStyle name="Обычный 6 2 113 4" xfId="20281" xr:uid="{00000000-0005-0000-0000-000075590000}"/>
    <cellStyle name="Обычный 6 2 113 5" xfId="25621" xr:uid="{00000000-0005-0000-0000-000076590000}"/>
    <cellStyle name="Обычный 6 2 113 6" xfId="30961" xr:uid="{00000000-0005-0000-0000-000077590000}"/>
    <cellStyle name="Обычный 6 2 113 7" xfId="36301" xr:uid="{00000000-0005-0000-0000-000078590000}"/>
    <cellStyle name="Обычный 6 2 113 8" xfId="41641" xr:uid="{00000000-0005-0000-0000-000079590000}"/>
    <cellStyle name="Обычный 6 2 113 9" xfId="46981" xr:uid="{00000000-0005-0000-0000-00007A590000}"/>
    <cellStyle name="Обычный 6 2 114" xfId="4290" xr:uid="{00000000-0005-0000-0000-00007B590000}"/>
    <cellStyle name="Обычный 6 2 114 10" xfId="52353" xr:uid="{00000000-0005-0000-0000-00007C590000}"/>
    <cellStyle name="Обычный 6 2 114 2" xfId="9633" xr:uid="{00000000-0005-0000-0000-00007D590000}"/>
    <cellStyle name="Обычный 6 2 114 2 2" xfId="57694" xr:uid="{00000000-0005-0000-0000-00007E590000}"/>
    <cellStyle name="Обычный 6 2 114 3" xfId="14973" xr:uid="{00000000-0005-0000-0000-00007F590000}"/>
    <cellStyle name="Обычный 6 2 114 4" xfId="20313" xr:uid="{00000000-0005-0000-0000-000080590000}"/>
    <cellStyle name="Обычный 6 2 114 5" xfId="25653" xr:uid="{00000000-0005-0000-0000-000081590000}"/>
    <cellStyle name="Обычный 6 2 114 6" xfId="30993" xr:uid="{00000000-0005-0000-0000-000082590000}"/>
    <cellStyle name="Обычный 6 2 114 7" xfId="36333" xr:uid="{00000000-0005-0000-0000-000083590000}"/>
    <cellStyle name="Обычный 6 2 114 8" xfId="41673" xr:uid="{00000000-0005-0000-0000-000084590000}"/>
    <cellStyle name="Обычный 6 2 114 9" xfId="47013" xr:uid="{00000000-0005-0000-0000-000085590000}"/>
    <cellStyle name="Обычный 6 2 115" xfId="4322" xr:uid="{00000000-0005-0000-0000-000086590000}"/>
    <cellStyle name="Обычный 6 2 115 10" xfId="52385" xr:uid="{00000000-0005-0000-0000-000087590000}"/>
    <cellStyle name="Обычный 6 2 115 2" xfId="9665" xr:uid="{00000000-0005-0000-0000-000088590000}"/>
    <cellStyle name="Обычный 6 2 115 2 2" xfId="57726" xr:uid="{00000000-0005-0000-0000-000089590000}"/>
    <cellStyle name="Обычный 6 2 115 3" xfId="15005" xr:uid="{00000000-0005-0000-0000-00008A590000}"/>
    <cellStyle name="Обычный 6 2 115 4" xfId="20345" xr:uid="{00000000-0005-0000-0000-00008B590000}"/>
    <cellStyle name="Обычный 6 2 115 5" xfId="25685" xr:uid="{00000000-0005-0000-0000-00008C590000}"/>
    <cellStyle name="Обычный 6 2 115 6" xfId="31025" xr:uid="{00000000-0005-0000-0000-00008D590000}"/>
    <cellStyle name="Обычный 6 2 115 7" xfId="36365" xr:uid="{00000000-0005-0000-0000-00008E590000}"/>
    <cellStyle name="Обычный 6 2 115 8" xfId="41705" xr:uid="{00000000-0005-0000-0000-00008F590000}"/>
    <cellStyle name="Обычный 6 2 115 9" xfId="47045" xr:uid="{00000000-0005-0000-0000-000090590000}"/>
    <cellStyle name="Обычный 6 2 116" xfId="4354" xr:uid="{00000000-0005-0000-0000-000091590000}"/>
    <cellStyle name="Обычный 6 2 116 10" xfId="52417" xr:uid="{00000000-0005-0000-0000-000092590000}"/>
    <cellStyle name="Обычный 6 2 116 2" xfId="9697" xr:uid="{00000000-0005-0000-0000-000093590000}"/>
    <cellStyle name="Обычный 6 2 116 2 2" xfId="57758" xr:uid="{00000000-0005-0000-0000-000094590000}"/>
    <cellStyle name="Обычный 6 2 116 3" xfId="15037" xr:uid="{00000000-0005-0000-0000-000095590000}"/>
    <cellStyle name="Обычный 6 2 116 4" xfId="20377" xr:uid="{00000000-0005-0000-0000-000096590000}"/>
    <cellStyle name="Обычный 6 2 116 5" xfId="25717" xr:uid="{00000000-0005-0000-0000-000097590000}"/>
    <cellStyle name="Обычный 6 2 116 6" xfId="31057" xr:uid="{00000000-0005-0000-0000-000098590000}"/>
    <cellStyle name="Обычный 6 2 116 7" xfId="36397" xr:uid="{00000000-0005-0000-0000-000099590000}"/>
    <cellStyle name="Обычный 6 2 116 8" xfId="41737" xr:uid="{00000000-0005-0000-0000-00009A590000}"/>
    <cellStyle name="Обычный 6 2 116 9" xfId="47077" xr:uid="{00000000-0005-0000-0000-00009B590000}"/>
    <cellStyle name="Обычный 6 2 117" xfId="4386" xr:uid="{00000000-0005-0000-0000-00009C590000}"/>
    <cellStyle name="Обычный 6 2 117 10" xfId="52449" xr:uid="{00000000-0005-0000-0000-00009D590000}"/>
    <cellStyle name="Обычный 6 2 117 2" xfId="9729" xr:uid="{00000000-0005-0000-0000-00009E590000}"/>
    <cellStyle name="Обычный 6 2 117 2 2" xfId="57790" xr:uid="{00000000-0005-0000-0000-00009F590000}"/>
    <cellStyle name="Обычный 6 2 117 3" xfId="15069" xr:uid="{00000000-0005-0000-0000-0000A0590000}"/>
    <cellStyle name="Обычный 6 2 117 4" xfId="20409" xr:uid="{00000000-0005-0000-0000-0000A1590000}"/>
    <cellStyle name="Обычный 6 2 117 5" xfId="25749" xr:uid="{00000000-0005-0000-0000-0000A2590000}"/>
    <cellStyle name="Обычный 6 2 117 6" xfId="31089" xr:uid="{00000000-0005-0000-0000-0000A3590000}"/>
    <cellStyle name="Обычный 6 2 117 7" xfId="36429" xr:uid="{00000000-0005-0000-0000-0000A4590000}"/>
    <cellStyle name="Обычный 6 2 117 8" xfId="41769" xr:uid="{00000000-0005-0000-0000-0000A5590000}"/>
    <cellStyle name="Обычный 6 2 117 9" xfId="47109" xr:uid="{00000000-0005-0000-0000-0000A6590000}"/>
    <cellStyle name="Обычный 6 2 118" xfId="4418" xr:uid="{00000000-0005-0000-0000-0000A7590000}"/>
    <cellStyle name="Обычный 6 2 118 10" xfId="52481" xr:uid="{00000000-0005-0000-0000-0000A8590000}"/>
    <cellStyle name="Обычный 6 2 118 2" xfId="9761" xr:uid="{00000000-0005-0000-0000-0000A9590000}"/>
    <cellStyle name="Обычный 6 2 118 2 2" xfId="57822" xr:uid="{00000000-0005-0000-0000-0000AA590000}"/>
    <cellStyle name="Обычный 6 2 118 3" xfId="15101" xr:uid="{00000000-0005-0000-0000-0000AB590000}"/>
    <cellStyle name="Обычный 6 2 118 4" xfId="20441" xr:uid="{00000000-0005-0000-0000-0000AC590000}"/>
    <cellStyle name="Обычный 6 2 118 5" xfId="25781" xr:uid="{00000000-0005-0000-0000-0000AD590000}"/>
    <cellStyle name="Обычный 6 2 118 6" xfId="31121" xr:uid="{00000000-0005-0000-0000-0000AE590000}"/>
    <cellStyle name="Обычный 6 2 118 7" xfId="36461" xr:uid="{00000000-0005-0000-0000-0000AF590000}"/>
    <cellStyle name="Обычный 6 2 118 8" xfId="41801" xr:uid="{00000000-0005-0000-0000-0000B0590000}"/>
    <cellStyle name="Обычный 6 2 118 9" xfId="47141" xr:uid="{00000000-0005-0000-0000-0000B1590000}"/>
    <cellStyle name="Обычный 6 2 119" xfId="4450" xr:uid="{00000000-0005-0000-0000-0000B2590000}"/>
    <cellStyle name="Обычный 6 2 119 10" xfId="52513" xr:uid="{00000000-0005-0000-0000-0000B3590000}"/>
    <cellStyle name="Обычный 6 2 119 2" xfId="9793" xr:uid="{00000000-0005-0000-0000-0000B4590000}"/>
    <cellStyle name="Обычный 6 2 119 2 2" xfId="57854" xr:uid="{00000000-0005-0000-0000-0000B5590000}"/>
    <cellStyle name="Обычный 6 2 119 3" xfId="15133" xr:uid="{00000000-0005-0000-0000-0000B6590000}"/>
    <cellStyle name="Обычный 6 2 119 4" xfId="20473" xr:uid="{00000000-0005-0000-0000-0000B7590000}"/>
    <cellStyle name="Обычный 6 2 119 5" xfId="25813" xr:uid="{00000000-0005-0000-0000-0000B8590000}"/>
    <cellStyle name="Обычный 6 2 119 6" xfId="31153" xr:uid="{00000000-0005-0000-0000-0000B9590000}"/>
    <cellStyle name="Обычный 6 2 119 7" xfId="36493" xr:uid="{00000000-0005-0000-0000-0000BA590000}"/>
    <cellStyle name="Обычный 6 2 119 8" xfId="41833" xr:uid="{00000000-0005-0000-0000-0000BB590000}"/>
    <cellStyle name="Обычный 6 2 119 9" xfId="47173" xr:uid="{00000000-0005-0000-0000-0000BC590000}"/>
    <cellStyle name="Обычный 6 2 12" xfId="1236" xr:uid="{00000000-0005-0000-0000-0000BD590000}"/>
    <cellStyle name="Обычный 6 2 12 10" xfId="49299" xr:uid="{00000000-0005-0000-0000-0000BE590000}"/>
    <cellStyle name="Обычный 6 2 12 2" xfId="6578" xr:uid="{00000000-0005-0000-0000-0000BF590000}"/>
    <cellStyle name="Обычный 6 2 12 2 2" xfId="54640" xr:uid="{00000000-0005-0000-0000-0000C0590000}"/>
    <cellStyle name="Обычный 6 2 12 3" xfId="11919" xr:uid="{00000000-0005-0000-0000-0000C1590000}"/>
    <cellStyle name="Обычный 6 2 12 4" xfId="17259" xr:uid="{00000000-0005-0000-0000-0000C2590000}"/>
    <cellStyle name="Обычный 6 2 12 5" xfId="22599" xr:uid="{00000000-0005-0000-0000-0000C3590000}"/>
    <cellStyle name="Обычный 6 2 12 6" xfId="27939" xr:uid="{00000000-0005-0000-0000-0000C4590000}"/>
    <cellStyle name="Обычный 6 2 12 7" xfId="33279" xr:uid="{00000000-0005-0000-0000-0000C5590000}"/>
    <cellStyle name="Обычный 6 2 12 8" xfId="38619" xr:uid="{00000000-0005-0000-0000-0000C6590000}"/>
    <cellStyle name="Обычный 6 2 12 9" xfId="43959" xr:uid="{00000000-0005-0000-0000-0000C7590000}"/>
    <cellStyle name="Обычный 6 2 120" xfId="4482" xr:uid="{00000000-0005-0000-0000-0000C8590000}"/>
    <cellStyle name="Обычный 6 2 120 10" xfId="52545" xr:uid="{00000000-0005-0000-0000-0000C9590000}"/>
    <cellStyle name="Обычный 6 2 120 2" xfId="9825" xr:uid="{00000000-0005-0000-0000-0000CA590000}"/>
    <cellStyle name="Обычный 6 2 120 2 2" xfId="57886" xr:uid="{00000000-0005-0000-0000-0000CB590000}"/>
    <cellStyle name="Обычный 6 2 120 3" xfId="15165" xr:uid="{00000000-0005-0000-0000-0000CC590000}"/>
    <cellStyle name="Обычный 6 2 120 4" xfId="20505" xr:uid="{00000000-0005-0000-0000-0000CD590000}"/>
    <cellStyle name="Обычный 6 2 120 5" xfId="25845" xr:uid="{00000000-0005-0000-0000-0000CE590000}"/>
    <cellStyle name="Обычный 6 2 120 6" xfId="31185" xr:uid="{00000000-0005-0000-0000-0000CF590000}"/>
    <cellStyle name="Обычный 6 2 120 7" xfId="36525" xr:uid="{00000000-0005-0000-0000-0000D0590000}"/>
    <cellStyle name="Обычный 6 2 120 8" xfId="41865" xr:uid="{00000000-0005-0000-0000-0000D1590000}"/>
    <cellStyle name="Обычный 6 2 120 9" xfId="47205" xr:uid="{00000000-0005-0000-0000-0000D2590000}"/>
    <cellStyle name="Обычный 6 2 121" xfId="4514" xr:uid="{00000000-0005-0000-0000-0000D3590000}"/>
    <cellStyle name="Обычный 6 2 121 10" xfId="52577" xr:uid="{00000000-0005-0000-0000-0000D4590000}"/>
    <cellStyle name="Обычный 6 2 121 2" xfId="9857" xr:uid="{00000000-0005-0000-0000-0000D5590000}"/>
    <cellStyle name="Обычный 6 2 121 2 2" xfId="57918" xr:uid="{00000000-0005-0000-0000-0000D6590000}"/>
    <cellStyle name="Обычный 6 2 121 3" xfId="15197" xr:uid="{00000000-0005-0000-0000-0000D7590000}"/>
    <cellStyle name="Обычный 6 2 121 4" xfId="20537" xr:uid="{00000000-0005-0000-0000-0000D8590000}"/>
    <cellStyle name="Обычный 6 2 121 5" xfId="25877" xr:uid="{00000000-0005-0000-0000-0000D9590000}"/>
    <cellStyle name="Обычный 6 2 121 6" xfId="31217" xr:uid="{00000000-0005-0000-0000-0000DA590000}"/>
    <cellStyle name="Обычный 6 2 121 7" xfId="36557" xr:uid="{00000000-0005-0000-0000-0000DB590000}"/>
    <cellStyle name="Обычный 6 2 121 8" xfId="41897" xr:uid="{00000000-0005-0000-0000-0000DC590000}"/>
    <cellStyle name="Обычный 6 2 121 9" xfId="47237" xr:uid="{00000000-0005-0000-0000-0000DD590000}"/>
    <cellStyle name="Обычный 6 2 122" xfId="4546" xr:uid="{00000000-0005-0000-0000-0000DE590000}"/>
    <cellStyle name="Обычный 6 2 122 10" xfId="52609" xr:uid="{00000000-0005-0000-0000-0000DF590000}"/>
    <cellStyle name="Обычный 6 2 122 2" xfId="9889" xr:uid="{00000000-0005-0000-0000-0000E0590000}"/>
    <cellStyle name="Обычный 6 2 122 2 2" xfId="57950" xr:uid="{00000000-0005-0000-0000-0000E1590000}"/>
    <cellStyle name="Обычный 6 2 122 3" xfId="15229" xr:uid="{00000000-0005-0000-0000-0000E2590000}"/>
    <cellStyle name="Обычный 6 2 122 4" xfId="20569" xr:uid="{00000000-0005-0000-0000-0000E3590000}"/>
    <cellStyle name="Обычный 6 2 122 5" xfId="25909" xr:uid="{00000000-0005-0000-0000-0000E4590000}"/>
    <cellStyle name="Обычный 6 2 122 6" xfId="31249" xr:uid="{00000000-0005-0000-0000-0000E5590000}"/>
    <cellStyle name="Обычный 6 2 122 7" xfId="36589" xr:uid="{00000000-0005-0000-0000-0000E6590000}"/>
    <cellStyle name="Обычный 6 2 122 8" xfId="41929" xr:uid="{00000000-0005-0000-0000-0000E7590000}"/>
    <cellStyle name="Обычный 6 2 122 9" xfId="47269" xr:uid="{00000000-0005-0000-0000-0000E8590000}"/>
    <cellStyle name="Обычный 6 2 123" xfId="4578" xr:uid="{00000000-0005-0000-0000-0000E9590000}"/>
    <cellStyle name="Обычный 6 2 123 10" xfId="52641" xr:uid="{00000000-0005-0000-0000-0000EA590000}"/>
    <cellStyle name="Обычный 6 2 123 2" xfId="9921" xr:uid="{00000000-0005-0000-0000-0000EB590000}"/>
    <cellStyle name="Обычный 6 2 123 2 2" xfId="57982" xr:uid="{00000000-0005-0000-0000-0000EC590000}"/>
    <cellStyle name="Обычный 6 2 123 3" xfId="15261" xr:uid="{00000000-0005-0000-0000-0000ED590000}"/>
    <cellStyle name="Обычный 6 2 123 4" xfId="20601" xr:uid="{00000000-0005-0000-0000-0000EE590000}"/>
    <cellStyle name="Обычный 6 2 123 5" xfId="25941" xr:uid="{00000000-0005-0000-0000-0000EF590000}"/>
    <cellStyle name="Обычный 6 2 123 6" xfId="31281" xr:uid="{00000000-0005-0000-0000-0000F0590000}"/>
    <cellStyle name="Обычный 6 2 123 7" xfId="36621" xr:uid="{00000000-0005-0000-0000-0000F1590000}"/>
    <cellStyle name="Обычный 6 2 123 8" xfId="41961" xr:uid="{00000000-0005-0000-0000-0000F2590000}"/>
    <cellStyle name="Обычный 6 2 123 9" xfId="47301" xr:uid="{00000000-0005-0000-0000-0000F3590000}"/>
    <cellStyle name="Обычный 6 2 124" xfId="4610" xr:uid="{00000000-0005-0000-0000-0000F4590000}"/>
    <cellStyle name="Обычный 6 2 124 10" xfId="52673" xr:uid="{00000000-0005-0000-0000-0000F5590000}"/>
    <cellStyle name="Обычный 6 2 124 2" xfId="9953" xr:uid="{00000000-0005-0000-0000-0000F6590000}"/>
    <cellStyle name="Обычный 6 2 124 2 2" xfId="58014" xr:uid="{00000000-0005-0000-0000-0000F7590000}"/>
    <cellStyle name="Обычный 6 2 124 3" xfId="15293" xr:uid="{00000000-0005-0000-0000-0000F8590000}"/>
    <cellStyle name="Обычный 6 2 124 4" xfId="20633" xr:uid="{00000000-0005-0000-0000-0000F9590000}"/>
    <cellStyle name="Обычный 6 2 124 5" xfId="25973" xr:uid="{00000000-0005-0000-0000-0000FA590000}"/>
    <cellStyle name="Обычный 6 2 124 6" xfId="31313" xr:uid="{00000000-0005-0000-0000-0000FB590000}"/>
    <cellStyle name="Обычный 6 2 124 7" xfId="36653" xr:uid="{00000000-0005-0000-0000-0000FC590000}"/>
    <cellStyle name="Обычный 6 2 124 8" xfId="41993" xr:uid="{00000000-0005-0000-0000-0000FD590000}"/>
    <cellStyle name="Обычный 6 2 124 9" xfId="47333" xr:uid="{00000000-0005-0000-0000-0000FE590000}"/>
    <cellStyle name="Обычный 6 2 125" xfId="4642" xr:uid="{00000000-0005-0000-0000-0000FF590000}"/>
    <cellStyle name="Обычный 6 2 125 10" xfId="52705" xr:uid="{00000000-0005-0000-0000-0000005A0000}"/>
    <cellStyle name="Обычный 6 2 125 2" xfId="9985" xr:uid="{00000000-0005-0000-0000-0000015A0000}"/>
    <cellStyle name="Обычный 6 2 125 2 2" xfId="58046" xr:uid="{00000000-0005-0000-0000-0000025A0000}"/>
    <cellStyle name="Обычный 6 2 125 3" xfId="15325" xr:uid="{00000000-0005-0000-0000-0000035A0000}"/>
    <cellStyle name="Обычный 6 2 125 4" xfId="20665" xr:uid="{00000000-0005-0000-0000-0000045A0000}"/>
    <cellStyle name="Обычный 6 2 125 5" xfId="26005" xr:uid="{00000000-0005-0000-0000-0000055A0000}"/>
    <cellStyle name="Обычный 6 2 125 6" xfId="31345" xr:uid="{00000000-0005-0000-0000-0000065A0000}"/>
    <cellStyle name="Обычный 6 2 125 7" xfId="36685" xr:uid="{00000000-0005-0000-0000-0000075A0000}"/>
    <cellStyle name="Обычный 6 2 125 8" xfId="42025" xr:uid="{00000000-0005-0000-0000-0000085A0000}"/>
    <cellStyle name="Обычный 6 2 125 9" xfId="47365" xr:uid="{00000000-0005-0000-0000-0000095A0000}"/>
    <cellStyle name="Обычный 6 2 126" xfId="4674" xr:uid="{00000000-0005-0000-0000-00000A5A0000}"/>
    <cellStyle name="Обычный 6 2 126 10" xfId="52737" xr:uid="{00000000-0005-0000-0000-00000B5A0000}"/>
    <cellStyle name="Обычный 6 2 126 2" xfId="10017" xr:uid="{00000000-0005-0000-0000-00000C5A0000}"/>
    <cellStyle name="Обычный 6 2 126 2 2" xfId="58078" xr:uid="{00000000-0005-0000-0000-00000D5A0000}"/>
    <cellStyle name="Обычный 6 2 126 3" xfId="15357" xr:uid="{00000000-0005-0000-0000-00000E5A0000}"/>
    <cellStyle name="Обычный 6 2 126 4" xfId="20697" xr:uid="{00000000-0005-0000-0000-00000F5A0000}"/>
    <cellStyle name="Обычный 6 2 126 5" xfId="26037" xr:uid="{00000000-0005-0000-0000-0000105A0000}"/>
    <cellStyle name="Обычный 6 2 126 6" xfId="31377" xr:uid="{00000000-0005-0000-0000-0000115A0000}"/>
    <cellStyle name="Обычный 6 2 126 7" xfId="36717" xr:uid="{00000000-0005-0000-0000-0000125A0000}"/>
    <cellStyle name="Обычный 6 2 126 8" xfId="42057" xr:uid="{00000000-0005-0000-0000-0000135A0000}"/>
    <cellStyle name="Обычный 6 2 126 9" xfId="47397" xr:uid="{00000000-0005-0000-0000-0000145A0000}"/>
    <cellStyle name="Обычный 6 2 127" xfId="4706" xr:uid="{00000000-0005-0000-0000-0000155A0000}"/>
    <cellStyle name="Обычный 6 2 127 10" xfId="52769" xr:uid="{00000000-0005-0000-0000-0000165A0000}"/>
    <cellStyle name="Обычный 6 2 127 2" xfId="10049" xr:uid="{00000000-0005-0000-0000-0000175A0000}"/>
    <cellStyle name="Обычный 6 2 127 2 2" xfId="58110" xr:uid="{00000000-0005-0000-0000-0000185A0000}"/>
    <cellStyle name="Обычный 6 2 127 3" xfId="15389" xr:uid="{00000000-0005-0000-0000-0000195A0000}"/>
    <cellStyle name="Обычный 6 2 127 4" xfId="20729" xr:uid="{00000000-0005-0000-0000-00001A5A0000}"/>
    <cellStyle name="Обычный 6 2 127 5" xfId="26069" xr:uid="{00000000-0005-0000-0000-00001B5A0000}"/>
    <cellStyle name="Обычный 6 2 127 6" xfId="31409" xr:uid="{00000000-0005-0000-0000-00001C5A0000}"/>
    <cellStyle name="Обычный 6 2 127 7" xfId="36749" xr:uid="{00000000-0005-0000-0000-00001D5A0000}"/>
    <cellStyle name="Обычный 6 2 127 8" xfId="42089" xr:uid="{00000000-0005-0000-0000-00001E5A0000}"/>
    <cellStyle name="Обычный 6 2 127 9" xfId="47429" xr:uid="{00000000-0005-0000-0000-00001F5A0000}"/>
    <cellStyle name="Обычный 6 2 128" xfId="4740" xr:uid="{00000000-0005-0000-0000-0000205A0000}"/>
    <cellStyle name="Обычный 6 2 128 10" xfId="52803" xr:uid="{00000000-0005-0000-0000-0000215A0000}"/>
    <cellStyle name="Обычный 6 2 128 2" xfId="10083" xr:uid="{00000000-0005-0000-0000-0000225A0000}"/>
    <cellStyle name="Обычный 6 2 128 2 2" xfId="58144" xr:uid="{00000000-0005-0000-0000-0000235A0000}"/>
    <cellStyle name="Обычный 6 2 128 3" xfId="15423" xr:uid="{00000000-0005-0000-0000-0000245A0000}"/>
    <cellStyle name="Обычный 6 2 128 4" xfId="20763" xr:uid="{00000000-0005-0000-0000-0000255A0000}"/>
    <cellStyle name="Обычный 6 2 128 5" xfId="26103" xr:uid="{00000000-0005-0000-0000-0000265A0000}"/>
    <cellStyle name="Обычный 6 2 128 6" xfId="31443" xr:uid="{00000000-0005-0000-0000-0000275A0000}"/>
    <cellStyle name="Обычный 6 2 128 7" xfId="36783" xr:uid="{00000000-0005-0000-0000-0000285A0000}"/>
    <cellStyle name="Обычный 6 2 128 8" xfId="42123" xr:uid="{00000000-0005-0000-0000-0000295A0000}"/>
    <cellStyle name="Обычный 6 2 128 9" xfId="47463" xr:uid="{00000000-0005-0000-0000-00002A5A0000}"/>
    <cellStyle name="Обычный 6 2 129" xfId="4772" xr:uid="{00000000-0005-0000-0000-00002B5A0000}"/>
    <cellStyle name="Обычный 6 2 129 10" xfId="52835" xr:uid="{00000000-0005-0000-0000-00002C5A0000}"/>
    <cellStyle name="Обычный 6 2 129 2" xfId="10115" xr:uid="{00000000-0005-0000-0000-00002D5A0000}"/>
    <cellStyle name="Обычный 6 2 129 2 2" xfId="58176" xr:uid="{00000000-0005-0000-0000-00002E5A0000}"/>
    <cellStyle name="Обычный 6 2 129 3" xfId="15455" xr:uid="{00000000-0005-0000-0000-00002F5A0000}"/>
    <cellStyle name="Обычный 6 2 129 4" xfId="20795" xr:uid="{00000000-0005-0000-0000-0000305A0000}"/>
    <cellStyle name="Обычный 6 2 129 5" xfId="26135" xr:uid="{00000000-0005-0000-0000-0000315A0000}"/>
    <cellStyle name="Обычный 6 2 129 6" xfId="31475" xr:uid="{00000000-0005-0000-0000-0000325A0000}"/>
    <cellStyle name="Обычный 6 2 129 7" xfId="36815" xr:uid="{00000000-0005-0000-0000-0000335A0000}"/>
    <cellStyle name="Обычный 6 2 129 8" xfId="42155" xr:uid="{00000000-0005-0000-0000-0000345A0000}"/>
    <cellStyle name="Обычный 6 2 129 9" xfId="47495" xr:uid="{00000000-0005-0000-0000-0000355A0000}"/>
    <cellStyle name="Обычный 6 2 13" xfId="1262" xr:uid="{00000000-0005-0000-0000-0000365A0000}"/>
    <cellStyle name="Обычный 6 2 13 10" xfId="49325" xr:uid="{00000000-0005-0000-0000-0000375A0000}"/>
    <cellStyle name="Обычный 6 2 13 2" xfId="6604" xr:uid="{00000000-0005-0000-0000-0000385A0000}"/>
    <cellStyle name="Обычный 6 2 13 2 2" xfId="54666" xr:uid="{00000000-0005-0000-0000-0000395A0000}"/>
    <cellStyle name="Обычный 6 2 13 3" xfId="11945" xr:uid="{00000000-0005-0000-0000-00003A5A0000}"/>
    <cellStyle name="Обычный 6 2 13 4" xfId="17285" xr:uid="{00000000-0005-0000-0000-00003B5A0000}"/>
    <cellStyle name="Обычный 6 2 13 5" xfId="22625" xr:uid="{00000000-0005-0000-0000-00003C5A0000}"/>
    <cellStyle name="Обычный 6 2 13 6" xfId="27965" xr:uid="{00000000-0005-0000-0000-00003D5A0000}"/>
    <cellStyle name="Обычный 6 2 13 7" xfId="33305" xr:uid="{00000000-0005-0000-0000-00003E5A0000}"/>
    <cellStyle name="Обычный 6 2 13 8" xfId="38645" xr:uid="{00000000-0005-0000-0000-00003F5A0000}"/>
    <cellStyle name="Обычный 6 2 13 9" xfId="43985" xr:uid="{00000000-0005-0000-0000-0000405A0000}"/>
    <cellStyle name="Обычный 6 2 130" xfId="4804" xr:uid="{00000000-0005-0000-0000-0000415A0000}"/>
    <cellStyle name="Обычный 6 2 130 10" xfId="52867" xr:uid="{00000000-0005-0000-0000-0000425A0000}"/>
    <cellStyle name="Обычный 6 2 130 2" xfId="10147" xr:uid="{00000000-0005-0000-0000-0000435A0000}"/>
    <cellStyle name="Обычный 6 2 130 2 2" xfId="58208" xr:uid="{00000000-0005-0000-0000-0000445A0000}"/>
    <cellStyle name="Обычный 6 2 130 3" xfId="15487" xr:uid="{00000000-0005-0000-0000-0000455A0000}"/>
    <cellStyle name="Обычный 6 2 130 4" xfId="20827" xr:uid="{00000000-0005-0000-0000-0000465A0000}"/>
    <cellStyle name="Обычный 6 2 130 5" xfId="26167" xr:uid="{00000000-0005-0000-0000-0000475A0000}"/>
    <cellStyle name="Обычный 6 2 130 6" xfId="31507" xr:uid="{00000000-0005-0000-0000-0000485A0000}"/>
    <cellStyle name="Обычный 6 2 130 7" xfId="36847" xr:uid="{00000000-0005-0000-0000-0000495A0000}"/>
    <cellStyle name="Обычный 6 2 130 8" xfId="42187" xr:uid="{00000000-0005-0000-0000-00004A5A0000}"/>
    <cellStyle name="Обычный 6 2 130 9" xfId="47527" xr:uid="{00000000-0005-0000-0000-00004B5A0000}"/>
    <cellStyle name="Обычный 6 2 131" xfId="4836" xr:uid="{00000000-0005-0000-0000-00004C5A0000}"/>
    <cellStyle name="Обычный 6 2 131 10" xfId="52899" xr:uid="{00000000-0005-0000-0000-00004D5A0000}"/>
    <cellStyle name="Обычный 6 2 131 2" xfId="10179" xr:uid="{00000000-0005-0000-0000-00004E5A0000}"/>
    <cellStyle name="Обычный 6 2 131 2 2" xfId="58240" xr:uid="{00000000-0005-0000-0000-00004F5A0000}"/>
    <cellStyle name="Обычный 6 2 131 3" xfId="15519" xr:uid="{00000000-0005-0000-0000-0000505A0000}"/>
    <cellStyle name="Обычный 6 2 131 4" xfId="20859" xr:uid="{00000000-0005-0000-0000-0000515A0000}"/>
    <cellStyle name="Обычный 6 2 131 5" xfId="26199" xr:uid="{00000000-0005-0000-0000-0000525A0000}"/>
    <cellStyle name="Обычный 6 2 131 6" xfId="31539" xr:uid="{00000000-0005-0000-0000-0000535A0000}"/>
    <cellStyle name="Обычный 6 2 131 7" xfId="36879" xr:uid="{00000000-0005-0000-0000-0000545A0000}"/>
    <cellStyle name="Обычный 6 2 131 8" xfId="42219" xr:uid="{00000000-0005-0000-0000-0000555A0000}"/>
    <cellStyle name="Обычный 6 2 131 9" xfId="47559" xr:uid="{00000000-0005-0000-0000-0000565A0000}"/>
    <cellStyle name="Обычный 6 2 132" xfId="4868" xr:uid="{00000000-0005-0000-0000-0000575A0000}"/>
    <cellStyle name="Обычный 6 2 132 10" xfId="52931" xr:uid="{00000000-0005-0000-0000-0000585A0000}"/>
    <cellStyle name="Обычный 6 2 132 2" xfId="10211" xr:uid="{00000000-0005-0000-0000-0000595A0000}"/>
    <cellStyle name="Обычный 6 2 132 2 2" xfId="58272" xr:uid="{00000000-0005-0000-0000-00005A5A0000}"/>
    <cellStyle name="Обычный 6 2 132 3" xfId="15551" xr:uid="{00000000-0005-0000-0000-00005B5A0000}"/>
    <cellStyle name="Обычный 6 2 132 4" xfId="20891" xr:uid="{00000000-0005-0000-0000-00005C5A0000}"/>
    <cellStyle name="Обычный 6 2 132 5" xfId="26231" xr:uid="{00000000-0005-0000-0000-00005D5A0000}"/>
    <cellStyle name="Обычный 6 2 132 6" xfId="31571" xr:uid="{00000000-0005-0000-0000-00005E5A0000}"/>
    <cellStyle name="Обычный 6 2 132 7" xfId="36911" xr:uid="{00000000-0005-0000-0000-00005F5A0000}"/>
    <cellStyle name="Обычный 6 2 132 8" xfId="42251" xr:uid="{00000000-0005-0000-0000-0000605A0000}"/>
    <cellStyle name="Обычный 6 2 132 9" xfId="47591" xr:uid="{00000000-0005-0000-0000-0000615A0000}"/>
    <cellStyle name="Обычный 6 2 133" xfId="4900" xr:uid="{00000000-0005-0000-0000-0000625A0000}"/>
    <cellStyle name="Обычный 6 2 133 10" xfId="52963" xr:uid="{00000000-0005-0000-0000-0000635A0000}"/>
    <cellStyle name="Обычный 6 2 133 2" xfId="10243" xr:uid="{00000000-0005-0000-0000-0000645A0000}"/>
    <cellStyle name="Обычный 6 2 133 2 2" xfId="58304" xr:uid="{00000000-0005-0000-0000-0000655A0000}"/>
    <cellStyle name="Обычный 6 2 133 3" xfId="15583" xr:uid="{00000000-0005-0000-0000-0000665A0000}"/>
    <cellStyle name="Обычный 6 2 133 4" xfId="20923" xr:uid="{00000000-0005-0000-0000-0000675A0000}"/>
    <cellStyle name="Обычный 6 2 133 5" xfId="26263" xr:uid="{00000000-0005-0000-0000-0000685A0000}"/>
    <cellStyle name="Обычный 6 2 133 6" xfId="31603" xr:uid="{00000000-0005-0000-0000-0000695A0000}"/>
    <cellStyle name="Обычный 6 2 133 7" xfId="36943" xr:uid="{00000000-0005-0000-0000-00006A5A0000}"/>
    <cellStyle name="Обычный 6 2 133 8" xfId="42283" xr:uid="{00000000-0005-0000-0000-00006B5A0000}"/>
    <cellStyle name="Обычный 6 2 133 9" xfId="47623" xr:uid="{00000000-0005-0000-0000-00006C5A0000}"/>
    <cellStyle name="Обычный 6 2 134" xfId="4932" xr:uid="{00000000-0005-0000-0000-00006D5A0000}"/>
    <cellStyle name="Обычный 6 2 134 10" xfId="52995" xr:uid="{00000000-0005-0000-0000-00006E5A0000}"/>
    <cellStyle name="Обычный 6 2 134 2" xfId="10275" xr:uid="{00000000-0005-0000-0000-00006F5A0000}"/>
    <cellStyle name="Обычный 6 2 134 2 2" xfId="58336" xr:uid="{00000000-0005-0000-0000-0000705A0000}"/>
    <cellStyle name="Обычный 6 2 134 3" xfId="15615" xr:uid="{00000000-0005-0000-0000-0000715A0000}"/>
    <cellStyle name="Обычный 6 2 134 4" xfId="20955" xr:uid="{00000000-0005-0000-0000-0000725A0000}"/>
    <cellStyle name="Обычный 6 2 134 5" xfId="26295" xr:uid="{00000000-0005-0000-0000-0000735A0000}"/>
    <cellStyle name="Обычный 6 2 134 6" xfId="31635" xr:uid="{00000000-0005-0000-0000-0000745A0000}"/>
    <cellStyle name="Обычный 6 2 134 7" xfId="36975" xr:uid="{00000000-0005-0000-0000-0000755A0000}"/>
    <cellStyle name="Обычный 6 2 134 8" xfId="42315" xr:uid="{00000000-0005-0000-0000-0000765A0000}"/>
    <cellStyle name="Обычный 6 2 134 9" xfId="47655" xr:uid="{00000000-0005-0000-0000-0000775A0000}"/>
    <cellStyle name="Обычный 6 2 135" xfId="4964" xr:uid="{00000000-0005-0000-0000-0000785A0000}"/>
    <cellStyle name="Обычный 6 2 135 10" xfId="53027" xr:uid="{00000000-0005-0000-0000-0000795A0000}"/>
    <cellStyle name="Обычный 6 2 135 2" xfId="10307" xr:uid="{00000000-0005-0000-0000-00007A5A0000}"/>
    <cellStyle name="Обычный 6 2 135 2 2" xfId="58368" xr:uid="{00000000-0005-0000-0000-00007B5A0000}"/>
    <cellStyle name="Обычный 6 2 135 3" xfId="15647" xr:uid="{00000000-0005-0000-0000-00007C5A0000}"/>
    <cellStyle name="Обычный 6 2 135 4" xfId="20987" xr:uid="{00000000-0005-0000-0000-00007D5A0000}"/>
    <cellStyle name="Обычный 6 2 135 5" xfId="26327" xr:uid="{00000000-0005-0000-0000-00007E5A0000}"/>
    <cellStyle name="Обычный 6 2 135 6" xfId="31667" xr:uid="{00000000-0005-0000-0000-00007F5A0000}"/>
    <cellStyle name="Обычный 6 2 135 7" xfId="37007" xr:uid="{00000000-0005-0000-0000-0000805A0000}"/>
    <cellStyle name="Обычный 6 2 135 8" xfId="42347" xr:uid="{00000000-0005-0000-0000-0000815A0000}"/>
    <cellStyle name="Обычный 6 2 135 9" xfId="47687" xr:uid="{00000000-0005-0000-0000-0000825A0000}"/>
    <cellStyle name="Обычный 6 2 136" xfId="4996" xr:uid="{00000000-0005-0000-0000-0000835A0000}"/>
    <cellStyle name="Обычный 6 2 136 10" xfId="53059" xr:uid="{00000000-0005-0000-0000-0000845A0000}"/>
    <cellStyle name="Обычный 6 2 136 2" xfId="10339" xr:uid="{00000000-0005-0000-0000-0000855A0000}"/>
    <cellStyle name="Обычный 6 2 136 2 2" xfId="58400" xr:uid="{00000000-0005-0000-0000-0000865A0000}"/>
    <cellStyle name="Обычный 6 2 136 3" xfId="15679" xr:uid="{00000000-0005-0000-0000-0000875A0000}"/>
    <cellStyle name="Обычный 6 2 136 4" xfId="21019" xr:uid="{00000000-0005-0000-0000-0000885A0000}"/>
    <cellStyle name="Обычный 6 2 136 5" xfId="26359" xr:uid="{00000000-0005-0000-0000-0000895A0000}"/>
    <cellStyle name="Обычный 6 2 136 6" xfId="31699" xr:uid="{00000000-0005-0000-0000-00008A5A0000}"/>
    <cellStyle name="Обычный 6 2 136 7" xfId="37039" xr:uid="{00000000-0005-0000-0000-00008B5A0000}"/>
    <cellStyle name="Обычный 6 2 136 8" xfId="42379" xr:uid="{00000000-0005-0000-0000-00008C5A0000}"/>
    <cellStyle name="Обычный 6 2 136 9" xfId="47719" xr:uid="{00000000-0005-0000-0000-00008D5A0000}"/>
    <cellStyle name="Обычный 6 2 137" xfId="5028" xr:uid="{00000000-0005-0000-0000-00008E5A0000}"/>
    <cellStyle name="Обычный 6 2 137 10" xfId="53091" xr:uid="{00000000-0005-0000-0000-00008F5A0000}"/>
    <cellStyle name="Обычный 6 2 137 2" xfId="10371" xr:uid="{00000000-0005-0000-0000-0000905A0000}"/>
    <cellStyle name="Обычный 6 2 137 2 2" xfId="58432" xr:uid="{00000000-0005-0000-0000-0000915A0000}"/>
    <cellStyle name="Обычный 6 2 137 3" xfId="15711" xr:uid="{00000000-0005-0000-0000-0000925A0000}"/>
    <cellStyle name="Обычный 6 2 137 4" xfId="21051" xr:uid="{00000000-0005-0000-0000-0000935A0000}"/>
    <cellStyle name="Обычный 6 2 137 5" xfId="26391" xr:uid="{00000000-0005-0000-0000-0000945A0000}"/>
    <cellStyle name="Обычный 6 2 137 6" xfId="31731" xr:uid="{00000000-0005-0000-0000-0000955A0000}"/>
    <cellStyle name="Обычный 6 2 137 7" xfId="37071" xr:uid="{00000000-0005-0000-0000-0000965A0000}"/>
    <cellStyle name="Обычный 6 2 137 8" xfId="42411" xr:uid="{00000000-0005-0000-0000-0000975A0000}"/>
    <cellStyle name="Обычный 6 2 137 9" xfId="47751" xr:uid="{00000000-0005-0000-0000-0000985A0000}"/>
    <cellStyle name="Обычный 6 2 138" xfId="5060" xr:uid="{00000000-0005-0000-0000-0000995A0000}"/>
    <cellStyle name="Обычный 6 2 138 10" xfId="53123" xr:uid="{00000000-0005-0000-0000-00009A5A0000}"/>
    <cellStyle name="Обычный 6 2 138 2" xfId="10403" xr:uid="{00000000-0005-0000-0000-00009B5A0000}"/>
    <cellStyle name="Обычный 6 2 138 2 2" xfId="58464" xr:uid="{00000000-0005-0000-0000-00009C5A0000}"/>
    <cellStyle name="Обычный 6 2 138 3" xfId="15743" xr:uid="{00000000-0005-0000-0000-00009D5A0000}"/>
    <cellStyle name="Обычный 6 2 138 4" xfId="21083" xr:uid="{00000000-0005-0000-0000-00009E5A0000}"/>
    <cellStyle name="Обычный 6 2 138 5" xfId="26423" xr:uid="{00000000-0005-0000-0000-00009F5A0000}"/>
    <cellStyle name="Обычный 6 2 138 6" xfId="31763" xr:uid="{00000000-0005-0000-0000-0000A05A0000}"/>
    <cellStyle name="Обычный 6 2 138 7" xfId="37103" xr:uid="{00000000-0005-0000-0000-0000A15A0000}"/>
    <cellStyle name="Обычный 6 2 138 8" xfId="42443" xr:uid="{00000000-0005-0000-0000-0000A25A0000}"/>
    <cellStyle name="Обычный 6 2 138 9" xfId="47783" xr:uid="{00000000-0005-0000-0000-0000A35A0000}"/>
    <cellStyle name="Обычный 6 2 139" xfId="5092" xr:uid="{00000000-0005-0000-0000-0000A45A0000}"/>
    <cellStyle name="Обычный 6 2 139 10" xfId="53155" xr:uid="{00000000-0005-0000-0000-0000A55A0000}"/>
    <cellStyle name="Обычный 6 2 139 2" xfId="10435" xr:uid="{00000000-0005-0000-0000-0000A65A0000}"/>
    <cellStyle name="Обычный 6 2 139 2 2" xfId="58496" xr:uid="{00000000-0005-0000-0000-0000A75A0000}"/>
    <cellStyle name="Обычный 6 2 139 3" xfId="15775" xr:uid="{00000000-0005-0000-0000-0000A85A0000}"/>
    <cellStyle name="Обычный 6 2 139 4" xfId="21115" xr:uid="{00000000-0005-0000-0000-0000A95A0000}"/>
    <cellStyle name="Обычный 6 2 139 5" xfId="26455" xr:uid="{00000000-0005-0000-0000-0000AA5A0000}"/>
    <cellStyle name="Обычный 6 2 139 6" xfId="31795" xr:uid="{00000000-0005-0000-0000-0000AB5A0000}"/>
    <cellStyle name="Обычный 6 2 139 7" xfId="37135" xr:uid="{00000000-0005-0000-0000-0000AC5A0000}"/>
    <cellStyle name="Обычный 6 2 139 8" xfId="42475" xr:uid="{00000000-0005-0000-0000-0000AD5A0000}"/>
    <cellStyle name="Обычный 6 2 139 9" xfId="47815" xr:uid="{00000000-0005-0000-0000-0000AE5A0000}"/>
    <cellStyle name="Обычный 6 2 14" xfId="1288" xr:uid="{00000000-0005-0000-0000-0000AF5A0000}"/>
    <cellStyle name="Обычный 6 2 14 10" xfId="49351" xr:uid="{00000000-0005-0000-0000-0000B05A0000}"/>
    <cellStyle name="Обычный 6 2 14 2" xfId="6630" xr:uid="{00000000-0005-0000-0000-0000B15A0000}"/>
    <cellStyle name="Обычный 6 2 14 2 2" xfId="54692" xr:uid="{00000000-0005-0000-0000-0000B25A0000}"/>
    <cellStyle name="Обычный 6 2 14 3" xfId="11971" xr:uid="{00000000-0005-0000-0000-0000B35A0000}"/>
    <cellStyle name="Обычный 6 2 14 4" xfId="17311" xr:uid="{00000000-0005-0000-0000-0000B45A0000}"/>
    <cellStyle name="Обычный 6 2 14 5" xfId="22651" xr:uid="{00000000-0005-0000-0000-0000B55A0000}"/>
    <cellStyle name="Обычный 6 2 14 6" xfId="27991" xr:uid="{00000000-0005-0000-0000-0000B65A0000}"/>
    <cellStyle name="Обычный 6 2 14 7" xfId="33331" xr:uid="{00000000-0005-0000-0000-0000B75A0000}"/>
    <cellStyle name="Обычный 6 2 14 8" xfId="38671" xr:uid="{00000000-0005-0000-0000-0000B85A0000}"/>
    <cellStyle name="Обычный 6 2 14 9" xfId="44011" xr:uid="{00000000-0005-0000-0000-0000B95A0000}"/>
    <cellStyle name="Обычный 6 2 140" xfId="5124" xr:uid="{00000000-0005-0000-0000-0000BA5A0000}"/>
    <cellStyle name="Обычный 6 2 140 10" xfId="53187" xr:uid="{00000000-0005-0000-0000-0000BB5A0000}"/>
    <cellStyle name="Обычный 6 2 140 2" xfId="10467" xr:uid="{00000000-0005-0000-0000-0000BC5A0000}"/>
    <cellStyle name="Обычный 6 2 140 2 2" xfId="58528" xr:uid="{00000000-0005-0000-0000-0000BD5A0000}"/>
    <cellStyle name="Обычный 6 2 140 3" xfId="15807" xr:uid="{00000000-0005-0000-0000-0000BE5A0000}"/>
    <cellStyle name="Обычный 6 2 140 4" xfId="21147" xr:uid="{00000000-0005-0000-0000-0000BF5A0000}"/>
    <cellStyle name="Обычный 6 2 140 5" xfId="26487" xr:uid="{00000000-0005-0000-0000-0000C05A0000}"/>
    <cellStyle name="Обычный 6 2 140 6" xfId="31827" xr:uid="{00000000-0005-0000-0000-0000C15A0000}"/>
    <cellStyle name="Обычный 6 2 140 7" xfId="37167" xr:uid="{00000000-0005-0000-0000-0000C25A0000}"/>
    <cellStyle name="Обычный 6 2 140 8" xfId="42507" xr:uid="{00000000-0005-0000-0000-0000C35A0000}"/>
    <cellStyle name="Обычный 6 2 140 9" xfId="47847" xr:uid="{00000000-0005-0000-0000-0000C45A0000}"/>
    <cellStyle name="Обычный 6 2 141" xfId="5156" xr:uid="{00000000-0005-0000-0000-0000C55A0000}"/>
    <cellStyle name="Обычный 6 2 141 10" xfId="53219" xr:uid="{00000000-0005-0000-0000-0000C65A0000}"/>
    <cellStyle name="Обычный 6 2 141 2" xfId="10499" xr:uid="{00000000-0005-0000-0000-0000C75A0000}"/>
    <cellStyle name="Обычный 6 2 141 2 2" xfId="58560" xr:uid="{00000000-0005-0000-0000-0000C85A0000}"/>
    <cellStyle name="Обычный 6 2 141 3" xfId="15839" xr:uid="{00000000-0005-0000-0000-0000C95A0000}"/>
    <cellStyle name="Обычный 6 2 141 4" xfId="21179" xr:uid="{00000000-0005-0000-0000-0000CA5A0000}"/>
    <cellStyle name="Обычный 6 2 141 5" xfId="26519" xr:uid="{00000000-0005-0000-0000-0000CB5A0000}"/>
    <cellStyle name="Обычный 6 2 141 6" xfId="31859" xr:uid="{00000000-0005-0000-0000-0000CC5A0000}"/>
    <cellStyle name="Обычный 6 2 141 7" xfId="37199" xr:uid="{00000000-0005-0000-0000-0000CD5A0000}"/>
    <cellStyle name="Обычный 6 2 141 8" xfId="42539" xr:uid="{00000000-0005-0000-0000-0000CE5A0000}"/>
    <cellStyle name="Обычный 6 2 141 9" xfId="47879" xr:uid="{00000000-0005-0000-0000-0000CF5A0000}"/>
    <cellStyle name="Обычный 6 2 142" xfId="5188" xr:uid="{00000000-0005-0000-0000-0000D05A0000}"/>
    <cellStyle name="Обычный 6 2 142 10" xfId="53251" xr:uid="{00000000-0005-0000-0000-0000D15A0000}"/>
    <cellStyle name="Обычный 6 2 142 2" xfId="10531" xr:uid="{00000000-0005-0000-0000-0000D25A0000}"/>
    <cellStyle name="Обычный 6 2 142 2 2" xfId="58592" xr:uid="{00000000-0005-0000-0000-0000D35A0000}"/>
    <cellStyle name="Обычный 6 2 142 3" xfId="15871" xr:uid="{00000000-0005-0000-0000-0000D45A0000}"/>
    <cellStyle name="Обычный 6 2 142 4" xfId="21211" xr:uid="{00000000-0005-0000-0000-0000D55A0000}"/>
    <cellStyle name="Обычный 6 2 142 5" xfId="26551" xr:uid="{00000000-0005-0000-0000-0000D65A0000}"/>
    <cellStyle name="Обычный 6 2 142 6" xfId="31891" xr:uid="{00000000-0005-0000-0000-0000D75A0000}"/>
    <cellStyle name="Обычный 6 2 142 7" xfId="37231" xr:uid="{00000000-0005-0000-0000-0000D85A0000}"/>
    <cellStyle name="Обычный 6 2 142 8" xfId="42571" xr:uid="{00000000-0005-0000-0000-0000D95A0000}"/>
    <cellStyle name="Обычный 6 2 142 9" xfId="47911" xr:uid="{00000000-0005-0000-0000-0000DA5A0000}"/>
    <cellStyle name="Обычный 6 2 143" xfId="5220" xr:uid="{00000000-0005-0000-0000-0000DB5A0000}"/>
    <cellStyle name="Обычный 6 2 143 10" xfId="53283" xr:uid="{00000000-0005-0000-0000-0000DC5A0000}"/>
    <cellStyle name="Обычный 6 2 143 2" xfId="10563" xr:uid="{00000000-0005-0000-0000-0000DD5A0000}"/>
    <cellStyle name="Обычный 6 2 143 2 2" xfId="58624" xr:uid="{00000000-0005-0000-0000-0000DE5A0000}"/>
    <cellStyle name="Обычный 6 2 143 3" xfId="15903" xr:uid="{00000000-0005-0000-0000-0000DF5A0000}"/>
    <cellStyle name="Обычный 6 2 143 4" xfId="21243" xr:uid="{00000000-0005-0000-0000-0000E05A0000}"/>
    <cellStyle name="Обычный 6 2 143 5" xfId="26583" xr:uid="{00000000-0005-0000-0000-0000E15A0000}"/>
    <cellStyle name="Обычный 6 2 143 6" xfId="31923" xr:uid="{00000000-0005-0000-0000-0000E25A0000}"/>
    <cellStyle name="Обычный 6 2 143 7" xfId="37263" xr:uid="{00000000-0005-0000-0000-0000E35A0000}"/>
    <cellStyle name="Обычный 6 2 143 8" xfId="42603" xr:uid="{00000000-0005-0000-0000-0000E45A0000}"/>
    <cellStyle name="Обычный 6 2 143 9" xfId="47943" xr:uid="{00000000-0005-0000-0000-0000E55A0000}"/>
    <cellStyle name="Обычный 6 2 144" xfId="5252" xr:uid="{00000000-0005-0000-0000-0000E65A0000}"/>
    <cellStyle name="Обычный 6 2 144 10" xfId="53315" xr:uid="{00000000-0005-0000-0000-0000E75A0000}"/>
    <cellStyle name="Обычный 6 2 144 2" xfId="10595" xr:uid="{00000000-0005-0000-0000-0000E85A0000}"/>
    <cellStyle name="Обычный 6 2 144 2 2" xfId="58656" xr:uid="{00000000-0005-0000-0000-0000E95A0000}"/>
    <cellStyle name="Обычный 6 2 144 3" xfId="15935" xr:uid="{00000000-0005-0000-0000-0000EA5A0000}"/>
    <cellStyle name="Обычный 6 2 144 4" xfId="21275" xr:uid="{00000000-0005-0000-0000-0000EB5A0000}"/>
    <cellStyle name="Обычный 6 2 144 5" xfId="26615" xr:uid="{00000000-0005-0000-0000-0000EC5A0000}"/>
    <cellStyle name="Обычный 6 2 144 6" xfId="31955" xr:uid="{00000000-0005-0000-0000-0000ED5A0000}"/>
    <cellStyle name="Обычный 6 2 144 7" xfId="37295" xr:uid="{00000000-0005-0000-0000-0000EE5A0000}"/>
    <cellStyle name="Обычный 6 2 144 8" xfId="42635" xr:uid="{00000000-0005-0000-0000-0000EF5A0000}"/>
    <cellStyle name="Обычный 6 2 144 9" xfId="47975" xr:uid="{00000000-0005-0000-0000-0000F05A0000}"/>
    <cellStyle name="Обычный 6 2 145" xfId="5284" xr:uid="{00000000-0005-0000-0000-0000F15A0000}"/>
    <cellStyle name="Обычный 6 2 145 10" xfId="53347" xr:uid="{00000000-0005-0000-0000-0000F25A0000}"/>
    <cellStyle name="Обычный 6 2 145 2" xfId="10627" xr:uid="{00000000-0005-0000-0000-0000F35A0000}"/>
    <cellStyle name="Обычный 6 2 145 2 2" xfId="58688" xr:uid="{00000000-0005-0000-0000-0000F45A0000}"/>
    <cellStyle name="Обычный 6 2 145 3" xfId="15967" xr:uid="{00000000-0005-0000-0000-0000F55A0000}"/>
    <cellStyle name="Обычный 6 2 145 4" xfId="21307" xr:uid="{00000000-0005-0000-0000-0000F65A0000}"/>
    <cellStyle name="Обычный 6 2 145 5" xfId="26647" xr:uid="{00000000-0005-0000-0000-0000F75A0000}"/>
    <cellStyle name="Обычный 6 2 145 6" xfId="31987" xr:uid="{00000000-0005-0000-0000-0000F85A0000}"/>
    <cellStyle name="Обычный 6 2 145 7" xfId="37327" xr:uid="{00000000-0005-0000-0000-0000F95A0000}"/>
    <cellStyle name="Обычный 6 2 145 8" xfId="42667" xr:uid="{00000000-0005-0000-0000-0000FA5A0000}"/>
    <cellStyle name="Обычный 6 2 145 9" xfId="48007" xr:uid="{00000000-0005-0000-0000-0000FB5A0000}"/>
    <cellStyle name="Обычный 6 2 146" xfId="5316" xr:uid="{00000000-0005-0000-0000-0000FC5A0000}"/>
    <cellStyle name="Обычный 6 2 146 10" xfId="53379" xr:uid="{00000000-0005-0000-0000-0000FD5A0000}"/>
    <cellStyle name="Обычный 6 2 146 2" xfId="10659" xr:uid="{00000000-0005-0000-0000-0000FE5A0000}"/>
    <cellStyle name="Обычный 6 2 146 2 2" xfId="58720" xr:uid="{00000000-0005-0000-0000-0000FF5A0000}"/>
    <cellStyle name="Обычный 6 2 146 3" xfId="15999" xr:uid="{00000000-0005-0000-0000-0000005B0000}"/>
    <cellStyle name="Обычный 6 2 146 4" xfId="21339" xr:uid="{00000000-0005-0000-0000-0000015B0000}"/>
    <cellStyle name="Обычный 6 2 146 5" xfId="26679" xr:uid="{00000000-0005-0000-0000-0000025B0000}"/>
    <cellStyle name="Обычный 6 2 146 6" xfId="32019" xr:uid="{00000000-0005-0000-0000-0000035B0000}"/>
    <cellStyle name="Обычный 6 2 146 7" xfId="37359" xr:uid="{00000000-0005-0000-0000-0000045B0000}"/>
    <cellStyle name="Обычный 6 2 146 8" xfId="42699" xr:uid="{00000000-0005-0000-0000-0000055B0000}"/>
    <cellStyle name="Обычный 6 2 146 9" xfId="48039" xr:uid="{00000000-0005-0000-0000-0000065B0000}"/>
    <cellStyle name="Обычный 6 2 147" xfId="5348" xr:uid="{00000000-0005-0000-0000-0000075B0000}"/>
    <cellStyle name="Обычный 6 2 147 10" xfId="53411" xr:uid="{00000000-0005-0000-0000-0000085B0000}"/>
    <cellStyle name="Обычный 6 2 147 2" xfId="10691" xr:uid="{00000000-0005-0000-0000-0000095B0000}"/>
    <cellStyle name="Обычный 6 2 147 2 2" xfId="58752" xr:uid="{00000000-0005-0000-0000-00000A5B0000}"/>
    <cellStyle name="Обычный 6 2 147 3" xfId="16031" xr:uid="{00000000-0005-0000-0000-00000B5B0000}"/>
    <cellStyle name="Обычный 6 2 147 4" xfId="21371" xr:uid="{00000000-0005-0000-0000-00000C5B0000}"/>
    <cellStyle name="Обычный 6 2 147 5" xfId="26711" xr:uid="{00000000-0005-0000-0000-00000D5B0000}"/>
    <cellStyle name="Обычный 6 2 147 6" xfId="32051" xr:uid="{00000000-0005-0000-0000-00000E5B0000}"/>
    <cellStyle name="Обычный 6 2 147 7" xfId="37391" xr:uid="{00000000-0005-0000-0000-00000F5B0000}"/>
    <cellStyle name="Обычный 6 2 147 8" xfId="42731" xr:uid="{00000000-0005-0000-0000-0000105B0000}"/>
    <cellStyle name="Обычный 6 2 147 9" xfId="48071" xr:uid="{00000000-0005-0000-0000-0000115B0000}"/>
    <cellStyle name="Обычный 6 2 148" xfId="5380" xr:uid="{00000000-0005-0000-0000-0000125B0000}"/>
    <cellStyle name="Обычный 6 2 148 10" xfId="53443" xr:uid="{00000000-0005-0000-0000-0000135B0000}"/>
    <cellStyle name="Обычный 6 2 148 2" xfId="10723" xr:uid="{00000000-0005-0000-0000-0000145B0000}"/>
    <cellStyle name="Обычный 6 2 148 2 2" xfId="58784" xr:uid="{00000000-0005-0000-0000-0000155B0000}"/>
    <cellStyle name="Обычный 6 2 148 3" xfId="16063" xr:uid="{00000000-0005-0000-0000-0000165B0000}"/>
    <cellStyle name="Обычный 6 2 148 4" xfId="21403" xr:uid="{00000000-0005-0000-0000-0000175B0000}"/>
    <cellStyle name="Обычный 6 2 148 5" xfId="26743" xr:uid="{00000000-0005-0000-0000-0000185B0000}"/>
    <cellStyle name="Обычный 6 2 148 6" xfId="32083" xr:uid="{00000000-0005-0000-0000-0000195B0000}"/>
    <cellStyle name="Обычный 6 2 148 7" xfId="37423" xr:uid="{00000000-0005-0000-0000-00001A5B0000}"/>
    <cellStyle name="Обычный 6 2 148 8" xfId="42763" xr:uid="{00000000-0005-0000-0000-00001B5B0000}"/>
    <cellStyle name="Обычный 6 2 148 9" xfId="48103" xr:uid="{00000000-0005-0000-0000-00001C5B0000}"/>
    <cellStyle name="Обычный 6 2 149" xfId="5471" xr:uid="{00000000-0005-0000-0000-00001D5B0000}"/>
    <cellStyle name="Обычный 6 2 149 2" xfId="53533" xr:uid="{00000000-0005-0000-0000-00001E5B0000}"/>
    <cellStyle name="Обычный 6 2 15" xfId="1314" xr:uid="{00000000-0005-0000-0000-00001F5B0000}"/>
    <cellStyle name="Обычный 6 2 15 10" xfId="49377" xr:uid="{00000000-0005-0000-0000-0000205B0000}"/>
    <cellStyle name="Обычный 6 2 15 2" xfId="6656" xr:uid="{00000000-0005-0000-0000-0000215B0000}"/>
    <cellStyle name="Обычный 6 2 15 2 2" xfId="54718" xr:uid="{00000000-0005-0000-0000-0000225B0000}"/>
    <cellStyle name="Обычный 6 2 15 3" xfId="11997" xr:uid="{00000000-0005-0000-0000-0000235B0000}"/>
    <cellStyle name="Обычный 6 2 15 4" xfId="17337" xr:uid="{00000000-0005-0000-0000-0000245B0000}"/>
    <cellStyle name="Обычный 6 2 15 5" xfId="22677" xr:uid="{00000000-0005-0000-0000-0000255B0000}"/>
    <cellStyle name="Обычный 6 2 15 6" xfId="28017" xr:uid="{00000000-0005-0000-0000-0000265B0000}"/>
    <cellStyle name="Обычный 6 2 15 7" xfId="33357" xr:uid="{00000000-0005-0000-0000-0000275B0000}"/>
    <cellStyle name="Обычный 6 2 15 8" xfId="38697" xr:uid="{00000000-0005-0000-0000-0000285B0000}"/>
    <cellStyle name="Обычный 6 2 15 9" xfId="44037" xr:uid="{00000000-0005-0000-0000-0000295B0000}"/>
    <cellStyle name="Обычный 6 2 150" xfId="10812" xr:uid="{00000000-0005-0000-0000-00002A5B0000}"/>
    <cellStyle name="Обычный 6 2 151" xfId="16152" xr:uid="{00000000-0005-0000-0000-00002B5B0000}"/>
    <cellStyle name="Обычный 6 2 152" xfId="21492" xr:uid="{00000000-0005-0000-0000-00002C5B0000}"/>
    <cellStyle name="Обычный 6 2 153" xfId="26832" xr:uid="{00000000-0005-0000-0000-00002D5B0000}"/>
    <cellStyle name="Обычный 6 2 154" xfId="32172" xr:uid="{00000000-0005-0000-0000-00002E5B0000}"/>
    <cellStyle name="Обычный 6 2 155" xfId="37512" xr:uid="{00000000-0005-0000-0000-00002F5B0000}"/>
    <cellStyle name="Обычный 6 2 156" xfId="42852" xr:uid="{00000000-0005-0000-0000-0000305B0000}"/>
    <cellStyle name="Обычный 6 2 157" xfId="48192" xr:uid="{00000000-0005-0000-0000-0000315B0000}"/>
    <cellStyle name="Обычный 6 2 16" xfId="1340" xr:uid="{00000000-0005-0000-0000-0000325B0000}"/>
    <cellStyle name="Обычный 6 2 16 10" xfId="49403" xr:uid="{00000000-0005-0000-0000-0000335B0000}"/>
    <cellStyle name="Обычный 6 2 16 2" xfId="6682" xr:uid="{00000000-0005-0000-0000-0000345B0000}"/>
    <cellStyle name="Обычный 6 2 16 2 2" xfId="54744" xr:uid="{00000000-0005-0000-0000-0000355B0000}"/>
    <cellStyle name="Обычный 6 2 16 3" xfId="12023" xr:uid="{00000000-0005-0000-0000-0000365B0000}"/>
    <cellStyle name="Обычный 6 2 16 4" xfId="17363" xr:uid="{00000000-0005-0000-0000-0000375B0000}"/>
    <cellStyle name="Обычный 6 2 16 5" xfId="22703" xr:uid="{00000000-0005-0000-0000-0000385B0000}"/>
    <cellStyle name="Обычный 6 2 16 6" xfId="28043" xr:uid="{00000000-0005-0000-0000-0000395B0000}"/>
    <cellStyle name="Обычный 6 2 16 7" xfId="33383" xr:uid="{00000000-0005-0000-0000-00003A5B0000}"/>
    <cellStyle name="Обычный 6 2 16 8" xfId="38723" xr:uid="{00000000-0005-0000-0000-00003B5B0000}"/>
    <cellStyle name="Обычный 6 2 16 9" xfId="44063" xr:uid="{00000000-0005-0000-0000-00003C5B0000}"/>
    <cellStyle name="Обычный 6 2 17" xfId="1366" xr:uid="{00000000-0005-0000-0000-00003D5B0000}"/>
    <cellStyle name="Обычный 6 2 17 10" xfId="49429" xr:uid="{00000000-0005-0000-0000-00003E5B0000}"/>
    <cellStyle name="Обычный 6 2 17 2" xfId="6708" xr:uid="{00000000-0005-0000-0000-00003F5B0000}"/>
    <cellStyle name="Обычный 6 2 17 2 2" xfId="54770" xr:uid="{00000000-0005-0000-0000-0000405B0000}"/>
    <cellStyle name="Обычный 6 2 17 3" xfId="12049" xr:uid="{00000000-0005-0000-0000-0000415B0000}"/>
    <cellStyle name="Обычный 6 2 17 4" xfId="17389" xr:uid="{00000000-0005-0000-0000-0000425B0000}"/>
    <cellStyle name="Обычный 6 2 17 5" xfId="22729" xr:uid="{00000000-0005-0000-0000-0000435B0000}"/>
    <cellStyle name="Обычный 6 2 17 6" xfId="28069" xr:uid="{00000000-0005-0000-0000-0000445B0000}"/>
    <cellStyle name="Обычный 6 2 17 7" xfId="33409" xr:uid="{00000000-0005-0000-0000-0000455B0000}"/>
    <cellStyle name="Обычный 6 2 17 8" xfId="38749" xr:uid="{00000000-0005-0000-0000-0000465B0000}"/>
    <cellStyle name="Обычный 6 2 17 9" xfId="44089" xr:uid="{00000000-0005-0000-0000-0000475B0000}"/>
    <cellStyle name="Обычный 6 2 18" xfId="1392" xr:uid="{00000000-0005-0000-0000-0000485B0000}"/>
    <cellStyle name="Обычный 6 2 18 10" xfId="49455" xr:uid="{00000000-0005-0000-0000-0000495B0000}"/>
    <cellStyle name="Обычный 6 2 18 2" xfId="6734" xr:uid="{00000000-0005-0000-0000-00004A5B0000}"/>
    <cellStyle name="Обычный 6 2 18 2 2" xfId="54796" xr:uid="{00000000-0005-0000-0000-00004B5B0000}"/>
    <cellStyle name="Обычный 6 2 18 3" xfId="12075" xr:uid="{00000000-0005-0000-0000-00004C5B0000}"/>
    <cellStyle name="Обычный 6 2 18 4" xfId="17415" xr:uid="{00000000-0005-0000-0000-00004D5B0000}"/>
    <cellStyle name="Обычный 6 2 18 5" xfId="22755" xr:uid="{00000000-0005-0000-0000-00004E5B0000}"/>
    <cellStyle name="Обычный 6 2 18 6" xfId="28095" xr:uid="{00000000-0005-0000-0000-00004F5B0000}"/>
    <cellStyle name="Обычный 6 2 18 7" xfId="33435" xr:uid="{00000000-0005-0000-0000-0000505B0000}"/>
    <cellStyle name="Обычный 6 2 18 8" xfId="38775" xr:uid="{00000000-0005-0000-0000-0000515B0000}"/>
    <cellStyle name="Обычный 6 2 18 9" xfId="44115" xr:uid="{00000000-0005-0000-0000-0000525B0000}"/>
    <cellStyle name="Обычный 6 2 19" xfId="1418" xr:uid="{00000000-0005-0000-0000-0000535B0000}"/>
    <cellStyle name="Обычный 6 2 19 10" xfId="49481" xr:uid="{00000000-0005-0000-0000-0000545B0000}"/>
    <cellStyle name="Обычный 6 2 19 2" xfId="6760" xr:uid="{00000000-0005-0000-0000-0000555B0000}"/>
    <cellStyle name="Обычный 6 2 19 2 2" xfId="54822" xr:uid="{00000000-0005-0000-0000-0000565B0000}"/>
    <cellStyle name="Обычный 6 2 19 3" xfId="12101" xr:uid="{00000000-0005-0000-0000-0000575B0000}"/>
    <cellStyle name="Обычный 6 2 19 4" xfId="17441" xr:uid="{00000000-0005-0000-0000-0000585B0000}"/>
    <cellStyle name="Обычный 6 2 19 5" xfId="22781" xr:uid="{00000000-0005-0000-0000-0000595B0000}"/>
    <cellStyle name="Обычный 6 2 19 6" xfId="28121" xr:uid="{00000000-0005-0000-0000-00005A5B0000}"/>
    <cellStyle name="Обычный 6 2 19 7" xfId="33461" xr:uid="{00000000-0005-0000-0000-00005B5B0000}"/>
    <cellStyle name="Обычный 6 2 19 8" xfId="38801" xr:uid="{00000000-0005-0000-0000-00005C5B0000}"/>
    <cellStyle name="Обычный 6 2 19 9" xfId="44141" xr:uid="{00000000-0005-0000-0000-00005D5B0000}"/>
    <cellStyle name="Обычный 6 2 2" xfId="597" xr:uid="{00000000-0005-0000-0000-00005E5B0000}"/>
    <cellStyle name="Обычный 6 2 2 10" xfId="48659" xr:uid="{00000000-0005-0000-0000-00005F5B0000}"/>
    <cellStyle name="Обычный 6 2 2 2" xfId="5938" xr:uid="{00000000-0005-0000-0000-0000605B0000}"/>
    <cellStyle name="Обычный 6 2 2 2 2" xfId="54000" xr:uid="{00000000-0005-0000-0000-0000615B0000}"/>
    <cellStyle name="Обычный 6 2 2 3" xfId="11279" xr:uid="{00000000-0005-0000-0000-0000625B0000}"/>
    <cellStyle name="Обычный 6 2 2 4" xfId="16619" xr:uid="{00000000-0005-0000-0000-0000635B0000}"/>
    <cellStyle name="Обычный 6 2 2 5" xfId="21959" xr:uid="{00000000-0005-0000-0000-0000645B0000}"/>
    <cellStyle name="Обычный 6 2 2 6" xfId="27299" xr:uid="{00000000-0005-0000-0000-0000655B0000}"/>
    <cellStyle name="Обычный 6 2 2 7" xfId="32639" xr:uid="{00000000-0005-0000-0000-0000665B0000}"/>
    <cellStyle name="Обычный 6 2 2 8" xfId="37979" xr:uid="{00000000-0005-0000-0000-0000675B0000}"/>
    <cellStyle name="Обычный 6 2 2 9" xfId="43319" xr:uid="{00000000-0005-0000-0000-0000685B0000}"/>
    <cellStyle name="Обычный 6 2 20" xfId="1444" xr:uid="{00000000-0005-0000-0000-0000695B0000}"/>
    <cellStyle name="Обычный 6 2 20 10" xfId="49507" xr:uid="{00000000-0005-0000-0000-00006A5B0000}"/>
    <cellStyle name="Обычный 6 2 20 2" xfId="6786" xr:uid="{00000000-0005-0000-0000-00006B5B0000}"/>
    <cellStyle name="Обычный 6 2 20 2 2" xfId="54848" xr:uid="{00000000-0005-0000-0000-00006C5B0000}"/>
    <cellStyle name="Обычный 6 2 20 3" xfId="12127" xr:uid="{00000000-0005-0000-0000-00006D5B0000}"/>
    <cellStyle name="Обычный 6 2 20 4" xfId="17467" xr:uid="{00000000-0005-0000-0000-00006E5B0000}"/>
    <cellStyle name="Обычный 6 2 20 5" xfId="22807" xr:uid="{00000000-0005-0000-0000-00006F5B0000}"/>
    <cellStyle name="Обычный 6 2 20 6" xfId="28147" xr:uid="{00000000-0005-0000-0000-0000705B0000}"/>
    <cellStyle name="Обычный 6 2 20 7" xfId="33487" xr:uid="{00000000-0005-0000-0000-0000715B0000}"/>
    <cellStyle name="Обычный 6 2 20 8" xfId="38827" xr:uid="{00000000-0005-0000-0000-0000725B0000}"/>
    <cellStyle name="Обычный 6 2 20 9" xfId="44167" xr:uid="{00000000-0005-0000-0000-0000735B0000}"/>
    <cellStyle name="Обычный 6 2 21" xfId="1470" xr:uid="{00000000-0005-0000-0000-0000745B0000}"/>
    <cellStyle name="Обычный 6 2 21 10" xfId="49533" xr:uid="{00000000-0005-0000-0000-0000755B0000}"/>
    <cellStyle name="Обычный 6 2 21 2" xfId="6812" xr:uid="{00000000-0005-0000-0000-0000765B0000}"/>
    <cellStyle name="Обычный 6 2 21 2 2" xfId="54874" xr:uid="{00000000-0005-0000-0000-0000775B0000}"/>
    <cellStyle name="Обычный 6 2 21 3" xfId="12153" xr:uid="{00000000-0005-0000-0000-0000785B0000}"/>
    <cellStyle name="Обычный 6 2 21 4" xfId="17493" xr:uid="{00000000-0005-0000-0000-0000795B0000}"/>
    <cellStyle name="Обычный 6 2 21 5" xfId="22833" xr:uid="{00000000-0005-0000-0000-00007A5B0000}"/>
    <cellStyle name="Обычный 6 2 21 6" xfId="28173" xr:uid="{00000000-0005-0000-0000-00007B5B0000}"/>
    <cellStyle name="Обычный 6 2 21 7" xfId="33513" xr:uid="{00000000-0005-0000-0000-00007C5B0000}"/>
    <cellStyle name="Обычный 6 2 21 8" xfId="38853" xr:uid="{00000000-0005-0000-0000-00007D5B0000}"/>
    <cellStyle name="Обычный 6 2 21 9" xfId="44193" xr:uid="{00000000-0005-0000-0000-00007E5B0000}"/>
    <cellStyle name="Обычный 6 2 22" xfId="1496" xr:uid="{00000000-0005-0000-0000-00007F5B0000}"/>
    <cellStyle name="Обычный 6 2 22 10" xfId="49559" xr:uid="{00000000-0005-0000-0000-0000805B0000}"/>
    <cellStyle name="Обычный 6 2 22 2" xfId="6838" xr:uid="{00000000-0005-0000-0000-0000815B0000}"/>
    <cellStyle name="Обычный 6 2 22 2 2" xfId="54900" xr:uid="{00000000-0005-0000-0000-0000825B0000}"/>
    <cellStyle name="Обычный 6 2 22 3" xfId="12179" xr:uid="{00000000-0005-0000-0000-0000835B0000}"/>
    <cellStyle name="Обычный 6 2 22 4" xfId="17519" xr:uid="{00000000-0005-0000-0000-0000845B0000}"/>
    <cellStyle name="Обычный 6 2 22 5" xfId="22859" xr:uid="{00000000-0005-0000-0000-0000855B0000}"/>
    <cellStyle name="Обычный 6 2 22 6" xfId="28199" xr:uid="{00000000-0005-0000-0000-0000865B0000}"/>
    <cellStyle name="Обычный 6 2 22 7" xfId="33539" xr:uid="{00000000-0005-0000-0000-0000875B0000}"/>
    <cellStyle name="Обычный 6 2 22 8" xfId="38879" xr:uid="{00000000-0005-0000-0000-0000885B0000}"/>
    <cellStyle name="Обычный 6 2 22 9" xfId="44219" xr:uid="{00000000-0005-0000-0000-0000895B0000}"/>
    <cellStyle name="Обычный 6 2 23" xfId="1522" xr:uid="{00000000-0005-0000-0000-00008A5B0000}"/>
    <cellStyle name="Обычный 6 2 23 10" xfId="49585" xr:uid="{00000000-0005-0000-0000-00008B5B0000}"/>
    <cellStyle name="Обычный 6 2 23 2" xfId="6864" xr:uid="{00000000-0005-0000-0000-00008C5B0000}"/>
    <cellStyle name="Обычный 6 2 23 2 2" xfId="54926" xr:uid="{00000000-0005-0000-0000-00008D5B0000}"/>
    <cellStyle name="Обычный 6 2 23 3" xfId="12205" xr:uid="{00000000-0005-0000-0000-00008E5B0000}"/>
    <cellStyle name="Обычный 6 2 23 4" xfId="17545" xr:uid="{00000000-0005-0000-0000-00008F5B0000}"/>
    <cellStyle name="Обычный 6 2 23 5" xfId="22885" xr:uid="{00000000-0005-0000-0000-0000905B0000}"/>
    <cellStyle name="Обычный 6 2 23 6" xfId="28225" xr:uid="{00000000-0005-0000-0000-0000915B0000}"/>
    <cellStyle name="Обычный 6 2 23 7" xfId="33565" xr:uid="{00000000-0005-0000-0000-0000925B0000}"/>
    <cellStyle name="Обычный 6 2 23 8" xfId="38905" xr:uid="{00000000-0005-0000-0000-0000935B0000}"/>
    <cellStyle name="Обычный 6 2 23 9" xfId="44245" xr:uid="{00000000-0005-0000-0000-0000945B0000}"/>
    <cellStyle name="Обычный 6 2 24" xfId="1548" xr:uid="{00000000-0005-0000-0000-0000955B0000}"/>
    <cellStyle name="Обычный 6 2 24 10" xfId="49611" xr:uid="{00000000-0005-0000-0000-0000965B0000}"/>
    <cellStyle name="Обычный 6 2 24 2" xfId="6890" xr:uid="{00000000-0005-0000-0000-0000975B0000}"/>
    <cellStyle name="Обычный 6 2 24 2 2" xfId="54952" xr:uid="{00000000-0005-0000-0000-0000985B0000}"/>
    <cellStyle name="Обычный 6 2 24 3" xfId="12231" xr:uid="{00000000-0005-0000-0000-0000995B0000}"/>
    <cellStyle name="Обычный 6 2 24 4" xfId="17571" xr:uid="{00000000-0005-0000-0000-00009A5B0000}"/>
    <cellStyle name="Обычный 6 2 24 5" xfId="22911" xr:uid="{00000000-0005-0000-0000-00009B5B0000}"/>
    <cellStyle name="Обычный 6 2 24 6" xfId="28251" xr:uid="{00000000-0005-0000-0000-00009C5B0000}"/>
    <cellStyle name="Обычный 6 2 24 7" xfId="33591" xr:uid="{00000000-0005-0000-0000-00009D5B0000}"/>
    <cellStyle name="Обычный 6 2 24 8" xfId="38931" xr:uid="{00000000-0005-0000-0000-00009E5B0000}"/>
    <cellStyle name="Обычный 6 2 24 9" xfId="44271" xr:uid="{00000000-0005-0000-0000-00009F5B0000}"/>
    <cellStyle name="Обычный 6 2 25" xfId="1574" xr:uid="{00000000-0005-0000-0000-0000A05B0000}"/>
    <cellStyle name="Обычный 6 2 25 10" xfId="49637" xr:uid="{00000000-0005-0000-0000-0000A15B0000}"/>
    <cellStyle name="Обычный 6 2 25 2" xfId="6916" xr:uid="{00000000-0005-0000-0000-0000A25B0000}"/>
    <cellStyle name="Обычный 6 2 25 2 2" xfId="54978" xr:uid="{00000000-0005-0000-0000-0000A35B0000}"/>
    <cellStyle name="Обычный 6 2 25 3" xfId="12257" xr:uid="{00000000-0005-0000-0000-0000A45B0000}"/>
    <cellStyle name="Обычный 6 2 25 4" xfId="17597" xr:uid="{00000000-0005-0000-0000-0000A55B0000}"/>
    <cellStyle name="Обычный 6 2 25 5" xfId="22937" xr:uid="{00000000-0005-0000-0000-0000A65B0000}"/>
    <cellStyle name="Обычный 6 2 25 6" xfId="28277" xr:uid="{00000000-0005-0000-0000-0000A75B0000}"/>
    <cellStyle name="Обычный 6 2 25 7" xfId="33617" xr:uid="{00000000-0005-0000-0000-0000A85B0000}"/>
    <cellStyle name="Обычный 6 2 25 8" xfId="38957" xr:uid="{00000000-0005-0000-0000-0000A95B0000}"/>
    <cellStyle name="Обычный 6 2 25 9" xfId="44297" xr:uid="{00000000-0005-0000-0000-0000AA5B0000}"/>
    <cellStyle name="Обычный 6 2 26" xfId="1600" xr:uid="{00000000-0005-0000-0000-0000AB5B0000}"/>
    <cellStyle name="Обычный 6 2 26 10" xfId="49663" xr:uid="{00000000-0005-0000-0000-0000AC5B0000}"/>
    <cellStyle name="Обычный 6 2 26 2" xfId="6942" xr:uid="{00000000-0005-0000-0000-0000AD5B0000}"/>
    <cellStyle name="Обычный 6 2 26 2 2" xfId="55004" xr:uid="{00000000-0005-0000-0000-0000AE5B0000}"/>
    <cellStyle name="Обычный 6 2 26 3" xfId="12283" xr:uid="{00000000-0005-0000-0000-0000AF5B0000}"/>
    <cellStyle name="Обычный 6 2 26 4" xfId="17623" xr:uid="{00000000-0005-0000-0000-0000B05B0000}"/>
    <cellStyle name="Обычный 6 2 26 5" xfId="22963" xr:uid="{00000000-0005-0000-0000-0000B15B0000}"/>
    <cellStyle name="Обычный 6 2 26 6" xfId="28303" xr:uid="{00000000-0005-0000-0000-0000B25B0000}"/>
    <cellStyle name="Обычный 6 2 26 7" xfId="33643" xr:uid="{00000000-0005-0000-0000-0000B35B0000}"/>
    <cellStyle name="Обычный 6 2 26 8" xfId="38983" xr:uid="{00000000-0005-0000-0000-0000B45B0000}"/>
    <cellStyle name="Обычный 6 2 26 9" xfId="44323" xr:uid="{00000000-0005-0000-0000-0000B55B0000}"/>
    <cellStyle name="Обычный 6 2 27" xfId="1626" xr:uid="{00000000-0005-0000-0000-0000B65B0000}"/>
    <cellStyle name="Обычный 6 2 27 10" xfId="49689" xr:uid="{00000000-0005-0000-0000-0000B75B0000}"/>
    <cellStyle name="Обычный 6 2 27 2" xfId="6968" xr:uid="{00000000-0005-0000-0000-0000B85B0000}"/>
    <cellStyle name="Обычный 6 2 27 2 2" xfId="55030" xr:uid="{00000000-0005-0000-0000-0000B95B0000}"/>
    <cellStyle name="Обычный 6 2 27 3" xfId="12309" xr:uid="{00000000-0005-0000-0000-0000BA5B0000}"/>
    <cellStyle name="Обычный 6 2 27 4" xfId="17649" xr:uid="{00000000-0005-0000-0000-0000BB5B0000}"/>
    <cellStyle name="Обычный 6 2 27 5" xfId="22989" xr:uid="{00000000-0005-0000-0000-0000BC5B0000}"/>
    <cellStyle name="Обычный 6 2 27 6" xfId="28329" xr:uid="{00000000-0005-0000-0000-0000BD5B0000}"/>
    <cellStyle name="Обычный 6 2 27 7" xfId="33669" xr:uid="{00000000-0005-0000-0000-0000BE5B0000}"/>
    <cellStyle name="Обычный 6 2 27 8" xfId="39009" xr:uid="{00000000-0005-0000-0000-0000BF5B0000}"/>
    <cellStyle name="Обычный 6 2 27 9" xfId="44349" xr:uid="{00000000-0005-0000-0000-0000C05B0000}"/>
    <cellStyle name="Обычный 6 2 28" xfId="1652" xr:uid="{00000000-0005-0000-0000-0000C15B0000}"/>
    <cellStyle name="Обычный 6 2 28 10" xfId="49715" xr:uid="{00000000-0005-0000-0000-0000C25B0000}"/>
    <cellStyle name="Обычный 6 2 28 2" xfId="6994" xr:uid="{00000000-0005-0000-0000-0000C35B0000}"/>
    <cellStyle name="Обычный 6 2 28 2 2" xfId="55056" xr:uid="{00000000-0005-0000-0000-0000C45B0000}"/>
    <cellStyle name="Обычный 6 2 28 3" xfId="12335" xr:uid="{00000000-0005-0000-0000-0000C55B0000}"/>
    <cellStyle name="Обычный 6 2 28 4" xfId="17675" xr:uid="{00000000-0005-0000-0000-0000C65B0000}"/>
    <cellStyle name="Обычный 6 2 28 5" xfId="23015" xr:uid="{00000000-0005-0000-0000-0000C75B0000}"/>
    <cellStyle name="Обычный 6 2 28 6" xfId="28355" xr:uid="{00000000-0005-0000-0000-0000C85B0000}"/>
    <cellStyle name="Обычный 6 2 28 7" xfId="33695" xr:uid="{00000000-0005-0000-0000-0000C95B0000}"/>
    <cellStyle name="Обычный 6 2 28 8" xfId="39035" xr:uid="{00000000-0005-0000-0000-0000CA5B0000}"/>
    <cellStyle name="Обычный 6 2 28 9" xfId="44375" xr:uid="{00000000-0005-0000-0000-0000CB5B0000}"/>
    <cellStyle name="Обычный 6 2 29" xfId="1678" xr:uid="{00000000-0005-0000-0000-0000CC5B0000}"/>
    <cellStyle name="Обычный 6 2 29 10" xfId="49741" xr:uid="{00000000-0005-0000-0000-0000CD5B0000}"/>
    <cellStyle name="Обычный 6 2 29 2" xfId="7020" xr:uid="{00000000-0005-0000-0000-0000CE5B0000}"/>
    <cellStyle name="Обычный 6 2 29 2 2" xfId="55082" xr:uid="{00000000-0005-0000-0000-0000CF5B0000}"/>
    <cellStyle name="Обычный 6 2 29 3" xfId="12361" xr:uid="{00000000-0005-0000-0000-0000D05B0000}"/>
    <cellStyle name="Обычный 6 2 29 4" xfId="17701" xr:uid="{00000000-0005-0000-0000-0000D15B0000}"/>
    <cellStyle name="Обычный 6 2 29 5" xfId="23041" xr:uid="{00000000-0005-0000-0000-0000D25B0000}"/>
    <cellStyle name="Обычный 6 2 29 6" xfId="28381" xr:uid="{00000000-0005-0000-0000-0000D35B0000}"/>
    <cellStyle name="Обычный 6 2 29 7" xfId="33721" xr:uid="{00000000-0005-0000-0000-0000D45B0000}"/>
    <cellStyle name="Обычный 6 2 29 8" xfId="39061" xr:uid="{00000000-0005-0000-0000-0000D55B0000}"/>
    <cellStyle name="Обычный 6 2 29 9" xfId="44401" xr:uid="{00000000-0005-0000-0000-0000D65B0000}"/>
    <cellStyle name="Обычный 6 2 3" xfId="1007" xr:uid="{00000000-0005-0000-0000-0000D75B0000}"/>
    <cellStyle name="Обычный 6 2 3 10" xfId="49069" xr:uid="{00000000-0005-0000-0000-0000D85B0000}"/>
    <cellStyle name="Обычный 6 2 3 2" xfId="6348" xr:uid="{00000000-0005-0000-0000-0000D95B0000}"/>
    <cellStyle name="Обычный 6 2 3 2 2" xfId="54410" xr:uid="{00000000-0005-0000-0000-0000DA5B0000}"/>
    <cellStyle name="Обычный 6 2 3 3" xfId="11689" xr:uid="{00000000-0005-0000-0000-0000DB5B0000}"/>
    <cellStyle name="Обычный 6 2 3 4" xfId="17029" xr:uid="{00000000-0005-0000-0000-0000DC5B0000}"/>
    <cellStyle name="Обычный 6 2 3 5" xfId="22369" xr:uid="{00000000-0005-0000-0000-0000DD5B0000}"/>
    <cellStyle name="Обычный 6 2 3 6" xfId="27709" xr:uid="{00000000-0005-0000-0000-0000DE5B0000}"/>
    <cellStyle name="Обычный 6 2 3 7" xfId="33049" xr:uid="{00000000-0005-0000-0000-0000DF5B0000}"/>
    <cellStyle name="Обычный 6 2 3 8" xfId="38389" xr:uid="{00000000-0005-0000-0000-0000E05B0000}"/>
    <cellStyle name="Обычный 6 2 3 9" xfId="43729" xr:uid="{00000000-0005-0000-0000-0000E15B0000}"/>
    <cellStyle name="Обычный 6 2 30" xfId="1704" xr:uid="{00000000-0005-0000-0000-0000E25B0000}"/>
    <cellStyle name="Обычный 6 2 30 10" xfId="49767" xr:uid="{00000000-0005-0000-0000-0000E35B0000}"/>
    <cellStyle name="Обычный 6 2 30 2" xfId="7046" xr:uid="{00000000-0005-0000-0000-0000E45B0000}"/>
    <cellStyle name="Обычный 6 2 30 2 2" xfId="55108" xr:uid="{00000000-0005-0000-0000-0000E55B0000}"/>
    <cellStyle name="Обычный 6 2 30 3" xfId="12387" xr:uid="{00000000-0005-0000-0000-0000E65B0000}"/>
    <cellStyle name="Обычный 6 2 30 4" xfId="17727" xr:uid="{00000000-0005-0000-0000-0000E75B0000}"/>
    <cellStyle name="Обычный 6 2 30 5" xfId="23067" xr:uid="{00000000-0005-0000-0000-0000E85B0000}"/>
    <cellStyle name="Обычный 6 2 30 6" xfId="28407" xr:uid="{00000000-0005-0000-0000-0000E95B0000}"/>
    <cellStyle name="Обычный 6 2 30 7" xfId="33747" xr:uid="{00000000-0005-0000-0000-0000EA5B0000}"/>
    <cellStyle name="Обычный 6 2 30 8" xfId="39087" xr:uid="{00000000-0005-0000-0000-0000EB5B0000}"/>
    <cellStyle name="Обычный 6 2 30 9" xfId="44427" xr:uid="{00000000-0005-0000-0000-0000EC5B0000}"/>
    <cellStyle name="Обычный 6 2 31" xfId="1730" xr:uid="{00000000-0005-0000-0000-0000ED5B0000}"/>
    <cellStyle name="Обычный 6 2 31 10" xfId="49793" xr:uid="{00000000-0005-0000-0000-0000EE5B0000}"/>
    <cellStyle name="Обычный 6 2 31 2" xfId="7072" xr:uid="{00000000-0005-0000-0000-0000EF5B0000}"/>
    <cellStyle name="Обычный 6 2 31 2 2" xfId="55134" xr:uid="{00000000-0005-0000-0000-0000F05B0000}"/>
    <cellStyle name="Обычный 6 2 31 3" xfId="12413" xr:uid="{00000000-0005-0000-0000-0000F15B0000}"/>
    <cellStyle name="Обычный 6 2 31 4" xfId="17753" xr:uid="{00000000-0005-0000-0000-0000F25B0000}"/>
    <cellStyle name="Обычный 6 2 31 5" xfId="23093" xr:uid="{00000000-0005-0000-0000-0000F35B0000}"/>
    <cellStyle name="Обычный 6 2 31 6" xfId="28433" xr:uid="{00000000-0005-0000-0000-0000F45B0000}"/>
    <cellStyle name="Обычный 6 2 31 7" xfId="33773" xr:uid="{00000000-0005-0000-0000-0000F55B0000}"/>
    <cellStyle name="Обычный 6 2 31 8" xfId="39113" xr:uid="{00000000-0005-0000-0000-0000F65B0000}"/>
    <cellStyle name="Обычный 6 2 31 9" xfId="44453" xr:uid="{00000000-0005-0000-0000-0000F75B0000}"/>
    <cellStyle name="Обычный 6 2 32" xfId="1756" xr:uid="{00000000-0005-0000-0000-0000F85B0000}"/>
    <cellStyle name="Обычный 6 2 32 10" xfId="49819" xr:uid="{00000000-0005-0000-0000-0000F95B0000}"/>
    <cellStyle name="Обычный 6 2 32 2" xfId="7098" xr:uid="{00000000-0005-0000-0000-0000FA5B0000}"/>
    <cellStyle name="Обычный 6 2 32 2 2" xfId="55160" xr:uid="{00000000-0005-0000-0000-0000FB5B0000}"/>
    <cellStyle name="Обычный 6 2 32 3" xfId="12439" xr:uid="{00000000-0005-0000-0000-0000FC5B0000}"/>
    <cellStyle name="Обычный 6 2 32 4" xfId="17779" xr:uid="{00000000-0005-0000-0000-0000FD5B0000}"/>
    <cellStyle name="Обычный 6 2 32 5" xfId="23119" xr:uid="{00000000-0005-0000-0000-0000FE5B0000}"/>
    <cellStyle name="Обычный 6 2 32 6" xfId="28459" xr:uid="{00000000-0005-0000-0000-0000FF5B0000}"/>
    <cellStyle name="Обычный 6 2 32 7" xfId="33799" xr:uid="{00000000-0005-0000-0000-0000005C0000}"/>
    <cellStyle name="Обычный 6 2 32 8" xfId="39139" xr:uid="{00000000-0005-0000-0000-0000015C0000}"/>
    <cellStyle name="Обычный 6 2 32 9" xfId="44479" xr:uid="{00000000-0005-0000-0000-0000025C0000}"/>
    <cellStyle name="Обычный 6 2 33" xfId="1782" xr:uid="{00000000-0005-0000-0000-0000035C0000}"/>
    <cellStyle name="Обычный 6 2 33 10" xfId="49845" xr:uid="{00000000-0005-0000-0000-0000045C0000}"/>
    <cellStyle name="Обычный 6 2 33 2" xfId="7124" xr:uid="{00000000-0005-0000-0000-0000055C0000}"/>
    <cellStyle name="Обычный 6 2 33 2 2" xfId="55186" xr:uid="{00000000-0005-0000-0000-0000065C0000}"/>
    <cellStyle name="Обычный 6 2 33 3" xfId="12465" xr:uid="{00000000-0005-0000-0000-0000075C0000}"/>
    <cellStyle name="Обычный 6 2 33 4" xfId="17805" xr:uid="{00000000-0005-0000-0000-0000085C0000}"/>
    <cellStyle name="Обычный 6 2 33 5" xfId="23145" xr:uid="{00000000-0005-0000-0000-0000095C0000}"/>
    <cellStyle name="Обычный 6 2 33 6" xfId="28485" xr:uid="{00000000-0005-0000-0000-00000A5C0000}"/>
    <cellStyle name="Обычный 6 2 33 7" xfId="33825" xr:uid="{00000000-0005-0000-0000-00000B5C0000}"/>
    <cellStyle name="Обычный 6 2 33 8" xfId="39165" xr:uid="{00000000-0005-0000-0000-00000C5C0000}"/>
    <cellStyle name="Обычный 6 2 33 9" xfId="44505" xr:uid="{00000000-0005-0000-0000-00000D5C0000}"/>
    <cellStyle name="Обычный 6 2 34" xfId="1808" xr:uid="{00000000-0005-0000-0000-00000E5C0000}"/>
    <cellStyle name="Обычный 6 2 34 10" xfId="49871" xr:uid="{00000000-0005-0000-0000-00000F5C0000}"/>
    <cellStyle name="Обычный 6 2 34 2" xfId="7150" xr:uid="{00000000-0005-0000-0000-0000105C0000}"/>
    <cellStyle name="Обычный 6 2 34 2 2" xfId="55212" xr:uid="{00000000-0005-0000-0000-0000115C0000}"/>
    <cellStyle name="Обычный 6 2 34 3" xfId="12491" xr:uid="{00000000-0005-0000-0000-0000125C0000}"/>
    <cellStyle name="Обычный 6 2 34 4" xfId="17831" xr:uid="{00000000-0005-0000-0000-0000135C0000}"/>
    <cellStyle name="Обычный 6 2 34 5" xfId="23171" xr:uid="{00000000-0005-0000-0000-0000145C0000}"/>
    <cellStyle name="Обычный 6 2 34 6" xfId="28511" xr:uid="{00000000-0005-0000-0000-0000155C0000}"/>
    <cellStyle name="Обычный 6 2 34 7" xfId="33851" xr:uid="{00000000-0005-0000-0000-0000165C0000}"/>
    <cellStyle name="Обычный 6 2 34 8" xfId="39191" xr:uid="{00000000-0005-0000-0000-0000175C0000}"/>
    <cellStyle name="Обычный 6 2 34 9" xfId="44531" xr:uid="{00000000-0005-0000-0000-0000185C0000}"/>
    <cellStyle name="Обычный 6 2 35" xfId="1834" xr:uid="{00000000-0005-0000-0000-0000195C0000}"/>
    <cellStyle name="Обычный 6 2 35 10" xfId="49897" xr:uid="{00000000-0005-0000-0000-00001A5C0000}"/>
    <cellStyle name="Обычный 6 2 35 2" xfId="7176" xr:uid="{00000000-0005-0000-0000-00001B5C0000}"/>
    <cellStyle name="Обычный 6 2 35 2 2" xfId="55238" xr:uid="{00000000-0005-0000-0000-00001C5C0000}"/>
    <cellStyle name="Обычный 6 2 35 3" xfId="12517" xr:uid="{00000000-0005-0000-0000-00001D5C0000}"/>
    <cellStyle name="Обычный 6 2 35 4" xfId="17857" xr:uid="{00000000-0005-0000-0000-00001E5C0000}"/>
    <cellStyle name="Обычный 6 2 35 5" xfId="23197" xr:uid="{00000000-0005-0000-0000-00001F5C0000}"/>
    <cellStyle name="Обычный 6 2 35 6" xfId="28537" xr:uid="{00000000-0005-0000-0000-0000205C0000}"/>
    <cellStyle name="Обычный 6 2 35 7" xfId="33877" xr:uid="{00000000-0005-0000-0000-0000215C0000}"/>
    <cellStyle name="Обычный 6 2 35 8" xfId="39217" xr:uid="{00000000-0005-0000-0000-0000225C0000}"/>
    <cellStyle name="Обычный 6 2 35 9" xfId="44557" xr:uid="{00000000-0005-0000-0000-0000235C0000}"/>
    <cellStyle name="Обычный 6 2 36" xfId="1860" xr:uid="{00000000-0005-0000-0000-0000245C0000}"/>
    <cellStyle name="Обычный 6 2 36 10" xfId="49923" xr:uid="{00000000-0005-0000-0000-0000255C0000}"/>
    <cellStyle name="Обычный 6 2 36 2" xfId="7202" xr:uid="{00000000-0005-0000-0000-0000265C0000}"/>
    <cellStyle name="Обычный 6 2 36 2 2" xfId="55264" xr:uid="{00000000-0005-0000-0000-0000275C0000}"/>
    <cellStyle name="Обычный 6 2 36 3" xfId="12543" xr:uid="{00000000-0005-0000-0000-0000285C0000}"/>
    <cellStyle name="Обычный 6 2 36 4" xfId="17883" xr:uid="{00000000-0005-0000-0000-0000295C0000}"/>
    <cellStyle name="Обычный 6 2 36 5" xfId="23223" xr:uid="{00000000-0005-0000-0000-00002A5C0000}"/>
    <cellStyle name="Обычный 6 2 36 6" xfId="28563" xr:uid="{00000000-0005-0000-0000-00002B5C0000}"/>
    <cellStyle name="Обычный 6 2 36 7" xfId="33903" xr:uid="{00000000-0005-0000-0000-00002C5C0000}"/>
    <cellStyle name="Обычный 6 2 36 8" xfId="39243" xr:uid="{00000000-0005-0000-0000-00002D5C0000}"/>
    <cellStyle name="Обычный 6 2 36 9" xfId="44583" xr:uid="{00000000-0005-0000-0000-00002E5C0000}"/>
    <cellStyle name="Обычный 6 2 37" xfId="1886" xr:uid="{00000000-0005-0000-0000-00002F5C0000}"/>
    <cellStyle name="Обычный 6 2 37 10" xfId="49949" xr:uid="{00000000-0005-0000-0000-0000305C0000}"/>
    <cellStyle name="Обычный 6 2 37 2" xfId="7228" xr:uid="{00000000-0005-0000-0000-0000315C0000}"/>
    <cellStyle name="Обычный 6 2 37 2 2" xfId="55290" xr:uid="{00000000-0005-0000-0000-0000325C0000}"/>
    <cellStyle name="Обычный 6 2 37 3" xfId="12569" xr:uid="{00000000-0005-0000-0000-0000335C0000}"/>
    <cellStyle name="Обычный 6 2 37 4" xfId="17909" xr:uid="{00000000-0005-0000-0000-0000345C0000}"/>
    <cellStyle name="Обычный 6 2 37 5" xfId="23249" xr:uid="{00000000-0005-0000-0000-0000355C0000}"/>
    <cellStyle name="Обычный 6 2 37 6" xfId="28589" xr:uid="{00000000-0005-0000-0000-0000365C0000}"/>
    <cellStyle name="Обычный 6 2 37 7" xfId="33929" xr:uid="{00000000-0005-0000-0000-0000375C0000}"/>
    <cellStyle name="Обычный 6 2 37 8" xfId="39269" xr:uid="{00000000-0005-0000-0000-0000385C0000}"/>
    <cellStyle name="Обычный 6 2 37 9" xfId="44609" xr:uid="{00000000-0005-0000-0000-0000395C0000}"/>
    <cellStyle name="Обычный 6 2 38" xfId="1912" xr:uid="{00000000-0005-0000-0000-00003A5C0000}"/>
    <cellStyle name="Обычный 6 2 38 10" xfId="49975" xr:uid="{00000000-0005-0000-0000-00003B5C0000}"/>
    <cellStyle name="Обычный 6 2 38 2" xfId="7254" xr:uid="{00000000-0005-0000-0000-00003C5C0000}"/>
    <cellStyle name="Обычный 6 2 38 2 2" xfId="55316" xr:uid="{00000000-0005-0000-0000-00003D5C0000}"/>
    <cellStyle name="Обычный 6 2 38 3" xfId="12595" xr:uid="{00000000-0005-0000-0000-00003E5C0000}"/>
    <cellStyle name="Обычный 6 2 38 4" xfId="17935" xr:uid="{00000000-0005-0000-0000-00003F5C0000}"/>
    <cellStyle name="Обычный 6 2 38 5" xfId="23275" xr:uid="{00000000-0005-0000-0000-0000405C0000}"/>
    <cellStyle name="Обычный 6 2 38 6" xfId="28615" xr:uid="{00000000-0005-0000-0000-0000415C0000}"/>
    <cellStyle name="Обычный 6 2 38 7" xfId="33955" xr:uid="{00000000-0005-0000-0000-0000425C0000}"/>
    <cellStyle name="Обычный 6 2 38 8" xfId="39295" xr:uid="{00000000-0005-0000-0000-0000435C0000}"/>
    <cellStyle name="Обычный 6 2 38 9" xfId="44635" xr:uid="{00000000-0005-0000-0000-0000445C0000}"/>
    <cellStyle name="Обычный 6 2 39" xfId="1938" xr:uid="{00000000-0005-0000-0000-0000455C0000}"/>
    <cellStyle name="Обычный 6 2 39 10" xfId="50001" xr:uid="{00000000-0005-0000-0000-0000465C0000}"/>
    <cellStyle name="Обычный 6 2 39 2" xfId="7280" xr:uid="{00000000-0005-0000-0000-0000475C0000}"/>
    <cellStyle name="Обычный 6 2 39 2 2" xfId="55342" xr:uid="{00000000-0005-0000-0000-0000485C0000}"/>
    <cellStyle name="Обычный 6 2 39 3" xfId="12621" xr:uid="{00000000-0005-0000-0000-0000495C0000}"/>
    <cellStyle name="Обычный 6 2 39 4" xfId="17961" xr:uid="{00000000-0005-0000-0000-00004A5C0000}"/>
    <cellStyle name="Обычный 6 2 39 5" xfId="23301" xr:uid="{00000000-0005-0000-0000-00004B5C0000}"/>
    <cellStyle name="Обычный 6 2 39 6" xfId="28641" xr:uid="{00000000-0005-0000-0000-00004C5C0000}"/>
    <cellStyle name="Обычный 6 2 39 7" xfId="33981" xr:uid="{00000000-0005-0000-0000-00004D5C0000}"/>
    <cellStyle name="Обычный 6 2 39 8" xfId="39321" xr:uid="{00000000-0005-0000-0000-00004E5C0000}"/>
    <cellStyle name="Обычный 6 2 39 9" xfId="44661" xr:uid="{00000000-0005-0000-0000-00004F5C0000}"/>
    <cellStyle name="Обычный 6 2 4" xfId="1031" xr:uid="{00000000-0005-0000-0000-0000505C0000}"/>
    <cellStyle name="Обычный 6 2 4 10" xfId="49093" xr:uid="{00000000-0005-0000-0000-0000515C0000}"/>
    <cellStyle name="Обычный 6 2 4 2" xfId="6372" xr:uid="{00000000-0005-0000-0000-0000525C0000}"/>
    <cellStyle name="Обычный 6 2 4 2 2" xfId="54434" xr:uid="{00000000-0005-0000-0000-0000535C0000}"/>
    <cellStyle name="Обычный 6 2 4 3" xfId="11713" xr:uid="{00000000-0005-0000-0000-0000545C0000}"/>
    <cellStyle name="Обычный 6 2 4 4" xfId="17053" xr:uid="{00000000-0005-0000-0000-0000555C0000}"/>
    <cellStyle name="Обычный 6 2 4 5" xfId="22393" xr:uid="{00000000-0005-0000-0000-0000565C0000}"/>
    <cellStyle name="Обычный 6 2 4 6" xfId="27733" xr:uid="{00000000-0005-0000-0000-0000575C0000}"/>
    <cellStyle name="Обычный 6 2 4 7" xfId="33073" xr:uid="{00000000-0005-0000-0000-0000585C0000}"/>
    <cellStyle name="Обычный 6 2 4 8" xfId="38413" xr:uid="{00000000-0005-0000-0000-0000595C0000}"/>
    <cellStyle name="Обычный 6 2 4 9" xfId="43753" xr:uid="{00000000-0005-0000-0000-00005A5C0000}"/>
    <cellStyle name="Обычный 6 2 40" xfId="1966" xr:uid="{00000000-0005-0000-0000-00005B5C0000}"/>
    <cellStyle name="Обычный 6 2 40 10" xfId="50029" xr:uid="{00000000-0005-0000-0000-00005C5C0000}"/>
    <cellStyle name="Обычный 6 2 40 2" xfId="7308" xr:uid="{00000000-0005-0000-0000-00005D5C0000}"/>
    <cellStyle name="Обычный 6 2 40 2 2" xfId="55370" xr:uid="{00000000-0005-0000-0000-00005E5C0000}"/>
    <cellStyle name="Обычный 6 2 40 3" xfId="12649" xr:uid="{00000000-0005-0000-0000-00005F5C0000}"/>
    <cellStyle name="Обычный 6 2 40 4" xfId="17989" xr:uid="{00000000-0005-0000-0000-0000605C0000}"/>
    <cellStyle name="Обычный 6 2 40 5" xfId="23329" xr:uid="{00000000-0005-0000-0000-0000615C0000}"/>
    <cellStyle name="Обычный 6 2 40 6" xfId="28669" xr:uid="{00000000-0005-0000-0000-0000625C0000}"/>
    <cellStyle name="Обычный 6 2 40 7" xfId="34009" xr:uid="{00000000-0005-0000-0000-0000635C0000}"/>
    <cellStyle name="Обычный 6 2 40 8" xfId="39349" xr:uid="{00000000-0005-0000-0000-0000645C0000}"/>
    <cellStyle name="Обычный 6 2 40 9" xfId="44689" xr:uid="{00000000-0005-0000-0000-0000655C0000}"/>
    <cellStyle name="Обычный 6 2 41" xfId="1993" xr:uid="{00000000-0005-0000-0000-0000665C0000}"/>
    <cellStyle name="Обычный 6 2 41 10" xfId="50057" xr:uid="{00000000-0005-0000-0000-0000675C0000}"/>
    <cellStyle name="Обычный 6 2 41 2" xfId="7336" xr:uid="{00000000-0005-0000-0000-0000685C0000}"/>
    <cellStyle name="Обычный 6 2 41 2 2" xfId="55398" xr:uid="{00000000-0005-0000-0000-0000695C0000}"/>
    <cellStyle name="Обычный 6 2 41 3" xfId="12677" xr:uid="{00000000-0005-0000-0000-00006A5C0000}"/>
    <cellStyle name="Обычный 6 2 41 4" xfId="18017" xr:uid="{00000000-0005-0000-0000-00006B5C0000}"/>
    <cellStyle name="Обычный 6 2 41 5" xfId="23357" xr:uid="{00000000-0005-0000-0000-00006C5C0000}"/>
    <cellStyle name="Обычный 6 2 41 6" xfId="28697" xr:uid="{00000000-0005-0000-0000-00006D5C0000}"/>
    <cellStyle name="Обычный 6 2 41 7" xfId="34037" xr:uid="{00000000-0005-0000-0000-00006E5C0000}"/>
    <cellStyle name="Обычный 6 2 41 8" xfId="39377" xr:uid="{00000000-0005-0000-0000-00006F5C0000}"/>
    <cellStyle name="Обычный 6 2 41 9" xfId="44717" xr:uid="{00000000-0005-0000-0000-0000705C0000}"/>
    <cellStyle name="Обычный 6 2 42" xfId="2021" xr:uid="{00000000-0005-0000-0000-0000715C0000}"/>
    <cellStyle name="Обычный 6 2 42 10" xfId="50085" xr:uid="{00000000-0005-0000-0000-0000725C0000}"/>
    <cellStyle name="Обычный 6 2 42 2" xfId="7364" xr:uid="{00000000-0005-0000-0000-0000735C0000}"/>
    <cellStyle name="Обычный 6 2 42 2 2" xfId="55426" xr:uid="{00000000-0005-0000-0000-0000745C0000}"/>
    <cellStyle name="Обычный 6 2 42 3" xfId="12705" xr:uid="{00000000-0005-0000-0000-0000755C0000}"/>
    <cellStyle name="Обычный 6 2 42 4" xfId="18045" xr:uid="{00000000-0005-0000-0000-0000765C0000}"/>
    <cellStyle name="Обычный 6 2 42 5" xfId="23385" xr:uid="{00000000-0005-0000-0000-0000775C0000}"/>
    <cellStyle name="Обычный 6 2 42 6" xfId="28725" xr:uid="{00000000-0005-0000-0000-0000785C0000}"/>
    <cellStyle name="Обычный 6 2 42 7" xfId="34065" xr:uid="{00000000-0005-0000-0000-0000795C0000}"/>
    <cellStyle name="Обычный 6 2 42 8" xfId="39405" xr:uid="{00000000-0005-0000-0000-00007A5C0000}"/>
    <cellStyle name="Обычный 6 2 42 9" xfId="44745" xr:uid="{00000000-0005-0000-0000-00007B5C0000}"/>
    <cellStyle name="Обычный 6 2 43" xfId="2049" xr:uid="{00000000-0005-0000-0000-00007C5C0000}"/>
    <cellStyle name="Обычный 6 2 43 10" xfId="50113" xr:uid="{00000000-0005-0000-0000-00007D5C0000}"/>
    <cellStyle name="Обычный 6 2 43 2" xfId="7392" xr:uid="{00000000-0005-0000-0000-00007E5C0000}"/>
    <cellStyle name="Обычный 6 2 43 2 2" xfId="55454" xr:uid="{00000000-0005-0000-0000-00007F5C0000}"/>
    <cellStyle name="Обычный 6 2 43 3" xfId="12733" xr:uid="{00000000-0005-0000-0000-0000805C0000}"/>
    <cellStyle name="Обычный 6 2 43 4" xfId="18073" xr:uid="{00000000-0005-0000-0000-0000815C0000}"/>
    <cellStyle name="Обычный 6 2 43 5" xfId="23413" xr:uid="{00000000-0005-0000-0000-0000825C0000}"/>
    <cellStyle name="Обычный 6 2 43 6" xfId="28753" xr:uid="{00000000-0005-0000-0000-0000835C0000}"/>
    <cellStyle name="Обычный 6 2 43 7" xfId="34093" xr:uid="{00000000-0005-0000-0000-0000845C0000}"/>
    <cellStyle name="Обычный 6 2 43 8" xfId="39433" xr:uid="{00000000-0005-0000-0000-0000855C0000}"/>
    <cellStyle name="Обычный 6 2 43 9" xfId="44773" xr:uid="{00000000-0005-0000-0000-0000865C0000}"/>
    <cellStyle name="Обычный 6 2 44" xfId="2077" xr:uid="{00000000-0005-0000-0000-0000875C0000}"/>
    <cellStyle name="Обычный 6 2 44 10" xfId="50141" xr:uid="{00000000-0005-0000-0000-0000885C0000}"/>
    <cellStyle name="Обычный 6 2 44 2" xfId="7420" xr:uid="{00000000-0005-0000-0000-0000895C0000}"/>
    <cellStyle name="Обычный 6 2 44 2 2" xfId="55482" xr:uid="{00000000-0005-0000-0000-00008A5C0000}"/>
    <cellStyle name="Обычный 6 2 44 3" xfId="12761" xr:uid="{00000000-0005-0000-0000-00008B5C0000}"/>
    <cellStyle name="Обычный 6 2 44 4" xfId="18101" xr:uid="{00000000-0005-0000-0000-00008C5C0000}"/>
    <cellStyle name="Обычный 6 2 44 5" xfId="23441" xr:uid="{00000000-0005-0000-0000-00008D5C0000}"/>
    <cellStyle name="Обычный 6 2 44 6" xfId="28781" xr:uid="{00000000-0005-0000-0000-00008E5C0000}"/>
    <cellStyle name="Обычный 6 2 44 7" xfId="34121" xr:uid="{00000000-0005-0000-0000-00008F5C0000}"/>
    <cellStyle name="Обычный 6 2 44 8" xfId="39461" xr:uid="{00000000-0005-0000-0000-0000905C0000}"/>
    <cellStyle name="Обычный 6 2 44 9" xfId="44801" xr:uid="{00000000-0005-0000-0000-0000915C0000}"/>
    <cellStyle name="Обычный 6 2 45" xfId="2105" xr:uid="{00000000-0005-0000-0000-0000925C0000}"/>
    <cellStyle name="Обычный 6 2 45 10" xfId="50169" xr:uid="{00000000-0005-0000-0000-0000935C0000}"/>
    <cellStyle name="Обычный 6 2 45 2" xfId="7448" xr:uid="{00000000-0005-0000-0000-0000945C0000}"/>
    <cellStyle name="Обычный 6 2 45 2 2" xfId="55510" xr:uid="{00000000-0005-0000-0000-0000955C0000}"/>
    <cellStyle name="Обычный 6 2 45 3" xfId="12789" xr:uid="{00000000-0005-0000-0000-0000965C0000}"/>
    <cellStyle name="Обычный 6 2 45 4" xfId="18129" xr:uid="{00000000-0005-0000-0000-0000975C0000}"/>
    <cellStyle name="Обычный 6 2 45 5" xfId="23469" xr:uid="{00000000-0005-0000-0000-0000985C0000}"/>
    <cellStyle name="Обычный 6 2 45 6" xfId="28809" xr:uid="{00000000-0005-0000-0000-0000995C0000}"/>
    <cellStyle name="Обычный 6 2 45 7" xfId="34149" xr:uid="{00000000-0005-0000-0000-00009A5C0000}"/>
    <cellStyle name="Обычный 6 2 45 8" xfId="39489" xr:uid="{00000000-0005-0000-0000-00009B5C0000}"/>
    <cellStyle name="Обычный 6 2 45 9" xfId="44829" xr:uid="{00000000-0005-0000-0000-00009C5C0000}"/>
    <cellStyle name="Обычный 6 2 46" xfId="2133" xr:uid="{00000000-0005-0000-0000-00009D5C0000}"/>
    <cellStyle name="Обычный 6 2 46 10" xfId="50197" xr:uid="{00000000-0005-0000-0000-00009E5C0000}"/>
    <cellStyle name="Обычный 6 2 46 2" xfId="7476" xr:uid="{00000000-0005-0000-0000-00009F5C0000}"/>
    <cellStyle name="Обычный 6 2 46 2 2" xfId="55538" xr:uid="{00000000-0005-0000-0000-0000A05C0000}"/>
    <cellStyle name="Обычный 6 2 46 3" xfId="12817" xr:uid="{00000000-0005-0000-0000-0000A15C0000}"/>
    <cellStyle name="Обычный 6 2 46 4" xfId="18157" xr:uid="{00000000-0005-0000-0000-0000A25C0000}"/>
    <cellStyle name="Обычный 6 2 46 5" xfId="23497" xr:uid="{00000000-0005-0000-0000-0000A35C0000}"/>
    <cellStyle name="Обычный 6 2 46 6" xfId="28837" xr:uid="{00000000-0005-0000-0000-0000A45C0000}"/>
    <cellStyle name="Обычный 6 2 46 7" xfId="34177" xr:uid="{00000000-0005-0000-0000-0000A55C0000}"/>
    <cellStyle name="Обычный 6 2 46 8" xfId="39517" xr:uid="{00000000-0005-0000-0000-0000A65C0000}"/>
    <cellStyle name="Обычный 6 2 46 9" xfId="44857" xr:uid="{00000000-0005-0000-0000-0000A75C0000}"/>
    <cellStyle name="Обычный 6 2 47" xfId="2163" xr:uid="{00000000-0005-0000-0000-0000A85C0000}"/>
    <cellStyle name="Обычный 6 2 47 10" xfId="50227" xr:uid="{00000000-0005-0000-0000-0000A95C0000}"/>
    <cellStyle name="Обычный 6 2 47 2" xfId="7506" xr:uid="{00000000-0005-0000-0000-0000AA5C0000}"/>
    <cellStyle name="Обычный 6 2 47 2 2" xfId="55568" xr:uid="{00000000-0005-0000-0000-0000AB5C0000}"/>
    <cellStyle name="Обычный 6 2 47 3" xfId="12847" xr:uid="{00000000-0005-0000-0000-0000AC5C0000}"/>
    <cellStyle name="Обычный 6 2 47 4" xfId="18187" xr:uid="{00000000-0005-0000-0000-0000AD5C0000}"/>
    <cellStyle name="Обычный 6 2 47 5" xfId="23527" xr:uid="{00000000-0005-0000-0000-0000AE5C0000}"/>
    <cellStyle name="Обычный 6 2 47 6" xfId="28867" xr:uid="{00000000-0005-0000-0000-0000AF5C0000}"/>
    <cellStyle name="Обычный 6 2 47 7" xfId="34207" xr:uid="{00000000-0005-0000-0000-0000B05C0000}"/>
    <cellStyle name="Обычный 6 2 47 8" xfId="39547" xr:uid="{00000000-0005-0000-0000-0000B15C0000}"/>
    <cellStyle name="Обычный 6 2 47 9" xfId="44887" xr:uid="{00000000-0005-0000-0000-0000B25C0000}"/>
    <cellStyle name="Обычный 6 2 48" xfId="2193" xr:uid="{00000000-0005-0000-0000-0000B35C0000}"/>
    <cellStyle name="Обычный 6 2 48 10" xfId="50257" xr:uid="{00000000-0005-0000-0000-0000B45C0000}"/>
    <cellStyle name="Обычный 6 2 48 2" xfId="7536" xr:uid="{00000000-0005-0000-0000-0000B55C0000}"/>
    <cellStyle name="Обычный 6 2 48 2 2" xfId="55598" xr:uid="{00000000-0005-0000-0000-0000B65C0000}"/>
    <cellStyle name="Обычный 6 2 48 3" xfId="12877" xr:uid="{00000000-0005-0000-0000-0000B75C0000}"/>
    <cellStyle name="Обычный 6 2 48 4" xfId="18217" xr:uid="{00000000-0005-0000-0000-0000B85C0000}"/>
    <cellStyle name="Обычный 6 2 48 5" xfId="23557" xr:uid="{00000000-0005-0000-0000-0000B95C0000}"/>
    <cellStyle name="Обычный 6 2 48 6" xfId="28897" xr:uid="{00000000-0005-0000-0000-0000BA5C0000}"/>
    <cellStyle name="Обычный 6 2 48 7" xfId="34237" xr:uid="{00000000-0005-0000-0000-0000BB5C0000}"/>
    <cellStyle name="Обычный 6 2 48 8" xfId="39577" xr:uid="{00000000-0005-0000-0000-0000BC5C0000}"/>
    <cellStyle name="Обычный 6 2 48 9" xfId="44917" xr:uid="{00000000-0005-0000-0000-0000BD5C0000}"/>
    <cellStyle name="Обычный 6 2 49" xfId="2223" xr:uid="{00000000-0005-0000-0000-0000BE5C0000}"/>
    <cellStyle name="Обычный 6 2 49 10" xfId="50287" xr:uid="{00000000-0005-0000-0000-0000BF5C0000}"/>
    <cellStyle name="Обычный 6 2 49 2" xfId="7566" xr:uid="{00000000-0005-0000-0000-0000C05C0000}"/>
    <cellStyle name="Обычный 6 2 49 2 2" xfId="55628" xr:uid="{00000000-0005-0000-0000-0000C15C0000}"/>
    <cellStyle name="Обычный 6 2 49 3" xfId="12907" xr:uid="{00000000-0005-0000-0000-0000C25C0000}"/>
    <cellStyle name="Обычный 6 2 49 4" xfId="18247" xr:uid="{00000000-0005-0000-0000-0000C35C0000}"/>
    <cellStyle name="Обычный 6 2 49 5" xfId="23587" xr:uid="{00000000-0005-0000-0000-0000C45C0000}"/>
    <cellStyle name="Обычный 6 2 49 6" xfId="28927" xr:uid="{00000000-0005-0000-0000-0000C55C0000}"/>
    <cellStyle name="Обычный 6 2 49 7" xfId="34267" xr:uid="{00000000-0005-0000-0000-0000C65C0000}"/>
    <cellStyle name="Обычный 6 2 49 8" xfId="39607" xr:uid="{00000000-0005-0000-0000-0000C75C0000}"/>
    <cellStyle name="Обычный 6 2 49 9" xfId="44947" xr:uid="{00000000-0005-0000-0000-0000C85C0000}"/>
    <cellStyle name="Обычный 6 2 5" xfId="1055" xr:uid="{00000000-0005-0000-0000-0000C95C0000}"/>
    <cellStyle name="Обычный 6 2 5 10" xfId="49117" xr:uid="{00000000-0005-0000-0000-0000CA5C0000}"/>
    <cellStyle name="Обычный 6 2 5 2" xfId="6396" xr:uid="{00000000-0005-0000-0000-0000CB5C0000}"/>
    <cellStyle name="Обычный 6 2 5 2 2" xfId="54458" xr:uid="{00000000-0005-0000-0000-0000CC5C0000}"/>
    <cellStyle name="Обычный 6 2 5 3" xfId="11737" xr:uid="{00000000-0005-0000-0000-0000CD5C0000}"/>
    <cellStyle name="Обычный 6 2 5 4" xfId="17077" xr:uid="{00000000-0005-0000-0000-0000CE5C0000}"/>
    <cellStyle name="Обычный 6 2 5 5" xfId="22417" xr:uid="{00000000-0005-0000-0000-0000CF5C0000}"/>
    <cellStyle name="Обычный 6 2 5 6" xfId="27757" xr:uid="{00000000-0005-0000-0000-0000D05C0000}"/>
    <cellStyle name="Обычный 6 2 5 7" xfId="33097" xr:uid="{00000000-0005-0000-0000-0000D15C0000}"/>
    <cellStyle name="Обычный 6 2 5 8" xfId="38437" xr:uid="{00000000-0005-0000-0000-0000D25C0000}"/>
    <cellStyle name="Обычный 6 2 5 9" xfId="43777" xr:uid="{00000000-0005-0000-0000-0000D35C0000}"/>
    <cellStyle name="Обычный 6 2 50" xfId="2253" xr:uid="{00000000-0005-0000-0000-0000D45C0000}"/>
    <cellStyle name="Обычный 6 2 50 10" xfId="50317" xr:uid="{00000000-0005-0000-0000-0000D55C0000}"/>
    <cellStyle name="Обычный 6 2 50 2" xfId="7596" xr:uid="{00000000-0005-0000-0000-0000D65C0000}"/>
    <cellStyle name="Обычный 6 2 50 2 2" xfId="55658" xr:uid="{00000000-0005-0000-0000-0000D75C0000}"/>
    <cellStyle name="Обычный 6 2 50 3" xfId="12937" xr:uid="{00000000-0005-0000-0000-0000D85C0000}"/>
    <cellStyle name="Обычный 6 2 50 4" xfId="18277" xr:uid="{00000000-0005-0000-0000-0000D95C0000}"/>
    <cellStyle name="Обычный 6 2 50 5" xfId="23617" xr:uid="{00000000-0005-0000-0000-0000DA5C0000}"/>
    <cellStyle name="Обычный 6 2 50 6" xfId="28957" xr:uid="{00000000-0005-0000-0000-0000DB5C0000}"/>
    <cellStyle name="Обычный 6 2 50 7" xfId="34297" xr:uid="{00000000-0005-0000-0000-0000DC5C0000}"/>
    <cellStyle name="Обычный 6 2 50 8" xfId="39637" xr:uid="{00000000-0005-0000-0000-0000DD5C0000}"/>
    <cellStyle name="Обычный 6 2 50 9" xfId="44977" xr:uid="{00000000-0005-0000-0000-0000DE5C0000}"/>
    <cellStyle name="Обычный 6 2 51" xfId="2283" xr:uid="{00000000-0005-0000-0000-0000DF5C0000}"/>
    <cellStyle name="Обычный 6 2 51 10" xfId="50347" xr:uid="{00000000-0005-0000-0000-0000E05C0000}"/>
    <cellStyle name="Обычный 6 2 51 2" xfId="7626" xr:uid="{00000000-0005-0000-0000-0000E15C0000}"/>
    <cellStyle name="Обычный 6 2 51 2 2" xfId="55688" xr:uid="{00000000-0005-0000-0000-0000E25C0000}"/>
    <cellStyle name="Обычный 6 2 51 3" xfId="12967" xr:uid="{00000000-0005-0000-0000-0000E35C0000}"/>
    <cellStyle name="Обычный 6 2 51 4" xfId="18307" xr:uid="{00000000-0005-0000-0000-0000E45C0000}"/>
    <cellStyle name="Обычный 6 2 51 5" xfId="23647" xr:uid="{00000000-0005-0000-0000-0000E55C0000}"/>
    <cellStyle name="Обычный 6 2 51 6" xfId="28987" xr:uid="{00000000-0005-0000-0000-0000E65C0000}"/>
    <cellStyle name="Обычный 6 2 51 7" xfId="34327" xr:uid="{00000000-0005-0000-0000-0000E75C0000}"/>
    <cellStyle name="Обычный 6 2 51 8" xfId="39667" xr:uid="{00000000-0005-0000-0000-0000E85C0000}"/>
    <cellStyle name="Обычный 6 2 51 9" xfId="45007" xr:uid="{00000000-0005-0000-0000-0000E95C0000}"/>
    <cellStyle name="Обычный 6 2 52" xfId="2313" xr:uid="{00000000-0005-0000-0000-0000EA5C0000}"/>
    <cellStyle name="Обычный 6 2 52 10" xfId="50377" xr:uid="{00000000-0005-0000-0000-0000EB5C0000}"/>
    <cellStyle name="Обычный 6 2 52 2" xfId="7656" xr:uid="{00000000-0005-0000-0000-0000EC5C0000}"/>
    <cellStyle name="Обычный 6 2 52 2 2" xfId="55718" xr:uid="{00000000-0005-0000-0000-0000ED5C0000}"/>
    <cellStyle name="Обычный 6 2 52 3" xfId="12997" xr:uid="{00000000-0005-0000-0000-0000EE5C0000}"/>
    <cellStyle name="Обычный 6 2 52 4" xfId="18337" xr:uid="{00000000-0005-0000-0000-0000EF5C0000}"/>
    <cellStyle name="Обычный 6 2 52 5" xfId="23677" xr:uid="{00000000-0005-0000-0000-0000F05C0000}"/>
    <cellStyle name="Обычный 6 2 52 6" xfId="29017" xr:uid="{00000000-0005-0000-0000-0000F15C0000}"/>
    <cellStyle name="Обычный 6 2 52 7" xfId="34357" xr:uid="{00000000-0005-0000-0000-0000F25C0000}"/>
    <cellStyle name="Обычный 6 2 52 8" xfId="39697" xr:uid="{00000000-0005-0000-0000-0000F35C0000}"/>
    <cellStyle name="Обычный 6 2 52 9" xfId="45037" xr:uid="{00000000-0005-0000-0000-0000F45C0000}"/>
    <cellStyle name="Обычный 6 2 53" xfId="2343" xr:uid="{00000000-0005-0000-0000-0000F55C0000}"/>
    <cellStyle name="Обычный 6 2 53 10" xfId="50407" xr:uid="{00000000-0005-0000-0000-0000F65C0000}"/>
    <cellStyle name="Обычный 6 2 53 2" xfId="7686" xr:uid="{00000000-0005-0000-0000-0000F75C0000}"/>
    <cellStyle name="Обычный 6 2 53 2 2" xfId="55748" xr:uid="{00000000-0005-0000-0000-0000F85C0000}"/>
    <cellStyle name="Обычный 6 2 53 3" xfId="13027" xr:uid="{00000000-0005-0000-0000-0000F95C0000}"/>
    <cellStyle name="Обычный 6 2 53 4" xfId="18367" xr:uid="{00000000-0005-0000-0000-0000FA5C0000}"/>
    <cellStyle name="Обычный 6 2 53 5" xfId="23707" xr:uid="{00000000-0005-0000-0000-0000FB5C0000}"/>
    <cellStyle name="Обычный 6 2 53 6" xfId="29047" xr:uid="{00000000-0005-0000-0000-0000FC5C0000}"/>
    <cellStyle name="Обычный 6 2 53 7" xfId="34387" xr:uid="{00000000-0005-0000-0000-0000FD5C0000}"/>
    <cellStyle name="Обычный 6 2 53 8" xfId="39727" xr:uid="{00000000-0005-0000-0000-0000FE5C0000}"/>
    <cellStyle name="Обычный 6 2 53 9" xfId="45067" xr:uid="{00000000-0005-0000-0000-0000FF5C0000}"/>
    <cellStyle name="Обычный 6 2 54" xfId="2373" xr:uid="{00000000-0005-0000-0000-0000005D0000}"/>
    <cellStyle name="Обычный 6 2 54 10" xfId="50437" xr:uid="{00000000-0005-0000-0000-0000015D0000}"/>
    <cellStyle name="Обычный 6 2 54 2" xfId="7716" xr:uid="{00000000-0005-0000-0000-0000025D0000}"/>
    <cellStyle name="Обычный 6 2 54 2 2" xfId="55778" xr:uid="{00000000-0005-0000-0000-0000035D0000}"/>
    <cellStyle name="Обычный 6 2 54 3" xfId="13057" xr:uid="{00000000-0005-0000-0000-0000045D0000}"/>
    <cellStyle name="Обычный 6 2 54 4" xfId="18397" xr:uid="{00000000-0005-0000-0000-0000055D0000}"/>
    <cellStyle name="Обычный 6 2 54 5" xfId="23737" xr:uid="{00000000-0005-0000-0000-0000065D0000}"/>
    <cellStyle name="Обычный 6 2 54 6" xfId="29077" xr:uid="{00000000-0005-0000-0000-0000075D0000}"/>
    <cellStyle name="Обычный 6 2 54 7" xfId="34417" xr:uid="{00000000-0005-0000-0000-0000085D0000}"/>
    <cellStyle name="Обычный 6 2 54 8" xfId="39757" xr:uid="{00000000-0005-0000-0000-0000095D0000}"/>
    <cellStyle name="Обычный 6 2 54 9" xfId="45097" xr:uid="{00000000-0005-0000-0000-00000A5D0000}"/>
    <cellStyle name="Обычный 6 2 55" xfId="2403" xr:uid="{00000000-0005-0000-0000-00000B5D0000}"/>
    <cellStyle name="Обычный 6 2 55 10" xfId="50467" xr:uid="{00000000-0005-0000-0000-00000C5D0000}"/>
    <cellStyle name="Обычный 6 2 55 2" xfId="7746" xr:uid="{00000000-0005-0000-0000-00000D5D0000}"/>
    <cellStyle name="Обычный 6 2 55 2 2" xfId="55808" xr:uid="{00000000-0005-0000-0000-00000E5D0000}"/>
    <cellStyle name="Обычный 6 2 55 3" xfId="13087" xr:uid="{00000000-0005-0000-0000-00000F5D0000}"/>
    <cellStyle name="Обычный 6 2 55 4" xfId="18427" xr:uid="{00000000-0005-0000-0000-0000105D0000}"/>
    <cellStyle name="Обычный 6 2 55 5" xfId="23767" xr:uid="{00000000-0005-0000-0000-0000115D0000}"/>
    <cellStyle name="Обычный 6 2 55 6" xfId="29107" xr:uid="{00000000-0005-0000-0000-0000125D0000}"/>
    <cellStyle name="Обычный 6 2 55 7" xfId="34447" xr:uid="{00000000-0005-0000-0000-0000135D0000}"/>
    <cellStyle name="Обычный 6 2 55 8" xfId="39787" xr:uid="{00000000-0005-0000-0000-0000145D0000}"/>
    <cellStyle name="Обычный 6 2 55 9" xfId="45127" xr:uid="{00000000-0005-0000-0000-0000155D0000}"/>
    <cellStyle name="Обычный 6 2 56" xfId="2433" xr:uid="{00000000-0005-0000-0000-0000165D0000}"/>
    <cellStyle name="Обычный 6 2 56 10" xfId="50497" xr:uid="{00000000-0005-0000-0000-0000175D0000}"/>
    <cellStyle name="Обычный 6 2 56 2" xfId="7776" xr:uid="{00000000-0005-0000-0000-0000185D0000}"/>
    <cellStyle name="Обычный 6 2 56 2 2" xfId="55838" xr:uid="{00000000-0005-0000-0000-0000195D0000}"/>
    <cellStyle name="Обычный 6 2 56 3" xfId="13117" xr:uid="{00000000-0005-0000-0000-00001A5D0000}"/>
    <cellStyle name="Обычный 6 2 56 4" xfId="18457" xr:uid="{00000000-0005-0000-0000-00001B5D0000}"/>
    <cellStyle name="Обычный 6 2 56 5" xfId="23797" xr:uid="{00000000-0005-0000-0000-00001C5D0000}"/>
    <cellStyle name="Обычный 6 2 56 6" xfId="29137" xr:uid="{00000000-0005-0000-0000-00001D5D0000}"/>
    <cellStyle name="Обычный 6 2 56 7" xfId="34477" xr:uid="{00000000-0005-0000-0000-00001E5D0000}"/>
    <cellStyle name="Обычный 6 2 56 8" xfId="39817" xr:uid="{00000000-0005-0000-0000-00001F5D0000}"/>
    <cellStyle name="Обычный 6 2 56 9" xfId="45157" xr:uid="{00000000-0005-0000-0000-0000205D0000}"/>
    <cellStyle name="Обычный 6 2 57" xfId="2463" xr:uid="{00000000-0005-0000-0000-0000215D0000}"/>
    <cellStyle name="Обычный 6 2 57 10" xfId="50527" xr:uid="{00000000-0005-0000-0000-0000225D0000}"/>
    <cellStyle name="Обычный 6 2 57 2" xfId="7806" xr:uid="{00000000-0005-0000-0000-0000235D0000}"/>
    <cellStyle name="Обычный 6 2 57 2 2" xfId="55868" xr:uid="{00000000-0005-0000-0000-0000245D0000}"/>
    <cellStyle name="Обычный 6 2 57 3" xfId="13147" xr:uid="{00000000-0005-0000-0000-0000255D0000}"/>
    <cellStyle name="Обычный 6 2 57 4" xfId="18487" xr:uid="{00000000-0005-0000-0000-0000265D0000}"/>
    <cellStyle name="Обычный 6 2 57 5" xfId="23827" xr:uid="{00000000-0005-0000-0000-0000275D0000}"/>
    <cellStyle name="Обычный 6 2 57 6" xfId="29167" xr:uid="{00000000-0005-0000-0000-0000285D0000}"/>
    <cellStyle name="Обычный 6 2 57 7" xfId="34507" xr:uid="{00000000-0005-0000-0000-0000295D0000}"/>
    <cellStyle name="Обычный 6 2 57 8" xfId="39847" xr:uid="{00000000-0005-0000-0000-00002A5D0000}"/>
    <cellStyle name="Обычный 6 2 57 9" xfId="45187" xr:uid="{00000000-0005-0000-0000-00002B5D0000}"/>
    <cellStyle name="Обычный 6 2 58" xfId="2493" xr:uid="{00000000-0005-0000-0000-00002C5D0000}"/>
    <cellStyle name="Обычный 6 2 58 10" xfId="50557" xr:uid="{00000000-0005-0000-0000-00002D5D0000}"/>
    <cellStyle name="Обычный 6 2 58 2" xfId="7836" xr:uid="{00000000-0005-0000-0000-00002E5D0000}"/>
    <cellStyle name="Обычный 6 2 58 2 2" xfId="55898" xr:uid="{00000000-0005-0000-0000-00002F5D0000}"/>
    <cellStyle name="Обычный 6 2 58 3" xfId="13177" xr:uid="{00000000-0005-0000-0000-0000305D0000}"/>
    <cellStyle name="Обычный 6 2 58 4" xfId="18517" xr:uid="{00000000-0005-0000-0000-0000315D0000}"/>
    <cellStyle name="Обычный 6 2 58 5" xfId="23857" xr:uid="{00000000-0005-0000-0000-0000325D0000}"/>
    <cellStyle name="Обычный 6 2 58 6" xfId="29197" xr:uid="{00000000-0005-0000-0000-0000335D0000}"/>
    <cellStyle name="Обычный 6 2 58 7" xfId="34537" xr:uid="{00000000-0005-0000-0000-0000345D0000}"/>
    <cellStyle name="Обычный 6 2 58 8" xfId="39877" xr:uid="{00000000-0005-0000-0000-0000355D0000}"/>
    <cellStyle name="Обычный 6 2 58 9" xfId="45217" xr:uid="{00000000-0005-0000-0000-0000365D0000}"/>
    <cellStyle name="Обычный 6 2 59" xfId="2525" xr:uid="{00000000-0005-0000-0000-0000375D0000}"/>
    <cellStyle name="Обычный 6 2 59 10" xfId="50589" xr:uid="{00000000-0005-0000-0000-0000385D0000}"/>
    <cellStyle name="Обычный 6 2 59 2" xfId="7868" xr:uid="{00000000-0005-0000-0000-0000395D0000}"/>
    <cellStyle name="Обычный 6 2 59 2 2" xfId="55930" xr:uid="{00000000-0005-0000-0000-00003A5D0000}"/>
    <cellStyle name="Обычный 6 2 59 3" xfId="13209" xr:uid="{00000000-0005-0000-0000-00003B5D0000}"/>
    <cellStyle name="Обычный 6 2 59 4" xfId="18549" xr:uid="{00000000-0005-0000-0000-00003C5D0000}"/>
    <cellStyle name="Обычный 6 2 59 5" xfId="23889" xr:uid="{00000000-0005-0000-0000-00003D5D0000}"/>
    <cellStyle name="Обычный 6 2 59 6" xfId="29229" xr:uid="{00000000-0005-0000-0000-00003E5D0000}"/>
    <cellStyle name="Обычный 6 2 59 7" xfId="34569" xr:uid="{00000000-0005-0000-0000-00003F5D0000}"/>
    <cellStyle name="Обычный 6 2 59 8" xfId="39909" xr:uid="{00000000-0005-0000-0000-0000405D0000}"/>
    <cellStyle name="Обычный 6 2 59 9" xfId="45249" xr:uid="{00000000-0005-0000-0000-0000415D0000}"/>
    <cellStyle name="Обычный 6 2 6" xfId="1080" xr:uid="{00000000-0005-0000-0000-0000425D0000}"/>
    <cellStyle name="Обычный 6 2 6 10" xfId="49143" xr:uid="{00000000-0005-0000-0000-0000435D0000}"/>
    <cellStyle name="Обычный 6 2 6 2" xfId="6422" xr:uid="{00000000-0005-0000-0000-0000445D0000}"/>
    <cellStyle name="Обычный 6 2 6 2 2" xfId="54484" xr:uid="{00000000-0005-0000-0000-0000455D0000}"/>
    <cellStyle name="Обычный 6 2 6 3" xfId="11763" xr:uid="{00000000-0005-0000-0000-0000465D0000}"/>
    <cellStyle name="Обычный 6 2 6 4" xfId="17103" xr:uid="{00000000-0005-0000-0000-0000475D0000}"/>
    <cellStyle name="Обычный 6 2 6 5" xfId="22443" xr:uid="{00000000-0005-0000-0000-0000485D0000}"/>
    <cellStyle name="Обычный 6 2 6 6" xfId="27783" xr:uid="{00000000-0005-0000-0000-0000495D0000}"/>
    <cellStyle name="Обычный 6 2 6 7" xfId="33123" xr:uid="{00000000-0005-0000-0000-00004A5D0000}"/>
    <cellStyle name="Обычный 6 2 6 8" xfId="38463" xr:uid="{00000000-0005-0000-0000-00004B5D0000}"/>
    <cellStyle name="Обычный 6 2 6 9" xfId="43803" xr:uid="{00000000-0005-0000-0000-00004C5D0000}"/>
    <cellStyle name="Обычный 6 2 60" xfId="2559" xr:uid="{00000000-0005-0000-0000-00004D5D0000}"/>
    <cellStyle name="Обычный 6 2 60 10" xfId="50623" xr:uid="{00000000-0005-0000-0000-00004E5D0000}"/>
    <cellStyle name="Обычный 6 2 60 2" xfId="7902" xr:uid="{00000000-0005-0000-0000-00004F5D0000}"/>
    <cellStyle name="Обычный 6 2 60 2 2" xfId="55964" xr:uid="{00000000-0005-0000-0000-0000505D0000}"/>
    <cellStyle name="Обычный 6 2 60 3" xfId="13243" xr:uid="{00000000-0005-0000-0000-0000515D0000}"/>
    <cellStyle name="Обычный 6 2 60 4" xfId="18583" xr:uid="{00000000-0005-0000-0000-0000525D0000}"/>
    <cellStyle name="Обычный 6 2 60 5" xfId="23923" xr:uid="{00000000-0005-0000-0000-0000535D0000}"/>
    <cellStyle name="Обычный 6 2 60 6" xfId="29263" xr:uid="{00000000-0005-0000-0000-0000545D0000}"/>
    <cellStyle name="Обычный 6 2 60 7" xfId="34603" xr:uid="{00000000-0005-0000-0000-0000555D0000}"/>
    <cellStyle name="Обычный 6 2 60 8" xfId="39943" xr:uid="{00000000-0005-0000-0000-0000565D0000}"/>
    <cellStyle name="Обычный 6 2 60 9" xfId="45283" xr:uid="{00000000-0005-0000-0000-0000575D0000}"/>
    <cellStyle name="Обычный 6 2 61" xfId="2591" xr:uid="{00000000-0005-0000-0000-0000585D0000}"/>
    <cellStyle name="Обычный 6 2 61 10" xfId="50655" xr:uid="{00000000-0005-0000-0000-0000595D0000}"/>
    <cellStyle name="Обычный 6 2 61 2" xfId="7934" xr:uid="{00000000-0005-0000-0000-00005A5D0000}"/>
    <cellStyle name="Обычный 6 2 61 2 2" xfId="55996" xr:uid="{00000000-0005-0000-0000-00005B5D0000}"/>
    <cellStyle name="Обычный 6 2 61 3" xfId="13275" xr:uid="{00000000-0005-0000-0000-00005C5D0000}"/>
    <cellStyle name="Обычный 6 2 61 4" xfId="18615" xr:uid="{00000000-0005-0000-0000-00005D5D0000}"/>
    <cellStyle name="Обычный 6 2 61 5" xfId="23955" xr:uid="{00000000-0005-0000-0000-00005E5D0000}"/>
    <cellStyle name="Обычный 6 2 61 6" xfId="29295" xr:uid="{00000000-0005-0000-0000-00005F5D0000}"/>
    <cellStyle name="Обычный 6 2 61 7" xfId="34635" xr:uid="{00000000-0005-0000-0000-0000605D0000}"/>
    <cellStyle name="Обычный 6 2 61 8" xfId="39975" xr:uid="{00000000-0005-0000-0000-0000615D0000}"/>
    <cellStyle name="Обычный 6 2 61 9" xfId="45315" xr:uid="{00000000-0005-0000-0000-0000625D0000}"/>
    <cellStyle name="Обычный 6 2 62" xfId="2623" xr:uid="{00000000-0005-0000-0000-0000635D0000}"/>
    <cellStyle name="Обычный 6 2 62 10" xfId="50687" xr:uid="{00000000-0005-0000-0000-0000645D0000}"/>
    <cellStyle name="Обычный 6 2 62 2" xfId="7966" xr:uid="{00000000-0005-0000-0000-0000655D0000}"/>
    <cellStyle name="Обычный 6 2 62 2 2" xfId="56028" xr:uid="{00000000-0005-0000-0000-0000665D0000}"/>
    <cellStyle name="Обычный 6 2 62 3" xfId="13307" xr:uid="{00000000-0005-0000-0000-0000675D0000}"/>
    <cellStyle name="Обычный 6 2 62 4" xfId="18647" xr:uid="{00000000-0005-0000-0000-0000685D0000}"/>
    <cellStyle name="Обычный 6 2 62 5" xfId="23987" xr:uid="{00000000-0005-0000-0000-0000695D0000}"/>
    <cellStyle name="Обычный 6 2 62 6" xfId="29327" xr:uid="{00000000-0005-0000-0000-00006A5D0000}"/>
    <cellStyle name="Обычный 6 2 62 7" xfId="34667" xr:uid="{00000000-0005-0000-0000-00006B5D0000}"/>
    <cellStyle name="Обычный 6 2 62 8" xfId="40007" xr:uid="{00000000-0005-0000-0000-00006C5D0000}"/>
    <cellStyle name="Обычный 6 2 62 9" xfId="45347" xr:uid="{00000000-0005-0000-0000-00006D5D0000}"/>
    <cellStyle name="Обычный 6 2 63" xfId="2655" xr:uid="{00000000-0005-0000-0000-00006E5D0000}"/>
    <cellStyle name="Обычный 6 2 63 10" xfId="50719" xr:uid="{00000000-0005-0000-0000-00006F5D0000}"/>
    <cellStyle name="Обычный 6 2 63 2" xfId="7998" xr:uid="{00000000-0005-0000-0000-0000705D0000}"/>
    <cellStyle name="Обычный 6 2 63 2 2" xfId="56060" xr:uid="{00000000-0005-0000-0000-0000715D0000}"/>
    <cellStyle name="Обычный 6 2 63 3" xfId="13339" xr:uid="{00000000-0005-0000-0000-0000725D0000}"/>
    <cellStyle name="Обычный 6 2 63 4" xfId="18679" xr:uid="{00000000-0005-0000-0000-0000735D0000}"/>
    <cellStyle name="Обычный 6 2 63 5" xfId="24019" xr:uid="{00000000-0005-0000-0000-0000745D0000}"/>
    <cellStyle name="Обычный 6 2 63 6" xfId="29359" xr:uid="{00000000-0005-0000-0000-0000755D0000}"/>
    <cellStyle name="Обычный 6 2 63 7" xfId="34699" xr:uid="{00000000-0005-0000-0000-0000765D0000}"/>
    <cellStyle name="Обычный 6 2 63 8" xfId="40039" xr:uid="{00000000-0005-0000-0000-0000775D0000}"/>
    <cellStyle name="Обычный 6 2 63 9" xfId="45379" xr:uid="{00000000-0005-0000-0000-0000785D0000}"/>
    <cellStyle name="Обычный 6 2 64" xfId="2687" xr:uid="{00000000-0005-0000-0000-0000795D0000}"/>
    <cellStyle name="Обычный 6 2 64 10" xfId="50751" xr:uid="{00000000-0005-0000-0000-00007A5D0000}"/>
    <cellStyle name="Обычный 6 2 64 2" xfId="8030" xr:uid="{00000000-0005-0000-0000-00007B5D0000}"/>
    <cellStyle name="Обычный 6 2 64 2 2" xfId="56092" xr:uid="{00000000-0005-0000-0000-00007C5D0000}"/>
    <cellStyle name="Обычный 6 2 64 3" xfId="13371" xr:uid="{00000000-0005-0000-0000-00007D5D0000}"/>
    <cellStyle name="Обычный 6 2 64 4" xfId="18711" xr:uid="{00000000-0005-0000-0000-00007E5D0000}"/>
    <cellStyle name="Обычный 6 2 64 5" xfId="24051" xr:uid="{00000000-0005-0000-0000-00007F5D0000}"/>
    <cellStyle name="Обычный 6 2 64 6" xfId="29391" xr:uid="{00000000-0005-0000-0000-0000805D0000}"/>
    <cellStyle name="Обычный 6 2 64 7" xfId="34731" xr:uid="{00000000-0005-0000-0000-0000815D0000}"/>
    <cellStyle name="Обычный 6 2 64 8" xfId="40071" xr:uid="{00000000-0005-0000-0000-0000825D0000}"/>
    <cellStyle name="Обычный 6 2 64 9" xfId="45411" xr:uid="{00000000-0005-0000-0000-0000835D0000}"/>
    <cellStyle name="Обычный 6 2 65" xfId="2719" xr:uid="{00000000-0005-0000-0000-0000845D0000}"/>
    <cellStyle name="Обычный 6 2 65 10" xfId="50783" xr:uid="{00000000-0005-0000-0000-0000855D0000}"/>
    <cellStyle name="Обычный 6 2 65 2" xfId="8062" xr:uid="{00000000-0005-0000-0000-0000865D0000}"/>
    <cellStyle name="Обычный 6 2 65 2 2" xfId="56124" xr:uid="{00000000-0005-0000-0000-0000875D0000}"/>
    <cellStyle name="Обычный 6 2 65 3" xfId="13403" xr:uid="{00000000-0005-0000-0000-0000885D0000}"/>
    <cellStyle name="Обычный 6 2 65 4" xfId="18743" xr:uid="{00000000-0005-0000-0000-0000895D0000}"/>
    <cellStyle name="Обычный 6 2 65 5" xfId="24083" xr:uid="{00000000-0005-0000-0000-00008A5D0000}"/>
    <cellStyle name="Обычный 6 2 65 6" xfId="29423" xr:uid="{00000000-0005-0000-0000-00008B5D0000}"/>
    <cellStyle name="Обычный 6 2 65 7" xfId="34763" xr:uid="{00000000-0005-0000-0000-00008C5D0000}"/>
    <cellStyle name="Обычный 6 2 65 8" xfId="40103" xr:uid="{00000000-0005-0000-0000-00008D5D0000}"/>
    <cellStyle name="Обычный 6 2 65 9" xfId="45443" xr:uid="{00000000-0005-0000-0000-00008E5D0000}"/>
    <cellStyle name="Обычный 6 2 66" xfId="2751" xr:uid="{00000000-0005-0000-0000-00008F5D0000}"/>
    <cellStyle name="Обычный 6 2 66 10" xfId="50815" xr:uid="{00000000-0005-0000-0000-0000905D0000}"/>
    <cellStyle name="Обычный 6 2 66 2" xfId="8094" xr:uid="{00000000-0005-0000-0000-0000915D0000}"/>
    <cellStyle name="Обычный 6 2 66 2 2" xfId="56156" xr:uid="{00000000-0005-0000-0000-0000925D0000}"/>
    <cellStyle name="Обычный 6 2 66 3" xfId="13435" xr:uid="{00000000-0005-0000-0000-0000935D0000}"/>
    <cellStyle name="Обычный 6 2 66 4" xfId="18775" xr:uid="{00000000-0005-0000-0000-0000945D0000}"/>
    <cellStyle name="Обычный 6 2 66 5" xfId="24115" xr:uid="{00000000-0005-0000-0000-0000955D0000}"/>
    <cellStyle name="Обычный 6 2 66 6" xfId="29455" xr:uid="{00000000-0005-0000-0000-0000965D0000}"/>
    <cellStyle name="Обычный 6 2 66 7" xfId="34795" xr:uid="{00000000-0005-0000-0000-0000975D0000}"/>
    <cellStyle name="Обычный 6 2 66 8" xfId="40135" xr:uid="{00000000-0005-0000-0000-0000985D0000}"/>
    <cellStyle name="Обычный 6 2 66 9" xfId="45475" xr:uid="{00000000-0005-0000-0000-0000995D0000}"/>
    <cellStyle name="Обычный 6 2 67" xfId="2785" xr:uid="{00000000-0005-0000-0000-00009A5D0000}"/>
    <cellStyle name="Обычный 6 2 67 10" xfId="50849" xr:uid="{00000000-0005-0000-0000-00009B5D0000}"/>
    <cellStyle name="Обычный 6 2 67 2" xfId="8128" xr:uid="{00000000-0005-0000-0000-00009C5D0000}"/>
    <cellStyle name="Обычный 6 2 67 2 2" xfId="56190" xr:uid="{00000000-0005-0000-0000-00009D5D0000}"/>
    <cellStyle name="Обычный 6 2 67 3" xfId="13469" xr:uid="{00000000-0005-0000-0000-00009E5D0000}"/>
    <cellStyle name="Обычный 6 2 67 4" xfId="18809" xr:uid="{00000000-0005-0000-0000-00009F5D0000}"/>
    <cellStyle name="Обычный 6 2 67 5" xfId="24149" xr:uid="{00000000-0005-0000-0000-0000A05D0000}"/>
    <cellStyle name="Обычный 6 2 67 6" xfId="29489" xr:uid="{00000000-0005-0000-0000-0000A15D0000}"/>
    <cellStyle name="Обычный 6 2 67 7" xfId="34829" xr:uid="{00000000-0005-0000-0000-0000A25D0000}"/>
    <cellStyle name="Обычный 6 2 67 8" xfId="40169" xr:uid="{00000000-0005-0000-0000-0000A35D0000}"/>
    <cellStyle name="Обычный 6 2 67 9" xfId="45509" xr:uid="{00000000-0005-0000-0000-0000A45D0000}"/>
    <cellStyle name="Обычный 6 2 68" xfId="2817" xr:uid="{00000000-0005-0000-0000-0000A55D0000}"/>
    <cellStyle name="Обычный 6 2 68 10" xfId="50881" xr:uid="{00000000-0005-0000-0000-0000A65D0000}"/>
    <cellStyle name="Обычный 6 2 68 2" xfId="8160" xr:uid="{00000000-0005-0000-0000-0000A75D0000}"/>
    <cellStyle name="Обычный 6 2 68 2 2" xfId="56222" xr:uid="{00000000-0005-0000-0000-0000A85D0000}"/>
    <cellStyle name="Обычный 6 2 68 3" xfId="13501" xr:uid="{00000000-0005-0000-0000-0000A95D0000}"/>
    <cellStyle name="Обычный 6 2 68 4" xfId="18841" xr:uid="{00000000-0005-0000-0000-0000AA5D0000}"/>
    <cellStyle name="Обычный 6 2 68 5" xfId="24181" xr:uid="{00000000-0005-0000-0000-0000AB5D0000}"/>
    <cellStyle name="Обычный 6 2 68 6" xfId="29521" xr:uid="{00000000-0005-0000-0000-0000AC5D0000}"/>
    <cellStyle name="Обычный 6 2 68 7" xfId="34861" xr:uid="{00000000-0005-0000-0000-0000AD5D0000}"/>
    <cellStyle name="Обычный 6 2 68 8" xfId="40201" xr:uid="{00000000-0005-0000-0000-0000AE5D0000}"/>
    <cellStyle name="Обычный 6 2 68 9" xfId="45541" xr:uid="{00000000-0005-0000-0000-0000AF5D0000}"/>
    <cellStyle name="Обычный 6 2 69" xfId="2849" xr:uid="{00000000-0005-0000-0000-0000B05D0000}"/>
    <cellStyle name="Обычный 6 2 69 10" xfId="50913" xr:uid="{00000000-0005-0000-0000-0000B15D0000}"/>
    <cellStyle name="Обычный 6 2 69 2" xfId="8192" xr:uid="{00000000-0005-0000-0000-0000B25D0000}"/>
    <cellStyle name="Обычный 6 2 69 2 2" xfId="56254" xr:uid="{00000000-0005-0000-0000-0000B35D0000}"/>
    <cellStyle name="Обычный 6 2 69 3" xfId="13533" xr:uid="{00000000-0005-0000-0000-0000B45D0000}"/>
    <cellStyle name="Обычный 6 2 69 4" xfId="18873" xr:uid="{00000000-0005-0000-0000-0000B55D0000}"/>
    <cellStyle name="Обычный 6 2 69 5" xfId="24213" xr:uid="{00000000-0005-0000-0000-0000B65D0000}"/>
    <cellStyle name="Обычный 6 2 69 6" xfId="29553" xr:uid="{00000000-0005-0000-0000-0000B75D0000}"/>
    <cellStyle name="Обычный 6 2 69 7" xfId="34893" xr:uid="{00000000-0005-0000-0000-0000B85D0000}"/>
    <cellStyle name="Обычный 6 2 69 8" xfId="40233" xr:uid="{00000000-0005-0000-0000-0000B95D0000}"/>
    <cellStyle name="Обычный 6 2 69 9" xfId="45573" xr:uid="{00000000-0005-0000-0000-0000BA5D0000}"/>
    <cellStyle name="Обычный 6 2 7" xfId="1106" xr:uid="{00000000-0005-0000-0000-0000BB5D0000}"/>
    <cellStyle name="Обычный 6 2 7 10" xfId="49169" xr:uid="{00000000-0005-0000-0000-0000BC5D0000}"/>
    <cellStyle name="Обычный 6 2 7 2" xfId="6448" xr:uid="{00000000-0005-0000-0000-0000BD5D0000}"/>
    <cellStyle name="Обычный 6 2 7 2 2" xfId="54510" xr:uid="{00000000-0005-0000-0000-0000BE5D0000}"/>
    <cellStyle name="Обычный 6 2 7 3" xfId="11789" xr:uid="{00000000-0005-0000-0000-0000BF5D0000}"/>
    <cellStyle name="Обычный 6 2 7 4" xfId="17129" xr:uid="{00000000-0005-0000-0000-0000C05D0000}"/>
    <cellStyle name="Обычный 6 2 7 5" xfId="22469" xr:uid="{00000000-0005-0000-0000-0000C15D0000}"/>
    <cellStyle name="Обычный 6 2 7 6" xfId="27809" xr:uid="{00000000-0005-0000-0000-0000C25D0000}"/>
    <cellStyle name="Обычный 6 2 7 7" xfId="33149" xr:uid="{00000000-0005-0000-0000-0000C35D0000}"/>
    <cellStyle name="Обычный 6 2 7 8" xfId="38489" xr:uid="{00000000-0005-0000-0000-0000C45D0000}"/>
    <cellStyle name="Обычный 6 2 7 9" xfId="43829" xr:uid="{00000000-0005-0000-0000-0000C55D0000}"/>
    <cellStyle name="Обычный 6 2 70" xfId="2881" xr:uid="{00000000-0005-0000-0000-0000C65D0000}"/>
    <cellStyle name="Обычный 6 2 70 10" xfId="50945" xr:uid="{00000000-0005-0000-0000-0000C75D0000}"/>
    <cellStyle name="Обычный 6 2 70 2" xfId="8224" xr:uid="{00000000-0005-0000-0000-0000C85D0000}"/>
    <cellStyle name="Обычный 6 2 70 2 2" xfId="56286" xr:uid="{00000000-0005-0000-0000-0000C95D0000}"/>
    <cellStyle name="Обычный 6 2 70 3" xfId="13565" xr:uid="{00000000-0005-0000-0000-0000CA5D0000}"/>
    <cellStyle name="Обычный 6 2 70 4" xfId="18905" xr:uid="{00000000-0005-0000-0000-0000CB5D0000}"/>
    <cellStyle name="Обычный 6 2 70 5" xfId="24245" xr:uid="{00000000-0005-0000-0000-0000CC5D0000}"/>
    <cellStyle name="Обычный 6 2 70 6" xfId="29585" xr:uid="{00000000-0005-0000-0000-0000CD5D0000}"/>
    <cellStyle name="Обычный 6 2 70 7" xfId="34925" xr:uid="{00000000-0005-0000-0000-0000CE5D0000}"/>
    <cellStyle name="Обычный 6 2 70 8" xfId="40265" xr:uid="{00000000-0005-0000-0000-0000CF5D0000}"/>
    <cellStyle name="Обычный 6 2 70 9" xfId="45605" xr:uid="{00000000-0005-0000-0000-0000D05D0000}"/>
    <cellStyle name="Обычный 6 2 71" xfId="2913" xr:uid="{00000000-0005-0000-0000-0000D15D0000}"/>
    <cellStyle name="Обычный 6 2 71 10" xfId="50977" xr:uid="{00000000-0005-0000-0000-0000D25D0000}"/>
    <cellStyle name="Обычный 6 2 71 2" xfId="8256" xr:uid="{00000000-0005-0000-0000-0000D35D0000}"/>
    <cellStyle name="Обычный 6 2 71 2 2" xfId="56318" xr:uid="{00000000-0005-0000-0000-0000D45D0000}"/>
    <cellStyle name="Обычный 6 2 71 3" xfId="13597" xr:uid="{00000000-0005-0000-0000-0000D55D0000}"/>
    <cellStyle name="Обычный 6 2 71 4" xfId="18937" xr:uid="{00000000-0005-0000-0000-0000D65D0000}"/>
    <cellStyle name="Обычный 6 2 71 5" xfId="24277" xr:uid="{00000000-0005-0000-0000-0000D75D0000}"/>
    <cellStyle name="Обычный 6 2 71 6" xfId="29617" xr:uid="{00000000-0005-0000-0000-0000D85D0000}"/>
    <cellStyle name="Обычный 6 2 71 7" xfId="34957" xr:uid="{00000000-0005-0000-0000-0000D95D0000}"/>
    <cellStyle name="Обычный 6 2 71 8" xfId="40297" xr:uid="{00000000-0005-0000-0000-0000DA5D0000}"/>
    <cellStyle name="Обычный 6 2 71 9" xfId="45637" xr:uid="{00000000-0005-0000-0000-0000DB5D0000}"/>
    <cellStyle name="Обычный 6 2 72" xfId="2945" xr:uid="{00000000-0005-0000-0000-0000DC5D0000}"/>
    <cellStyle name="Обычный 6 2 72 10" xfId="51009" xr:uid="{00000000-0005-0000-0000-0000DD5D0000}"/>
    <cellStyle name="Обычный 6 2 72 2" xfId="8288" xr:uid="{00000000-0005-0000-0000-0000DE5D0000}"/>
    <cellStyle name="Обычный 6 2 72 2 2" xfId="56350" xr:uid="{00000000-0005-0000-0000-0000DF5D0000}"/>
    <cellStyle name="Обычный 6 2 72 3" xfId="13629" xr:uid="{00000000-0005-0000-0000-0000E05D0000}"/>
    <cellStyle name="Обычный 6 2 72 4" xfId="18969" xr:uid="{00000000-0005-0000-0000-0000E15D0000}"/>
    <cellStyle name="Обычный 6 2 72 5" xfId="24309" xr:uid="{00000000-0005-0000-0000-0000E25D0000}"/>
    <cellStyle name="Обычный 6 2 72 6" xfId="29649" xr:uid="{00000000-0005-0000-0000-0000E35D0000}"/>
    <cellStyle name="Обычный 6 2 72 7" xfId="34989" xr:uid="{00000000-0005-0000-0000-0000E45D0000}"/>
    <cellStyle name="Обычный 6 2 72 8" xfId="40329" xr:uid="{00000000-0005-0000-0000-0000E55D0000}"/>
    <cellStyle name="Обычный 6 2 72 9" xfId="45669" xr:uid="{00000000-0005-0000-0000-0000E65D0000}"/>
    <cellStyle name="Обычный 6 2 73" xfId="2977" xr:uid="{00000000-0005-0000-0000-0000E75D0000}"/>
    <cellStyle name="Обычный 6 2 73 10" xfId="51041" xr:uid="{00000000-0005-0000-0000-0000E85D0000}"/>
    <cellStyle name="Обычный 6 2 73 2" xfId="8320" xr:uid="{00000000-0005-0000-0000-0000E95D0000}"/>
    <cellStyle name="Обычный 6 2 73 2 2" xfId="56382" xr:uid="{00000000-0005-0000-0000-0000EA5D0000}"/>
    <cellStyle name="Обычный 6 2 73 3" xfId="13661" xr:uid="{00000000-0005-0000-0000-0000EB5D0000}"/>
    <cellStyle name="Обычный 6 2 73 4" xfId="19001" xr:uid="{00000000-0005-0000-0000-0000EC5D0000}"/>
    <cellStyle name="Обычный 6 2 73 5" xfId="24341" xr:uid="{00000000-0005-0000-0000-0000ED5D0000}"/>
    <cellStyle name="Обычный 6 2 73 6" xfId="29681" xr:uid="{00000000-0005-0000-0000-0000EE5D0000}"/>
    <cellStyle name="Обычный 6 2 73 7" xfId="35021" xr:uid="{00000000-0005-0000-0000-0000EF5D0000}"/>
    <cellStyle name="Обычный 6 2 73 8" xfId="40361" xr:uid="{00000000-0005-0000-0000-0000F05D0000}"/>
    <cellStyle name="Обычный 6 2 73 9" xfId="45701" xr:uid="{00000000-0005-0000-0000-0000F15D0000}"/>
    <cellStyle name="Обычный 6 2 74" xfId="3009" xr:uid="{00000000-0005-0000-0000-0000F25D0000}"/>
    <cellStyle name="Обычный 6 2 74 10" xfId="51073" xr:uid="{00000000-0005-0000-0000-0000F35D0000}"/>
    <cellStyle name="Обычный 6 2 74 2" xfId="8352" xr:uid="{00000000-0005-0000-0000-0000F45D0000}"/>
    <cellStyle name="Обычный 6 2 74 2 2" xfId="56414" xr:uid="{00000000-0005-0000-0000-0000F55D0000}"/>
    <cellStyle name="Обычный 6 2 74 3" xfId="13693" xr:uid="{00000000-0005-0000-0000-0000F65D0000}"/>
    <cellStyle name="Обычный 6 2 74 4" xfId="19033" xr:uid="{00000000-0005-0000-0000-0000F75D0000}"/>
    <cellStyle name="Обычный 6 2 74 5" xfId="24373" xr:uid="{00000000-0005-0000-0000-0000F85D0000}"/>
    <cellStyle name="Обычный 6 2 74 6" xfId="29713" xr:uid="{00000000-0005-0000-0000-0000F95D0000}"/>
    <cellStyle name="Обычный 6 2 74 7" xfId="35053" xr:uid="{00000000-0005-0000-0000-0000FA5D0000}"/>
    <cellStyle name="Обычный 6 2 74 8" xfId="40393" xr:uid="{00000000-0005-0000-0000-0000FB5D0000}"/>
    <cellStyle name="Обычный 6 2 74 9" xfId="45733" xr:uid="{00000000-0005-0000-0000-0000FC5D0000}"/>
    <cellStyle name="Обычный 6 2 75" xfId="3041" xr:uid="{00000000-0005-0000-0000-0000FD5D0000}"/>
    <cellStyle name="Обычный 6 2 75 10" xfId="51105" xr:uid="{00000000-0005-0000-0000-0000FE5D0000}"/>
    <cellStyle name="Обычный 6 2 75 2" xfId="8384" xr:uid="{00000000-0005-0000-0000-0000FF5D0000}"/>
    <cellStyle name="Обычный 6 2 75 2 2" xfId="56446" xr:uid="{00000000-0005-0000-0000-0000005E0000}"/>
    <cellStyle name="Обычный 6 2 75 3" xfId="13725" xr:uid="{00000000-0005-0000-0000-0000015E0000}"/>
    <cellStyle name="Обычный 6 2 75 4" xfId="19065" xr:uid="{00000000-0005-0000-0000-0000025E0000}"/>
    <cellStyle name="Обычный 6 2 75 5" xfId="24405" xr:uid="{00000000-0005-0000-0000-0000035E0000}"/>
    <cellStyle name="Обычный 6 2 75 6" xfId="29745" xr:uid="{00000000-0005-0000-0000-0000045E0000}"/>
    <cellStyle name="Обычный 6 2 75 7" xfId="35085" xr:uid="{00000000-0005-0000-0000-0000055E0000}"/>
    <cellStyle name="Обычный 6 2 75 8" xfId="40425" xr:uid="{00000000-0005-0000-0000-0000065E0000}"/>
    <cellStyle name="Обычный 6 2 75 9" xfId="45765" xr:uid="{00000000-0005-0000-0000-0000075E0000}"/>
    <cellStyle name="Обычный 6 2 76" xfId="3073" xr:uid="{00000000-0005-0000-0000-0000085E0000}"/>
    <cellStyle name="Обычный 6 2 76 10" xfId="51137" xr:uid="{00000000-0005-0000-0000-0000095E0000}"/>
    <cellStyle name="Обычный 6 2 76 2" xfId="8416" xr:uid="{00000000-0005-0000-0000-00000A5E0000}"/>
    <cellStyle name="Обычный 6 2 76 2 2" xfId="56478" xr:uid="{00000000-0005-0000-0000-00000B5E0000}"/>
    <cellStyle name="Обычный 6 2 76 3" xfId="13757" xr:uid="{00000000-0005-0000-0000-00000C5E0000}"/>
    <cellStyle name="Обычный 6 2 76 4" xfId="19097" xr:uid="{00000000-0005-0000-0000-00000D5E0000}"/>
    <cellStyle name="Обычный 6 2 76 5" xfId="24437" xr:uid="{00000000-0005-0000-0000-00000E5E0000}"/>
    <cellStyle name="Обычный 6 2 76 6" xfId="29777" xr:uid="{00000000-0005-0000-0000-00000F5E0000}"/>
    <cellStyle name="Обычный 6 2 76 7" xfId="35117" xr:uid="{00000000-0005-0000-0000-0000105E0000}"/>
    <cellStyle name="Обычный 6 2 76 8" xfId="40457" xr:uid="{00000000-0005-0000-0000-0000115E0000}"/>
    <cellStyle name="Обычный 6 2 76 9" xfId="45797" xr:uid="{00000000-0005-0000-0000-0000125E0000}"/>
    <cellStyle name="Обычный 6 2 77" xfId="3105" xr:uid="{00000000-0005-0000-0000-0000135E0000}"/>
    <cellStyle name="Обычный 6 2 77 10" xfId="51169" xr:uid="{00000000-0005-0000-0000-0000145E0000}"/>
    <cellStyle name="Обычный 6 2 77 2" xfId="8448" xr:uid="{00000000-0005-0000-0000-0000155E0000}"/>
    <cellStyle name="Обычный 6 2 77 2 2" xfId="56510" xr:uid="{00000000-0005-0000-0000-0000165E0000}"/>
    <cellStyle name="Обычный 6 2 77 3" xfId="13789" xr:uid="{00000000-0005-0000-0000-0000175E0000}"/>
    <cellStyle name="Обычный 6 2 77 4" xfId="19129" xr:uid="{00000000-0005-0000-0000-0000185E0000}"/>
    <cellStyle name="Обычный 6 2 77 5" xfId="24469" xr:uid="{00000000-0005-0000-0000-0000195E0000}"/>
    <cellStyle name="Обычный 6 2 77 6" xfId="29809" xr:uid="{00000000-0005-0000-0000-00001A5E0000}"/>
    <cellStyle name="Обычный 6 2 77 7" xfId="35149" xr:uid="{00000000-0005-0000-0000-00001B5E0000}"/>
    <cellStyle name="Обычный 6 2 77 8" xfId="40489" xr:uid="{00000000-0005-0000-0000-00001C5E0000}"/>
    <cellStyle name="Обычный 6 2 77 9" xfId="45829" xr:uid="{00000000-0005-0000-0000-00001D5E0000}"/>
    <cellStyle name="Обычный 6 2 78" xfId="3138" xr:uid="{00000000-0005-0000-0000-00001E5E0000}"/>
    <cellStyle name="Обычный 6 2 78 10" xfId="51201" xr:uid="{00000000-0005-0000-0000-00001F5E0000}"/>
    <cellStyle name="Обычный 6 2 78 2" xfId="8481" xr:uid="{00000000-0005-0000-0000-0000205E0000}"/>
    <cellStyle name="Обычный 6 2 78 2 2" xfId="56542" xr:uid="{00000000-0005-0000-0000-0000215E0000}"/>
    <cellStyle name="Обычный 6 2 78 3" xfId="13821" xr:uid="{00000000-0005-0000-0000-0000225E0000}"/>
    <cellStyle name="Обычный 6 2 78 4" xfId="19161" xr:uid="{00000000-0005-0000-0000-0000235E0000}"/>
    <cellStyle name="Обычный 6 2 78 5" xfId="24501" xr:uid="{00000000-0005-0000-0000-0000245E0000}"/>
    <cellStyle name="Обычный 6 2 78 6" xfId="29841" xr:uid="{00000000-0005-0000-0000-0000255E0000}"/>
    <cellStyle name="Обычный 6 2 78 7" xfId="35181" xr:uid="{00000000-0005-0000-0000-0000265E0000}"/>
    <cellStyle name="Обычный 6 2 78 8" xfId="40521" xr:uid="{00000000-0005-0000-0000-0000275E0000}"/>
    <cellStyle name="Обычный 6 2 78 9" xfId="45861" xr:uid="{00000000-0005-0000-0000-0000285E0000}"/>
    <cellStyle name="Обычный 6 2 79" xfId="3170" xr:uid="{00000000-0005-0000-0000-0000295E0000}"/>
    <cellStyle name="Обычный 6 2 79 10" xfId="51233" xr:uid="{00000000-0005-0000-0000-00002A5E0000}"/>
    <cellStyle name="Обычный 6 2 79 2" xfId="8513" xr:uid="{00000000-0005-0000-0000-00002B5E0000}"/>
    <cellStyle name="Обычный 6 2 79 2 2" xfId="56574" xr:uid="{00000000-0005-0000-0000-00002C5E0000}"/>
    <cellStyle name="Обычный 6 2 79 3" xfId="13853" xr:uid="{00000000-0005-0000-0000-00002D5E0000}"/>
    <cellStyle name="Обычный 6 2 79 4" xfId="19193" xr:uid="{00000000-0005-0000-0000-00002E5E0000}"/>
    <cellStyle name="Обычный 6 2 79 5" xfId="24533" xr:uid="{00000000-0005-0000-0000-00002F5E0000}"/>
    <cellStyle name="Обычный 6 2 79 6" xfId="29873" xr:uid="{00000000-0005-0000-0000-0000305E0000}"/>
    <cellStyle name="Обычный 6 2 79 7" xfId="35213" xr:uid="{00000000-0005-0000-0000-0000315E0000}"/>
    <cellStyle name="Обычный 6 2 79 8" xfId="40553" xr:uid="{00000000-0005-0000-0000-0000325E0000}"/>
    <cellStyle name="Обычный 6 2 79 9" xfId="45893" xr:uid="{00000000-0005-0000-0000-0000335E0000}"/>
    <cellStyle name="Обычный 6 2 8" xfId="1132" xr:uid="{00000000-0005-0000-0000-0000345E0000}"/>
    <cellStyle name="Обычный 6 2 8 10" xfId="49195" xr:uid="{00000000-0005-0000-0000-0000355E0000}"/>
    <cellStyle name="Обычный 6 2 8 2" xfId="6474" xr:uid="{00000000-0005-0000-0000-0000365E0000}"/>
    <cellStyle name="Обычный 6 2 8 2 2" xfId="54536" xr:uid="{00000000-0005-0000-0000-0000375E0000}"/>
    <cellStyle name="Обычный 6 2 8 3" xfId="11815" xr:uid="{00000000-0005-0000-0000-0000385E0000}"/>
    <cellStyle name="Обычный 6 2 8 4" xfId="17155" xr:uid="{00000000-0005-0000-0000-0000395E0000}"/>
    <cellStyle name="Обычный 6 2 8 5" xfId="22495" xr:uid="{00000000-0005-0000-0000-00003A5E0000}"/>
    <cellStyle name="Обычный 6 2 8 6" xfId="27835" xr:uid="{00000000-0005-0000-0000-00003B5E0000}"/>
    <cellStyle name="Обычный 6 2 8 7" xfId="33175" xr:uid="{00000000-0005-0000-0000-00003C5E0000}"/>
    <cellStyle name="Обычный 6 2 8 8" xfId="38515" xr:uid="{00000000-0005-0000-0000-00003D5E0000}"/>
    <cellStyle name="Обычный 6 2 8 9" xfId="43855" xr:uid="{00000000-0005-0000-0000-00003E5E0000}"/>
    <cellStyle name="Обычный 6 2 80" xfId="3202" xr:uid="{00000000-0005-0000-0000-00003F5E0000}"/>
    <cellStyle name="Обычный 6 2 80 10" xfId="51265" xr:uid="{00000000-0005-0000-0000-0000405E0000}"/>
    <cellStyle name="Обычный 6 2 80 2" xfId="8545" xr:uid="{00000000-0005-0000-0000-0000415E0000}"/>
    <cellStyle name="Обычный 6 2 80 2 2" xfId="56606" xr:uid="{00000000-0005-0000-0000-0000425E0000}"/>
    <cellStyle name="Обычный 6 2 80 3" xfId="13885" xr:uid="{00000000-0005-0000-0000-0000435E0000}"/>
    <cellStyle name="Обычный 6 2 80 4" xfId="19225" xr:uid="{00000000-0005-0000-0000-0000445E0000}"/>
    <cellStyle name="Обычный 6 2 80 5" xfId="24565" xr:uid="{00000000-0005-0000-0000-0000455E0000}"/>
    <cellStyle name="Обычный 6 2 80 6" xfId="29905" xr:uid="{00000000-0005-0000-0000-0000465E0000}"/>
    <cellStyle name="Обычный 6 2 80 7" xfId="35245" xr:uid="{00000000-0005-0000-0000-0000475E0000}"/>
    <cellStyle name="Обычный 6 2 80 8" xfId="40585" xr:uid="{00000000-0005-0000-0000-0000485E0000}"/>
    <cellStyle name="Обычный 6 2 80 9" xfId="45925" xr:uid="{00000000-0005-0000-0000-0000495E0000}"/>
    <cellStyle name="Обычный 6 2 81" xfId="3234" xr:uid="{00000000-0005-0000-0000-00004A5E0000}"/>
    <cellStyle name="Обычный 6 2 81 10" xfId="51297" xr:uid="{00000000-0005-0000-0000-00004B5E0000}"/>
    <cellStyle name="Обычный 6 2 81 2" xfId="8577" xr:uid="{00000000-0005-0000-0000-00004C5E0000}"/>
    <cellStyle name="Обычный 6 2 81 2 2" xfId="56638" xr:uid="{00000000-0005-0000-0000-00004D5E0000}"/>
    <cellStyle name="Обычный 6 2 81 3" xfId="13917" xr:uid="{00000000-0005-0000-0000-00004E5E0000}"/>
    <cellStyle name="Обычный 6 2 81 4" xfId="19257" xr:uid="{00000000-0005-0000-0000-00004F5E0000}"/>
    <cellStyle name="Обычный 6 2 81 5" xfId="24597" xr:uid="{00000000-0005-0000-0000-0000505E0000}"/>
    <cellStyle name="Обычный 6 2 81 6" xfId="29937" xr:uid="{00000000-0005-0000-0000-0000515E0000}"/>
    <cellStyle name="Обычный 6 2 81 7" xfId="35277" xr:uid="{00000000-0005-0000-0000-0000525E0000}"/>
    <cellStyle name="Обычный 6 2 81 8" xfId="40617" xr:uid="{00000000-0005-0000-0000-0000535E0000}"/>
    <cellStyle name="Обычный 6 2 81 9" xfId="45957" xr:uid="{00000000-0005-0000-0000-0000545E0000}"/>
    <cellStyle name="Обычный 6 2 82" xfId="3266" xr:uid="{00000000-0005-0000-0000-0000555E0000}"/>
    <cellStyle name="Обычный 6 2 82 10" xfId="51329" xr:uid="{00000000-0005-0000-0000-0000565E0000}"/>
    <cellStyle name="Обычный 6 2 82 2" xfId="8609" xr:uid="{00000000-0005-0000-0000-0000575E0000}"/>
    <cellStyle name="Обычный 6 2 82 2 2" xfId="56670" xr:uid="{00000000-0005-0000-0000-0000585E0000}"/>
    <cellStyle name="Обычный 6 2 82 3" xfId="13949" xr:uid="{00000000-0005-0000-0000-0000595E0000}"/>
    <cellStyle name="Обычный 6 2 82 4" xfId="19289" xr:uid="{00000000-0005-0000-0000-00005A5E0000}"/>
    <cellStyle name="Обычный 6 2 82 5" xfId="24629" xr:uid="{00000000-0005-0000-0000-00005B5E0000}"/>
    <cellStyle name="Обычный 6 2 82 6" xfId="29969" xr:uid="{00000000-0005-0000-0000-00005C5E0000}"/>
    <cellStyle name="Обычный 6 2 82 7" xfId="35309" xr:uid="{00000000-0005-0000-0000-00005D5E0000}"/>
    <cellStyle name="Обычный 6 2 82 8" xfId="40649" xr:uid="{00000000-0005-0000-0000-00005E5E0000}"/>
    <cellStyle name="Обычный 6 2 82 9" xfId="45989" xr:uid="{00000000-0005-0000-0000-00005F5E0000}"/>
    <cellStyle name="Обычный 6 2 83" xfId="3298" xr:uid="{00000000-0005-0000-0000-0000605E0000}"/>
    <cellStyle name="Обычный 6 2 83 10" xfId="51361" xr:uid="{00000000-0005-0000-0000-0000615E0000}"/>
    <cellStyle name="Обычный 6 2 83 2" xfId="8641" xr:uid="{00000000-0005-0000-0000-0000625E0000}"/>
    <cellStyle name="Обычный 6 2 83 2 2" xfId="56702" xr:uid="{00000000-0005-0000-0000-0000635E0000}"/>
    <cellStyle name="Обычный 6 2 83 3" xfId="13981" xr:uid="{00000000-0005-0000-0000-0000645E0000}"/>
    <cellStyle name="Обычный 6 2 83 4" xfId="19321" xr:uid="{00000000-0005-0000-0000-0000655E0000}"/>
    <cellStyle name="Обычный 6 2 83 5" xfId="24661" xr:uid="{00000000-0005-0000-0000-0000665E0000}"/>
    <cellStyle name="Обычный 6 2 83 6" xfId="30001" xr:uid="{00000000-0005-0000-0000-0000675E0000}"/>
    <cellStyle name="Обычный 6 2 83 7" xfId="35341" xr:uid="{00000000-0005-0000-0000-0000685E0000}"/>
    <cellStyle name="Обычный 6 2 83 8" xfId="40681" xr:uid="{00000000-0005-0000-0000-0000695E0000}"/>
    <cellStyle name="Обычный 6 2 83 9" xfId="46021" xr:uid="{00000000-0005-0000-0000-00006A5E0000}"/>
    <cellStyle name="Обычный 6 2 84" xfId="3330" xr:uid="{00000000-0005-0000-0000-00006B5E0000}"/>
    <cellStyle name="Обычный 6 2 84 10" xfId="51393" xr:uid="{00000000-0005-0000-0000-00006C5E0000}"/>
    <cellStyle name="Обычный 6 2 84 2" xfId="8673" xr:uid="{00000000-0005-0000-0000-00006D5E0000}"/>
    <cellStyle name="Обычный 6 2 84 2 2" xfId="56734" xr:uid="{00000000-0005-0000-0000-00006E5E0000}"/>
    <cellStyle name="Обычный 6 2 84 3" xfId="14013" xr:uid="{00000000-0005-0000-0000-00006F5E0000}"/>
    <cellStyle name="Обычный 6 2 84 4" xfId="19353" xr:uid="{00000000-0005-0000-0000-0000705E0000}"/>
    <cellStyle name="Обычный 6 2 84 5" xfId="24693" xr:uid="{00000000-0005-0000-0000-0000715E0000}"/>
    <cellStyle name="Обычный 6 2 84 6" xfId="30033" xr:uid="{00000000-0005-0000-0000-0000725E0000}"/>
    <cellStyle name="Обычный 6 2 84 7" xfId="35373" xr:uid="{00000000-0005-0000-0000-0000735E0000}"/>
    <cellStyle name="Обычный 6 2 84 8" xfId="40713" xr:uid="{00000000-0005-0000-0000-0000745E0000}"/>
    <cellStyle name="Обычный 6 2 84 9" xfId="46053" xr:uid="{00000000-0005-0000-0000-0000755E0000}"/>
    <cellStyle name="Обычный 6 2 85" xfId="3362" xr:uid="{00000000-0005-0000-0000-0000765E0000}"/>
    <cellStyle name="Обычный 6 2 85 10" xfId="51425" xr:uid="{00000000-0005-0000-0000-0000775E0000}"/>
    <cellStyle name="Обычный 6 2 85 2" xfId="8705" xr:uid="{00000000-0005-0000-0000-0000785E0000}"/>
    <cellStyle name="Обычный 6 2 85 2 2" xfId="56766" xr:uid="{00000000-0005-0000-0000-0000795E0000}"/>
    <cellStyle name="Обычный 6 2 85 3" xfId="14045" xr:uid="{00000000-0005-0000-0000-00007A5E0000}"/>
    <cellStyle name="Обычный 6 2 85 4" xfId="19385" xr:uid="{00000000-0005-0000-0000-00007B5E0000}"/>
    <cellStyle name="Обычный 6 2 85 5" xfId="24725" xr:uid="{00000000-0005-0000-0000-00007C5E0000}"/>
    <cellStyle name="Обычный 6 2 85 6" xfId="30065" xr:uid="{00000000-0005-0000-0000-00007D5E0000}"/>
    <cellStyle name="Обычный 6 2 85 7" xfId="35405" xr:uid="{00000000-0005-0000-0000-00007E5E0000}"/>
    <cellStyle name="Обычный 6 2 85 8" xfId="40745" xr:uid="{00000000-0005-0000-0000-00007F5E0000}"/>
    <cellStyle name="Обычный 6 2 85 9" xfId="46085" xr:uid="{00000000-0005-0000-0000-0000805E0000}"/>
    <cellStyle name="Обычный 6 2 86" xfId="3394" xr:uid="{00000000-0005-0000-0000-0000815E0000}"/>
    <cellStyle name="Обычный 6 2 86 10" xfId="51457" xr:uid="{00000000-0005-0000-0000-0000825E0000}"/>
    <cellStyle name="Обычный 6 2 86 2" xfId="8737" xr:uid="{00000000-0005-0000-0000-0000835E0000}"/>
    <cellStyle name="Обычный 6 2 86 2 2" xfId="56798" xr:uid="{00000000-0005-0000-0000-0000845E0000}"/>
    <cellStyle name="Обычный 6 2 86 3" xfId="14077" xr:uid="{00000000-0005-0000-0000-0000855E0000}"/>
    <cellStyle name="Обычный 6 2 86 4" xfId="19417" xr:uid="{00000000-0005-0000-0000-0000865E0000}"/>
    <cellStyle name="Обычный 6 2 86 5" xfId="24757" xr:uid="{00000000-0005-0000-0000-0000875E0000}"/>
    <cellStyle name="Обычный 6 2 86 6" xfId="30097" xr:uid="{00000000-0005-0000-0000-0000885E0000}"/>
    <cellStyle name="Обычный 6 2 86 7" xfId="35437" xr:uid="{00000000-0005-0000-0000-0000895E0000}"/>
    <cellStyle name="Обычный 6 2 86 8" xfId="40777" xr:uid="{00000000-0005-0000-0000-00008A5E0000}"/>
    <cellStyle name="Обычный 6 2 86 9" xfId="46117" xr:uid="{00000000-0005-0000-0000-00008B5E0000}"/>
    <cellStyle name="Обычный 6 2 87" xfId="3426" xr:uid="{00000000-0005-0000-0000-00008C5E0000}"/>
    <cellStyle name="Обычный 6 2 87 10" xfId="51489" xr:uid="{00000000-0005-0000-0000-00008D5E0000}"/>
    <cellStyle name="Обычный 6 2 87 2" xfId="8769" xr:uid="{00000000-0005-0000-0000-00008E5E0000}"/>
    <cellStyle name="Обычный 6 2 87 2 2" xfId="56830" xr:uid="{00000000-0005-0000-0000-00008F5E0000}"/>
    <cellStyle name="Обычный 6 2 87 3" xfId="14109" xr:uid="{00000000-0005-0000-0000-0000905E0000}"/>
    <cellStyle name="Обычный 6 2 87 4" xfId="19449" xr:uid="{00000000-0005-0000-0000-0000915E0000}"/>
    <cellStyle name="Обычный 6 2 87 5" xfId="24789" xr:uid="{00000000-0005-0000-0000-0000925E0000}"/>
    <cellStyle name="Обычный 6 2 87 6" xfId="30129" xr:uid="{00000000-0005-0000-0000-0000935E0000}"/>
    <cellStyle name="Обычный 6 2 87 7" xfId="35469" xr:uid="{00000000-0005-0000-0000-0000945E0000}"/>
    <cellStyle name="Обычный 6 2 87 8" xfId="40809" xr:uid="{00000000-0005-0000-0000-0000955E0000}"/>
    <cellStyle name="Обычный 6 2 87 9" xfId="46149" xr:uid="{00000000-0005-0000-0000-0000965E0000}"/>
    <cellStyle name="Обычный 6 2 88" xfId="3458" xr:uid="{00000000-0005-0000-0000-0000975E0000}"/>
    <cellStyle name="Обычный 6 2 88 10" xfId="51521" xr:uid="{00000000-0005-0000-0000-0000985E0000}"/>
    <cellStyle name="Обычный 6 2 88 2" xfId="8801" xr:uid="{00000000-0005-0000-0000-0000995E0000}"/>
    <cellStyle name="Обычный 6 2 88 2 2" xfId="56862" xr:uid="{00000000-0005-0000-0000-00009A5E0000}"/>
    <cellStyle name="Обычный 6 2 88 3" xfId="14141" xr:uid="{00000000-0005-0000-0000-00009B5E0000}"/>
    <cellStyle name="Обычный 6 2 88 4" xfId="19481" xr:uid="{00000000-0005-0000-0000-00009C5E0000}"/>
    <cellStyle name="Обычный 6 2 88 5" xfId="24821" xr:uid="{00000000-0005-0000-0000-00009D5E0000}"/>
    <cellStyle name="Обычный 6 2 88 6" xfId="30161" xr:uid="{00000000-0005-0000-0000-00009E5E0000}"/>
    <cellStyle name="Обычный 6 2 88 7" xfId="35501" xr:uid="{00000000-0005-0000-0000-00009F5E0000}"/>
    <cellStyle name="Обычный 6 2 88 8" xfId="40841" xr:uid="{00000000-0005-0000-0000-0000A05E0000}"/>
    <cellStyle name="Обычный 6 2 88 9" xfId="46181" xr:uid="{00000000-0005-0000-0000-0000A15E0000}"/>
    <cellStyle name="Обычный 6 2 89" xfId="3490" xr:uid="{00000000-0005-0000-0000-0000A25E0000}"/>
    <cellStyle name="Обычный 6 2 89 10" xfId="51553" xr:uid="{00000000-0005-0000-0000-0000A35E0000}"/>
    <cellStyle name="Обычный 6 2 89 2" xfId="8833" xr:uid="{00000000-0005-0000-0000-0000A45E0000}"/>
    <cellStyle name="Обычный 6 2 89 2 2" xfId="56894" xr:uid="{00000000-0005-0000-0000-0000A55E0000}"/>
    <cellStyle name="Обычный 6 2 89 3" xfId="14173" xr:uid="{00000000-0005-0000-0000-0000A65E0000}"/>
    <cellStyle name="Обычный 6 2 89 4" xfId="19513" xr:uid="{00000000-0005-0000-0000-0000A75E0000}"/>
    <cellStyle name="Обычный 6 2 89 5" xfId="24853" xr:uid="{00000000-0005-0000-0000-0000A85E0000}"/>
    <cellStyle name="Обычный 6 2 89 6" xfId="30193" xr:uid="{00000000-0005-0000-0000-0000A95E0000}"/>
    <cellStyle name="Обычный 6 2 89 7" xfId="35533" xr:uid="{00000000-0005-0000-0000-0000AA5E0000}"/>
    <cellStyle name="Обычный 6 2 89 8" xfId="40873" xr:uid="{00000000-0005-0000-0000-0000AB5E0000}"/>
    <cellStyle name="Обычный 6 2 89 9" xfId="46213" xr:uid="{00000000-0005-0000-0000-0000AC5E0000}"/>
    <cellStyle name="Обычный 6 2 9" xfId="1158" xr:uid="{00000000-0005-0000-0000-0000AD5E0000}"/>
    <cellStyle name="Обычный 6 2 9 10" xfId="49221" xr:uid="{00000000-0005-0000-0000-0000AE5E0000}"/>
    <cellStyle name="Обычный 6 2 9 2" xfId="6500" xr:uid="{00000000-0005-0000-0000-0000AF5E0000}"/>
    <cellStyle name="Обычный 6 2 9 2 2" xfId="54562" xr:uid="{00000000-0005-0000-0000-0000B05E0000}"/>
    <cellStyle name="Обычный 6 2 9 3" xfId="11841" xr:uid="{00000000-0005-0000-0000-0000B15E0000}"/>
    <cellStyle name="Обычный 6 2 9 4" xfId="17181" xr:uid="{00000000-0005-0000-0000-0000B25E0000}"/>
    <cellStyle name="Обычный 6 2 9 5" xfId="22521" xr:uid="{00000000-0005-0000-0000-0000B35E0000}"/>
    <cellStyle name="Обычный 6 2 9 6" xfId="27861" xr:uid="{00000000-0005-0000-0000-0000B45E0000}"/>
    <cellStyle name="Обычный 6 2 9 7" xfId="33201" xr:uid="{00000000-0005-0000-0000-0000B55E0000}"/>
    <cellStyle name="Обычный 6 2 9 8" xfId="38541" xr:uid="{00000000-0005-0000-0000-0000B65E0000}"/>
    <cellStyle name="Обычный 6 2 9 9" xfId="43881" xr:uid="{00000000-0005-0000-0000-0000B75E0000}"/>
    <cellStyle name="Обычный 6 2 90" xfId="3522" xr:uid="{00000000-0005-0000-0000-0000B85E0000}"/>
    <cellStyle name="Обычный 6 2 90 10" xfId="51585" xr:uid="{00000000-0005-0000-0000-0000B95E0000}"/>
    <cellStyle name="Обычный 6 2 90 2" xfId="8865" xr:uid="{00000000-0005-0000-0000-0000BA5E0000}"/>
    <cellStyle name="Обычный 6 2 90 2 2" xfId="56926" xr:uid="{00000000-0005-0000-0000-0000BB5E0000}"/>
    <cellStyle name="Обычный 6 2 90 3" xfId="14205" xr:uid="{00000000-0005-0000-0000-0000BC5E0000}"/>
    <cellStyle name="Обычный 6 2 90 4" xfId="19545" xr:uid="{00000000-0005-0000-0000-0000BD5E0000}"/>
    <cellStyle name="Обычный 6 2 90 5" xfId="24885" xr:uid="{00000000-0005-0000-0000-0000BE5E0000}"/>
    <cellStyle name="Обычный 6 2 90 6" xfId="30225" xr:uid="{00000000-0005-0000-0000-0000BF5E0000}"/>
    <cellStyle name="Обычный 6 2 90 7" xfId="35565" xr:uid="{00000000-0005-0000-0000-0000C05E0000}"/>
    <cellStyle name="Обычный 6 2 90 8" xfId="40905" xr:uid="{00000000-0005-0000-0000-0000C15E0000}"/>
    <cellStyle name="Обычный 6 2 90 9" xfId="46245" xr:uid="{00000000-0005-0000-0000-0000C25E0000}"/>
    <cellStyle name="Обычный 6 2 91" xfId="3554" xr:uid="{00000000-0005-0000-0000-0000C35E0000}"/>
    <cellStyle name="Обычный 6 2 91 10" xfId="51617" xr:uid="{00000000-0005-0000-0000-0000C45E0000}"/>
    <cellStyle name="Обычный 6 2 91 2" xfId="8897" xr:uid="{00000000-0005-0000-0000-0000C55E0000}"/>
    <cellStyle name="Обычный 6 2 91 2 2" xfId="56958" xr:uid="{00000000-0005-0000-0000-0000C65E0000}"/>
    <cellStyle name="Обычный 6 2 91 3" xfId="14237" xr:uid="{00000000-0005-0000-0000-0000C75E0000}"/>
    <cellStyle name="Обычный 6 2 91 4" xfId="19577" xr:uid="{00000000-0005-0000-0000-0000C85E0000}"/>
    <cellStyle name="Обычный 6 2 91 5" xfId="24917" xr:uid="{00000000-0005-0000-0000-0000C95E0000}"/>
    <cellStyle name="Обычный 6 2 91 6" xfId="30257" xr:uid="{00000000-0005-0000-0000-0000CA5E0000}"/>
    <cellStyle name="Обычный 6 2 91 7" xfId="35597" xr:uid="{00000000-0005-0000-0000-0000CB5E0000}"/>
    <cellStyle name="Обычный 6 2 91 8" xfId="40937" xr:uid="{00000000-0005-0000-0000-0000CC5E0000}"/>
    <cellStyle name="Обычный 6 2 91 9" xfId="46277" xr:uid="{00000000-0005-0000-0000-0000CD5E0000}"/>
    <cellStyle name="Обычный 6 2 92" xfId="3586" xr:uid="{00000000-0005-0000-0000-0000CE5E0000}"/>
    <cellStyle name="Обычный 6 2 92 10" xfId="51649" xr:uid="{00000000-0005-0000-0000-0000CF5E0000}"/>
    <cellStyle name="Обычный 6 2 92 2" xfId="8929" xr:uid="{00000000-0005-0000-0000-0000D05E0000}"/>
    <cellStyle name="Обычный 6 2 92 2 2" xfId="56990" xr:uid="{00000000-0005-0000-0000-0000D15E0000}"/>
    <cellStyle name="Обычный 6 2 92 3" xfId="14269" xr:uid="{00000000-0005-0000-0000-0000D25E0000}"/>
    <cellStyle name="Обычный 6 2 92 4" xfId="19609" xr:uid="{00000000-0005-0000-0000-0000D35E0000}"/>
    <cellStyle name="Обычный 6 2 92 5" xfId="24949" xr:uid="{00000000-0005-0000-0000-0000D45E0000}"/>
    <cellStyle name="Обычный 6 2 92 6" xfId="30289" xr:uid="{00000000-0005-0000-0000-0000D55E0000}"/>
    <cellStyle name="Обычный 6 2 92 7" xfId="35629" xr:uid="{00000000-0005-0000-0000-0000D65E0000}"/>
    <cellStyle name="Обычный 6 2 92 8" xfId="40969" xr:uid="{00000000-0005-0000-0000-0000D75E0000}"/>
    <cellStyle name="Обычный 6 2 92 9" xfId="46309" xr:uid="{00000000-0005-0000-0000-0000D85E0000}"/>
    <cellStyle name="Обычный 6 2 93" xfId="3618" xr:uid="{00000000-0005-0000-0000-0000D95E0000}"/>
    <cellStyle name="Обычный 6 2 93 10" xfId="51681" xr:uid="{00000000-0005-0000-0000-0000DA5E0000}"/>
    <cellStyle name="Обычный 6 2 93 2" xfId="8961" xr:uid="{00000000-0005-0000-0000-0000DB5E0000}"/>
    <cellStyle name="Обычный 6 2 93 2 2" xfId="57022" xr:uid="{00000000-0005-0000-0000-0000DC5E0000}"/>
    <cellStyle name="Обычный 6 2 93 3" xfId="14301" xr:uid="{00000000-0005-0000-0000-0000DD5E0000}"/>
    <cellStyle name="Обычный 6 2 93 4" xfId="19641" xr:uid="{00000000-0005-0000-0000-0000DE5E0000}"/>
    <cellStyle name="Обычный 6 2 93 5" xfId="24981" xr:uid="{00000000-0005-0000-0000-0000DF5E0000}"/>
    <cellStyle name="Обычный 6 2 93 6" xfId="30321" xr:uid="{00000000-0005-0000-0000-0000E05E0000}"/>
    <cellStyle name="Обычный 6 2 93 7" xfId="35661" xr:uid="{00000000-0005-0000-0000-0000E15E0000}"/>
    <cellStyle name="Обычный 6 2 93 8" xfId="41001" xr:uid="{00000000-0005-0000-0000-0000E25E0000}"/>
    <cellStyle name="Обычный 6 2 93 9" xfId="46341" xr:uid="{00000000-0005-0000-0000-0000E35E0000}"/>
    <cellStyle name="Обычный 6 2 94" xfId="3650" xr:uid="{00000000-0005-0000-0000-0000E45E0000}"/>
    <cellStyle name="Обычный 6 2 94 10" xfId="51713" xr:uid="{00000000-0005-0000-0000-0000E55E0000}"/>
    <cellStyle name="Обычный 6 2 94 2" xfId="8993" xr:uid="{00000000-0005-0000-0000-0000E65E0000}"/>
    <cellStyle name="Обычный 6 2 94 2 2" xfId="57054" xr:uid="{00000000-0005-0000-0000-0000E75E0000}"/>
    <cellStyle name="Обычный 6 2 94 3" xfId="14333" xr:uid="{00000000-0005-0000-0000-0000E85E0000}"/>
    <cellStyle name="Обычный 6 2 94 4" xfId="19673" xr:uid="{00000000-0005-0000-0000-0000E95E0000}"/>
    <cellStyle name="Обычный 6 2 94 5" xfId="25013" xr:uid="{00000000-0005-0000-0000-0000EA5E0000}"/>
    <cellStyle name="Обычный 6 2 94 6" xfId="30353" xr:uid="{00000000-0005-0000-0000-0000EB5E0000}"/>
    <cellStyle name="Обычный 6 2 94 7" xfId="35693" xr:uid="{00000000-0005-0000-0000-0000EC5E0000}"/>
    <cellStyle name="Обычный 6 2 94 8" xfId="41033" xr:uid="{00000000-0005-0000-0000-0000ED5E0000}"/>
    <cellStyle name="Обычный 6 2 94 9" xfId="46373" xr:uid="{00000000-0005-0000-0000-0000EE5E0000}"/>
    <cellStyle name="Обычный 6 2 95" xfId="3682" xr:uid="{00000000-0005-0000-0000-0000EF5E0000}"/>
    <cellStyle name="Обычный 6 2 95 10" xfId="51745" xr:uid="{00000000-0005-0000-0000-0000F05E0000}"/>
    <cellStyle name="Обычный 6 2 95 2" xfId="9025" xr:uid="{00000000-0005-0000-0000-0000F15E0000}"/>
    <cellStyle name="Обычный 6 2 95 2 2" xfId="57086" xr:uid="{00000000-0005-0000-0000-0000F25E0000}"/>
    <cellStyle name="Обычный 6 2 95 3" xfId="14365" xr:uid="{00000000-0005-0000-0000-0000F35E0000}"/>
    <cellStyle name="Обычный 6 2 95 4" xfId="19705" xr:uid="{00000000-0005-0000-0000-0000F45E0000}"/>
    <cellStyle name="Обычный 6 2 95 5" xfId="25045" xr:uid="{00000000-0005-0000-0000-0000F55E0000}"/>
    <cellStyle name="Обычный 6 2 95 6" xfId="30385" xr:uid="{00000000-0005-0000-0000-0000F65E0000}"/>
    <cellStyle name="Обычный 6 2 95 7" xfId="35725" xr:uid="{00000000-0005-0000-0000-0000F75E0000}"/>
    <cellStyle name="Обычный 6 2 95 8" xfId="41065" xr:uid="{00000000-0005-0000-0000-0000F85E0000}"/>
    <cellStyle name="Обычный 6 2 95 9" xfId="46405" xr:uid="{00000000-0005-0000-0000-0000F95E0000}"/>
    <cellStyle name="Обычный 6 2 96" xfId="3714" xr:uid="{00000000-0005-0000-0000-0000FA5E0000}"/>
    <cellStyle name="Обычный 6 2 96 10" xfId="51777" xr:uid="{00000000-0005-0000-0000-0000FB5E0000}"/>
    <cellStyle name="Обычный 6 2 96 2" xfId="9057" xr:uid="{00000000-0005-0000-0000-0000FC5E0000}"/>
    <cellStyle name="Обычный 6 2 96 2 2" xfId="57118" xr:uid="{00000000-0005-0000-0000-0000FD5E0000}"/>
    <cellStyle name="Обычный 6 2 96 3" xfId="14397" xr:uid="{00000000-0005-0000-0000-0000FE5E0000}"/>
    <cellStyle name="Обычный 6 2 96 4" xfId="19737" xr:uid="{00000000-0005-0000-0000-0000FF5E0000}"/>
    <cellStyle name="Обычный 6 2 96 5" xfId="25077" xr:uid="{00000000-0005-0000-0000-0000005F0000}"/>
    <cellStyle name="Обычный 6 2 96 6" xfId="30417" xr:uid="{00000000-0005-0000-0000-0000015F0000}"/>
    <cellStyle name="Обычный 6 2 96 7" xfId="35757" xr:uid="{00000000-0005-0000-0000-0000025F0000}"/>
    <cellStyle name="Обычный 6 2 96 8" xfId="41097" xr:uid="{00000000-0005-0000-0000-0000035F0000}"/>
    <cellStyle name="Обычный 6 2 96 9" xfId="46437" xr:uid="{00000000-0005-0000-0000-0000045F0000}"/>
    <cellStyle name="Обычный 6 2 97" xfId="3746" xr:uid="{00000000-0005-0000-0000-0000055F0000}"/>
    <cellStyle name="Обычный 6 2 97 10" xfId="51809" xr:uid="{00000000-0005-0000-0000-0000065F0000}"/>
    <cellStyle name="Обычный 6 2 97 2" xfId="9089" xr:uid="{00000000-0005-0000-0000-0000075F0000}"/>
    <cellStyle name="Обычный 6 2 97 2 2" xfId="57150" xr:uid="{00000000-0005-0000-0000-0000085F0000}"/>
    <cellStyle name="Обычный 6 2 97 3" xfId="14429" xr:uid="{00000000-0005-0000-0000-0000095F0000}"/>
    <cellStyle name="Обычный 6 2 97 4" xfId="19769" xr:uid="{00000000-0005-0000-0000-00000A5F0000}"/>
    <cellStyle name="Обычный 6 2 97 5" xfId="25109" xr:uid="{00000000-0005-0000-0000-00000B5F0000}"/>
    <cellStyle name="Обычный 6 2 97 6" xfId="30449" xr:uid="{00000000-0005-0000-0000-00000C5F0000}"/>
    <cellStyle name="Обычный 6 2 97 7" xfId="35789" xr:uid="{00000000-0005-0000-0000-00000D5F0000}"/>
    <cellStyle name="Обычный 6 2 97 8" xfId="41129" xr:uid="{00000000-0005-0000-0000-00000E5F0000}"/>
    <cellStyle name="Обычный 6 2 97 9" xfId="46469" xr:uid="{00000000-0005-0000-0000-00000F5F0000}"/>
    <cellStyle name="Обычный 6 2 98" xfId="3778" xr:uid="{00000000-0005-0000-0000-0000105F0000}"/>
    <cellStyle name="Обычный 6 2 98 10" xfId="51841" xr:uid="{00000000-0005-0000-0000-0000115F0000}"/>
    <cellStyle name="Обычный 6 2 98 2" xfId="9121" xr:uid="{00000000-0005-0000-0000-0000125F0000}"/>
    <cellStyle name="Обычный 6 2 98 2 2" xfId="57182" xr:uid="{00000000-0005-0000-0000-0000135F0000}"/>
    <cellStyle name="Обычный 6 2 98 3" xfId="14461" xr:uid="{00000000-0005-0000-0000-0000145F0000}"/>
    <cellStyle name="Обычный 6 2 98 4" xfId="19801" xr:uid="{00000000-0005-0000-0000-0000155F0000}"/>
    <cellStyle name="Обычный 6 2 98 5" xfId="25141" xr:uid="{00000000-0005-0000-0000-0000165F0000}"/>
    <cellStyle name="Обычный 6 2 98 6" xfId="30481" xr:uid="{00000000-0005-0000-0000-0000175F0000}"/>
    <cellStyle name="Обычный 6 2 98 7" xfId="35821" xr:uid="{00000000-0005-0000-0000-0000185F0000}"/>
    <cellStyle name="Обычный 6 2 98 8" xfId="41161" xr:uid="{00000000-0005-0000-0000-0000195F0000}"/>
    <cellStyle name="Обычный 6 2 98 9" xfId="46501" xr:uid="{00000000-0005-0000-0000-00001A5F0000}"/>
    <cellStyle name="Обычный 6 2 99" xfId="3810" xr:uid="{00000000-0005-0000-0000-00001B5F0000}"/>
    <cellStyle name="Обычный 6 2 99 10" xfId="51873" xr:uid="{00000000-0005-0000-0000-00001C5F0000}"/>
    <cellStyle name="Обычный 6 2 99 2" xfId="9153" xr:uid="{00000000-0005-0000-0000-00001D5F0000}"/>
    <cellStyle name="Обычный 6 2 99 2 2" xfId="57214" xr:uid="{00000000-0005-0000-0000-00001E5F0000}"/>
    <cellStyle name="Обычный 6 2 99 3" xfId="14493" xr:uid="{00000000-0005-0000-0000-00001F5F0000}"/>
    <cellStyle name="Обычный 6 2 99 4" xfId="19833" xr:uid="{00000000-0005-0000-0000-0000205F0000}"/>
    <cellStyle name="Обычный 6 2 99 5" xfId="25173" xr:uid="{00000000-0005-0000-0000-0000215F0000}"/>
    <cellStyle name="Обычный 6 2 99 6" xfId="30513" xr:uid="{00000000-0005-0000-0000-0000225F0000}"/>
    <cellStyle name="Обычный 6 2 99 7" xfId="35853" xr:uid="{00000000-0005-0000-0000-0000235F0000}"/>
    <cellStyle name="Обычный 6 2 99 8" xfId="41193" xr:uid="{00000000-0005-0000-0000-0000245F0000}"/>
    <cellStyle name="Обычный 6 2 99 9" xfId="46533" xr:uid="{00000000-0005-0000-0000-0000255F0000}"/>
    <cellStyle name="Обычный 6 20" xfId="310" xr:uid="{00000000-0005-0000-0000-0000265F0000}"/>
    <cellStyle name="Обычный 6 20 10" xfId="43032" xr:uid="{00000000-0005-0000-0000-0000275F0000}"/>
    <cellStyle name="Обычный 6 20 11" xfId="48372" xr:uid="{00000000-0005-0000-0000-0000285F0000}"/>
    <cellStyle name="Обычный 6 20 2" xfId="777" xr:uid="{00000000-0005-0000-0000-0000295F0000}"/>
    <cellStyle name="Обычный 6 20 2 10" xfId="48839" xr:uid="{00000000-0005-0000-0000-00002A5F0000}"/>
    <cellStyle name="Обычный 6 20 2 2" xfId="6118" xr:uid="{00000000-0005-0000-0000-00002B5F0000}"/>
    <cellStyle name="Обычный 6 20 2 2 2" xfId="54180" xr:uid="{00000000-0005-0000-0000-00002C5F0000}"/>
    <cellStyle name="Обычный 6 20 2 3" xfId="11459" xr:uid="{00000000-0005-0000-0000-00002D5F0000}"/>
    <cellStyle name="Обычный 6 20 2 4" xfId="16799" xr:uid="{00000000-0005-0000-0000-00002E5F0000}"/>
    <cellStyle name="Обычный 6 20 2 5" xfId="22139" xr:uid="{00000000-0005-0000-0000-00002F5F0000}"/>
    <cellStyle name="Обычный 6 20 2 6" xfId="27479" xr:uid="{00000000-0005-0000-0000-0000305F0000}"/>
    <cellStyle name="Обычный 6 20 2 7" xfId="32819" xr:uid="{00000000-0005-0000-0000-0000315F0000}"/>
    <cellStyle name="Обычный 6 20 2 8" xfId="38159" xr:uid="{00000000-0005-0000-0000-0000325F0000}"/>
    <cellStyle name="Обычный 6 20 2 9" xfId="43499" xr:uid="{00000000-0005-0000-0000-0000335F0000}"/>
    <cellStyle name="Обычный 6 20 3" xfId="5651" xr:uid="{00000000-0005-0000-0000-0000345F0000}"/>
    <cellStyle name="Обычный 6 20 3 2" xfId="53713" xr:uid="{00000000-0005-0000-0000-0000355F0000}"/>
    <cellStyle name="Обычный 6 20 4" xfId="10992" xr:uid="{00000000-0005-0000-0000-0000365F0000}"/>
    <cellStyle name="Обычный 6 20 5" xfId="16332" xr:uid="{00000000-0005-0000-0000-0000375F0000}"/>
    <cellStyle name="Обычный 6 20 6" xfId="21672" xr:uid="{00000000-0005-0000-0000-0000385F0000}"/>
    <cellStyle name="Обычный 6 20 7" xfId="27012" xr:uid="{00000000-0005-0000-0000-0000395F0000}"/>
    <cellStyle name="Обычный 6 20 8" xfId="32352" xr:uid="{00000000-0005-0000-0000-00003A5F0000}"/>
    <cellStyle name="Обычный 6 20 9" xfId="37692" xr:uid="{00000000-0005-0000-0000-00003B5F0000}"/>
    <cellStyle name="Обычный 6 21" xfId="320" xr:uid="{00000000-0005-0000-0000-00003C5F0000}"/>
    <cellStyle name="Обычный 6 21 10" xfId="43042" xr:uid="{00000000-0005-0000-0000-00003D5F0000}"/>
    <cellStyle name="Обычный 6 21 11" xfId="48382" xr:uid="{00000000-0005-0000-0000-00003E5F0000}"/>
    <cellStyle name="Обычный 6 21 2" xfId="787" xr:uid="{00000000-0005-0000-0000-00003F5F0000}"/>
    <cellStyle name="Обычный 6 21 2 10" xfId="48849" xr:uid="{00000000-0005-0000-0000-0000405F0000}"/>
    <cellStyle name="Обычный 6 21 2 2" xfId="6128" xr:uid="{00000000-0005-0000-0000-0000415F0000}"/>
    <cellStyle name="Обычный 6 21 2 2 2" xfId="54190" xr:uid="{00000000-0005-0000-0000-0000425F0000}"/>
    <cellStyle name="Обычный 6 21 2 3" xfId="11469" xr:uid="{00000000-0005-0000-0000-0000435F0000}"/>
    <cellStyle name="Обычный 6 21 2 4" xfId="16809" xr:uid="{00000000-0005-0000-0000-0000445F0000}"/>
    <cellStyle name="Обычный 6 21 2 5" xfId="22149" xr:uid="{00000000-0005-0000-0000-0000455F0000}"/>
    <cellStyle name="Обычный 6 21 2 6" xfId="27489" xr:uid="{00000000-0005-0000-0000-0000465F0000}"/>
    <cellStyle name="Обычный 6 21 2 7" xfId="32829" xr:uid="{00000000-0005-0000-0000-0000475F0000}"/>
    <cellStyle name="Обычный 6 21 2 8" xfId="38169" xr:uid="{00000000-0005-0000-0000-0000485F0000}"/>
    <cellStyle name="Обычный 6 21 2 9" xfId="43509" xr:uid="{00000000-0005-0000-0000-0000495F0000}"/>
    <cellStyle name="Обычный 6 21 3" xfId="5661" xr:uid="{00000000-0005-0000-0000-00004A5F0000}"/>
    <cellStyle name="Обычный 6 21 3 2" xfId="53723" xr:uid="{00000000-0005-0000-0000-00004B5F0000}"/>
    <cellStyle name="Обычный 6 21 4" xfId="11002" xr:uid="{00000000-0005-0000-0000-00004C5F0000}"/>
    <cellStyle name="Обычный 6 21 5" xfId="16342" xr:uid="{00000000-0005-0000-0000-00004D5F0000}"/>
    <cellStyle name="Обычный 6 21 6" xfId="21682" xr:uid="{00000000-0005-0000-0000-00004E5F0000}"/>
    <cellStyle name="Обычный 6 21 7" xfId="27022" xr:uid="{00000000-0005-0000-0000-00004F5F0000}"/>
    <cellStyle name="Обычный 6 21 8" xfId="32362" xr:uid="{00000000-0005-0000-0000-0000505F0000}"/>
    <cellStyle name="Обычный 6 21 9" xfId="37702" xr:uid="{00000000-0005-0000-0000-0000515F0000}"/>
    <cellStyle name="Обычный 6 22" xfId="330" xr:uid="{00000000-0005-0000-0000-0000525F0000}"/>
    <cellStyle name="Обычный 6 22 10" xfId="43052" xr:uid="{00000000-0005-0000-0000-0000535F0000}"/>
    <cellStyle name="Обычный 6 22 11" xfId="48392" xr:uid="{00000000-0005-0000-0000-0000545F0000}"/>
    <cellStyle name="Обычный 6 22 2" xfId="797" xr:uid="{00000000-0005-0000-0000-0000555F0000}"/>
    <cellStyle name="Обычный 6 22 2 10" xfId="48859" xr:uid="{00000000-0005-0000-0000-0000565F0000}"/>
    <cellStyle name="Обычный 6 22 2 2" xfId="6138" xr:uid="{00000000-0005-0000-0000-0000575F0000}"/>
    <cellStyle name="Обычный 6 22 2 2 2" xfId="54200" xr:uid="{00000000-0005-0000-0000-0000585F0000}"/>
    <cellStyle name="Обычный 6 22 2 3" xfId="11479" xr:uid="{00000000-0005-0000-0000-0000595F0000}"/>
    <cellStyle name="Обычный 6 22 2 4" xfId="16819" xr:uid="{00000000-0005-0000-0000-00005A5F0000}"/>
    <cellStyle name="Обычный 6 22 2 5" xfId="22159" xr:uid="{00000000-0005-0000-0000-00005B5F0000}"/>
    <cellStyle name="Обычный 6 22 2 6" xfId="27499" xr:uid="{00000000-0005-0000-0000-00005C5F0000}"/>
    <cellStyle name="Обычный 6 22 2 7" xfId="32839" xr:uid="{00000000-0005-0000-0000-00005D5F0000}"/>
    <cellStyle name="Обычный 6 22 2 8" xfId="38179" xr:uid="{00000000-0005-0000-0000-00005E5F0000}"/>
    <cellStyle name="Обычный 6 22 2 9" xfId="43519" xr:uid="{00000000-0005-0000-0000-00005F5F0000}"/>
    <cellStyle name="Обычный 6 22 3" xfId="5671" xr:uid="{00000000-0005-0000-0000-0000605F0000}"/>
    <cellStyle name="Обычный 6 22 3 2" xfId="53733" xr:uid="{00000000-0005-0000-0000-0000615F0000}"/>
    <cellStyle name="Обычный 6 22 4" xfId="11012" xr:uid="{00000000-0005-0000-0000-0000625F0000}"/>
    <cellStyle name="Обычный 6 22 5" xfId="16352" xr:uid="{00000000-0005-0000-0000-0000635F0000}"/>
    <cellStyle name="Обычный 6 22 6" xfId="21692" xr:uid="{00000000-0005-0000-0000-0000645F0000}"/>
    <cellStyle name="Обычный 6 22 7" xfId="27032" xr:uid="{00000000-0005-0000-0000-0000655F0000}"/>
    <cellStyle name="Обычный 6 22 8" xfId="32372" xr:uid="{00000000-0005-0000-0000-0000665F0000}"/>
    <cellStyle name="Обычный 6 22 9" xfId="37712" xr:uid="{00000000-0005-0000-0000-0000675F0000}"/>
    <cellStyle name="Обычный 6 23" xfId="340" xr:uid="{00000000-0005-0000-0000-0000685F0000}"/>
    <cellStyle name="Обычный 6 23 10" xfId="43062" xr:uid="{00000000-0005-0000-0000-0000695F0000}"/>
    <cellStyle name="Обычный 6 23 11" xfId="48402" xr:uid="{00000000-0005-0000-0000-00006A5F0000}"/>
    <cellStyle name="Обычный 6 23 2" xfId="807" xr:uid="{00000000-0005-0000-0000-00006B5F0000}"/>
    <cellStyle name="Обычный 6 23 2 10" xfId="48869" xr:uid="{00000000-0005-0000-0000-00006C5F0000}"/>
    <cellStyle name="Обычный 6 23 2 2" xfId="6148" xr:uid="{00000000-0005-0000-0000-00006D5F0000}"/>
    <cellStyle name="Обычный 6 23 2 2 2" xfId="54210" xr:uid="{00000000-0005-0000-0000-00006E5F0000}"/>
    <cellStyle name="Обычный 6 23 2 3" xfId="11489" xr:uid="{00000000-0005-0000-0000-00006F5F0000}"/>
    <cellStyle name="Обычный 6 23 2 4" xfId="16829" xr:uid="{00000000-0005-0000-0000-0000705F0000}"/>
    <cellStyle name="Обычный 6 23 2 5" xfId="22169" xr:uid="{00000000-0005-0000-0000-0000715F0000}"/>
    <cellStyle name="Обычный 6 23 2 6" xfId="27509" xr:uid="{00000000-0005-0000-0000-0000725F0000}"/>
    <cellStyle name="Обычный 6 23 2 7" xfId="32849" xr:uid="{00000000-0005-0000-0000-0000735F0000}"/>
    <cellStyle name="Обычный 6 23 2 8" xfId="38189" xr:uid="{00000000-0005-0000-0000-0000745F0000}"/>
    <cellStyle name="Обычный 6 23 2 9" xfId="43529" xr:uid="{00000000-0005-0000-0000-0000755F0000}"/>
    <cellStyle name="Обычный 6 23 3" xfId="5681" xr:uid="{00000000-0005-0000-0000-0000765F0000}"/>
    <cellStyle name="Обычный 6 23 3 2" xfId="53743" xr:uid="{00000000-0005-0000-0000-0000775F0000}"/>
    <cellStyle name="Обычный 6 23 4" xfId="11022" xr:uid="{00000000-0005-0000-0000-0000785F0000}"/>
    <cellStyle name="Обычный 6 23 5" xfId="16362" xr:uid="{00000000-0005-0000-0000-0000795F0000}"/>
    <cellStyle name="Обычный 6 23 6" xfId="21702" xr:uid="{00000000-0005-0000-0000-00007A5F0000}"/>
    <cellStyle name="Обычный 6 23 7" xfId="27042" xr:uid="{00000000-0005-0000-0000-00007B5F0000}"/>
    <cellStyle name="Обычный 6 23 8" xfId="32382" xr:uid="{00000000-0005-0000-0000-00007C5F0000}"/>
    <cellStyle name="Обычный 6 23 9" xfId="37722" xr:uid="{00000000-0005-0000-0000-00007D5F0000}"/>
    <cellStyle name="Обычный 6 24" xfId="350" xr:uid="{00000000-0005-0000-0000-00007E5F0000}"/>
    <cellStyle name="Обычный 6 24 10" xfId="43072" xr:uid="{00000000-0005-0000-0000-00007F5F0000}"/>
    <cellStyle name="Обычный 6 24 11" xfId="48412" xr:uid="{00000000-0005-0000-0000-0000805F0000}"/>
    <cellStyle name="Обычный 6 24 2" xfId="817" xr:uid="{00000000-0005-0000-0000-0000815F0000}"/>
    <cellStyle name="Обычный 6 24 2 10" xfId="48879" xr:uid="{00000000-0005-0000-0000-0000825F0000}"/>
    <cellStyle name="Обычный 6 24 2 2" xfId="6158" xr:uid="{00000000-0005-0000-0000-0000835F0000}"/>
    <cellStyle name="Обычный 6 24 2 2 2" xfId="54220" xr:uid="{00000000-0005-0000-0000-0000845F0000}"/>
    <cellStyle name="Обычный 6 24 2 3" xfId="11499" xr:uid="{00000000-0005-0000-0000-0000855F0000}"/>
    <cellStyle name="Обычный 6 24 2 4" xfId="16839" xr:uid="{00000000-0005-0000-0000-0000865F0000}"/>
    <cellStyle name="Обычный 6 24 2 5" xfId="22179" xr:uid="{00000000-0005-0000-0000-0000875F0000}"/>
    <cellStyle name="Обычный 6 24 2 6" xfId="27519" xr:uid="{00000000-0005-0000-0000-0000885F0000}"/>
    <cellStyle name="Обычный 6 24 2 7" xfId="32859" xr:uid="{00000000-0005-0000-0000-0000895F0000}"/>
    <cellStyle name="Обычный 6 24 2 8" xfId="38199" xr:uid="{00000000-0005-0000-0000-00008A5F0000}"/>
    <cellStyle name="Обычный 6 24 2 9" xfId="43539" xr:uid="{00000000-0005-0000-0000-00008B5F0000}"/>
    <cellStyle name="Обычный 6 24 3" xfId="5691" xr:uid="{00000000-0005-0000-0000-00008C5F0000}"/>
    <cellStyle name="Обычный 6 24 3 2" xfId="53753" xr:uid="{00000000-0005-0000-0000-00008D5F0000}"/>
    <cellStyle name="Обычный 6 24 4" xfId="11032" xr:uid="{00000000-0005-0000-0000-00008E5F0000}"/>
    <cellStyle name="Обычный 6 24 5" xfId="16372" xr:uid="{00000000-0005-0000-0000-00008F5F0000}"/>
    <cellStyle name="Обычный 6 24 6" xfId="21712" xr:uid="{00000000-0005-0000-0000-0000905F0000}"/>
    <cellStyle name="Обычный 6 24 7" xfId="27052" xr:uid="{00000000-0005-0000-0000-0000915F0000}"/>
    <cellStyle name="Обычный 6 24 8" xfId="32392" xr:uid="{00000000-0005-0000-0000-0000925F0000}"/>
    <cellStyle name="Обычный 6 24 9" xfId="37732" xr:uid="{00000000-0005-0000-0000-0000935F0000}"/>
    <cellStyle name="Обычный 6 25" xfId="360" xr:uid="{00000000-0005-0000-0000-0000945F0000}"/>
    <cellStyle name="Обычный 6 25 10" xfId="43082" xr:uid="{00000000-0005-0000-0000-0000955F0000}"/>
    <cellStyle name="Обычный 6 25 11" xfId="48422" xr:uid="{00000000-0005-0000-0000-0000965F0000}"/>
    <cellStyle name="Обычный 6 25 2" xfId="827" xr:uid="{00000000-0005-0000-0000-0000975F0000}"/>
    <cellStyle name="Обычный 6 25 2 10" xfId="48889" xr:uid="{00000000-0005-0000-0000-0000985F0000}"/>
    <cellStyle name="Обычный 6 25 2 2" xfId="6168" xr:uid="{00000000-0005-0000-0000-0000995F0000}"/>
    <cellStyle name="Обычный 6 25 2 2 2" xfId="54230" xr:uid="{00000000-0005-0000-0000-00009A5F0000}"/>
    <cellStyle name="Обычный 6 25 2 3" xfId="11509" xr:uid="{00000000-0005-0000-0000-00009B5F0000}"/>
    <cellStyle name="Обычный 6 25 2 4" xfId="16849" xr:uid="{00000000-0005-0000-0000-00009C5F0000}"/>
    <cellStyle name="Обычный 6 25 2 5" xfId="22189" xr:uid="{00000000-0005-0000-0000-00009D5F0000}"/>
    <cellStyle name="Обычный 6 25 2 6" xfId="27529" xr:uid="{00000000-0005-0000-0000-00009E5F0000}"/>
    <cellStyle name="Обычный 6 25 2 7" xfId="32869" xr:uid="{00000000-0005-0000-0000-00009F5F0000}"/>
    <cellStyle name="Обычный 6 25 2 8" xfId="38209" xr:uid="{00000000-0005-0000-0000-0000A05F0000}"/>
    <cellStyle name="Обычный 6 25 2 9" xfId="43549" xr:uid="{00000000-0005-0000-0000-0000A15F0000}"/>
    <cellStyle name="Обычный 6 25 3" xfId="5701" xr:uid="{00000000-0005-0000-0000-0000A25F0000}"/>
    <cellStyle name="Обычный 6 25 3 2" xfId="53763" xr:uid="{00000000-0005-0000-0000-0000A35F0000}"/>
    <cellStyle name="Обычный 6 25 4" xfId="11042" xr:uid="{00000000-0005-0000-0000-0000A45F0000}"/>
    <cellStyle name="Обычный 6 25 5" xfId="16382" xr:uid="{00000000-0005-0000-0000-0000A55F0000}"/>
    <cellStyle name="Обычный 6 25 6" xfId="21722" xr:uid="{00000000-0005-0000-0000-0000A65F0000}"/>
    <cellStyle name="Обычный 6 25 7" xfId="27062" xr:uid="{00000000-0005-0000-0000-0000A75F0000}"/>
    <cellStyle name="Обычный 6 25 8" xfId="32402" xr:uid="{00000000-0005-0000-0000-0000A85F0000}"/>
    <cellStyle name="Обычный 6 25 9" xfId="37742" xr:uid="{00000000-0005-0000-0000-0000A95F0000}"/>
    <cellStyle name="Обычный 6 26" xfId="370" xr:uid="{00000000-0005-0000-0000-0000AA5F0000}"/>
    <cellStyle name="Обычный 6 26 10" xfId="43092" xr:uid="{00000000-0005-0000-0000-0000AB5F0000}"/>
    <cellStyle name="Обычный 6 26 11" xfId="48432" xr:uid="{00000000-0005-0000-0000-0000AC5F0000}"/>
    <cellStyle name="Обычный 6 26 2" xfId="837" xr:uid="{00000000-0005-0000-0000-0000AD5F0000}"/>
    <cellStyle name="Обычный 6 26 2 10" xfId="48899" xr:uid="{00000000-0005-0000-0000-0000AE5F0000}"/>
    <cellStyle name="Обычный 6 26 2 2" xfId="6178" xr:uid="{00000000-0005-0000-0000-0000AF5F0000}"/>
    <cellStyle name="Обычный 6 26 2 2 2" xfId="54240" xr:uid="{00000000-0005-0000-0000-0000B05F0000}"/>
    <cellStyle name="Обычный 6 26 2 3" xfId="11519" xr:uid="{00000000-0005-0000-0000-0000B15F0000}"/>
    <cellStyle name="Обычный 6 26 2 4" xfId="16859" xr:uid="{00000000-0005-0000-0000-0000B25F0000}"/>
    <cellStyle name="Обычный 6 26 2 5" xfId="22199" xr:uid="{00000000-0005-0000-0000-0000B35F0000}"/>
    <cellStyle name="Обычный 6 26 2 6" xfId="27539" xr:uid="{00000000-0005-0000-0000-0000B45F0000}"/>
    <cellStyle name="Обычный 6 26 2 7" xfId="32879" xr:uid="{00000000-0005-0000-0000-0000B55F0000}"/>
    <cellStyle name="Обычный 6 26 2 8" xfId="38219" xr:uid="{00000000-0005-0000-0000-0000B65F0000}"/>
    <cellStyle name="Обычный 6 26 2 9" xfId="43559" xr:uid="{00000000-0005-0000-0000-0000B75F0000}"/>
    <cellStyle name="Обычный 6 26 3" xfId="5711" xr:uid="{00000000-0005-0000-0000-0000B85F0000}"/>
    <cellStyle name="Обычный 6 26 3 2" xfId="53773" xr:uid="{00000000-0005-0000-0000-0000B95F0000}"/>
    <cellStyle name="Обычный 6 26 4" xfId="11052" xr:uid="{00000000-0005-0000-0000-0000BA5F0000}"/>
    <cellStyle name="Обычный 6 26 5" xfId="16392" xr:uid="{00000000-0005-0000-0000-0000BB5F0000}"/>
    <cellStyle name="Обычный 6 26 6" xfId="21732" xr:uid="{00000000-0005-0000-0000-0000BC5F0000}"/>
    <cellStyle name="Обычный 6 26 7" xfId="27072" xr:uid="{00000000-0005-0000-0000-0000BD5F0000}"/>
    <cellStyle name="Обычный 6 26 8" xfId="32412" xr:uid="{00000000-0005-0000-0000-0000BE5F0000}"/>
    <cellStyle name="Обычный 6 26 9" xfId="37752" xr:uid="{00000000-0005-0000-0000-0000BF5F0000}"/>
    <cellStyle name="Обычный 6 27" xfId="380" xr:uid="{00000000-0005-0000-0000-0000C05F0000}"/>
    <cellStyle name="Обычный 6 27 10" xfId="43102" xr:uid="{00000000-0005-0000-0000-0000C15F0000}"/>
    <cellStyle name="Обычный 6 27 11" xfId="48442" xr:uid="{00000000-0005-0000-0000-0000C25F0000}"/>
    <cellStyle name="Обычный 6 27 2" xfId="847" xr:uid="{00000000-0005-0000-0000-0000C35F0000}"/>
    <cellStyle name="Обычный 6 27 2 10" xfId="48909" xr:uid="{00000000-0005-0000-0000-0000C45F0000}"/>
    <cellStyle name="Обычный 6 27 2 2" xfId="6188" xr:uid="{00000000-0005-0000-0000-0000C55F0000}"/>
    <cellStyle name="Обычный 6 27 2 2 2" xfId="54250" xr:uid="{00000000-0005-0000-0000-0000C65F0000}"/>
    <cellStyle name="Обычный 6 27 2 3" xfId="11529" xr:uid="{00000000-0005-0000-0000-0000C75F0000}"/>
    <cellStyle name="Обычный 6 27 2 4" xfId="16869" xr:uid="{00000000-0005-0000-0000-0000C85F0000}"/>
    <cellStyle name="Обычный 6 27 2 5" xfId="22209" xr:uid="{00000000-0005-0000-0000-0000C95F0000}"/>
    <cellStyle name="Обычный 6 27 2 6" xfId="27549" xr:uid="{00000000-0005-0000-0000-0000CA5F0000}"/>
    <cellStyle name="Обычный 6 27 2 7" xfId="32889" xr:uid="{00000000-0005-0000-0000-0000CB5F0000}"/>
    <cellStyle name="Обычный 6 27 2 8" xfId="38229" xr:uid="{00000000-0005-0000-0000-0000CC5F0000}"/>
    <cellStyle name="Обычный 6 27 2 9" xfId="43569" xr:uid="{00000000-0005-0000-0000-0000CD5F0000}"/>
    <cellStyle name="Обычный 6 27 3" xfId="5721" xr:uid="{00000000-0005-0000-0000-0000CE5F0000}"/>
    <cellStyle name="Обычный 6 27 3 2" xfId="53783" xr:uid="{00000000-0005-0000-0000-0000CF5F0000}"/>
    <cellStyle name="Обычный 6 27 4" xfId="11062" xr:uid="{00000000-0005-0000-0000-0000D05F0000}"/>
    <cellStyle name="Обычный 6 27 5" xfId="16402" xr:uid="{00000000-0005-0000-0000-0000D15F0000}"/>
    <cellStyle name="Обычный 6 27 6" xfId="21742" xr:uid="{00000000-0005-0000-0000-0000D25F0000}"/>
    <cellStyle name="Обычный 6 27 7" xfId="27082" xr:uid="{00000000-0005-0000-0000-0000D35F0000}"/>
    <cellStyle name="Обычный 6 27 8" xfId="32422" xr:uid="{00000000-0005-0000-0000-0000D45F0000}"/>
    <cellStyle name="Обычный 6 27 9" xfId="37762" xr:uid="{00000000-0005-0000-0000-0000D55F0000}"/>
    <cellStyle name="Обычный 6 28" xfId="390" xr:uid="{00000000-0005-0000-0000-0000D65F0000}"/>
    <cellStyle name="Обычный 6 28 10" xfId="43112" xr:uid="{00000000-0005-0000-0000-0000D75F0000}"/>
    <cellStyle name="Обычный 6 28 11" xfId="48452" xr:uid="{00000000-0005-0000-0000-0000D85F0000}"/>
    <cellStyle name="Обычный 6 28 2" xfId="857" xr:uid="{00000000-0005-0000-0000-0000D95F0000}"/>
    <cellStyle name="Обычный 6 28 2 10" xfId="48919" xr:uid="{00000000-0005-0000-0000-0000DA5F0000}"/>
    <cellStyle name="Обычный 6 28 2 2" xfId="6198" xr:uid="{00000000-0005-0000-0000-0000DB5F0000}"/>
    <cellStyle name="Обычный 6 28 2 2 2" xfId="54260" xr:uid="{00000000-0005-0000-0000-0000DC5F0000}"/>
    <cellStyle name="Обычный 6 28 2 3" xfId="11539" xr:uid="{00000000-0005-0000-0000-0000DD5F0000}"/>
    <cellStyle name="Обычный 6 28 2 4" xfId="16879" xr:uid="{00000000-0005-0000-0000-0000DE5F0000}"/>
    <cellStyle name="Обычный 6 28 2 5" xfId="22219" xr:uid="{00000000-0005-0000-0000-0000DF5F0000}"/>
    <cellStyle name="Обычный 6 28 2 6" xfId="27559" xr:uid="{00000000-0005-0000-0000-0000E05F0000}"/>
    <cellStyle name="Обычный 6 28 2 7" xfId="32899" xr:uid="{00000000-0005-0000-0000-0000E15F0000}"/>
    <cellStyle name="Обычный 6 28 2 8" xfId="38239" xr:uid="{00000000-0005-0000-0000-0000E25F0000}"/>
    <cellStyle name="Обычный 6 28 2 9" xfId="43579" xr:uid="{00000000-0005-0000-0000-0000E35F0000}"/>
    <cellStyle name="Обычный 6 28 3" xfId="5731" xr:uid="{00000000-0005-0000-0000-0000E45F0000}"/>
    <cellStyle name="Обычный 6 28 3 2" xfId="53793" xr:uid="{00000000-0005-0000-0000-0000E55F0000}"/>
    <cellStyle name="Обычный 6 28 4" xfId="11072" xr:uid="{00000000-0005-0000-0000-0000E65F0000}"/>
    <cellStyle name="Обычный 6 28 5" xfId="16412" xr:uid="{00000000-0005-0000-0000-0000E75F0000}"/>
    <cellStyle name="Обычный 6 28 6" xfId="21752" xr:uid="{00000000-0005-0000-0000-0000E85F0000}"/>
    <cellStyle name="Обычный 6 28 7" xfId="27092" xr:uid="{00000000-0005-0000-0000-0000E95F0000}"/>
    <cellStyle name="Обычный 6 28 8" xfId="32432" xr:uid="{00000000-0005-0000-0000-0000EA5F0000}"/>
    <cellStyle name="Обычный 6 28 9" xfId="37772" xr:uid="{00000000-0005-0000-0000-0000EB5F0000}"/>
    <cellStyle name="Обычный 6 29" xfId="400" xr:uid="{00000000-0005-0000-0000-0000EC5F0000}"/>
    <cellStyle name="Обычный 6 29 10" xfId="43122" xr:uid="{00000000-0005-0000-0000-0000ED5F0000}"/>
    <cellStyle name="Обычный 6 29 11" xfId="48462" xr:uid="{00000000-0005-0000-0000-0000EE5F0000}"/>
    <cellStyle name="Обычный 6 29 2" xfId="867" xr:uid="{00000000-0005-0000-0000-0000EF5F0000}"/>
    <cellStyle name="Обычный 6 29 2 10" xfId="48929" xr:uid="{00000000-0005-0000-0000-0000F05F0000}"/>
    <cellStyle name="Обычный 6 29 2 2" xfId="6208" xr:uid="{00000000-0005-0000-0000-0000F15F0000}"/>
    <cellStyle name="Обычный 6 29 2 2 2" xfId="54270" xr:uid="{00000000-0005-0000-0000-0000F25F0000}"/>
    <cellStyle name="Обычный 6 29 2 3" xfId="11549" xr:uid="{00000000-0005-0000-0000-0000F35F0000}"/>
    <cellStyle name="Обычный 6 29 2 4" xfId="16889" xr:uid="{00000000-0005-0000-0000-0000F45F0000}"/>
    <cellStyle name="Обычный 6 29 2 5" xfId="22229" xr:uid="{00000000-0005-0000-0000-0000F55F0000}"/>
    <cellStyle name="Обычный 6 29 2 6" xfId="27569" xr:uid="{00000000-0005-0000-0000-0000F65F0000}"/>
    <cellStyle name="Обычный 6 29 2 7" xfId="32909" xr:uid="{00000000-0005-0000-0000-0000F75F0000}"/>
    <cellStyle name="Обычный 6 29 2 8" xfId="38249" xr:uid="{00000000-0005-0000-0000-0000F85F0000}"/>
    <cellStyle name="Обычный 6 29 2 9" xfId="43589" xr:uid="{00000000-0005-0000-0000-0000F95F0000}"/>
    <cellStyle name="Обычный 6 29 3" xfId="5741" xr:uid="{00000000-0005-0000-0000-0000FA5F0000}"/>
    <cellStyle name="Обычный 6 29 3 2" xfId="53803" xr:uid="{00000000-0005-0000-0000-0000FB5F0000}"/>
    <cellStyle name="Обычный 6 29 4" xfId="11082" xr:uid="{00000000-0005-0000-0000-0000FC5F0000}"/>
    <cellStyle name="Обычный 6 29 5" xfId="16422" xr:uid="{00000000-0005-0000-0000-0000FD5F0000}"/>
    <cellStyle name="Обычный 6 29 6" xfId="21762" xr:uid="{00000000-0005-0000-0000-0000FE5F0000}"/>
    <cellStyle name="Обычный 6 29 7" xfId="27102" xr:uid="{00000000-0005-0000-0000-0000FF5F0000}"/>
    <cellStyle name="Обычный 6 29 8" xfId="32442" xr:uid="{00000000-0005-0000-0000-000000600000}"/>
    <cellStyle name="Обычный 6 29 9" xfId="37782" xr:uid="{00000000-0005-0000-0000-000001600000}"/>
    <cellStyle name="Обычный 6 3" xfId="140" xr:uid="{00000000-0005-0000-0000-000002600000}"/>
    <cellStyle name="Обычный 6 3 10" xfId="42862" xr:uid="{00000000-0005-0000-0000-000003600000}"/>
    <cellStyle name="Обычный 6 3 11" xfId="48202" xr:uid="{00000000-0005-0000-0000-000004600000}"/>
    <cellStyle name="Обычный 6 3 2" xfId="607" xr:uid="{00000000-0005-0000-0000-000005600000}"/>
    <cellStyle name="Обычный 6 3 2 10" xfId="48669" xr:uid="{00000000-0005-0000-0000-000006600000}"/>
    <cellStyle name="Обычный 6 3 2 2" xfId="5948" xr:uid="{00000000-0005-0000-0000-000007600000}"/>
    <cellStyle name="Обычный 6 3 2 2 2" xfId="54010" xr:uid="{00000000-0005-0000-0000-000008600000}"/>
    <cellStyle name="Обычный 6 3 2 3" xfId="11289" xr:uid="{00000000-0005-0000-0000-000009600000}"/>
    <cellStyle name="Обычный 6 3 2 4" xfId="16629" xr:uid="{00000000-0005-0000-0000-00000A600000}"/>
    <cellStyle name="Обычный 6 3 2 5" xfId="21969" xr:uid="{00000000-0005-0000-0000-00000B600000}"/>
    <cellStyle name="Обычный 6 3 2 6" xfId="27309" xr:uid="{00000000-0005-0000-0000-00000C600000}"/>
    <cellStyle name="Обычный 6 3 2 7" xfId="32649" xr:uid="{00000000-0005-0000-0000-00000D600000}"/>
    <cellStyle name="Обычный 6 3 2 8" xfId="37989" xr:uid="{00000000-0005-0000-0000-00000E600000}"/>
    <cellStyle name="Обычный 6 3 2 9" xfId="43329" xr:uid="{00000000-0005-0000-0000-00000F600000}"/>
    <cellStyle name="Обычный 6 3 3" xfId="5481" xr:uid="{00000000-0005-0000-0000-000010600000}"/>
    <cellStyle name="Обычный 6 3 3 2" xfId="53543" xr:uid="{00000000-0005-0000-0000-000011600000}"/>
    <cellStyle name="Обычный 6 3 4" xfId="10822" xr:uid="{00000000-0005-0000-0000-000012600000}"/>
    <cellStyle name="Обычный 6 3 5" xfId="16162" xr:uid="{00000000-0005-0000-0000-000013600000}"/>
    <cellStyle name="Обычный 6 3 6" xfId="21502" xr:uid="{00000000-0005-0000-0000-000014600000}"/>
    <cellStyle name="Обычный 6 3 7" xfId="26842" xr:uid="{00000000-0005-0000-0000-000015600000}"/>
    <cellStyle name="Обычный 6 3 8" xfId="32182" xr:uid="{00000000-0005-0000-0000-000016600000}"/>
    <cellStyle name="Обычный 6 3 9" xfId="37522" xr:uid="{00000000-0005-0000-0000-000017600000}"/>
    <cellStyle name="Обычный 6 30" xfId="410" xr:uid="{00000000-0005-0000-0000-000018600000}"/>
    <cellStyle name="Обычный 6 30 10" xfId="43132" xr:uid="{00000000-0005-0000-0000-000019600000}"/>
    <cellStyle name="Обычный 6 30 11" xfId="48472" xr:uid="{00000000-0005-0000-0000-00001A600000}"/>
    <cellStyle name="Обычный 6 30 2" xfId="877" xr:uid="{00000000-0005-0000-0000-00001B600000}"/>
    <cellStyle name="Обычный 6 30 2 10" xfId="48939" xr:uid="{00000000-0005-0000-0000-00001C600000}"/>
    <cellStyle name="Обычный 6 30 2 2" xfId="6218" xr:uid="{00000000-0005-0000-0000-00001D600000}"/>
    <cellStyle name="Обычный 6 30 2 2 2" xfId="54280" xr:uid="{00000000-0005-0000-0000-00001E600000}"/>
    <cellStyle name="Обычный 6 30 2 3" xfId="11559" xr:uid="{00000000-0005-0000-0000-00001F600000}"/>
    <cellStyle name="Обычный 6 30 2 4" xfId="16899" xr:uid="{00000000-0005-0000-0000-000020600000}"/>
    <cellStyle name="Обычный 6 30 2 5" xfId="22239" xr:uid="{00000000-0005-0000-0000-000021600000}"/>
    <cellStyle name="Обычный 6 30 2 6" xfId="27579" xr:uid="{00000000-0005-0000-0000-000022600000}"/>
    <cellStyle name="Обычный 6 30 2 7" xfId="32919" xr:uid="{00000000-0005-0000-0000-000023600000}"/>
    <cellStyle name="Обычный 6 30 2 8" xfId="38259" xr:uid="{00000000-0005-0000-0000-000024600000}"/>
    <cellStyle name="Обычный 6 30 2 9" xfId="43599" xr:uid="{00000000-0005-0000-0000-000025600000}"/>
    <cellStyle name="Обычный 6 30 3" xfId="5751" xr:uid="{00000000-0005-0000-0000-000026600000}"/>
    <cellStyle name="Обычный 6 30 3 2" xfId="53813" xr:uid="{00000000-0005-0000-0000-000027600000}"/>
    <cellStyle name="Обычный 6 30 4" xfId="11092" xr:uid="{00000000-0005-0000-0000-000028600000}"/>
    <cellStyle name="Обычный 6 30 5" xfId="16432" xr:uid="{00000000-0005-0000-0000-000029600000}"/>
    <cellStyle name="Обычный 6 30 6" xfId="21772" xr:uid="{00000000-0005-0000-0000-00002A600000}"/>
    <cellStyle name="Обычный 6 30 7" xfId="27112" xr:uid="{00000000-0005-0000-0000-00002B600000}"/>
    <cellStyle name="Обычный 6 30 8" xfId="32452" xr:uid="{00000000-0005-0000-0000-00002C600000}"/>
    <cellStyle name="Обычный 6 30 9" xfId="37792" xr:uid="{00000000-0005-0000-0000-00002D600000}"/>
    <cellStyle name="Обычный 6 31" xfId="420" xr:uid="{00000000-0005-0000-0000-00002E600000}"/>
    <cellStyle name="Обычный 6 31 10" xfId="43142" xr:uid="{00000000-0005-0000-0000-00002F600000}"/>
    <cellStyle name="Обычный 6 31 11" xfId="48482" xr:uid="{00000000-0005-0000-0000-000030600000}"/>
    <cellStyle name="Обычный 6 31 2" xfId="887" xr:uid="{00000000-0005-0000-0000-000031600000}"/>
    <cellStyle name="Обычный 6 31 2 10" xfId="48949" xr:uid="{00000000-0005-0000-0000-000032600000}"/>
    <cellStyle name="Обычный 6 31 2 2" xfId="6228" xr:uid="{00000000-0005-0000-0000-000033600000}"/>
    <cellStyle name="Обычный 6 31 2 2 2" xfId="54290" xr:uid="{00000000-0005-0000-0000-000034600000}"/>
    <cellStyle name="Обычный 6 31 2 3" xfId="11569" xr:uid="{00000000-0005-0000-0000-000035600000}"/>
    <cellStyle name="Обычный 6 31 2 4" xfId="16909" xr:uid="{00000000-0005-0000-0000-000036600000}"/>
    <cellStyle name="Обычный 6 31 2 5" xfId="22249" xr:uid="{00000000-0005-0000-0000-000037600000}"/>
    <cellStyle name="Обычный 6 31 2 6" xfId="27589" xr:uid="{00000000-0005-0000-0000-000038600000}"/>
    <cellStyle name="Обычный 6 31 2 7" xfId="32929" xr:uid="{00000000-0005-0000-0000-000039600000}"/>
    <cellStyle name="Обычный 6 31 2 8" xfId="38269" xr:uid="{00000000-0005-0000-0000-00003A600000}"/>
    <cellStyle name="Обычный 6 31 2 9" xfId="43609" xr:uid="{00000000-0005-0000-0000-00003B600000}"/>
    <cellStyle name="Обычный 6 31 3" xfId="5761" xr:uid="{00000000-0005-0000-0000-00003C600000}"/>
    <cellStyle name="Обычный 6 31 3 2" xfId="53823" xr:uid="{00000000-0005-0000-0000-00003D600000}"/>
    <cellStyle name="Обычный 6 31 4" xfId="11102" xr:uid="{00000000-0005-0000-0000-00003E600000}"/>
    <cellStyle name="Обычный 6 31 5" xfId="16442" xr:uid="{00000000-0005-0000-0000-00003F600000}"/>
    <cellStyle name="Обычный 6 31 6" xfId="21782" xr:uid="{00000000-0005-0000-0000-000040600000}"/>
    <cellStyle name="Обычный 6 31 7" xfId="27122" xr:uid="{00000000-0005-0000-0000-000041600000}"/>
    <cellStyle name="Обычный 6 31 8" xfId="32462" xr:uid="{00000000-0005-0000-0000-000042600000}"/>
    <cellStyle name="Обычный 6 31 9" xfId="37802" xr:uid="{00000000-0005-0000-0000-000043600000}"/>
    <cellStyle name="Обычный 6 32" xfId="432" xr:uid="{00000000-0005-0000-0000-000044600000}"/>
    <cellStyle name="Обычный 6 32 10" xfId="43154" xr:uid="{00000000-0005-0000-0000-000045600000}"/>
    <cellStyle name="Обычный 6 32 11" xfId="48494" xr:uid="{00000000-0005-0000-0000-000046600000}"/>
    <cellStyle name="Обычный 6 32 2" xfId="899" xr:uid="{00000000-0005-0000-0000-000047600000}"/>
    <cellStyle name="Обычный 6 32 2 10" xfId="48961" xr:uid="{00000000-0005-0000-0000-000048600000}"/>
    <cellStyle name="Обычный 6 32 2 2" xfId="6240" xr:uid="{00000000-0005-0000-0000-000049600000}"/>
    <cellStyle name="Обычный 6 32 2 2 2" xfId="54302" xr:uid="{00000000-0005-0000-0000-00004A600000}"/>
    <cellStyle name="Обычный 6 32 2 3" xfId="11581" xr:uid="{00000000-0005-0000-0000-00004B600000}"/>
    <cellStyle name="Обычный 6 32 2 4" xfId="16921" xr:uid="{00000000-0005-0000-0000-00004C600000}"/>
    <cellStyle name="Обычный 6 32 2 5" xfId="22261" xr:uid="{00000000-0005-0000-0000-00004D600000}"/>
    <cellStyle name="Обычный 6 32 2 6" xfId="27601" xr:uid="{00000000-0005-0000-0000-00004E600000}"/>
    <cellStyle name="Обычный 6 32 2 7" xfId="32941" xr:uid="{00000000-0005-0000-0000-00004F600000}"/>
    <cellStyle name="Обычный 6 32 2 8" xfId="38281" xr:uid="{00000000-0005-0000-0000-000050600000}"/>
    <cellStyle name="Обычный 6 32 2 9" xfId="43621" xr:uid="{00000000-0005-0000-0000-000051600000}"/>
    <cellStyle name="Обычный 6 32 3" xfId="5773" xr:uid="{00000000-0005-0000-0000-000052600000}"/>
    <cellStyle name="Обычный 6 32 3 2" xfId="53835" xr:uid="{00000000-0005-0000-0000-000053600000}"/>
    <cellStyle name="Обычный 6 32 4" xfId="11114" xr:uid="{00000000-0005-0000-0000-000054600000}"/>
    <cellStyle name="Обычный 6 32 5" xfId="16454" xr:uid="{00000000-0005-0000-0000-000055600000}"/>
    <cellStyle name="Обычный 6 32 6" xfId="21794" xr:uid="{00000000-0005-0000-0000-000056600000}"/>
    <cellStyle name="Обычный 6 32 7" xfId="27134" xr:uid="{00000000-0005-0000-0000-000057600000}"/>
    <cellStyle name="Обычный 6 32 8" xfId="32474" xr:uid="{00000000-0005-0000-0000-000058600000}"/>
    <cellStyle name="Обычный 6 32 9" xfId="37814" xr:uid="{00000000-0005-0000-0000-000059600000}"/>
    <cellStyle name="Обычный 6 33" xfId="444" xr:uid="{00000000-0005-0000-0000-00005A600000}"/>
    <cellStyle name="Обычный 6 33 10" xfId="43166" xr:uid="{00000000-0005-0000-0000-00005B600000}"/>
    <cellStyle name="Обычный 6 33 11" xfId="48506" xr:uid="{00000000-0005-0000-0000-00005C600000}"/>
    <cellStyle name="Обычный 6 33 2" xfId="911" xr:uid="{00000000-0005-0000-0000-00005D600000}"/>
    <cellStyle name="Обычный 6 33 2 10" xfId="48973" xr:uid="{00000000-0005-0000-0000-00005E600000}"/>
    <cellStyle name="Обычный 6 33 2 2" xfId="6252" xr:uid="{00000000-0005-0000-0000-00005F600000}"/>
    <cellStyle name="Обычный 6 33 2 2 2" xfId="54314" xr:uid="{00000000-0005-0000-0000-000060600000}"/>
    <cellStyle name="Обычный 6 33 2 3" xfId="11593" xr:uid="{00000000-0005-0000-0000-000061600000}"/>
    <cellStyle name="Обычный 6 33 2 4" xfId="16933" xr:uid="{00000000-0005-0000-0000-000062600000}"/>
    <cellStyle name="Обычный 6 33 2 5" xfId="22273" xr:uid="{00000000-0005-0000-0000-000063600000}"/>
    <cellStyle name="Обычный 6 33 2 6" xfId="27613" xr:uid="{00000000-0005-0000-0000-000064600000}"/>
    <cellStyle name="Обычный 6 33 2 7" xfId="32953" xr:uid="{00000000-0005-0000-0000-000065600000}"/>
    <cellStyle name="Обычный 6 33 2 8" xfId="38293" xr:uid="{00000000-0005-0000-0000-000066600000}"/>
    <cellStyle name="Обычный 6 33 2 9" xfId="43633" xr:uid="{00000000-0005-0000-0000-000067600000}"/>
    <cellStyle name="Обычный 6 33 3" xfId="5785" xr:uid="{00000000-0005-0000-0000-000068600000}"/>
    <cellStyle name="Обычный 6 33 3 2" xfId="53847" xr:uid="{00000000-0005-0000-0000-000069600000}"/>
    <cellStyle name="Обычный 6 33 4" xfId="11126" xr:uid="{00000000-0005-0000-0000-00006A600000}"/>
    <cellStyle name="Обычный 6 33 5" xfId="16466" xr:uid="{00000000-0005-0000-0000-00006B600000}"/>
    <cellStyle name="Обычный 6 33 6" xfId="21806" xr:uid="{00000000-0005-0000-0000-00006C600000}"/>
    <cellStyle name="Обычный 6 33 7" xfId="27146" xr:uid="{00000000-0005-0000-0000-00006D600000}"/>
    <cellStyle name="Обычный 6 33 8" xfId="32486" xr:uid="{00000000-0005-0000-0000-00006E600000}"/>
    <cellStyle name="Обычный 6 33 9" xfId="37826" xr:uid="{00000000-0005-0000-0000-00006F600000}"/>
    <cellStyle name="Обычный 6 34" xfId="456" xr:uid="{00000000-0005-0000-0000-000070600000}"/>
    <cellStyle name="Обычный 6 34 10" xfId="43178" xr:uid="{00000000-0005-0000-0000-000071600000}"/>
    <cellStyle name="Обычный 6 34 11" xfId="48518" xr:uid="{00000000-0005-0000-0000-000072600000}"/>
    <cellStyle name="Обычный 6 34 2" xfId="923" xr:uid="{00000000-0005-0000-0000-000073600000}"/>
    <cellStyle name="Обычный 6 34 2 10" xfId="48985" xr:uid="{00000000-0005-0000-0000-000074600000}"/>
    <cellStyle name="Обычный 6 34 2 2" xfId="6264" xr:uid="{00000000-0005-0000-0000-000075600000}"/>
    <cellStyle name="Обычный 6 34 2 2 2" xfId="54326" xr:uid="{00000000-0005-0000-0000-000076600000}"/>
    <cellStyle name="Обычный 6 34 2 3" xfId="11605" xr:uid="{00000000-0005-0000-0000-000077600000}"/>
    <cellStyle name="Обычный 6 34 2 4" xfId="16945" xr:uid="{00000000-0005-0000-0000-000078600000}"/>
    <cellStyle name="Обычный 6 34 2 5" xfId="22285" xr:uid="{00000000-0005-0000-0000-000079600000}"/>
    <cellStyle name="Обычный 6 34 2 6" xfId="27625" xr:uid="{00000000-0005-0000-0000-00007A600000}"/>
    <cellStyle name="Обычный 6 34 2 7" xfId="32965" xr:uid="{00000000-0005-0000-0000-00007B600000}"/>
    <cellStyle name="Обычный 6 34 2 8" xfId="38305" xr:uid="{00000000-0005-0000-0000-00007C600000}"/>
    <cellStyle name="Обычный 6 34 2 9" xfId="43645" xr:uid="{00000000-0005-0000-0000-00007D600000}"/>
    <cellStyle name="Обычный 6 34 3" xfId="5797" xr:uid="{00000000-0005-0000-0000-00007E600000}"/>
    <cellStyle name="Обычный 6 34 3 2" xfId="53859" xr:uid="{00000000-0005-0000-0000-00007F600000}"/>
    <cellStyle name="Обычный 6 34 4" xfId="11138" xr:uid="{00000000-0005-0000-0000-000080600000}"/>
    <cellStyle name="Обычный 6 34 5" xfId="16478" xr:uid="{00000000-0005-0000-0000-000081600000}"/>
    <cellStyle name="Обычный 6 34 6" xfId="21818" xr:uid="{00000000-0005-0000-0000-000082600000}"/>
    <cellStyle name="Обычный 6 34 7" xfId="27158" xr:uid="{00000000-0005-0000-0000-000083600000}"/>
    <cellStyle name="Обычный 6 34 8" xfId="32498" xr:uid="{00000000-0005-0000-0000-000084600000}"/>
    <cellStyle name="Обычный 6 34 9" xfId="37838" xr:uid="{00000000-0005-0000-0000-000085600000}"/>
    <cellStyle name="Обычный 6 35" xfId="468" xr:uid="{00000000-0005-0000-0000-000086600000}"/>
    <cellStyle name="Обычный 6 35 10" xfId="43190" xr:uid="{00000000-0005-0000-0000-000087600000}"/>
    <cellStyle name="Обычный 6 35 11" xfId="48530" xr:uid="{00000000-0005-0000-0000-000088600000}"/>
    <cellStyle name="Обычный 6 35 2" xfId="935" xr:uid="{00000000-0005-0000-0000-000089600000}"/>
    <cellStyle name="Обычный 6 35 2 10" xfId="48997" xr:uid="{00000000-0005-0000-0000-00008A600000}"/>
    <cellStyle name="Обычный 6 35 2 2" xfId="6276" xr:uid="{00000000-0005-0000-0000-00008B600000}"/>
    <cellStyle name="Обычный 6 35 2 2 2" xfId="54338" xr:uid="{00000000-0005-0000-0000-00008C600000}"/>
    <cellStyle name="Обычный 6 35 2 3" xfId="11617" xr:uid="{00000000-0005-0000-0000-00008D600000}"/>
    <cellStyle name="Обычный 6 35 2 4" xfId="16957" xr:uid="{00000000-0005-0000-0000-00008E600000}"/>
    <cellStyle name="Обычный 6 35 2 5" xfId="22297" xr:uid="{00000000-0005-0000-0000-00008F600000}"/>
    <cellStyle name="Обычный 6 35 2 6" xfId="27637" xr:uid="{00000000-0005-0000-0000-000090600000}"/>
    <cellStyle name="Обычный 6 35 2 7" xfId="32977" xr:uid="{00000000-0005-0000-0000-000091600000}"/>
    <cellStyle name="Обычный 6 35 2 8" xfId="38317" xr:uid="{00000000-0005-0000-0000-000092600000}"/>
    <cellStyle name="Обычный 6 35 2 9" xfId="43657" xr:uid="{00000000-0005-0000-0000-000093600000}"/>
    <cellStyle name="Обычный 6 35 3" xfId="5809" xr:uid="{00000000-0005-0000-0000-000094600000}"/>
    <cellStyle name="Обычный 6 35 3 2" xfId="53871" xr:uid="{00000000-0005-0000-0000-000095600000}"/>
    <cellStyle name="Обычный 6 35 4" xfId="11150" xr:uid="{00000000-0005-0000-0000-000096600000}"/>
    <cellStyle name="Обычный 6 35 5" xfId="16490" xr:uid="{00000000-0005-0000-0000-000097600000}"/>
    <cellStyle name="Обычный 6 35 6" xfId="21830" xr:uid="{00000000-0005-0000-0000-000098600000}"/>
    <cellStyle name="Обычный 6 35 7" xfId="27170" xr:uid="{00000000-0005-0000-0000-000099600000}"/>
    <cellStyle name="Обычный 6 35 8" xfId="32510" xr:uid="{00000000-0005-0000-0000-00009A600000}"/>
    <cellStyle name="Обычный 6 35 9" xfId="37850" xr:uid="{00000000-0005-0000-0000-00009B600000}"/>
    <cellStyle name="Обычный 6 36" xfId="480" xr:uid="{00000000-0005-0000-0000-00009C600000}"/>
    <cellStyle name="Обычный 6 36 10" xfId="43202" xr:uid="{00000000-0005-0000-0000-00009D600000}"/>
    <cellStyle name="Обычный 6 36 11" xfId="48542" xr:uid="{00000000-0005-0000-0000-00009E600000}"/>
    <cellStyle name="Обычный 6 36 2" xfId="947" xr:uid="{00000000-0005-0000-0000-00009F600000}"/>
    <cellStyle name="Обычный 6 36 2 10" xfId="49009" xr:uid="{00000000-0005-0000-0000-0000A0600000}"/>
    <cellStyle name="Обычный 6 36 2 2" xfId="6288" xr:uid="{00000000-0005-0000-0000-0000A1600000}"/>
    <cellStyle name="Обычный 6 36 2 2 2" xfId="54350" xr:uid="{00000000-0005-0000-0000-0000A2600000}"/>
    <cellStyle name="Обычный 6 36 2 3" xfId="11629" xr:uid="{00000000-0005-0000-0000-0000A3600000}"/>
    <cellStyle name="Обычный 6 36 2 4" xfId="16969" xr:uid="{00000000-0005-0000-0000-0000A4600000}"/>
    <cellStyle name="Обычный 6 36 2 5" xfId="22309" xr:uid="{00000000-0005-0000-0000-0000A5600000}"/>
    <cellStyle name="Обычный 6 36 2 6" xfId="27649" xr:uid="{00000000-0005-0000-0000-0000A6600000}"/>
    <cellStyle name="Обычный 6 36 2 7" xfId="32989" xr:uid="{00000000-0005-0000-0000-0000A7600000}"/>
    <cellStyle name="Обычный 6 36 2 8" xfId="38329" xr:uid="{00000000-0005-0000-0000-0000A8600000}"/>
    <cellStyle name="Обычный 6 36 2 9" xfId="43669" xr:uid="{00000000-0005-0000-0000-0000A9600000}"/>
    <cellStyle name="Обычный 6 36 3" xfId="5821" xr:uid="{00000000-0005-0000-0000-0000AA600000}"/>
    <cellStyle name="Обычный 6 36 3 2" xfId="53883" xr:uid="{00000000-0005-0000-0000-0000AB600000}"/>
    <cellStyle name="Обычный 6 36 4" xfId="11162" xr:uid="{00000000-0005-0000-0000-0000AC600000}"/>
    <cellStyle name="Обычный 6 36 5" xfId="16502" xr:uid="{00000000-0005-0000-0000-0000AD600000}"/>
    <cellStyle name="Обычный 6 36 6" xfId="21842" xr:uid="{00000000-0005-0000-0000-0000AE600000}"/>
    <cellStyle name="Обычный 6 36 7" xfId="27182" xr:uid="{00000000-0005-0000-0000-0000AF600000}"/>
    <cellStyle name="Обычный 6 36 8" xfId="32522" xr:uid="{00000000-0005-0000-0000-0000B0600000}"/>
    <cellStyle name="Обычный 6 36 9" xfId="37862" xr:uid="{00000000-0005-0000-0000-0000B1600000}"/>
    <cellStyle name="Обычный 6 37" xfId="492" xr:uid="{00000000-0005-0000-0000-0000B2600000}"/>
    <cellStyle name="Обычный 6 37 10" xfId="43214" xr:uid="{00000000-0005-0000-0000-0000B3600000}"/>
    <cellStyle name="Обычный 6 37 11" xfId="48554" xr:uid="{00000000-0005-0000-0000-0000B4600000}"/>
    <cellStyle name="Обычный 6 37 2" xfId="959" xr:uid="{00000000-0005-0000-0000-0000B5600000}"/>
    <cellStyle name="Обычный 6 37 2 10" xfId="49021" xr:uid="{00000000-0005-0000-0000-0000B6600000}"/>
    <cellStyle name="Обычный 6 37 2 2" xfId="6300" xr:uid="{00000000-0005-0000-0000-0000B7600000}"/>
    <cellStyle name="Обычный 6 37 2 2 2" xfId="54362" xr:uid="{00000000-0005-0000-0000-0000B8600000}"/>
    <cellStyle name="Обычный 6 37 2 3" xfId="11641" xr:uid="{00000000-0005-0000-0000-0000B9600000}"/>
    <cellStyle name="Обычный 6 37 2 4" xfId="16981" xr:uid="{00000000-0005-0000-0000-0000BA600000}"/>
    <cellStyle name="Обычный 6 37 2 5" xfId="22321" xr:uid="{00000000-0005-0000-0000-0000BB600000}"/>
    <cellStyle name="Обычный 6 37 2 6" xfId="27661" xr:uid="{00000000-0005-0000-0000-0000BC600000}"/>
    <cellStyle name="Обычный 6 37 2 7" xfId="33001" xr:uid="{00000000-0005-0000-0000-0000BD600000}"/>
    <cellStyle name="Обычный 6 37 2 8" xfId="38341" xr:uid="{00000000-0005-0000-0000-0000BE600000}"/>
    <cellStyle name="Обычный 6 37 2 9" xfId="43681" xr:uid="{00000000-0005-0000-0000-0000BF600000}"/>
    <cellStyle name="Обычный 6 37 3" xfId="5833" xr:uid="{00000000-0005-0000-0000-0000C0600000}"/>
    <cellStyle name="Обычный 6 37 3 2" xfId="53895" xr:uid="{00000000-0005-0000-0000-0000C1600000}"/>
    <cellStyle name="Обычный 6 37 4" xfId="11174" xr:uid="{00000000-0005-0000-0000-0000C2600000}"/>
    <cellStyle name="Обычный 6 37 5" xfId="16514" xr:uid="{00000000-0005-0000-0000-0000C3600000}"/>
    <cellStyle name="Обычный 6 37 6" xfId="21854" xr:uid="{00000000-0005-0000-0000-0000C4600000}"/>
    <cellStyle name="Обычный 6 37 7" xfId="27194" xr:uid="{00000000-0005-0000-0000-0000C5600000}"/>
    <cellStyle name="Обычный 6 37 8" xfId="32534" xr:uid="{00000000-0005-0000-0000-0000C6600000}"/>
    <cellStyle name="Обычный 6 37 9" xfId="37874" xr:uid="{00000000-0005-0000-0000-0000C7600000}"/>
    <cellStyle name="Обычный 6 38" xfId="504" xr:uid="{00000000-0005-0000-0000-0000C8600000}"/>
    <cellStyle name="Обычный 6 38 10" xfId="43226" xr:uid="{00000000-0005-0000-0000-0000C9600000}"/>
    <cellStyle name="Обычный 6 38 11" xfId="48566" xr:uid="{00000000-0005-0000-0000-0000CA600000}"/>
    <cellStyle name="Обычный 6 38 2" xfId="971" xr:uid="{00000000-0005-0000-0000-0000CB600000}"/>
    <cellStyle name="Обычный 6 38 2 10" xfId="49033" xr:uid="{00000000-0005-0000-0000-0000CC600000}"/>
    <cellStyle name="Обычный 6 38 2 2" xfId="6312" xr:uid="{00000000-0005-0000-0000-0000CD600000}"/>
    <cellStyle name="Обычный 6 38 2 2 2" xfId="54374" xr:uid="{00000000-0005-0000-0000-0000CE600000}"/>
    <cellStyle name="Обычный 6 38 2 3" xfId="11653" xr:uid="{00000000-0005-0000-0000-0000CF600000}"/>
    <cellStyle name="Обычный 6 38 2 4" xfId="16993" xr:uid="{00000000-0005-0000-0000-0000D0600000}"/>
    <cellStyle name="Обычный 6 38 2 5" xfId="22333" xr:uid="{00000000-0005-0000-0000-0000D1600000}"/>
    <cellStyle name="Обычный 6 38 2 6" xfId="27673" xr:uid="{00000000-0005-0000-0000-0000D2600000}"/>
    <cellStyle name="Обычный 6 38 2 7" xfId="33013" xr:uid="{00000000-0005-0000-0000-0000D3600000}"/>
    <cellStyle name="Обычный 6 38 2 8" xfId="38353" xr:uid="{00000000-0005-0000-0000-0000D4600000}"/>
    <cellStyle name="Обычный 6 38 2 9" xfId="43693" xr:uid="{00000000-0005-0000-0000-0000D5600000}"/>
    <cellStyle name="Обычный 6 38 3" xfId="5845" xr:uid="{00000000-0005-0000-0000-0000D6600000}"/>
    <cellStyle name="Обычный 6 38 3 2" xfId="53907" xr:uid="{00000000-0005-0000-0000-0000D7600000}"/>
    <cellStyle name="Обычный 6 38 4" xfId="11186" xr:uid="{00000000-0005-0000-0000-0000D8600000}"/>
    <cellStyle name="Обычный 6 38 5" xfId="16526" xr:uid="{00000000-0005-0000-0000-0000D9600000}"/>
    <cellStyle name="Обычный 6 38 6" xfId="21866" xr:uid="{00000000-0005-0000-0000-0000DA600000}"/>
    <cellStyle name="Обычный 6 38 7" xfId="27206" xr:uid="{00000000-0005-0000-0000-0000DB600000}"/>
    <cellStyle name="Обычный 6 38 8" xfId="32546" xr:uid="{00000000-0005-0000-0000-0000DC600000}"/>
    <cellStyle name="Обычный 6 38 9" xfId="37886" xr:uid="{00000000-0005-0000-0000-0000DD600000}"/>
    <cellStyle name="Обычный 6 39" xfId="516" xr:uid="{00000000-0005-0000-0000-0000DE600000}"/>
    <cellStyle name="Обычный 6 39 10" xfId="43238" xr:uid="{00000000-0005-0000-0000-0000DF600000}"/>
    <cellStyle name="Обычный 6 39 11" xfId="48578" xr:uid="{00000000-0005-0000-0000-0000E0600000}"/>
    <cellStyle name="Обычный 6 39 2" xfId="983" xr:uid="{00000000-0005-0000-0000-0000E1600000}"/>
    <cellStyle name="Обычный 6 39 2 10" xfId="49045" xr:uid="{00000000-0005-0000-0000-0000E2600000}"/>
    <cellStyle name="Обычный 6 39 2 2" xfId="6324" xr:uid="{00000000-0005-0000-0000-0000E3600000}"/>
    <cellStyle name="Обычный 6 39 2 2 2" xfId="54386" xr:uid="{00000000-0005-0000-0000-0000E4600000}"/>
    <cellStyle name="Обычный 6 39 2 3" xfId="11665" xr:uid="{00000000-0005-0000-0000-0000E5600000}"/>
    <cellStyle name="Обычный 6 39 2 4" xfId="17005" xr:uid="{00000000-0005-0000-0000-0000E6600000}"/>
    <cellStyle name="Обычный 6 39 2 5" xfId="22345" xr:uid="{00000000-0005-0000-0000-0000E7600000}"/>
    <cellStyle name="Обычный 6 39 2 6" xfId="27685" xr:uid="{00000000-0005-0000-0000-0000E8600000}"/>
    <cellStyle name="Обычный 6 39 2 7" xfId="33025" xr:uid="{00000000-0005-0000-0000-0000E9600000}"/>
    <cellStyle name="Обычный 6 39 2 8" xfId="38365" xr:uid="{00000000-0005-0000-0000-0000EA600000}"/>
    <cellStyle name="Обычный 6 39 2 9" xfId="43705" xr:uid="{00000000-0005-0000-0000-0000EB600000}"/>
    <cellStyle name="Обычный 6 39 3" xfId="5857" xr:uid="{00000000-0005-0000-0000-0000EC600000}"/>
    <cellStyle name="Обычный 6 39 3 2" xfId="53919" xr:uid="{00000000-0005-0000-0000-0000ED600000}"/>
    <cellStyle name="Обычный 6 39 4" xfId="11198" xr:uid="{00000000-0005-0000-0000-0000EE600000}"/>
    <cellStyle name="Обычный 6 39 5" xfId="16538" xr:uid="{00000000-0005-0000-0000-0000EF600000}"/>
    <cellStyle name="Обычный 6 39 6" xfId="21878" xr:uid="{00000000-0005-0000-0000-0000F0600000}"/>
    <cellStyle name="Обычный 6 39 7" xfId="27218" xr:uid="{00000000-0005-0000-0000-0000F1600000}"/>
    <cellStyle name="Обычный 6 39 8" xfId="32558" xr:uid="{00000000-0005-0000-0000-0000F2600000}"/>
    <cellStyle name="Обычный 6 39 9" xfId="37898" xr:uid="{00000000-0005-0000-0000-0000F3600000}"/>
    <cellStyle name="Обычный 6 4" xfId="150" xr:uid="{00000000-0005-0000-0000-0000F4600000}"/>
    <cellStyle name="Обычный 6 4 10" xfId="42872" xr:uid="{00000000-0005-0000-0000-0000F5600000}"/>
    <cellStyle name="Обычный 6 4 11" xfId="48212" xr:uid="{00000000-0005-0000-0000-0000F6600000}"/>
    <cellStyle name="Обычный 6 4 2" xfId="617" xr:uid="{00000000-0005-0000-0000-0000F7600000}"/>
    <cellStyle name="Обычный 6 4 2 10" xfId="48679" xr:uid="{00000000-0005-0000-0000-0000F8600000}"/>
    <cellStyle name="Обычный 6 4 2 2" xfId="5958" xr:uid="{00000000-0005-0000-0000-0000F9600000}"/>
    <cellStyle name="Обычный 6 4 2 2 2" xfId="54020" xr:uid="{00000000-0005-0000-0000-0000FA600000}"/>
    <cellStyle name="Обычный 6 4 2 3" xfId="11299" xr:uid="{00000000-0005-0000-0000-0000FB600000}"/>
    <cellStyle name="Обычный 6 4 2 4" xfId="16639" xr:uid="{00000000-0005-0000-0000-0000FC600000}"/>
    <cellStyle name="Обычный 6 4 2 5" xfId="21979" xr:uid="{00000000-0005-0000-0000-0000FD600000}"/>
    <cellStyle name="Обычный 6 4 2 6" xfId="27319" xr:uid="{00000000-0005-0000-0000-0000FE600000}"/>
    <cellStyle name="Обычный 6 4 2 7" xfId="32659" xr:uid="{00000000-0005-0000-0000-0000FF600000}"/>
    <cellStyle name="Обычный 6 4 2 8" xfId="37999" xr:uid="{00000000-0005-0000-0000-000000610000}"/>
    <cellStyle name="Обычный 6 4 2 9" xfId="43339" xr:uid="{00000000-0005-0000-0000-000001610000}"/>
    <cellStyle name="Обычный 6 4 3" xfId="5491" xr:uid="{00000000-0005-0000-0000-000002610000}"/>
    <cellStyle name="Обычный 6 4 3 2" xfId="53553" xr:uid="{00000000-0005-0000-0000-000003610000}"/>
    <cellStyle name="Обычный 6 4 4" xfId="10832" xr:uid="{00000000-0005-0000-0000-000004610000}"/>
    <cellStyle name="Обычный 6 4 5" xfId="16172" xr:uid="{00000000-0005-0000-0000-000005610000}"/>
    <cellStyle name="Обычный 6 4 6" xfId="21512" xr:uid="{00000000-0005-0000-0000-000006610000}"/>
    <cellStyle name="Обычный 6 4 7" xfId="26852" xr:uid="{00000000-0005-0000-0000-000007610000}"/>
    <cellStyle name="Обычный 6 4 8" xfId="32192" xr:uid="{00000000-0005-0000-0000-000008610000}"/>
    <cellStyle name="Обычный 6 4 9" xfId="37532" xr:uid="{00000000-0005-0000-0000-000009610000}"/>
    <cellStyle name="Обычный 6 40" xfId="587" xr:uid="{00000000-0005-0000-0000-00000A610000}"/>
    <cellStyle name="Обычный 6 40 10" xfId="48649" xr:uid="{00000000-0005-0000-0000-00000B610000}"/>
    <cellStyle name="Обычный 6 40 2" xfId="5928" xr:uid="{00000000-0005-0000-0000-00000C610000}"/>
    <cellStyle name="Обычный 6 40 2 2" xfId="53990" xr:uid="{00000000-0005-0000-0000-00000D610000}"/>
    <cellStyle name="Обычный 6 40 3" xfId="11269" xr:uid="{00000000-0005-0000-0000-00000E610000}"/>
    <cellStyle name="Обычный 6 40 4" xfId="16609" xr:uid="{00000000-0005-0000-0000-00000F610000}"/>
    <cellStyle name="Обычный 6 40 5" xfId="21949" xr:uid="{00000000-0005-0000-0000-000010610000}"/>
    <cellStyle name="Обычный 6 40 6" xfId="27289" xr:uid="{00000000-0005-0000-0000-000011610000}"/>
    <cellStyle name="Обычный 6 40 7" xfId="32629" xr:uid="{00000000-0005-0000-0000-000012610000}"/>
    <cellStyle name="Обычный 6 40 8" xfId="37969" xr:uid="{00000000-0005-0000-0000-000013610000}"/>
    <cellStyle name="Обычный 6 40 9" xfId="43309" xr:uid="{00000000-0005-0000-0000-000014610000}"/>
    <cellStyle name="Обычный 6 41" xfId="995" xr:uid="{00000000-0005-0000-0000-000015610000}"/>
    <cellStyle name="Обычный 6 41 10" xfId="49057" xr:uid="{00000000-0005-0000-0000-000016610000}"/>
    <cellStyle name="Обычный 6 41 2" xfId="6336" xr:uid="{00000000-0005-0000-0000-000017610000}"/>
    <cellStyle name="Обычный 6 41 2 2" xfId="54398" xr:uid="{00000000-0005-0000-0000-000018610000}"/>
    <cellStyle name="Обычный 6 41 3" xfId="11677" xr:uid="{00000000-0005-0000-0000-000019610000}"/>
    <cellStyle name="Обычный 6 41 4" xfId="17017" xr:uid="{00000000-0005-0000-0000-00001A610000}"/>
    <cellStyle name="Обычный 6 41 5" xfId="22357" xr:uid="{00000000-0005-0000-0000-00001B610000}"/>
    <cellStyle name="Обычный 6 41 6" xfId="27697" xr:uid="{00000000-0005-0000-0000-00001C610000}"/>
    <cellStyle name="Обычный 6 41 7" xfId="33037" xr:uid="{00000000-0005-0000-0000-00001D610000}"/>
    <cellStyle name="Обычный 6 41 8" xfId="38377" xr:uid="{00000000-0005-0000-0000-00001E610000}"/>
    <cellStyle name="Обычный 6 41 9" xfId="43717" xr:uid="{00000000-0005-0000-0000-00001F610000}"/>
    <cellStyle name="Обычный 6 42" xfId="1019" xr:uid="{00000000-0005-0000-0000-000020610000}"/>
    <cellStyle name="Обычный 6 42 10" xfId="49081" xr:uid="{00000000-0005-0000-0000-000021610000}"/>
    <cellStyle name="Обычный 6 42 2" xfId="6360" xr:uid="{00000000-0005-0000-0000-000022610000}"/>
    <cellStyle name="Обычный 6 42 2 2" xfId="54422" xr:uid="{00000000-0005-0000-0000-000023610000}"/>
    <cellStyle name="Обычный 6 42 3" xfId="11701" xr:uid="{00000000-0005-0000-0000-000024610000}"/>
    <cellStyle name="Обычный 6 42 4" xfId="17041" xr:uid="{00000000-0005-0000-0000-000025610000}"/>
    <cellStyle name="Обычный 6 42 5" xfId="22381" xr:uid="{00000000-0005-0000-0000-000026610000}"/>
    <cellStyle name="Обычный 6 42 6" xfId="27721" xr:uid="{00000000-0005-0000-0000-000027610000}"/>
    <cellStyle name="Обычный 6 42 7" xfId="33061" xr:uid="{00000000-0005-0000-0000-000028610000}"/>
    <cellStyle name="Обычный 6 42 8" xfId="38401" xr:uid="{00000000-0005-0000-0000-000029610000}"/>
    <cellStyle name="Обычный 6 42 9" xfId="43741" xr:uid="{00000000-0005-0000-0000-00002A610000}"/>
    <cellStyle name="Обычный 6 43" xfId="1043" xr:uid="{00000000-0005-0000-0000-00002B610000}"/>
    <cellStyle name="Обычный 6 43 10" xfId="49105" xr:uid="{00000000-0005-0000-0000-00002C610000}"/>
    <cellStyle name="Обычный 6 43 2" xfId="6384" xr:uid="{00000000-0005-0000-0000-00002D610000}"/>
    <cellStyle name="Обычный 6 43 2 2" xfId="54446" xr:uid="{00000000-0005-0000-0000-00002E610000}"/>
    <cellStyle name="Обычный 6 43 3" xfId="11725" xr:uid="{00000000-0005-0000-0000-00002F610000}"/>
    <cellStyle name="Обычный 6 43 4" xfId="17065" xr:uid="{00000000-0005-0000-0000-000030610000}"/>
    <cellStyle name="Обычный 6 43 5" xfId="22405" xr:uid="{00000000-0005-0000-0000-000031610000}"/>
    <cellStyle name="Обычный 6 43 6" xfId="27745" xr:uid="{00000000-0005-0000-0000-000032610000}"/>
    <cellStyle name="Обычный 6 43 7" xfId="33085" xr:uid="{00000000-0005-0000-0000-000033610000}"/>
    <cellStyle name="Обычный 6 43 8" xfId="38425" xr:uid="{00000000-0005-0000-0000-000034610000}"/>
    <cellStyle name="Обычный 6 43 9" xfId="43765" xr:uid="{00000000-0005-0000-0000-000035610000}"/>
    <cellStyle name="Обычный 6 44" xfId="1068" xr:uid="{00000000-0005-0000-0000-000036610000}"/>
    <cellStyle name="Обычный 6 44 10" xfId="49131" xr:uid="{00000000-0005-0000-0000-000037610000}"/>
    <cellStyle name="Обычный 6 44 2" xfId="6410" xr:uid="{00000000-0005-0000-0000-000038610000}"/>
    <cellStyle name="Обычный 6 44 2 2" xfId="54472" xr:uid="{00000000-0005-0000-0000-000039610000}"/>
    <cellStyle name="Обычный 6 44 3" xfId="11751" xr:uid="{00000000-0005-0000-0000-00003A610000}"/>
    <cellStyle name="Обычный 6 44 4" xfId="17091" xr:uid="{00000000-0005-0000-0000-00003B610000}"/>
    <cellStyle name="Обычный 6 44 5" xfId="22431" xr:uid="{00000000-0005-0000-0000-00003C610000}"/>
    <cellStyle name="Обычный 6 44 6" xfId="27771" xr:uid="{00000000-0005-0000-0000-00003D610000}"/>
    <cellStyle name="Обычный 6 44 7" xfId="33111" xr:uid="{00000000-0005-0000-0000-00003E610000}"/>
    <cellStyle name="Обычный 6 44 8" xfId="38451" xr:uid="{00000000-0005-0000-0000-00003F610000}"/>
    <cellStyle name="Обычный 6 44 9" xfId="43791" xr:uid="{00000000-0005-0000-0000-000040610000}"/>
    <cellStyle name="Обычный 6 45" xfId="1094" xr:uid="{00000000-0005-0000-0000-000041610000}"/>
    <cellStyle name="Обычный 6 45 10" xfId="49157" xr:uid="{00000000-0005-0000-0000-000042610000}"/>
    <cellStyle name="Обычный 6 45 2" xfId="6436" xr:uid="{00000000-0005-0000-0000-000043610000}"/>
    <cellStyle name="Обычный 6 45 2 2" xfId="54498" xr:uid="{00000000-0005-0000-0000-000044610000}"/>
    <cellStyle name="Обычный 6 45 3" xfId="11777" xr:uid="{00000000-0005-0000-0000-000045610000}"/>
    <cellStyle name="Обычный 6 45 4" xfId="17117" xr:uid="{00000000-0005-0000-0000-000046610000}"/>
    <cellStyle name="Обычный 6 45 5" xfId="22457" xr:uid="{00000000-0005-0000-0000-000047610000}"/>
    <cellStyle name="Обычный 6 45 6" xfId="27797" xr:uid="{00000000-0005-0000-0000-000048610000}"/>
    <cellStyle name="Обычный 6 45 7" xfId="33137" xr:uid="{00000000-0005-0000-0000-000049610000}"/>
    <cellStyle name="Обычный 6 45 8" xfId="38477" xr:uid="{00000000-0005-0000-0000-00004A610000}"/>
    <cellStyle name="Обычный 6 45 9" xfId="43817" xr:uid="{00000000-0005-0000-0000-00004B610000}"/>
    <cellStyle name="Обычный 6 46" xfId="1120" xr:uid="{00000000-0005-0000-0000-00004C610000}"/>
    <cellStyle name="Обычный 6 46 10" xfId="49183" xr:uid="{00000000-0005-0000-0000-00004D610000}"/>
    <cellStyle name="Обычный 6 46 2" xfId="6462" xr:uid="{00000000-0005-0000-0000-00004E610000}"/>
    <cellStyle name="Обычный 6 46 2 2" xfId="54524" xr:uid="{00000000-0005-0000-0000-00004F610000}"/>
    <cellStyle name="Обычный 6 46 3" xfId="11803" xr:uid="{00000000-0005-0000-0000-000050610000}"/>
    <cellStyle name="Обычный 6 46 4" xfId="17143" xr:uid="{00000000-0005-0000-0000-000051610000}"/>
    <cellStyle name="Обычный 6 46 5" xfId="22483" xr:uid="{00000000-0005-0000-0000-000052610000}"/>
    <cellStyle name="Обычный 6 46 6" xfId="27823" xr:uid="{00000000-0005-0000-0000-000053610000}"/>
    <cellStyle name="Обычный 6 46 7" xfId="33163" xr:uid="{00000000-0005-0000-0000-000054610000}"/>
    <cellStyle name="Обычный 6 46 8" xfId="38503" xr:uid="{00000000-0005-0000-0000-000055610000}"/>
    <cellStyle name="Обычный 6 46 9" xfId="43843" xr:uid="{00000000-0005-0000-0000-000056610000}"/>
    <cellStyle name="Обычный 6 47" xfId="1146" xr:uid="{00000000-0005-0000-0000-000057610000}"/>
    <cellStyle name="Обычный 6 47 10" xfId="49209" xr:uid="{00000000-0005-0000-0000-000058610000}"/>
    <cellStyle name="Обычный 6 47 2" xfId="6488" xr:uid="{00000000-0005-0000-0000-000059610000}"/>
    <cellStyle name="Обычный 6 47 2 2" xfId="54550" xr:uid="{00000000-0005-0000-0000-00005A610000}"/>
    <cellStyle name="Обычный 6 47 3" xfId="11829" xr:uid="{00000000-0005-0000-0000-00005B610000}"/>
    <cellStyle name="Обычный 6 47 4" xfId="17169" xr:uid="{00000000-0005-0000-0000-00005C610000}"/>
    <cellStyle name="Обычный 6 47 5" xfId="22509" xr:uid="{00000000-0005-0000-0000-00005D610000}"/>
    <cellStyle name="Обычный 6 47 6" xfId="27849" xr:uid="{00000000-0005-0000-0000-00005E610000}"/>
    <cellStyle name="Обычный 6 47 7" xfId="33189" xr:uid="{00000000-0005-0000-0000-00005F610000}"/>
    <cellStyle name="Обычный 6 47 8" xfId="38529" xr:uid="{00000000-0005-0000-0000-000060610000}"/>
    <cellStyle name="Обычный 6 47 9" xfId="43869" xr:uid="{00000000-0005-0000-0000-000061610000}"/>
    <cellStyle name="Обычный 6 48" xfId="1172" xr:uid="{00000000-0005-0000-0000-000062610000}"/>
    <cellStyle name="Обычный 6 48 10" xfId="49235" xr:uid="{00000000-0005-0000-0000-000063610000}"/>
    <cellStyle name="Обычный 6 48 2" xfId="6514" xr:uid="{00000000-0005-0000-0000-000064610000}"/>
    <cellStyle name="Обычный 6 48 2 2" xfId="54576" xr:uid="{00000000-0005-0000-0000-000065610000}"/>
    <cellStyle name="Обычный 6 48 3" xfId="11855" xr:uid="{00000000-0005-0000-0000-000066610000}"/>
    <cellStyle name="Обычный 6 48 4" xfId="17195" xr:uid="{00000000-0005-0000-0000-000067610000}"/>
    <cellStyle name="Обычный 6 48 5" xfId="22535" xr:uid="{00000000-0005-0000-0000-000068610000}"/>
    <cellStyle name="Обычный 6 48 6" xfId="27875" xr:uid="{00000000-0005-0000-0000-000069610000}"/>
    <cellStyle name="Обычный 6 48 7" xfId="33215" xr:uid="{00000000-0005-0000-0000-00006A610000}"/>
    <cellStyle name="Обычный 6 48 8" xfId="38555" xr:uid="{00000000-0005-0000-0000-00006B610000}"/>
    <cellStyle name="Обычный 6 48 9" xfId="43895" xr:uid="{00000000-0005-0000-0000-00006C610000}"/>
    <cellStyle name="Обычный 6 49" xfId="1198" xr:uid="{00000000-0005-0000-0000-00006D610000}"/>
    <cellStyle name="Обычный 6 49 10" xfId="49261" xr:uid="{00000000-0005-0000-0000-00006E610000}"/>
    <cellStyle name="Обычный 6 49 2" xfId="6540" xr:uid="{00000000-0005-0000-0000-00006F610000}"/>
    <cellStyle name="Обычный 6 49 2 2" xfId="54602" xr:uid="{00000000-0005-0000-0000-000070610000}"/>
    <cellStyle name="Обычный 6 49 3" xfId="11881" xr:uid="{00000000-0005-0000-0000-000071610000}"/>
    <cellStyle name="Обычный 6 49 4" xfId="17221" xr:uid="{00000000-0005-0000-0000-000072610000}"/>
    <cellStyle name="Обычный 6 49 5" xfId="22561" xr:uid="{00000000-0005-0000-0000-000073610000}"/>
    <cellStyle name="Обычный 6 49 6" xfId="27901" xr:uid="{00000000-0005-0000-0000-000074610000}"/>
    <cellStyle name="Обычный 6 49 7" xfId="33241" xr:uid="{00000000-0005-0000-0000-000075610000}"/>
    <cellStyle name="Обычный 6 49 8" xfId="38581" xr:uid="{00000000-0005-0000-0000-000076610000}"/>
    <cellStyle name="Обычный 6 49 9" xfId="43921" xr:uid="{00000000-0005-0000-0000-000077610000}"/>
    <cellStyle name="Обычный 6 5" xfId="160" xr:uid="{00000000-0005-0000-0000-000078610000}"/>
    <cellStyle name="Обычный 6 5 10" xfId="42882" xr:uid="{00000000-0005-0000-0000-000079610000}"/>
    <cellStyle name="Обычный 6 5 11" xfId="48222" xr:uid="{00000000-0005-0000-0000-00007A610000}"/>
    <cellStyle name="Обычный 6 5 2" xfId="627" xr:uid="{00000000-0005-0000-0000-00007B610000}"/>
    <cellStyle name="Обычный 6 5 2 10" xfId="48689" xr:uid="{00000000-0005-0000-0000-00007C610000}"/>
    <cellStyle name="Обычный 6 5 2 2" xfId="5968" xr:uid="{00000000-0005-0000-0000-00007D610000}"/>
    <cellStyle name="Обычный 6 5 2 2 2" xfId="54030" xr:uid="{00000000-0005-0000-0000-00007E610000}"/>
    <cellStyle name="Обычный 6 5 2 3" xfId="11309" xr:uid="{00000000-0005-0000-0000-00007F610000}"/>
    <cellStyle name="Обычный 6 5 2 4" xfId="16649" xr:uid="{00000000-0005-0000-0000-000080610000}"/>
    <cellStyle name="Обычный 6 5 2 5" xfId="21989" xr:uid="{00000000-0005-0000-0000-000081610000}"/>
    <cellStyle name="Обычный 6 5 2 6" xfId="27329" xr:uid="{00000000-0005-0000-0000-000082610000}"/>
    <cellStyle name="Обычный 6 5 2 7" xfId="32669" xr:uid="{00000000-0005-0000-0000-000083610000}"/>
    <cellStyle name="Обычный 6 5 2 8" xfId="38009" xr:uid="{00000000-0005-0000-0000-000084610000}"/>
    <cellStyle name="Обычный 6 5 2 9" xfId="43349" xr:uid="{00000000-0005-0000-0000-000085610000}"/>
    <cellStyle name="Обычный 6 5 3" xfId="5501" xr:uid="{00000000-0005-0000-0000-000086610000}"/>
    <cellStyle name="Обычный 6 5 3 2" xfId="53563" xr:uid="{00000000-0005-0000-0000-000087610000}"/>
    <cellStyle name="Обычный 6 5 4" xfId="10842" xr:uid="{00000000-0005-0000-0000-000088610000}"/>
    <cellStyle name="Обычный 6 5 5" xfId="16182" xr:uid="{00000000-0005-0000-0000-000089610000}"/>
    <cellStyle name="Обычный 6 5 6" xfId="21522" xr:uid="{00000000-0005-0000-0000-00008A610000}"/>
    <cellStyle name="Обычный 6 5 7" xfId="26862" xr:uid="{00000000-0005-0000-0000-00008B610000}"/>
    <cellStyle name="Обычный 6 5 8" xfId="32202" xr:uid="{00000000-0005-0000-0000-00008C610000}"/>
    <cellStyle name="Обычный 6 5 9" xfId="37542" xr:uid="{00000000-0005-0000-0000-00008D610000}"/>
    <cellStyle name="Обычный 6 50" xfId="1224" xr:uid="{00000000-0005-0000-0000-00008E610000}"/>
    <cellStyle name="Обычный 6 50 10" xfId="49287" xr:uid="{00000000-0005-0000-0000-00008F610000}"/>
    <cellStyle name="Обычный 6 50 2" xfId="6566" xr:uid="{00000000-0005-0000-0000-000090610000}"/>
    <cellStyle name="Обычный 6 50 2 2" xfId="54628" xr:uid="{00000000-0005-0000-0000-000091610000}"/>
    <cellStyle name="Обычный 6 50 3" xfId="11907" xr:uid="{00000000-0005-0000-0000-000092610000}"/>
    <cellStyle name="Обычный 6 50 4" xfId="17247" xr:uid="{00000000-0005-0000-0000-000093610000}"/>
    <cellStyle name="Обычный 6 50 5" xfId="22587" xr:uid="{00000000-0005-0000-0000-000094610000}"/>
    <cellStyle name="Обычный 6 50 6" xfId="27927" xr:uid="{00000000-0005-0000-0000-000095610000}"/>
    <cellStyle name="Обычный 6 50 7" xfId="33267" xr:uid="{00000000-0005-0000-0000-000096610000}"/>
    <cellStyle name="Обычный 6 50 8" xfId="38607" xr:uid="{00000000-0005-0000-0000-000097610000}"/>
    <cellStyle name="Обычный 6 50 9" xfId="43947" xr:uid="{00000000-0005-0000-0000-000098610000}"/>
    <cellStyle name="Обычный 6 51" xfId="1250" xr:uid="{00000000-0005-0000-0000-000099610000}"/>
    <cellStyle name="Обычный 6 51 10" xfId="49313" xr:uid="{00000000-0005-0000-0000-00009A610000}"/>
    <cellStyle name="Обычный 6 51 2" xfId="6592" xr:uid="{00000000-0005-0000-0000-00009B610000}"/>
    <cellStyle name="Обычный 6 51 2 2" xfId="54654" xr:uid="{00000000-0005-0000-0000-00009C610000}"/>
    <cellStyle name="Обычный 6 51 3" xfId="11933" xr:uid="{00000000-0005-0000-0000-00009D610000}"/>
    <cellStyle name="Обычный 6 51 4" xfId="17273" xr:uid="{00000000-0005-0000-0000-00009E610000}"/>
    <cellStyle name="Обычный 6 51 5" xfId="22613" xr:uid="{00000000-0005-0000-0000-00009F610000}"/>
    <cellStyle name="Обычный 6 51 6" xfId="27953" xr:uid="{00000000-0005-0000-0000-0000A0610000}"/>
    <cellStyle name="Обычный 6 51 7" xfId="33293" xr:uid="{00000000-0005-0000-0000-0000A1610000}"/>
    <cellStyle name="Обычный 6 51 8" xfId="38633" xr:uid="{00000000-0005-0000-0000-0000A2610000}"/>
    <cellStyle name="Обычный 6 51 9" xfId="43973" xr:uid="{00000000-0005-0000-0000-0000A3610000}"/>
    <cellStyle name="Обычный 6 52" xfId="1276" xr:uid="{00000000-0005-0000-0000-0000A4610000}"/>
    <cellStyle name="Обычный 6 52 10" xfId="49339" xr:uid="{00000000-0005-0000-0000-0000A5610000}"/>
    <cellStyle name="Обычный 6 52 2" xfId="6618" xr:uid="{00000000-0005-0000-0000-0000A6610000}"/>
    <cellStyle name="Обычный 6 52 2 2" xfId="54680" xr:uid="{00000000-0005-0000-0000-0000A7610000}"/>
    <cellStyle name="Обычный 6 52 3" xfId="11959" xr:uid="{00000000-0005-0000-0000-0000A8610000}"/>
    <cellStyle name="Обычный 6 52 4" xfId="17299" xr:uid="{00000000-0005-0000-0000-0000A9610000}"/>
    <cellStyle name="Обычный 6 52 5" xfId="22639" xr:uid="{00000000-0005-0000-0000-0000AA610000}"/>
    <cellStyle name="Обычный 6 52 6" xfId="27979" xr:uid="{00000000-0005-0000-0000-0000AB610000}"/>
    <cellStyle name="Обычный 6 52 7" xfId="33319" xr:uid="{00000000-0005-0000-0000-0000AC610000}"/>
    <cellStyle name="Обычный 6 52 8" xfId="38659" xr:uid="{00000000-0005-0000-0000-0000AD610000}"/>
    <cellStyle name="Обычный 6 52 9" xfId="43999" xr:uid="{00000000-0005-0000-0000-0000AE610000}"/>
    <cellStyle name="Обычный 6 53" xfId="1302" xr:uid="{00000000-0005-0000-0000-0000AF610000}"/>
    <cellStyle name="Обычный 6 53 10" xfId="49365" xr:uid="{00000000-0005-0000-0000-0000B0610000}"/>
    <cellStyle name="Обычный 6 53 2" xfId="6644" xr:uid="{00000000-0005-0000-0000-0000B1610000}"/>
    <cellStyle name="Обычный 6 53 2 2" xfId="54706" xr:uid="{00000000-0005-0000-0000-0000B2610000}"/>
    <cellStyle name="Обычный 6 53 3" xfId="11985" xr:uid="{00000000-0005-0000-0000-0000B3610000}"/>
    <cellStyle name="Обычный 6 53 4" xfId="17325" xr:uid="{00000000-0005-0000-0000-0000B4610000}"/>
    <cellStyle name="Обычный 6 53 5" xfId="22665" xr:uid="{00000000-0005-0000-0000-0000B5610000}"/>
    <cellStyle name="Обычный 6 53 6" xfId="28005" xr:uid="{00000000-0005-0000-0000-0000B6610000}"/>
    <cellStyle name="Обычный 6 53 7" xfId="33345" xr:uid="{00000000-0005-0000-0000-0000B7610000}"/>
    <cellStyle name="Обычный 6 53 8" xfId="38685" xr:uid="{00000000-0005-0000-0000-0000B8610000}"/>
    <cellStyle name="Обычный 6 53 9" xfId="44025" xr:uid="{00000000-0005-0000-0000-0000B9610000}"/>
    <cellStyle name="Обычный 6 54" xfId="1328" xr:uid="{00000000-0005-0000-0000-0000BA610000}"/>
    <cellStyle name="Обычный 6 54 10" xfId="49391" xr:uid="{00000000-0005-0000-0000-0000BB610000}"/>
    <cellStyle name="Обычный 6 54 2" xfId="6670" xr:uid="{00000000-0005-0000-0000-0000BC610000}"/>
    <cellStyle name="Обычный 6 54 2 2" xfId="54732" xr:uid="{00000000-0005-0000-0000-0000BD610000}"/>
    <cellStyle name="Обычный 6 54 3" xfId="12011" xr:uid="{00000000-0005-0000-0000-0000BE610000}"/>
    <cellStyle name="Обычный 6 54 4" xfId="17351" xr:uid="{00000000-0005-0000-0000-0000BF610000}"/>
    <cellStyle name="Обычный 6 54 5" xfId="22691" xr:uid="{00000000-0005-0000-0000-0000C0610000}"/>
    <cellStyle name="Обычный 6 54 6" xfId="28031" xr:uid="{00000000-0005-0000-0000-0000C1610000}"/>
    <cellStyle name="Обычный 6 54 7" xfId="33371" xr:uid="{00000000-0005-0000-0000-0000C2610000}"/>
    <cellStyle name="Обычный 6 54 8" xfId="38711" xr:uid="{00000000-0005-0000-0000-0000C3610000}"/>
    <cellStyle name="Обычный 6 54 9" xfId="44051" xr:uid="{00000000-0005-0000-0000-0000C4610000}"/>
    <cellStyle name="Обычный 6 55" xfId="1354" xr:uid="{00000000-0005-0000-0000-0000C5610000}"/>
    <cellStyle name="Обычный 6 55 10" xfId="49417" xr:uid="{00000000-0005-0000-0000-0000C6610000}"/>
    <cellStyle name="Обычный 6 55 2" xfId="6696" xr:uid="{00000000-0005-0000-0000-0000C7610000}"/>
    <cellStyle name="Обычный 6 55 2 2" xfId="54758" xr:uid="{00000000-0005-0000-0000-0000C8610000}"/>
    <cellStyle name="Обычный 6 55 3" xfId="12037" xr:uid="{00000000-0005-0000-0000-0000C9610000}"/>
    <cellStyle name="Обычный 6 55 4" xfId="17377" xr:uid="{00000000-0005-0000-0000-0000CA610000}"/>
    <cellStyle name="Обычный 6 55 5" xfId="22717" xr:uid="{00000000-0005-0000-0000-0000CB610000}"/>
    <cellStyle name="Обычный 6 55 6" xfId="28057" xr:uid="{00000000-0005-0000-0000-0000CC610000}"/>
    <cellStyle name="Обычный 6 55 7" xfId="33397" xr:uid="{00000000-0005-0000-0000-0000CD610000}"/>
    <cellStyle name="Обычный 6 55 8" xfId="38737" xr:uid="{00000000-0005-0000-0000-0000CE610000}"/>
    <cellStyle name="Обычный 6 55 9" xfId="44077" xr:uid="{00000000-0005-0000-0000-0000CF610000}"/>
    <cellStyle name="Обычный 6 56" xfId="1380" xr:uid="{00000000-0005-0000-0000-0000D0610000}"/>
    <cellStyle name="Обычный 6 56 10" xfId="49443" xr:uid="{00000000-0005-0000-0000-0000D1610000}"/>
    <cellStyle name="Обычный 6 56 2" xfId="6722" xr:uid="{00000000-0005-0000-0000-0000D2610000}"/>
    <cellStyle name="Обычный 6 56 2 2" xfId="54784" xr:uid="{00000000-0005-0000-0000-0000D3610000}"/>
    <cellStyle name="Обычный 6 56 3" xfId="12063" xr:uid="{00000000-0005-0000-0000-0000D4610000}"/>
    <cellStyle name="Обычный 6 56 4" xfId="17403" xr:uid="{00000000-0005-0000-0000-0000D5610000}"/>
    <cellStyle name="Обычный 6 56 5" xfId="22743" xr:uid="{00000000-0005-0000-0000-0000D6610000}"/>
    <cellStyle name="Обычный 6 56 6" xfId="28083" xr:uid="{00000000-0005-0000-0000-0000D7610000}"/>
    <cellStyle name="Обычный 6 56 7" xfId="33423" xr:uid="{00000000-0005-0000-0000-0000D8610000}"/>
    <cellStyle name="Обычный 6 56 8" xfId="38763" xr:uid="{00000000-0005-0000-0000-0000D9610000}"/>
    <cellStyle name="Обычный 6 56 9" xfId="44103" xr:uid="{00000000-0005-0000-0000-0000DA610000}"/>
    <cellStyle name="Обычный 6 57" xfId="1406" xr:uid="{00000000-0005-0000-0000-0000DB610000}"/>
    <cellStyle name="Обычный 6 57 10" xfId="49469" xr:uid="{00000000-0005-0000-0000-0000DC610000}"/>
    <cellStyle name="Обычный 6 57 2" xfId="6748" xr:uid="{00000000-0005-0000-0000-0000DD610000}"/>
    <cellStyle name="Обычный 6 57 2 2" xfId="54810" xr:uid="{00000000-0005-0000-0000-0000DE610000}"/>
    <cellStyle name="Обычный 6 57 3" xfId="12089" xr:uid="{00000000-0005-0000-0000-0000DF610000}"/>
    <cellStyle name="Обычный 6 57 4" xfId="17429" xr:uid="{00000000-0005-0000-0000-0000E0610000}"/>
    <cellStyle name="Обычный 6 57 5" xfId="22769" xr:uid="{00000000-0005-0000-0000-0000E1610000}"/>
    <cellStyle name="Обычный 6 57 6" xfId="28109" xr:uid="{00000000-0005-0000-0000-0000E2610000}"/>
    <cellStyle name="Обычный 6 57 7" xfId="33449" xr:uid="{00000000-0005-0000-0000-0000E3610000}"/>
    <cellStyle name="Обычный 6 57 8" xfId="38789" xr:uid="{00000000-0005-0000-0000-0000E4610000}"/>
    <cellStyle name="Обычный 6 57 9" xfId="44129" xr:uid="{00000000-0005-0000-0000-0000E5610000}"/>
    <cellStyle name="Обычный 6 58" xfId="1432" xr:uid="{00000000-0005-0000-0000-0000E6610000}"/>
    <cellStyle name="Обычный 6 58 10" xfId="49495" xr:uid="{00000000-0005-0000-0000-0000E7610000}"/>
    <cellStyle name="Обычный 6 58 2" xfId="6774" xr:uid="{00000000-0005-0000-0000-0000E8610000}"/>
    <cellStyle name="Обычный 6 58 2 2" xfId="54836" xr:uid="{00000000-0005-0000-0000-0000E9610000}"/>
    <cellStyle name="Обычный 6 58 3" xfId="12115" xr:uid="{00000000-0005-0000-0000-0000EA610000}"/>
    <cellStyle name="Обычный 6 58 4" xfId="17455" xr:uid="{00000000-0005-0000-0000-0000EB610000}"/>
    <cellStyle name="Обычный 6 58 5" xfId="22795" xr:uid="{00000000-0005-0000-0000-0000EC610000}"/>
    <cellStyle name="Обычный 6 58 6" xfId="28135" xr:uid="{00000000-0005-0000-0000-0000ED610000}"/>
    <cellStyle name="Обычный 6 58 7" xfId="33475" xr:uid="{00000000-0005-0000-0000-0000EE610000}"/>
    <cellStyle name="Обычный 6 58 8" xfId="38815" xr:uid="{00000000-0005-0000-0000-0000EF610000}"/>
    <cellStyle name="Обычный 6 58 9" xfId="44155" xr:uid="{00000000-0005-0000-0000-0000F0610000}"/>
    <cellStyle name="Обычный 6 59" xfId="1458" xr:uid="{00000000-0005-0000-0000-0000F1610000}"/>
    <cellStyle name="Обычный 6 59 10" xfId="49521" xr:uid="{00000000-0005-0000-0000-0000F2610000}"/>
    <cellStyle name="Обычный 6 59 2" xfId="6800" xr:uid="{00000000-0005-0000-0000-0000F3610000}"/>
    <cellStyle name="Обычный 6 59 2 2" xfId="54862" xr:uid="{00000000-0005-0000-0000-0000F4610000}"/>
    <cellStyle name="Обычный 6 59 3" xfId="12141" xr:uid="{00000000-0005-0000-0000-0000F5610000}"/>
    <cellStyle name="Обычный 6 59 4" xfId="17481" xr:uid="{00000000-0005-0000-0000-0000F6610000}"/>
    <cellStyle name="Обычный 6 59 5" xfId="22821" xr:uid="{00000000-0005-0000-0000-0000F7610000}"/>
    <cellStyle name="Обычный 6 59 6" xfId="28161" xr:uid="{00000000-0005-0000-0000-0000F8610000}"/>
    <cellStyle name="Обычный 6 59 7" xfId="33501" xr:uid="{00000000-0005-0000-0000-0000F9610000}"/>
    <cellStyle name="Обычный 6 59 8" xfId="38841" xr:uid="{00000000-0005-0000-0000-0000FA610000}"/>
    <cellStyle name="Обычный 6 59 9" xfId="44181" xr:uid="{00000000-0005-0000-0000-0000FB610000}"/>
    <cellStyle name="Обычный 6 6" xfId="170" xr:uid="{00000000-0005-0000-0000-0000FC610000}"/>
    <cellStyle name="Обычный 6 6 10" xfId="42892" xr:uid="{00000000-0005-0000-0000-0000FD610000}"/>
    <cellStyle name="Обычный 6 6 11" xfId="48232" xr:uid="{00000000-0005-0000-0000-0000FE610000}"/>
    <cellStyle name="Обычный 6 6 2" xfId="637" xr:uid="{00000000-0005-0000-0000-0000FF610000}"/>
    <cellStyle name="Обычный 6 6 2 10" xfId="48699" xr:uid="{00000000-0005-0000-0000-000000620000}"/>
    <cellStyle name="Обычный 6 6 2 2" xfId="5978" xr:uid="{00000000-0005-0000-0000-000001620000}"/>
    <cellStyle name="Обычный 6 6 2 2 2" xfId="54040" xr:uid="{00000000-0005-0000-0000-000002620000}"/>
    <cellStyle name="Обычный 6 6 2 3" xfId="11319" xr:uid="{00000000-0005-0000-0000-000003620000}"/>
    <cellStyle name="Обычный 6 6 2 4" xfId="16659" xr:uid="{00000000-0005-0000-0000-000004620000}"/>
    <cellStyle name="Обычный 6 6 2 5" xfId="21999" xr:uid="{00000000-0005-0000-0000-000005620000}"/>
    <cellStyle name="Обычный 6 6 2 6" xfId="27339" xr:uid="{00000000-0005-0000-0000-000006620000}"/>
    <cellStyle name="Обычный 6 6 2 7" xfId="32679" xr:uid="{00000000-0005-0000-0000-000007620000}"/>
    <cellStyle name="Обычный 6 6 2 8" xfId="38019" xr:uid="{00000000-0005-0000-0000-000008620000}"/>
    <cellStyle name="Обычный 6 6 2 9" xfId="43359" xr:uid="{00000000-0005-0000-0000-000009620000}"/>
    <cellStyle name="Обычный 6 6 3" xfId="5511" xr:uid="{00000000-0005-0000-0000-00000A620000}"/>
    <cellStyle name="Обычный 6 6 3 2" xfId="53573" xr:uid="{00000000-0005-0000-0000-00000B620000}"/>
    <cellStyle name="Обычный 6 6 4" xfId="10852" xr:uid="{00000000-0005-0000-0000-00000C620000}"/>
    <cellStyle name="Обычный 6 6 5" xfId="16192" xr:uid="{00000000-0005-0000-0000-00000D620000}"/>
    <cellStyle name="Обычный 6 6 6" xfId="21532" xr:uid="{00000000-0005-0000-0000-00000E620000}"/>
    <cellStyle name="Обычный 6 6 7" xfId="26872" xr:uid="{00000000-0005-0000-0000-00000F620000}"/>
    <cellStyle name="Обычный 6 6 8" xfId="32212" xr:uid="{00000000-0005-0000-0000-000010620000}"/>
    <cellStyle name="Обычный 6 6 9" xfId="37552" xr:uid="{00000000-0005-0000-0000-000011620000}"/>
    <cellStyle name="Обычный 6 60" xfId="1484" xr:uid="{00000000-0005-0000-0000-000012620000}"/>
    <cellStyle name="Обычный 6 60 10" xfId="49547" xr:uid="{00000000-0005-0000-0000-000013620000}"/>
    <cellStyle name="Обычный 6 60 2" xfId="6826" xr:uid="{00000000-0005-0000-0000-000014620000}"/>
    <cellStyle name="Обычный 6 60 2 2" xfId="54888" xr:uid="{00000000-0005-0000-0000-000015620000}"/>
    <cellStyle name="Обычный 6 60 3" xfId="12167" xr:uid="{00000000-0005-0000-0000-000016620000}"/>
    <cellStyle name="Обычный 6 60 4" xfId="17507" xr:uid="{00000000-0005-0000-0000-000017620000}"/>
    <cellStyle name="Обычный 6 60 5" xfId="22847" xr:uid="{00000000-0005-0000-0000-000018620000}"/>
    <cellStyle name="Обычный 6 60 6" xfId="28187" xr:uid="{00000000-0005-0000-0000-000019620000}"/>
    <cellStyle name="Обычный 6 60 7" xfId="33527" xr:uid="{00000000-0005-0000-0000-00001A620000}"/>
    <cellStyle name="Обычный 6 60 8" xfId="38867" xr:uid="{00000000-0005-0000-0000-00001B620000}"/>
    <cellStyle name="Обычный 6 60 9" xfId="44207" xr:uid="{00000000-0005-0000-0000-00001C620000}"/>
    <cellStyle name="Обычный 6 61" xfId="1510" xr:uid="{00000000-0005-0000-0000-00001D620000}"/>
    <cellStyle name="Обычный 6 61 10" xfId="49573" xr:uid="{00000000-0005-0000-0000-00001E620000}"/>
    <cellStyle name="Обычный 6 61 2" xfId="6852" xr:uid="{00000000-0005-0000-0000-00001F620000}"/>
    <cellStyle name="Обычный 6 61 2 2" xfId="54914" xr:uid="{00000000-0005-0000-0000-000020620000}"/>
    <cellStyle name="Обычный 6 61 3" xfId="12193" xr:uid="{00000000-0005-0000-0000-000021620000}"/>
    <cellStyle name="Обычный 6 61 4" xfId="17533" xr:uid="{00000000-0005-0000-0000-000022620000}"/>
    <cellStyle name="Обычный 6 61 5" xfId="22873" xr:uid="{00000000-0005-0000-0000-000023620000}"/>
    <cellStyle name="Обычный 6 61 6" xfId="28213" xr:uid="{00000000-0005-0000-0000-000024620000}"/>
    <cellStyle name="Обычный 6 61 7" xfId="33553" xr:uid="{00000000-0005-0000-0000-000025620000}"/>
    <cellStyle name="Обычный 6 61 8" xfId="38893" xr:uid="{00000000-0005-0000-0000-000026620000}"/>
    <cellStyle name="Обычный 6 61 9" xfId="44233" xr:uid="{00000000-0005-0000-0000-000027620000}"/>
    <cellStyle name="Обычный 6 62" xfId="1536" xr:uid="{00000000-0005-0000-0000-000028620000}"/>
    <cellStyle name="Обычный 6 62 10" xfId="49599" xr:uid="{00000000-0005-0000-0000-000029620000}"/>
    <cellStyle name="Обычный 6 62 2" xfId="6878" xr:uid="{00000000-0005-0000-0000-00002A620000}"/>
    <cellStyle name="Обычный 6 62 2 2" xfId="54940" xr:uid="{00000000-0005-0000-0000-00002B620000}"/>
    <cellStyle name="Обычный 6 62 3" xfId="12219" xr:uid="{00000000-0005-0000-0000-00002C620000}"/>
    <cellStyle name="Обычный 6 62 4" xfId="17559" xr:uid="{00000000-0005-0000-0000-00002D620000}"/>
    <cellStyle name="Обычный 6 62 5" xfId="22899" xr:uid="{00000000-0005-0000-0000-00002E620000}"/>
    <cellStyle name="Обычный 6 62 6" xfId="28239" xr:uid="{00000000-0005-0000-0000-00002F620000}"/>
    <cellStyle name="Обычный 6 62 7" xfId="33579" xr:uid="{00000000-0005-0000-0000-000030620000}"/>
    <cellStyle name="Обычный 6 62 8" xfId="38919" xr:uid="{00000000-0005-0000-0000-000031620000}"/>
    <cellStyle name="Обычный 6 62 9" xfId="44259" xr:uid="{00000000-0005-0000-0000-000032620000}"/>
    <cellStyle name="Обычный 6 63" xfId="1562" xr:uid="{00000000-0005-0000-0000-000033620000}"/>
    <cellStyle name="Обычный 6 63 10" xfId="49625" xr:uid="{00000000-0005-0000-0000-000034620000}"/>
    <cellStyle name="Обычный 6 63 2" xfId="6904" xr:uid="{00000000-0005-0000-0000-000035620000}"/>
    <cellStyle name="Обычный 6 63 2 2" xfId="54966" xr:uid="{00000000-0005-0000-0000-000036620000}"/>
    <cellStyle name="Обычный 6 63 3" xfId="12245" xr:uid="{00000000-0005-0000-0000-000037620000}"/>
    <cellStyle name="Обычный 6 63 4" xfId="17585" xr:uid="{00000000-0005-0000-0000-000038620000}"/>
    <cellStyle name="Обычный 6 63 5" xfId="22925" xr:uid="{00000000-0005-0000-0000-000039620000}"/>
    <cellStyle name="Обычный 6 63 6" xfId="28265" xr:uid="{00000000-0005-0000-0000-00003A620000}"/>
    <cellStyle name="Обычный 6 63 7" xfId="33605" xr:uid="{00000000-0005-0000-0000-00003B620000}"/>
    <cellStyle name="Обычный 6 63 8" xfId="38945" xr:uid="{00000000-0005-0000-0000-00003C620000}"/>
    <cellStyle name="Обычный 6 63 9" xfId="44285" xr:uid="{00000000-0005-0000-0000-00003D620000}"/>
    <cellStyle name="Обычный 6 64" xfId="1588" xr:uid="{00000000-0005-0000-0000-00003E620000}"/>
    <cellStyle name="Обычный 6 64 10" xfId="49651" xr:uid="{00000000-0005-0000-0000-00003F620000}"/>
    <cellStyle name="Обычный 6 64 2" xfId="6930" xr:uid="{00000000-0005-0000-0000-000040620000}"/>
    <cellStyle name="Обычный 6 64 2 2" xfId="54992" xr:uid="{00000000-0005-0000-0000-000041620000}"/>
    <cellStyle name="Обычный 6 64 3" xfId="12271" xr:uid="{00000000-0005-0000-0000-000042620000}"/>
    <cellStyle name="Обычный 6 64 4" xfId="17611" xr:uid="{00000000-0005-0000-0000-000043620000}"/>
    <cellStyle name="Обычный 6 64 5" xfId="22951" xr:uid="{00000000-0005-0000-0000-000044620000}"/>
    <cellStyle name="Обычный 6 64 6" xfId="28291" xr:uid="{00000000-0005-0000-0000-000045620000}"/>
    <cellStyle name="Обычный 6 64 7" xfId="33631" xr:uid="{00000000-0005-0000-0000-000046620000}"/>
    <cellStyle name="Обычный 6 64 8" xfId="38971" xr:uid="{00000000-0005-0000-0000-000047620000}"/>
    <cellStyle name="Обычный 6 64 9" xfId="44311" xr:uid="{00000000-0005-0000-0000-000048620000}"/>
    <cellStyle name="Обычный 6 65" xfId="1614" xr:uid="{00000000-0005-0000-0000-000049620000}"/>
    <cellStyle name="Обычный 6 65 10" xfId="49677" xr:uid="{00000000-0005-0000-0000-00004A620000}"/>
    <cellStyle name="Обычный 6 65 2" xfId="6956" xr:uid="{00000000-0005-0000-0000-00004B620000}"/>
    <cellStyle name="Обычный 6 65 2 2" xfId="55018" xr:uid="{00000000-0005-0000-0000-00004C620000}"/>
    <cellStyle name="Обычный 6 65 3" xfId="12297" xr:uid="{00000000-0005-0000-0000-00004D620000}"/>
    <cellStyle name="Обычный 6 65 4" xfId="17637" xr:uid="{00000000-0005-0000-0000-00004E620000}"/>
    <cellStyle name="Обычный 6 65 5" xfId="22977" xr:uid="{00000000-0005-0000-0000-00004F620000}"/>
    <cellStyle name="Обычный 6 65 6" xfId="28317" xr:uid="{00000000-0005-0000-0000-000050620000}"/>
    <cellStyle name="Обычный 6 65 7" xfId="33657" xr:uid="{00000000-0005-0000-0000-000051620000}"/>
    <cellStyle name="Обычный 6 65 8" xfId="38997" xr:uid="{00000000-0005-0000-0000-000052620000}"/>
    <cellStyle name="Обычный 6 65 9" xfId="44337" xr:uid="{00000000-0005-0000-0000-000053620000}"/>
    <cellStyle name="Обычный 6 66" xfId="1640" xr:uid="{00000000-0005-0000-0000-000054620000}"/>
    <cellStyle name="Обычный 6 66 10" xfId="49703" xr:uid="{00000000-0005-0000-0000-000055620000}"/>
    <cellStyle name="Обычный 6 66 2" xfId="6982" xr:uid="{00000000-0005-0000-0000-000056620000}"/>
    <cellStyle name="Обычный 6 66 2 2" xfId="55044" xr:uid="{00000000-0005-0000-0000-000057620000}"/>
    <cellStyle name="Обычный 6 66 3" xfId="12323" xr:uid="{00000000-0005-0000-0000-000058620000}"/>
    <cellStyle name="Обычный 6 66 4" xfId="17663" xr:uid="{00000000-0005-0000-0000-000059620000}"/>
    <cellStyle name="Обычный 6 66 5" xfId="23003" xr:uid="{00000000-0005-0000-0000-00005A620000}"/>
    <cellStyle name="Обычный 6 66 6" xfId="28343" xr:uid="{00000000-0005-0000-0000-00005B620000}"/>
    <cellStyle name="Обычный 6 66 7" xfId="33683" xr:uid="{00000000-0005-0000-0000-00005C620000}"/>
    <cellStyle name="Обычный 6 66 8" xfId="39023" xr:uid="{00000000-0005-0000-0000-00005D620000}"/>
    <cellStyle name="Обычный 6 66 9" xfId="44363" xr:uid="{00000000-0005-0000-0000-00005E620000}"/>
    <cellStyle name="Обычный 6 67" xfId="1666" xr:uid="{00000000-0005-0000-0000-00005F620000}"/>
    <cellStyle name="Обычный 6 67 10" xfId="49729" xr:uid="{00000000-0005-0000-0000-000060620000}"/>
    <cellStyle name="Обычный 6 67 2" xfId="7008" xr:uid="{00000000-0005-0000-0000-000061620000}"/>
    <cellStyle name="Обычный 6 67 2 2" xfId="55070" xr:uid="{00000000-0005-0000-0000-000062620000}"/>
    <cellStyle name="Обычный 6 67 3" xfId="12349" xr:uid="{00000000-0005-0000-0000-000063620000}"/>
    <cellStyle name="Обычный 6 67 4" xfId="17689" xr:uid="{00000000-0005-0000-0000-000064620000}"/>
    <cellStyle name="Обычный 6 67 5" xfId="23029" xr:uid="{00000000-0005-0000-0000-000065620000}"/>
    <cellStyle name="Обычный 6 67 6" xfId="28369" xr:uid="{00000000-0005-0000-0000-000066620000}"/>
    <cellStyle name="Обычный 6 67 7" xfId="33709" xr:uid="{00000000-0005-0000-0000-000067620000}"/>
    <cellStyle name="Обычный 6 67 8" xfId="39049" xr:uid="{00000000-0005-0000-0000-000068620000}"/>
    <cellStyle name="Обычный 6 67 9" xfId="44389" xr:uid="{00000000-0005-0000-0000-000069620000}"/>
    <cellStyle name="Обычный 6 68" xfId="1692" xr:uid="{00000000-0005-0000-0000-00006A620000}"/>
    <cellStyle name="Обычный 6 68 10" xfId="49755" xr:uid="{00000000-0005-0000-0000-00006B620000}"/>
    <cellStyle name="Обычный 6 68 2" xfId="7034" xr:uid="{00000000-0005-0000-0000-00006C620000}"/>
    <cellStyle name="Обычный 6 68 2 2" xfId="55096" xr:uid="{00000000-0005-0000-0000-00006D620000}"/>
    <cellStyle name="Обычный 6 68 3" xfId="12375" xr:uid="{00000000-0005-0000-0000-00006E620000}"/>
    <cellStyle name="Обычный 6 68 4" xfId="17715" xr:uid="{00000000-0005-0000-0000-00006F620000}"/>
    <cellStyle name="Обычный 6 68 5" xfId="23055" xr:uid="{00000000-0005-0000-0000-000070620000}"/>
    <cellStyle name="Обычный 6 68 6" xfId="28395" xr:uid="{00000000-0005-0000-0000-000071620000}"/>
    <cellStyle name="Обычный 6 68 7" xfId="33735" xr:uid="{00000000-0005-0000-0000-000072620000}"/>
    <cellStyle name="Обычный 6 68 8" xfId="39075" xr:uid="{00000000-0005-0000-0000-000073620000}"/>
    <cellStyle name="Обычный 6 68 9" xfId="44415" xr:uid="{00000000-0005-0000-0000-000074620000}"/>
    <cellStyle name="Обычный 6 69" xfId="1718" xr:uid="{00000000-0005-0000-0000-000075620000}"/>
    <cellStyle name="Обычный 6 69 10" xfId="49781" xr:uid="{00000000-0005-0000-0000-000076620000}"/>
    <cellStyle name="Обычный 6 69 2" xfId="7060" xr:uid="{00000000-0005-0000-0000-000077620000}"/>
    <cellStyle name="Обычный 6 69 2 2" xfId="55122" xr:uid="{00000000-0005-0000-0000-000078620000}"/>
    <cellStyle name="Обычный 6 69 3" xfId="12401" xr:uid="{00000000-0005-0000-0000-000079620000}"/>
    <cellStyle name="Обычный 6 69 4" xfId="17741" xr:uid="{00000000-0005-0000-0000-00007A620000}"/>
    <cellStyle name="Обычный 6 69 5" xfId="23081" xr:uid="{00000000-0005-0000-0000-00007B620000}"/>
    <cellStyle name="Обычный 6 69 6" xfId="28421" xr:uid="{00000000-0005-0000-0000-00007C620000}"/>
    <cellStyle name="Обычный 6 69 7" xfId="33761" xr:uid="{00000000-0005-0000-0000-00007D620000}"/>
    <cellStyle name="Обычный 6 69 8" xfId="39101" xr:uid="{00000000-0005-0000-0000-00007E620000}"/>
    <cellStyle name="Обычный 6 69 9" xfId="44441" xr:uid="{00000000-0005-0000-0000-00007F620000}"/>
    <cellStyle name="Обычный 6 7" xfId="180" xr:uid="{00000000-0005-0000-0000-000080620000}"/>
    <cellStyle name="Обычный 6 7 10" xfId="42902" xr:uid="{00000000-0005-0000-0000-000081620000}"/>
    <cellStyle name="Обычный 6 7 11" xfId="48242" xr:uid="{00000000-0005-0000-0000-000082620000}"/>
    <cellStyle name="Обычный 6 7 2" xfId="647" xr:uid="{00000000-0005-0000-0000-000083620000}"/>
    <cellStyle name="Обычный 6 7 2 10" xfId="48709" xr:uid="{00000000-0005-0000-0000-000084620000}"/>
    <cellStyle name="Обычный 6 7 2 2" xfId="5988" xr:uid="{00000000-0005-0000-0000-000085620000}"/>
    <cellStyle name="Обычный 6 7 2 2 2" xfId="54050" xr:uid="{00000000-0005-0000-0000-000086620000}"/>
    <cellStyle name="Обычный 6 7 2 3" xfId="11329" xr:uid="{00000000-0005-0000-0000-000087620000}"/>
    <cellStyle name="Обычный 6 7 2 4" xfId="16669" xr:uid="{00000000-0005-0000-0000-000088620000}"/>
    <cellStyle name="Обычный 6 7 2 5" xfId="22009" xr:uid="{00000000-0005-0000-0000-000089620000}"/>
    <cellStyle name="Обычный 6 7 2 6" xfId="27349" xr:uid="{00000000-0005-0000-0000-00008A620000}"/>
    <cellStyle name="Обычный 6 7 2 7" xfId="32689" xr:uid="{00000000-0005-0000-0000-00008B620000}"/>
    <cellStyle name="Обычный 6 7 2 8" xfId="38029" xr:uid="{00000000-0005-0000-0000-00008C620000}"/>
    <cellStyle name="Обычный 6 7 2 9" xfId="43369" xr:uid="{00000000-0005-0000-0000-00008D620000}"/>
    <cellStyle name="Обычный 6 7 3" xfId="5521" xr:uid="{00000000-0005-0000-0000-00008E620000}"/>
    <cellStyle name="Обычный 6 7 3 2" xfId="53583" xr:uid="{00000000-0005-0000-0000-00008F620000}"/>
    <cellStyle name="Обычный 6 7 4" xfId="10862" xr:uid="{00000000-0005-0000-0000-000090620000}"/>
    <cellStyle name="Обычный 6 7 5" xfId="16202" xr:uid="{00000000-0005-0000-0000-000091620000}"/>
    <cellStyle name="Обычный 6 7 6" xfId="21542" xr:uid="{00000000-0005-0000-0000-000092620000}"/>
    <cellStyle name="Обычный 6 7 7" xfId="26882" xr:uid="{00000000-0005-0000-0000-000093620000}"/>
    <cellStyle name="Обычный 6 7 8" xfId="32222" xr:uid="{00000000-0005-0000-0000-000094620000}"/>
    <cellStyle name="Обычный 6 7 9" xfId="37562" xr:uid="{00000000-0005-0000-0000-000095620000}"/>
    <cellStyle name="Обычный 6 70" xfId="1744" xr:uid="{00000000-0005-0000-0000-000096620000}"/>
    <cellStyle name="Обычный 6 70 10" xfId="49807" xr:uid="{00000000-0005-0000-0000-000097620000}"/>
    <cellStyle name="Обычный 6 70 2" xfId="7086" xr:uid="{00000000-0005-0000-0000-000098620000}"/>
    <cellStyle name="Обычный 6 70 2 2" xfId="55148" xr:uid="{00000000-0005-0000-0000-000099620000}"/>
    <cellStyle name="Обычный 6 70 3" xfId="12427" xr:uid="{00000000-0005-0000-0000-00009A620000}"/>
    <cellStyle name="Обычный 6 70 4" xfId="17767" xr:uid="{00000000-0005-0000-0000-00009B620000}"/>
    <cellStyle name="Обычный 6 70 5" xfId="23107" xr:uid="{00000000-0005-0000-0000-00009C620000}"/>
    <cellStyle name="Обычный 6 70 6" xfId="28447" xr:uid="{00000000-0005-0000-0000-00009D620000}"/>
    <cellStyle name="Обычный 6 70 7" xfId="33787" xr:uid="{00000000-0005-0000-0000-00009E620000}"/>
    <cellStyle name="Обычный 6 70 8" xfId="39127" xr:uid="{00000000-0005-0000-0000-00009F620000}"/>
    <cellStyle name="Обычный 6 70 9" xfId="44467" xr:uid="{00000000-0005-0000-0000-0000A0620000}"/>
    <cellStyle name="Обычный 6 71" xfId="1770" xr:uid="{00000000-0005-0000-0000-0000A1620000}"/>
    <cellStyle name="Обычный 6 71 10" xfId="49833" xr:uid="{00000000-0005-0000-0000-0000A2620000}"/>
    <cellStyle name="Обычный 6 71 2" xfId="7112" xr:uid="{00000000-0005-0000-0000-0000A3620000}"/>
    <cellStyle name="Обычный 6 71 2 2" xfId="55174" xr:uid="{00000000-0005-0000-0000-0000A4620000}"/>
    <cellStyle name="Обычный 6 71 3" xfId="12453" xr:uid="{00000000-0005-0000-0000-0000A5620000}"/>
    <cellStyle name="Обычный 6 71 4" xfId="17793" xr:uid="{00000000-0005-0000-0000-0000A6620000}"/>
    <cellStyle name="Обычный 6 71 5" xfId="23133" xr:uid="{00000000-0005-0000-0000-0000A7620000}"/>
    <cellStyle name="Обычный 6 71 6" xfId="28473" xr:uid="{00000000-0005-0000-0000-0000A8620000}"/>
    <cellStyle name="Обычный 6 71 7" xfId="33813" xr:uid="{00000000-0005-0000-0000-0000A9620000}"/>
    <cellStyle name="Обычный 6 71 8" xfId="39153" xr:uid="{00000000-0005-0000-0000-0000AA620000}"/>
    <cellStyle name="Обычный 6 71 9" xfId="44493" xr:uid="{00000000-0005-0000-0000-0000AB620000}"/>
    <cellStyle name="Обычный 6 72" xfId="1796" xr:uid="{00000000-0005-0000-0000-0000AC620000}"/>
    <cellStyle name="Обычный 6 72 10" xfId="49859" xr:uid="{00000000-0005-0000-0000-0000AD620000}"/>
    <cellStyle name="Обычный 6 72 2" xfId="7138" xr:uid="{00000000-0005-0000-0000-0000AE620000}"/>
    <cellStyle name="Обычный 6 72 2 2" xfId="55200" xr:uid="{00000000-0005-0000-0000-0000AF620000}"/>
    <cellStyle name="Обычный 6 72 3" xfId="12479" xr:uid="{00000000-0005-0000-0000-0000B0620000}"/>
    <cellStyle name="Обычный 6 72 4" xfId="17819" xr:uid="{00000000-0005-0000-0000-0000B1620000}"/>
    <cellStyle name="Обычный 6 72 5" xfId="23159" xr:uid="{00000000-0005-0000-0000-0000B2620000}"/>
    <cellStyle name="Обычный 6 72 6" xfId="28499" xr:uid="{00000000-0005-0000-0000-0000B3620000}"/>
    <cellStyle name="Обычный 6 72 7" xfId="33839" xr:uid="{00000000-0005-0000-0000-0000B4620000}"/>
    <cellStyle name="Обычный 6 72 8" xfId="39179" xr:uid="{00000000-0005-0000-0000-0000B5620000}"/>
    <cellStyle name="Обычный 6 72 9" xfId="44519" xr:uid="{00000000-0005-0000-0000-0000B6620000}"/>
    <cellStyle name="Обычный 6 73" xfId="1822" xr:uid="{00000000-0005-0000-0000-0000B7620000}"/>
    <cellStyle name="Обычный 6 73 10" xfId="49885" xr:uid="{00000000-0005-0000-0000-0000B8620000}"/>
    <cellStyle name="Обычный 6 73 2" xfId="7164" xr:uid="{00000000-0005-0000-0000-0000B9620000}"/>
    <cellStyle name="Обычный 6 73 2 2" xfId="55226" xr:uid="{00000000-0005-0000-0000-0000BA620000}"/>
    <cellStyle name="Обычный 6 73 3" xfId="12505" xr:uid="{00000000-0005-0000-0000-0000BB620000}"/>
    <cellStyle name="Обычный 6 73 4" xfId="17845" xr:uid="{00000000-0005-0000-0000-0000BC620000}"/>
    <cellStyle name="Обычный 6 73 5" xfId="23185" xr:uid="{00000000-0005-0000-0000-0000BD620000}"/>
    <cellStyle name="Обычный 6 73 6" xfId="28525" xr:uid="{00000000-0005-0000-0000-0000BE620000}"/>
    <cellStyle name="Обычный 6 73 7" xfId="33865" xr:uid="{00000000-0005-0000-0000-0000BF620000}"/>
    <cellStyle name="Обычный 6 73 8" xfId="39205" xr:uid="{00000000-0005-0000-0000-0000C0620000}"/>
    <cellStyle name="Обычный 6 73 9" xfId="44545" xr:uid="{00000000-0005-0000-0000-0000C1620000}"/>
    <cellStyle name="Обычный 6 74" xfId="1848" xr:uid="{00000000-0005-0000-0000-0000C2620000}"/>
    <cellStyle name="Обычный 6 74 10" xfId="49911" xr:uid="{00000000-0005-0000-0000-0000C3620000}"/>
    <cellStyle name="Обычный 6 74 2" xfId="7190" xr:uid="{00000000-0005-0000-0000-0000C4620000}"/>
    <cellStyle name="Обычный 6 74 2 2" xfId="55252" xr:uid="{00000000-0005-0000-0000-0000C5620000}"/>
    <cellStyle name="Обычный 6 74 3" xfId="12531" xr:uid="{00000000-0005-0000-0000-0000C6620000}"/>
    <cellStyle name="Обычный 6 74 4" xfId="17871" xr:uid="{00000000-0005-0000-0000-0000C7620000}"/>
    <cellStyle name="Обычный 6 74 5" xfId="23211" xr:uid="{00000000-0005-0000-0000-0000C8620000}"/>
    <cellStyle name="Обычный 6 74 6" xfId="28551" xr:uid="{00000000-0005-0000-0000-0000C9620000}"/>
    <cellStyle name="Обычный 6 74 7" xfId="33891" xr:uid="{00000000-0005-0000-0000-0000CA620000}"/>
    <cellStyle name="Обычный 6 74 8" xfId="39231" xr:uid="{00000000-0005-0000-0000-0000CB620000}"/>
    <cellStyle name="Обычный 6 74 9" xfId="44571" xr:uid="{00000000-0005-0000-0000-0000CC620000}"/>
    <cellStyle name="Обычный 6 75" xfId="1874" xr:uid="{00000000-0005-0000-0000-0000CD620000}"/>
    <cellStyle name="Обычный 6 75 10" xfId="49937" xr:uid="{00000000-0005-0000-0000-0000CE620000}"/>
    <cellStyle name="Обычный 6 75 2" xfId="7216" xr:uid="{00000000-0005-0000-0000-0000CF620000}"/>
    <cellStyle name="Обычный 6 75 2 2" xfId="55278" xr:uid="{00000000-0005-0000-0000-0000D0620000}"/>
    <cellStyle name="Обычный 6 75 3" xfId="12557" xr:uid="{00000000-0005-0000-0000-0000D1620000}"/>
    <cellStyle name="Обычный 6 75 4" xfId="17897" xr:uid="{00000000-0005-0000-0000-0000D2620000}"/>
    <cellStyle name="Обычный 6 75 5" xfId="23237" xr:uid="{00000000-0005-0000-0000-0000D3620000}"/>
    <cellStyle name="Обычный 6 75 6" xfId="28577" xr:uid="{00000000-0005-0000-0000-0000D4620000}"/>
    <cellStyle name="Обычный 6 75 7" xfId="33917" xr:uid="{00000000-0005-0000-0000-0000D5620000}"/>
    <cellStyle name="Обычный 6 75 8" xfId="39257" xr:uid="{00000000-0005-0000-0000-0000D6620000}"/>
    <cellStyle name="Обычный 6 75 9" xfId="44597" xr:uid="{00000000-0005-0000-0000-0000D7620000}"/>
    <cellStyle name="Обычный 6 76" xfId="1900" xr:uid="{00000000-0005-0000-0000-0000D8620000}"/>
    <cellStyle name="Обычный 6 76 10" xfId="49963" xr:uid="{00000000-0005-0000-0000-0000D9620000}"/>
    <cellStyle name="Обычный 6 76 2" xfId="7242" xr:uid="{00000000-0005-0000-0000-0000DA620000}"/>
    <cellStyle name="Обычный 6 76 2 2" xfId="55304" xr:uid="{00000000-0005-0000-0000-0000DB620000}"/>
    <cellStyle name="Обычный 6 76 3" xfId="12583" xr:uid="{00000000-0005-0000-0000-0000DC620000}"/>
    <cellStyle name="Обычный 6 76 4" xfId="17923" xr:uid="{00000000-0005-0000-0000-0000DD620000}"/>
    <cellStyle name="Обычный 6 76 5" xfId="23263" xr:uid="{00000000-0005-0000-0000-0000DE620000}"/>
    <cellStyle name="Обычный 6 76 6" xfId="28603" xr:uid="{00000000-0005-0000-0000-0000DF620000}"/>
    <cellStyle name="Обычный 6 76 7" xfId="33943" xr:uid="{00000000-0005-0000-0000-0000E0620000}"/>
    <cellStyle name="Обычный 6 76 8" xfId="39283" xr:uid="{00000000-0005-0000-0000-0000E1620000}"/>
    <cellStyle name="Обычный 6 76 9" xfId="44623" xr:uid="{00000000-0005-0000-0000-0000E2620000}"/>
    <cellStyle name="Обычный 6 77" xfId="1926" xr:uid="{00000000-0005-0000-0000-0000E3620000}"/>
    <cellStyle name="Обычный 6 77 10" xfId="49989" xr:uid="{00000000-0005-0000-0000-0000E4620000}"/>
    <cellStyle name="Обычный 6 77 2" xfId="7268" xr:uid="{00000000-0005-0000-0000-0000E5620000}"/>
    <cellStyle name="Обычный 6 77 2 2" xfId="55330" xr:uid="{00000000-0005-0000-0000-0000E6620000}"/>
    <cellStyle name="Обычный 6 77 3" xfId="12609" xr:uid="{00000000-0005-0000-0000-0000E7620000}"/>
    <cellStyle name="Обычный 6 77 4" xfId="17949" xr:uid="{00000000-0005-0000-0000-0000E8620000}"/>
    <cellStyle name="Обычный 6 77 5" xfId="23289" xr:uid="{00000000-0005-0000-0000-0000E9620000}"/>
    <cellStyle name="Обычный 6 77 6" xfId="28629" xr:uid="{00000000-0005-0000-0000-0000EA620000}"/>
    <cellStyle name="Обычный 6 77 7" xfId="33969" xr:uid="{00000000-0005-0000-0000-0000EB620000}"/>
    <cellStyle name="Обычный 6 77 8" xfId="39309" xr:uid="{00000000-0005-0000-0000-0000EC620000}"/>
    <cellStyle name="Обычный 6 77 9" xfId="44649" xr:uid="{00000000-0005-0000-0000-0000ED620000}"/>
    <cellStyle name="Обычный 6 78" xfId="1954" xr:uid="{00000000-0005-0000-0000-0000EE620000}"/>
    <cellStyle name="Обычный 6 78 10" xfId="50017" xr:uid="{00000000-0005-0000-0000-0000EF620000}"/>
    <cellStyle name="Обычный 6 78 2" xfId="7296" xr:uid="{00000000-0005-0000-0000-0000F0620000}"/>
    <cellStyle name="Обычный 6 78 2 2" xfId="55358" xr:uid="{00000000-0005-0000-0000-0000F1620000}"/>
    <cellStyle name="Обычный 6 78 3" xfId="12637" xr:uid="{00000000-0005-0000-0000-0000F2620000}"/>
    <cellStyle name="Обычный 6 78 4" xfId="17977" xr:uid="{00000000-0005-0000-0000-0000F3620000}"/>
    <cellStyle name="Обычный 6 78 5" xfId="23317" xr:uid="{00000000-0005-0000-0000-0000F4620000}"/>
    <cellStyle name="Обычный 6 78 6" xfId="28657" xr:uid="{00000000-0005-0000-0000-0000F5620000}"/>
    <cellStyle name="Обычный 6 78 7" xfId="33997" xr:uid="{00000000-0005-0000-0000-0000F6620000}"/>
    <cellStyle name="Обычный 6 78 8" xfId="39337" xr:uid="{00000000-0005-0000-0000-0000F7620000}"/>
    <cellStyle name="Обычный 6 78 9" xfId="44677" xr:uid="{00000000-0005-0000-0000-0000F8620000}"/>
    <cellStyle name="Обычный 6 79" xfId="1981" xr:uid="{00000000-0005-0000-0000-0000F9620000}"/>
    <cellStyle name="Обычный 6 79 10" xfId="50045" xr:uid="{00000000-0005-0000-0000-0000FA620000}"/>
    <cellStyle name="Обычный 6 79 2" xfId="7324" xr:uid="{00000000-0005-0000-0000-0000FB620000}"/>
    <cellStyle name="Обычный 6 79 2 2" xfId="55386" xr:uid="{00000000-0005-0000-0000-0000FC620000}"/>
    <cellStyle name="Обычный 6 79 3" xfId="12665" xr:uid="{00000000-0005-0000-0000-0000FD620000}"/>
    <cellStyle name="Обычный 6 79 4" xfId="18005" xr:uid="{00000000-0005-0000-0000-0000FE620000}"/>
    <cellStyle name="Обычный 6 79 5" xfId="23345" xr:uid="{00000000-0005-0000-0000-0000FF620000}"/>
    <cellStyle name="Обычный 6 79 6" xfId="28685" xr:uid="{00000000-0005-0000-0000-000000630000}"/>
    <cellStyle name="Обычный 6 79 7" xfId="34025" xr:uid="{00000000-0005-0000-0000-000001630000}"/>
    <cellStyle name="Обычный 6 79 8" xfId="39365" xr:uid="{00000000-0005-0000-0000-000002630000}"/>
    <cellStyle name="Обычный 6 79 9" xfId="44705" xr:uid="{00000000-0005-0000-0000-000003630000}"/>
    <cellStyle name="Обычный 6 8" xfId="190" xr:uid="{00000000-0005-0000-0000-000004630000}"/>
    <cellStyle name="Обычный 6 8 10" xfId="42912" xr:uid="{00000000-0005-0000-0000-000005630000}"/>
    <cellStyle name="Обычный 6 8 11" xfId="48252" xr:uid="{00000000-0005-0000-0000-000006630000}"/>
    <cellStyle name="Обычный 6 8 2" xfId="657" xr:uid="{00000000-0005-0000-0000-000007630000}"/>
    <cellStyle name="Обычный 6 8 2 10" xfId="48719" xr:uid="{00000000-0005-0000-0000-000008630000}"/>
    <cellStyle name="Обычный 6 8 2 2" xfId="5998" xr:uid="{00000000-0005-0000-0000-000009630000}"/>
    <cellStyle name="Обычный 6 8 2 2 2" xfId="54060" xr:uid="{00000000-0005-0000-0000-00000A630000}"/>
    <cellStyle name="Обычный 6 8 2 3" xfId="11339" xr:uid="{00000000-0005-0000-0000-00000B630000}"/>
    <cellStyle name="Обычный 6 8 2 4" xfId="16679" xr:uid="{00000000-0005-0000-0000-00000C630000}"/>
    <cellStyle name="Обычный 6 8 2 5" xfId="22019" xr:uid="{00000000-0005-0000-0000-00000D630000}"/>
    <cellStyle name="Обычный 6 8 2 6" xfId="27359" xr:uid="{00000000-0005-0000-0000-00000E630000}"/>
    <cellStyle name="Обычный 6 8 2 7" xfId="32699" xr:uid="{00000000-0005-0000-0000-00000F630000}"/>
    <cellStyle name="Обычный 6 8 2 8" xfId="38039" xr:uid="{00000000-0005-0000-0000-000010630000}"/>
    <cellStyle name="Обычный 6 8 2 9" xfId="43379" xr:uid="{00000000-0005-0000-0000-000011630000}"/>
    <cellStyle name="Обычный 6 8 3" xfId="5531" xr:uid="{00000000-0005-0000-0000-000012630000}"/>
    <cellStyle name="Обычный 6 8 3 2" xfId="53593" xr:uid="{00000000-0005-0000-0000-000013630000}"/>
    <cellStyle name="Обычный 6 8 4" xfId="10872" xr:uid="{00000000-0005-0000-0000-000014630000}"/>
    <cellStyle name="Обычный 6 8 5" xfId="16212" xr:uid="{00000000-0005-0000-0000-000015630000}"/>
    <cellStyle name="Обычный 6 8 6" xfId="21552" xr:uid="{00000000-0005-0000-0000-000016630000}"/>
    <cellStyle name="Обычный 6 8 7" xfId="26892" xr:uid="{00000000-0005-0000-0000-000017630000}"/>
    <cellStyle name="Обычный 6 8 8" xfId="32232" xr:uid="{00000000-0005-0000-0000-000018630000}"/>
    <cellStyle name="Обычный 6 8 9" xfId="37572" xr:uid="{00000000-0005-0000-0000-000019630000}"/>
    <cellStyle name="Обычный 6 80" xfId="2009" xr:uid="{00000000-0005-0000-0000-00001A630000}"/>
    <cellStyle name="Обычный 6 80 10" xfId="50073" xr:uid="{00000000-0005-0000-0000-00001B630000}"/>
    <cellStyle name="Обычный 6 80 2" xfId="7352" xr:uid="{00000000-0005-0000-0000-00001C630000}"/>
    <cellStyle name="Обычный 6 80 2 2" xfId="55414" xr:uid="{00000000-0005-0000-0000-00001D630000}"/>
    <cellStyle name="Обычный 6 80 3" xfId="12693" xr:uid="{00000000-0005-0000-0000-00001E630000}"/>
    <cellStyle name="Обычный 6 80 4" xfId="18033" xr:uid="{00000000-0005-0000-0000-00001F630000}"/>
    <cellStyle name="Обычный 6 80 5" xfId="23373" xr:uid="{00000000-0005-0000-0000-000020630000}"/>
    <cellStyle name="Обычный 6 80 6" xfId="28713" xr:uid="{00000000-0005-0000-0000-000021630000}"/>
    <cellStyle name="Обычный 6 80 7" xfId="34053" xr:uid="{00000000-0005-0000-0000-000022630000}"/>
    <cellStyle name="Обычный 6 80 8" xfId="39393" xr:uid="{00000000-0005-0000-0000-000023630000}"/>
    <cellStyle name="Обычный 6 80 9" xfId="44733" xr:uid="{00000000-0005-0000-0000-000024630000}"/>
    <cellStyle name="Обычный 6 81" xfId="2037" xr:uid="{00000000-0005-0000-0000-000025630000}"/>
    <cellStyle name="Обычный 6 81 10" xfId="50101" xr:uid="{00000000-0005-0000-0000-000026630000}"/>
    <cellStyle name="Обычный 6 81 2" xfId="7380" xr:uid="{00000000-0005-0000-0000-000027630000}"/>
    <cellStyle name="Обычный 6 81 2 2" xfId="55442" xr:uid="{00000000-0005-0000-0000-000028630000}"/>
    <cellStyle name="Обычный 6 81 3" xfId="12721" xr:uid="{00000000-0005-0000-0000-000029630000}"/>
    <cellStyle name="Обычный 6 81 4" xfId="18061" xr:uid="{00000000-0005-0000-0000-00002A630000}"/>
    <cellStyle name="Обычный 6 81 5" xfId="23401" xr:uid="{00000000-0005-0000-0000-00002B630000}"/>
    <cellStyle name="Обычный 6 81 6" xfId="28741" xr:uid="{00000000-0005-0000-0000-00002C630000}"/>
    <cellStyle name="Обычный 6 81 7" xfId="34081" xr:uid="{00000000-0005-0000-0000-00002D630000}"/>
    <cellStyle name="Обычный 6 81 8" xfId="39421" xr:uid="{00000000-0005-0000-0000-00002E630000}"/>
    <cellStyle name="Обычный 6 81 9" xfId="44761" xr:uid="{00000000-0005-0000-0000-00002F630000}"/>
    <cellStyle name="Обычный 6 82" xfId="2065" xr:uid="{00000000-0005-0000-0000-000030630000}"/>
    <cellStyle name="Обычный 6 82 10" xfId="50129" xr:uid="{00000000-0005-0000-0000-000031630000}"/>
    <cellStyle name="Обычный 6 82 2" xfId="7408" xr:uid="{00000000-0005-0000-0000-000032630000}"/>
    <cellStyle name="Обычный 6 82 2 2" xfId="55470" xr:uid="{00000000-0005-0000-0000-000033630000}"/>
    <cellStyle name="Обычный 6 82 3" xfId="12749" xr:uid="{00000000-0005-0000-0000-000034630000}"/>
    <cellStyle name="Обычный 6 82 4" xfId="18089" xr:uid="{00000000-0005-0000-0000-000035630000}"/>
    <cellStyle name="Обычный 6 82 5" xfId="23429" xr:uid="{00000000-0005-0000-0000-000036630000}"/>
    <cellStyle name="Обычный 6 82 6" xfId="28769" xr:uid="{00000000-0005-0000-0000-000037630000}"/>
    <cellStyle name="Обычный 6 82 7" xfId="34109" xr:uid="{00000000-0005-0000-0000-000038630000}"/>
    <cellStyle name="Обычный 6 82 8" xfId="39449" xr:uid="{00000000-0005-0000-0000-000039630000}"/>
    <cellStyle name="Обычный 6 82 9" xfId="44789" xr:uid="{00000000-0005-0000-0000-00003A630000}"/>
    <cellStyle name="Обычный 6 83" xfId="2093" xr:uid="{00000000-0005-0000-0000-00003B630000}"/>
    <cellStyle name="Обычный 6 83 10" xfId="50157" xr:uid="{00000000-0005-0000-0000-00003C630000}"/>
    <cellStyle name="Обычный 6 83 2" xfId="7436" xr:uid="{00000000-0005-0000-0000-00003D630000}"/>
    <cellStyle name="Обычный 6 83 2 2" xfId="55498" xr:uid="{00000000-0005-0000-0000-00003E630000}"/>
    <cellStyle name="Обычный 6 83 3" xfId="12777" xr:uid="{00000000-0005-0000-0000-00003F630000}"/>
    <cellStyle name="Обычный 6 83 4" xfId="18117" xr:uid="{00000000-0005-0000-0000-000040630000}"/>
    <cellStyle name="Обычный 6 83 5" xfId="23457" xr:uid="{00000000-0005-0000-0000-000041630000}"/>
    <cellStyle name="Обычный 6 83 6" xfId="28797" xr:uid="{00000000-0005-0000-0000-000042630000}"/>
    <cellStyle name="Обычный 6 83 7" xfId="34137" xr:uid="{00000000-0005-0000-0000-000043630000}"/>
    <cellStyle name="Обычный 6 83 8" xfId="39477" xr:uid="{00000000-0005-0000-0000-000044630000}"/>
    <cellStyle name="Обычный 6 83 9" xfId="44817" xr:uid="{00000000-0005-0000-0000-000045630000}"/>
    <cellStyle name="Обычный 6 84" xfId="2121" xr:uid="{00000000-0005-0000-0000-000046630000}"/>
    <cellStyle name="Обычный 6 84 10" xfId="50185" xr:uid="{00000000-0005-0000-0000-000047630000}"/>
    <cellStyle name="Обычный 6 84 2" xfId="7464" xr:uid="{00000000-0005-0000-0000-000048630000}"/>
    <cellStyle name="Обычный 6 84 2 2" xfId="55526" xr:uid="{00000000-0005-0000-0000-000049630000}"/>
    <cellStyle name="Обычный 6 84 3" xfId="12805" xr:uid="{00000000-0005-0000-0000-00004A630000}"/>
    <cellStyle name="Обычный 6 84 4" xfId="18145" xr:uid="{00000000-0005-0000-0000-00004B630000}"/>
    <cellStyle name="Обычный 6 84 5" xfId="23485" xr:uid="{00000000-0005-0000-0000-00004C630000}"/>
    <cellStyle name="Обычный 6 84 6" xfId="28825" xr:uid="{00000000-0005-0000-0000-00004D630000}"/>
    <cellStyle name="Обычный 6 84 7" xfId="34165" xr:uid="{00000000-0005-0000-0000-00004E630000}"/>
    <cellStyle name="Обычный 6 84 8" xfId="39505" xr:uid="{00000000-0005-0000-0000-00004F630000}"/>
    <cellStyle name="Обычный 6 84 9" xfId="44845" xr:uid="{00000000-0005-0000-0000-000050630000}"/>
    <cellStyle name="Обычный 6 85" xfId="2151" xr:uid="{00000000-0005-0000-0000-000051630000}"/>
    <cellStyle name="Обычный 6 85 10" xfId="50215" xr:uid="{00000000-0005-0000-0000-000052630000}"/>
    <cellStyle name="Обычный 6 85 2" xfId="7494" xr:uid="{00000000-0005-0000-0000-000053630000}"/>
    <cellStyle name="Обычный 6 85 2 2" xfId="55556" xr:uid="{00000000-0005-0000-0000-000054630000}"/>
    <cellStyle name="Обычный 6 85 3" xfId="12835" xr:uid="{00000000-0005-0000-0000-000055630000}"/>
    <cellStyle name="Обычный 6 85 4" xfId="18175" xr:uid="{00000000-0005-0000-0000-000056630000}"/>
    <cellStyle name="Обычный 6 85 5" xfId="23515" xr:uid="{00000000-0005-0000-0000-000057630000}"/>
    <cellStyle name="Обычный 6 85 6" xfId="28855" xr:uid="{00000000-0005-0000-0000-000058630000}"/>
    <cellStyle name="Обычный 6 85 7" xfId="34195" xr:uid="{00000000-0005-0000-0000-000059630000}"/>
    <cellStyle name="Обычный 6 85 8" xfId="39535" xr:uid="{00000000-0005-0000-0000-00005A630000}"/>
    <cellStyle name="Обычный 6 85 9" xfId="44875" xr:uid="{00000000-0005-0000-0000-00005B630000}"/>
    <cellStyle name="Обычный 6 86" xfId="2181" xr:uid="{00000000-0005-0000-0000-00005C630000}"/>
    <cellStyle name="Обычный 6 86 10" xfId="50245" xr:uid="{00000000-0005-0000-0000-00005D630000}"/>
    <cellStyle name="Обычный 6 86 2" xfId="7524" xr:uid="{00000000-0005-0000-0000-00005E630000}"/>
    <cellStyle name="Обычный 6 86 2 2" xfId="55586" xr:uid="{00000000-0005-0000-0000-00005F630000}"/>
    <cellStyle name="Обычный 6 86 3" xfId="12865" xr:uid="{00000000-0005-0000-0000-000060630000}"/>
    <cellStyle name="Обычный 6 86 4" xfId="18205" xr:uid="{00000000-0005-0000-0000-000061630000}"/>
    <cellStyle name="Обычный 6 86 5" xfId="23545" xr:uid="{00000000-0005-0000-0000-000062630000}"/>
    <cellStyle name="Обычный 6 86 6" xfId="28885" xr:uid="{00000000-0005-0000-0000-000063630000}"/>
    <cellStyle name="Обычный 6 86 7" xfId="34225" xr:uid="{00000000-0005-0000-0000-000064630000}"/>
    <cellStyle name="Обычный 6 86 8" xfId="39565" xr:uid="{00000000-0005-0000-0000-000065630000}"/>
    <cellStyle name="Обычный 6 86 9" xfId="44905" xr:uid="{00000000-0005-0000-0000-000066630000}"/>
    <cellStyle name="Обычный 6 87" xfId="2211" xr:uid="{00000000-0005-0000-0000-000067630000}"/>
    <cellStyle name="Обычный 6 87 10" xfId="50275" xr:uid="{00000000-0005-0000-0000-000068630000}"/>
    <cellStyle name="Обычный 6 87 2" xfId="7554" xr:uid="{00000000-0005-0000-0000-000069630000}"/>
    <cellStyle name="Обычный 6 87 2 2" xfId="55616" xr:uid="{00000000-0005-0000-0000-00006A630000}"/>
    <cellStyle name="Обычный 6 87 3" xfId="12895" xr:uid="{00000000-0005-0000-0000-00006B630000}"/>
    <cellStyle name="Обычный 6 87 4" xfId="18235" xr:uid="{00000000-0005-0000-0000-00006C630000}"/>
    <cellStyle name="Обычный 6 87 5" xfId="23575" xr:uid="{00000000-0005-0000-0000-00006D630000}"/>
    <cellStyle name="Обычный 6 87 6" xfId="28915" xr:uid="{00000000-0005-0000-0000-00006E630000}"/>
    <cellStyle name="Обычный 6 87 7" xfId="34255" xr:uid="{00000000-0005-0000-0000-00006F630000}"/>
    <cellStyle name="Обычный 6 87 8" xfId="39595" xr:uid="{00000000-0005-0000-0000-000070630000}"/>
    <cellStyle name="Обычный 6 87 9" xfId="44935" xr:uid="{00000000-0005-0000-0000-000071630000}"/>
    <cellStyle name="Обычный 6 88" xfId="2241" xr:uid="{00000000-0005-0000-0000-000072630000}"/>
    <cellStyle name="Обычный 6 88 10" xfId="50305" xr:uid="{00000000-0005-0000-0000-000073630000}"/>
    <cellStyle name="Обычный 6 88 2" xfId="7584" xr:uid="{00000000-0005-0000-0000-000074630000}"/>
    <cellStyle name="Обычный 6 88 2 2" xfId="55646" xr:uid="{00000000-0005-0000-0000-000075630000}"/>
    <cellStyle name="Обычный 6 88 3" xfId="12925" xr:uid="{00000000-0005-0000-0000-000076630000}"/>
    <cellStyle name="Обычный 6 88 4" xfId="18265" xr:uid="{00000000-0005-0000-0000-000077630000}"/>
    <cellStyle name="Обычный 6 88 5" xfId="23605" xr:uid="{00000000-0005-0000-0000-000078630000}"/>
    <cellStyle name="Обычный 6 88 6" xfId="28945" xr:uid="{00000000-0005-0000-0000-000079630000}"/>
    <cellStyle name="Обычный 6 88 7" xfId="34285" xr:uid="{00000000-0005-0000-0000-00007A630000}"/>
    <cellStyle name="Обычный 6 88 8" xfId="39625" xr:uid="{00000000-0005-0000-0000-00007B630000}"/>
    <cellStyle name="Обычный 6 88 9" xfId="44965" xr:uid="{00000000-0005-0000-0000-00007C630000}"/>
    <cellStyle name="Обычный 6 89" xfId="2271" xr:uid="{00000000-0005-0000-0000-00007D630000}"/>
    <cellStyle name="Обычный 6 89 10" xfId="50335" xr:uid="{00000000-0005-0000-0000-00007E630000}"/>
    <cellStyle name="Обычный 6 89 2" xfId="7614" xr:uid="{00000000-0005-0000-0000-00007F630000}"/>
    <cellStyle name="Обычный 6 89 2 2" xfId="55676" xr:uid="{00000000-0005-0000-0000-000080630000}"/>
    <cellStyle name="Обычный 6 89 3" xfId="12955" xr:uid="{00000000-0005-0000-0000-000081630000}"/>
    <cellStyle name="Обычный 6 89 4" xfId="18295" xr:uid="{00000000-0005-0000-0000-000082630000}"/>
    <cellStyle name="Обычный 6 89 5" xfId="23635" xr:uid="{00000000-0005-0000-0000-000083630000}"/>
    <cellStyle name="Обычный 6 89 6" xfId="28975" xr:uid="{00000000-0005-0000-0000-000084630000}"/>
    <cellStyle name="Обычный 6 89 7" xfId="34315" xr:uid="{00000000-0005-0000-0000-000085630000}"/>
    <cellStyle name="Обычный 6 89 8" xfId="39655" xr:uid="{00000000-0005-0000-0000-000086630000}"/>
    <cellStyle name="Обычный 6 89 9" xfId="44995" xr:uid="{00000000-0005-0000-0000-000087630000}"/>
    <cellStyle name="Обычный 6 9" xfId="200" xr:uid="{00000000-0005-0000-0000-000088630000}"/>
    <cellStyle name="Обычный 6 9 10" xfId="42922" xr:uid="{00000000-0005-0000-0000-000089630000}"/>
    <cellStyle name="Обычный 6 9 11" xfId="48262" xr:uid="{00000000-0005-0000-0000-00008A630000}"/>
    <cellStyle name="Обычный 6 9 2" xfId="667" xr:uid="{00000000-0005-0000-0000-00008B630000}"/>
    <cellStyle name="Обычный 6 9 2 10" xfId="48729" xr:uid="{00000000-0005-0000-0000-00008C630000}"/>
    <cellStyle name="Обычный 6 9 2 2" xfId="6008" xr:uid="{00000000-0005-0000-0000-00008D630000}"/>
    <cellStyle name="Обычный 6 9 2 2 2" xfId="54070" xr:uid="{00000000-0005-0000-0000-00008E630000}"/>
    <cellStyle name="Обычный 6 9 2 3" xfId="11349" xr:uid="{00000000-0005-0000-0000-00008F630000}"/>
    <cellStyle name="Обычный 6 9 2 4" xfId="16689" xr:uid="{00000000-0005-0000-0000-000090630000}"/>
    <cellStyle name="Обычный 6 9 2 5" xfId="22029" xr:uid="{00000000-0005-0000-0000-000091630000}"/>
    <cellStyle name="Обычный 6 9 2 6" xfId="27369" xr:uid="{00000000-0005-0000-0000-000092630000}"/>
    <cellStyle name="Обычный 6 9 2 7" xfId="32709" xr:uid="{00000000-0005-0000-0000-000093630000}"/>
    <cellStyle name="Обычный 6 9 2 8" xfId="38049" xr:uid="{00000000-0005-0000-0000-000094630000}"/>
    <cellStyle name="Обычный 6 9 2 9" xfId="43389" xr:uid="{00000000-0005-0000-0000-000095630000}"/>
    <cellStyle name="Обычный 6 9 3" xfId="5541" xr:uid="{00000000-0005-0000-0000-000096630000}"/>
    <cellStyle name="Обычный 6 9 3 2" xfId="53603" xr:uid="{00000000-0005-0000-0000-000097630000}"/>
    <cellStyle name="Обычный 6 9 4" xfId="10882" xr:uid="{00000000-0005-0000-0000-000098630000}"/>
    <cellStyle name="Обычный 6 9 5" xfId="16222" xr:uid="{00000000-0005-0000-0000-000099630000}"/>
    <cellStyle name="Обычный 6 9 6" xfId="21562" xr:uid="{00000000-0005-0000-0000-00009A630000}"/>
    <cellStyle name="Обычный 6 9 7" xfId="26902" xr:uid="{00000000-0005-0000-0000-00009B630000}"/>
    <cellStyle name="Обычный 6 9 8" xfId="32242" xr:uid="{00000000-0005-0000-0000-00009C630000}"/>
    <cellStyle name="Обычный 6 9 9" xfId="37582" xr:uid="{00000000-0005-0000-0000-00009D630000}"/>
    <cellStyle name="Обычный 6 90" xfId="2301" xr:uid="{00000000-0005-0000-0000-00009E630000}"/>
    <cellStyle name="Обычный 6 90 10" xfId="50365" xr:uid="{00000000-0005-0000-0000-00009F630000}"/>
    <cellStyle name="Обычный 6 90 2" xfId="7644" xr:uid="{00000000-0005-0000-0000-0000A0630000}"/>
    <cellStyle name="Обычный 6 90 2 2" xfId="55706" xr:uid="{00000000-0005-0000-0000-0000A1630000}"/>
    <cellStyle name="Обычный 6 90 3" xfId="12985" xr:uid="{00000000-0005-0000-0000-0000A2630000}"/>
    <cellStyle name="Обычный 6 90 4" xfId="18325" xr:uid="{00000000-0005-0000-0000-0000A3630000}"/>
    <cellStyle name="Обычный 6 90 5" xfId="23665" xr:uid="{00000000-0005-0000-0000-0000A4630000}"/>
    <cellStyle name="Обычный 6 90 6" xfId="29005" xr:uid="{00000000-0005-0000-0000-0000A5630000}"/>
    <cellStyle name="Обычный 6 90 7" xfId="34345" xr:uid="{00000000-0005-0000-0000-0000A6630000}"/>
    <cellStyle name="Обычный 6 90 8" xfId="39685" xr:uid="{00000000-0005-0000-0000-0000A7630000}"/>
    <cellStyle name="Обычный 6 90 9" xfId="45025" xr:uid="{00000000-0005-0000-0000-0000A8630000}"/>
    <cellStyle name="Обычный 6 91" xfId="2331" xr:uid="{00000000-0005-0000-0000-0000A9630000}"/>
    <cellStyle name="Обычный 6 91 10" xfId="50395" xr:uid="{00000000-0005-0000-0000-0000AA630000}"/>
    <cellStyle name="Обычный 6 91 2" xfId="7674" xr:uid="{00000000-0005-0000-0000-0000AB630000}"/>
    <cellStyle name="Обычный 6 91 2 2" xfId="55736" xr:uid="{00000000-0005-0000-0000-0000AC630000}"/>
    <cellStyle name="Обычный 6 91 3" xfId="13015" xr:uid="{00000000-0005-0000-0000-0000AD630000}"/>
    <cellStyle name="Обычный 6 91 4" xfId="18355" xr:uid="{00000000-0005-0000-0000-0000AE630000}"/>
    <cellStyle name="Обычный 6 91 5" xfId="23695" xr:uid="{00000000-0005-0000-0000-0000AF630000}"/>
    <cellStyle name="Обычный 6 91 6" xfId="29035" xr:uid="{00000000-0005-0000-0000-0000B0630000}"/>
    <cellStyle name="Обычный 6 91 7" xfId="34375" xr:uid="{00000000-0005-0000-0000-0000B1630000}"/>
    <cellStyle name="Обычный 6 91 8" xfId="39715" xr:uid="{00000000-0005-0000-0000-0000B2630000}"/>
    <cellStyle name="Обычный 6 91 9" xfId="45055" xr:uid="{00000000-0005-0000-0000-0000B3630000}"/>
    <cellStyle name="Обычный 6 92" xfId="2361" xr:uid="{00000000-0005-0000-0000-0000B4630000}"/>
    <cellStyle name="Обычный 6 92 10" xfId="50425" xr:uid="{00000000-0005-0000-0000-0000B5630000}"/>
    <cellStyle name="Обычный 6 92 2" xfId="7704" xr:uid="{00000000-0005-0000-0000-0000B6630000}"/>
    <cellStyle name="Обычный 6 92 2 2" xfId="55766" xr:uid="{00000000-0005-0000-0000-0000B7630000}"/>
    <cellStyle name="Обычный 6 92 3" xfId="13045" xr:uid="{00000000-0005-0000-0000-0000B8630000}"/>
    <cellStyle name="Обычный 6 92 4" xfId="18385" xr:uid="{00000000-0005-0000-0000-0000B9630000}"/>
    <cellStyle name="Обычный 6 92 5" xfId="23725" xr:uid="{00000000-0005-0000-0000-0000BA630000}"/>
    <cellStyle name="Обычный 6 92 6" xfId="29065" xr:uid="{00000000-0005-0000-0000-0000BB630000}"/>
    <cellStyle name="Обычный 6 92 7" xfId="34405" xr:uid="{00000000-0005-0000-0000-0000BC630000}"/>
    <cellStyle name="Обычный 6 92 8" xfId="39745" xr:uid="{00000000-0005-0000-0000-0000BD630000}"/>
    <cellStyle name="Обычный 6 92 9" xfId="45085" xr:uid="{00000000-0005-0000-0000-0000BE630000}"/>
    <cellStyle name="Обычный 6 93" xfId="2391" xr:uid="{00000000-0005-0000-0000-0000BF630000}"/>
    <cellStyle name="Обычный 6 93 10" xfId="50455" xr:uid="{00000000-0005-0000-0000-0000C0630000}"/>
    <cellStyle name="Обычный 6 93 2" xfId="7734" xr:uid="{00000000-0005-0000-0000-0000C1630000}"/>
    <cellStyle name="Обычный 6 93 2 2" xfId="55796" xr:uid="{00000000-0005-0000-0000-0000C2630000}"/>
    <cellStyle name="Обычный 6 93 3" xfId="13075" xr:uid="{00000000-0005-0000-0000-0000C3630000}"/>
    <cellStyle name="Обычный 6 93 4" xfId="18415" xr:uid="{00000000-0005-0000-0000-0000C4630000}"/>
    <cellStyle name="Обычный 6 93 5" xfId="23755" xr:uid="{00000000-0005-0000-0000-0000C5630000}"/>
    <cellStyle name="Обычный 6 93 6" xfId="29095" xr:uid="{00000000-0005-0000-0000-0000C6630000}"/>
    <cellStyle name="Обычный 6 93 7" xfId="34435" xr:uid="{00000000-0005-0000-0000-0000C7630000}"/>
    <cellStyle name="Обычный 6 93 8" xfId="39775" xr:uid="{00000000-0005-0000-0000-0000C8630000}"/>
    <cellStyle name="Обычный 6 93 9" xfId="45115" xr:uid="{00000000-0005-0000-0000-0000C9630000}"/>
    <cellStyle name="Обычный 6 94" xfId="2421" xr:uid="{00000000-0005-0000-0000-0000CA630000}"/>
    <cellStyle name="Обычный 6 94 10" xfId="50485" xr:uid="{00000000-0005-0000-0000-0000CB630000}"/>
    <cellStyle name="Обычный 6 94 2" xfId="7764" xr:uid="{00000000-0005-0000-0000-0000CC630000}"/>
    <cellStyle name="Обычный 6 94 2 2" xfId="55826" xr:uid="{00000000-0005-0000-0000-0000CD630000}"/>
    <cellStyle name="Обычный 6 94 3" xfId="13105" xr:uid="{00000000-0005-0000-0000-0000CE630000}"/>
    <cellStyle name="Обычный 6 94 4" xfId="18445" xr:uid="{00000000-0005-0000-0000-0000CF630000}"/>
    <cellStyle name="Обычный 6 94 5" xfId="23785" xr:uid="{00000000-0005-0000-0000-0000D0630000}"/>
    <cellStyle name="Обычный 6 94 6" xfId="29125" xr:uid="{00000000-0005-0000-0000-0000D1630000}"/>
    <cellStyle name="Обычный 6 94 7" xfId="34465" xr:uid="{00000000-0005-0000-0000-0000D2630000}"/>
    <cellStyle name="Обычный 6 94 8" xfId="39805" xr:uid="{00000000-0005-0000-0000-0000D3630000}"/>
    <cellStyle name="Обычный 6 94 9" xfId="45145" xr:uid="{00000000-0005-0000-0000-0000D4630000}"/>
    <cellStyle name="Обычный 6 95" xfId="2451" xr:uid="{00000000-0005-0000-0000-0000D5630000}"/>
    <cellStyle name="Обычный 6 95 10" xfId="50515" xr:uid="{00000000-0005-0000-0000-0000D6630000}"/>
    <cellStyle name="Обычный 6 95 2" xfId="7794" xr:uid="{00000000-0005-0000-0000-0000D7630000}"/>
    <cellStyle name="Обычный 6 95 2 2" xfId="55856" xr:uid="{00000000-0005-0000-0000-0000D8630000}"/>
    <cellStyle name="Обычный 6 95 3" xfId="13135" xr:uid="{00000000-0005-0000-0000-0000D9630000}"/>
    <cellStyle name="Обычный 6 95 4" xfId="18475" xr:uid="{00000000-0005-0000-0000-0000DA630000}"/>
    <cellStyle name="Обычный 6 95 5" xfId="23815" xr:uid="{00000000-0005-0000-0000-0000DB630000}"/>
    <cellStyle name="Обычный 6 95 6" xfId="29155" xr:uid="{00000000-0005-0000-0000-0000DC630000}"/>
    <cellStyle name="Обычный 6 95 7" xfId="34495" xr:uid="{00000000-0005-0000-0000-0000DD630000}"/>
    <cellStyle name="Обычный 6 95 8" xfId="39835" xr:uid="{00000000-0005-0000-0000-0000DE630000}"/>
    <cellStyle name="Обычный 6 95 9" xfId="45175" xr:uid="{00000000-0005-0000-0000-0000DF630000}"/>
    <cellStyle name="Обычный 6 96" xfId="2481" xr:uid="{00000000-0005-0000-0000-0000E0630000}"/>
    <cellStyle name="Обычный 6 96 10" xfId="50545" xr:uid="{00000000-0005-0000-0000-0000E1630000}"/>
    <cellStyle name="Обычный 6 96 2" xfId="7824" xr:uid="{00000000-0005-0000-0000-0000E2630000}"/>
    <cellStyle name="Обычный 6 96 2 2" xfId="55886" xr:uid="{00000000-0005-0000-0000-0000E3630000}"/>
    <cellStyle name="Обычный 6 96 3" xfId="13165" xr:uid="{00000000-0005-0000-0000-0000E4630000}"/>
    <cellStyle name="Обычный 6 96 4" xfId="18505" xr:uid="{00000000-0005-0000-0000-0000E5630000}"/>
    <cellStyle name="Обычный 6 96 5" xfId="23845" xr:uid="{00000000-0005-0000-0000-0000E6630000}"/>
    <cellStyle name="Обычный 6 96 6" xfId="29185" xr:uid="{00000000-0005-0000-0000-0000E7630000}"/>
    <cellStyle name="Обычный 6 96 7" xfId="34525" xr:uid="{00000000-0005-0000-0000-0000E8630000}"/>
    <cellStyle name="Обычный 6 96 8" xfId="39865" xr:uid="{00000000-0005-0000-0000-0000E9630000}"/>
    <cellStyle name="Обычный 6 96 9" xfId="45205" xr:uid="{00000000-0005-0000-0000-0000EA630000}"/>
    <cellStyle name="Обычный 6 97" xfId="2513" xr:uid="{00000000-0005-0000-0000-0000EB630000}"/>
    <cellStyle name="Обычный 6 97 10" xfId="50577" xr:uid="{00000000-0005-0000-0000-0000EC630000}"/>
    <cellStyle name="Обычный 6 97 2" xfId="7856" xr:uid="{00000000-0005-0000-0000-0000ED630000}"/>
    <cellStyle name="Обычный 6 97 2 2" xfId="55918" xr:uid="{00000000-0005-0000-0000-0000EE630000}"/>
    <cellStyle name="Обычный 6 97 3" xfId="13197" xr:uid="{00000000-0005-0000-0000-0000EF630000}"/>
    <cellStyle name="Обычный 6 97 4" xfId="18537" xr:uid="{00000000-0005-0000-0000-0000F0630000}"/>
    <cellStyle name="Обычный 6 97 5" xfId="23877" xr:uid="{00000000-0005-0000-0000-0000F1630000}"/>
    <cellStyle name="Обычный 6 97 6" xfId="29217" xr:uid="{00000000-0005-0000-0000-0000F2630000}"/>
    <cellStyle name="Обычный 6 97 7" xfId="34557" xr:uid="{00000000-0005-0000-0000-0000F3630000}"/>
    <cellStyle name="Обычный 6 97 8" xfId="39897" xr:uid="{00000000-0005-0000-0000-0000F4630000}"/>
    <cellStyle name="Обычный 6 97 9" xfId="45237" xr:uid="{00000000-0005-0000-0000-0000F5630000}"/>
    <cellStyle name="Обычный 6 98" xfId="2547" xr:uid="{00000000-0005-0000-0000-0000F6630000}"/>
    <cellStyle name="Обычный 6 98 10" xfId="50611" xr:uid="{00000000-0005-0000-0000-0000F7630000}"/>
    <cellStyle name="Обычный 6 98 2" xfId="7890" xr:uid="{00000000-0005-0000-0000-0000F8630000}"/>
    <cellStyle name="Обычный 6 98 2 2" xfId="55952" xr:uid="{00000000-0005-0000-0000-0000F9630000}"/>
    <cellStyle name="Обычный 6 98 3" xfId="13231" xr:uid="{00000000-0005-0000-0000-0000FA630000}"/>
    <cellStyle name="Обычный 6 98 4" xfId="18571" xr:uid="{00000000-0005-0000-0000-0000FB630000}"/>
    <cellStyle name="Обычный 6 98 5" xfId="23911" xr:uid="{00000000-0005-0000-0000-0000FC630000}"/>
    <cellStyle name="Обычный 6 98 6" xfId="29251" xr:uid="{00000000-0005-0000-0000-0000FD630000}"/>
    <cellStyle name="Обычный 6 98 7" xfId="34591" xr:uid="{00000000-0005-0000-0000-0000FE630000}"/>
    <cellStyle name="Обычный 6 98 8" xfId="39931" xr:uid="{00000000-0005-0000-0000-0000FF630000}"/>
    <cellStyle name="Обычный 6 98 9" xfId="45271" xr:uid="{00000000-0005-0000-0000-000000640000}"/>
    <cellStyle name="Обычный 6 99" xfId="2579" xr:uid="{00000000-0005-0000-0000-000001640000}"/>
    <cellStyle name="Обычный 6 99 10" xfId="50643" xr:uid="{00000000-0005-0000-0000-000002640000}"/>
    <cellStyle name="Обычный 6 99 2" xfId="7922" xr:uid="{00000000-0005-0000-0000-000003640000}"/>
    <cellStyle name="Обычный 6 99 2 2" xfId="55984" xr:uid="{00000000-0005-0000-0000-000004640000}"/>
    <cellStyle name="Обычный 6 99 3" xfId="13263" xr:uid="{00000000-0005-0000-0000-000005640000}"/>
    <cellStyle name="Обычный 6 99 4" xfId="18603" xr:uid="{00000000-0005-0000-0000-000006640000}"/>
    <cellStyle name="Обычный 6 99 5" xfId="23943" xr:uid="{00000000-0005-0000-0000-000007640000}"/>
    <cellStyle name="Обычный 6 99 6" xfId="29283" xr:uid="{00000000-0005-0000-0000-000008640000}"/>
    <cellStyle name="Обычный 6 99 7" xfId="34623" xr:uid="{00000000-0005-0000-0000-000009640000}"/>
    <cellStyle name="Обычный 6 99 8" xfId="39963" xr:uid="{00000000-0005-0000-0000-00000A640000}"/>
    <cellStyle name="Обычный 6 99 9" xfId="45303" xr:uid="{00000000-0005-0000-0000-00000B640000}"/>
    <cellStyle name="Обычный 7" xfId="422" xr:uid="{00000000-0005-0000-0000-00000C640000}"/>
    <cellStyle name="Обычный 7 10" xfId="889" xr:uid="{00000000-0005-0000-0000-00000D640000}"/>
    <cellStyle name="Обычный 7 10 10" xfId="48951" xr:uid="{00000000-0005-0000-0000-00000E640000}"/>
    <cellStyle name="Обычный 7 10 2" xfId="6230" xr:uid="{00000000-0005-0000-0000-00000F640000}"/>
    <cellStyle name="Обычный 7 10 2 2" xfId="54292" xr:uid="{00000000-0005-0000-0000-000010640000}"/>
    <cellStyle name="Обычный 7 10 3" xfId="11571" xr:uid="{00000000-0005-0000-0000-000011640000}"/>
    <cellStyle name="Обычный 7 10 4" xfId="16911" xr:uid="{00000000-0005-0000-0000-000012640000}"/>
    <cellStyle name="Обычный 7 10 5" xfId="22251" xr:uid="{00000000-0005-0000-0000-000013640000}"/>
    <cellStyle name="Обычный 7 10 6" xfId="27591" xr:uid="{00000000-0005-0000-0000-000014640000}"/>
    <cellStyle name="Обычный 7 10 7" xfId="32931" xr:uid="{00000000-0005-0000-0000-000015640000}"/>
    <cellStyle name="Обычный 7 10 8" xfId="38271" xr:uid="{00000000-0005-0000-0000-000016640000}"/>
    <cellStyle name="Обычный 7 10 9" xfId="43611" xr:uid="{00000000-0005-0000-0000-000017640000}"/>
    <cellStyle name="Обычный 7 100" xfId="3576" xr:uid="{00000000-0005-0000-0000-000018640000}"/>
    <cellStyle name="Обычный 7 100 10" xfId="51639" xr:uid="{00000000-0005-0000-0000-000019640000}"/>
    <cellStyle name="Обычный 7 100 2" xfId="8919" xr:uid="{00000000-0005-0000-0000-00001A640000}"/>
    <cellStyle name="Обычный 7 100 2 2" xfId="56980" xr:uid="{00000000-0005-0000-0000-00001B640000}"/>
    <cellStyle name="Обычный 7 100 3" xfId="14259" xr:uid="{00000000-0005-0000-0000-00001C640000}"/>
    <cellStyle name="Обычный 7 100 4" xfId="19599" xr:uid="{00000000-0005-0000-0000-00001D640000}"/>
    <cellStyle name="Обычный 7 100 5" xfId="24939" xr:uid="{00000000-0005-0000-0000-00001E640000}"/>
    <cellStyle name="Обычный 7 100 6" xfId="30279" xr:uid="{00000000-0005-0000-0000-00001F640000}"/>
    <cellStyle name="Обычный 7 100 7" xfId="35619" xr:uid="{00000000-0005-0000-0000-000020640000}"/>
    <cellStyle name="Обычный 7 100 8" xfId="40959" xr:uid="{00000000-0005-0000-0000-000021640000}"/>
    <cellStyle name="Обычный 7 100 9" xfId="46299" xr:uid="{00000000-0005-0000-0000-000022640000}"/>
    <cellStyle name="Обычный 7 101" xfId="3608" xr:uid="{00000000-0005-0000-0000-000023640000}"/>
    <cellStyle name="Обычный 7 101 10" xfId="51671" xr:uid="{00000000-0005-0000-0000-000024640000}"/>
    <cellStyle name="Обычный 7 101 2" xfId="8951" xr:uid="{00000000-0005-0000-0000-000025640000}"/>
    <cellStyle name="Обычный 7 101 2 2" xfId="57012" xr:uid="{00000000-0005-0000-0000-000026640000}"/>
    <cellStyle name="Обычный 7 101 3" xfId="14291" xr:uid="{00000000-0005-0000-0000-000027640000}"/>
    <cellStyle name="Обычный 7 101 4" xfId="19631" xr:uid="{00000000-0005-0000-0000-000028640000}"/>
    <cellStyle name="Обычный 7 101 5" xfId="24971" xr:uid="{00000000-0005-0000-0000-000029640000}"/>
    <cellStyle name="Обычный 7 101 6" xfId="30311" xr:uid="{00000000-0005-0000-0000-00002A640000}"/>
    <cellStyle name="Обычный 7 101 7" xfId="35651" xr:uid="{00000000-0005-0000-0000-00002B640000}"/>
    <cellStyle name="Обычный 7 101 8" xfId="40991" xr:uid="{00000000-0005-0000-0000-00002C640000}"/>
    <cellStyle name="Обычный 7 101 9" xfId="46331" xr:uid="{00000000-0005-0000-0000-00002D640000}"/>
    <cellStyle name="Обычный 7 102" xfId="3640" xr:uid="{00000000-0005-0000-0000-00002E640000}"/>
    <cellStyle name="Обычный 7 102 10" xfId="51703" xr:uid="{00000000-0005-0000-0000-00002F640000}"/>
    <cellStyle name="Обычный 7 102 2" xfId="8983" xr:uid="{00000000-0005-0000-0000-000030640000}"/>
    <cellStyle name="Обычный 7 102 2 2" xfId="57044" xr:uid="{00000000-0005-0000-0000-000031640000}"/>
    <cellStyle name="Обычный 7 102 3" xfId="14323" xr:uid="{00000000-0005-0000-0000-000032640000}"/>
    <cellStyle name="Обычный 7 102 4" xfId="19663" xr:uid="{00000000-0005-0000-0000-000033640000}"/>
    <cellStyle name="Обычный 7 102 5" xfId="25003" xr:uid="{00000000-0005-0000-0000-000034640000}"/>
    <cellStyle name="Обычный 7 102 6" xfId="30343" xr:uid="{00000000-0005-0000-0000-000035640000}"/>
    <cellStyle name="Обычный 7 102 7" xfId="35683" xr:uid="{00000000-0005-0000-0000-000036640000}"/>
    <cellStyle name="Обычный 7 102 8" xfId="41023" xr:uid="{00000000-0005-0000-0000-000037640000}"/>
    <cellStyle name="Обычный 7 102 9" xfId="46363" xr:uid="{00000000-0005-0000-0000-000038640000}"/>
    <cellStyle name="Обычный 7 103" xfId="3672" xr:uid="{00000000-0005-0000-0000-000039640000}"/>
    <cellStyle name="Обычный 7 103 10" xfId="51735" xr:uid="{00000000-0005-0000-0000-00003A640000}"/>
    <cellStyle name="Обычный 7 103 2" xfId="9015" xr:uid="{00000000-0005-0000-0000-00003B640000}"/>
    <cellStyle name="Обычный 7 103 2 2" xfId="57076" xr:uid="{00000000-0005-0000-0000-00003C640000}"/>
    <cellStyle name="Обычный 7 103 3" xfId="14355" xr:uid="{00000000-0005-0000-0000-00003D640000}"/>
    <cellStyle name="Обычный 7 103 4" xfId="19695" xr:uid="{00000000-0005-0000-0000-00003E640000}"/>
    <cellStyle name="Обычный 7 103 5" xfId="25035" xr:uid="{00000000-0005-0000-0000-00003F640000}"/>
    <cellStyle name="Обычный 7 103 6" xfId="30375" xr:uid="{00000000-0005-0000-0000-000040640000}"/>
    <cellStyle name="Обычный 7 103 7" xfId="35715" xr:uid="{00000000-0005-0000-0000-000041640000}"/>
    <cellStyle name="Обычный 7 103 8" xfId="41055" xr:uid="{00000000-0005-0000-0000-000042640000}"/>
    <cellStyle name="Обычный 7 103 9" xfId="46395" xr:uid="{00000000-0005-0000-0000-000043640000}"/>
    <cellStyle name="Обычный 7 104" xfId="3704" xr:uid="{00000000-0005-0000-0000-000044640000}"/>
    <cellStyle name="Обычный 7 104 10" xfId="51767" xr:uid="{00000000-0005-0000-0000-000045640000}"/>
    <cellStyle name="Обычный 7 104 2" xfId="9047" xr:uid="{00000000-0005-0000-0000-000046640000}"/>
    <cellStyle name="Обычный 7 104 2 2" xfId="57108" xr:uid="{00000000-0005-0000-0000-000047640000}"/>
    <cellStyle name="Обычный 7 104 3" xfId="14387" xr:uid="{00000000-0005-0000-0000-000048640000}"/>
    <cellStyle name="Обычный 7 104 4" xfId="19727" xr:uid="{00000000-0005-0000-0000-000049640000}"/>
    <cellStyle name="Обычный 7 104 5" xfId="25067" xr:uid="{00000000-0005-0000-0000-00004A640000}"/>
    <cellStyle name="Обычный 7 104 6" xfId="30407" xr:uid="{00000000-0005-0000-0000-00004B640000}"/>
    <cellStyle name="Обычный 7 104 7" xfId="35747" xr:uid="{00000000-0005-0000-0000-00004C640000}"/>
    <cellStyle name="Обычный 7 104 8" xfId="41087" xr:uid="{00000000-0005-0000-0000-00004D640000}"/>
    <cellStyle name="Обычный 7 104 9" xfId="46427" xr:uid="{00000000-0005-0000-0000-00004E640000}"/>
    <cellStyle name="Обычный 7 105" xfId="3736" xr:uid="{00000000-0005-0000-0000-00004F640000}"/>
    <cellStyle name="Обычный 7 105 10" xfId="51799" xr:uid="{00000000-0005-0000-0000-000050640000}"/>
    <cellStyle name="Обычный 7 105 2" xfId="9079" xr:uid="{00000000-0005-0000-0000-000051640000}"/>
    <cellStyle name="Обычный 7 105 2 2" xfId="57140" xr:uid="{00000000-0005-0000-0000-000052640000}"/>
    <cellStyle name="Обычный 7 105 3" xfId="14419" xr:uid="{00000000-0005-0000-0000-000053640000}"/>
    <cellStyle name="Обычный 7 105 4" xfId="19759" xr:uid="{00000000-0005-0000-0000-000054640000}"/>
    <cellStyle name="Обычный 7 105 5" xfId="25099" xr:uid="{00000000-0005-0000-0000-000055640000}"/>
    <cellStyle name="Обычный 7 105 6" xfId="30439" xr:uid="{00000000-0005-0000-0000-000056640000}"/>
    <cellStyle name="Обычный 7 105 7" xfId="35779" xr:uid="{00000000-0005-0000-0000-000057640000}"/>
    <cellStyle name="Обычный 7 105 8" xfId="41119" xr:uid="{00000000-0005-0000-0000-000058640000}"/>
    <cellStyle name="Обычный 7 105 9" xfId="46459" xr:uid="{00000000-0005-0000-0000-000059640000}"/>
    <cellStyle name="Обычный 7 106" xfId="3768" xr:uid="{00000000-0005-0000-0000-00005A640000}"/>
    <cellStyle name="Обычный 7 106 10" xfId="51831" xr:uid="{00000000-0005-0000-0000-00005B640000}"/>
    <cellStyle name="Обычный 7 106 2" xfId="9111" xr:uid="{00000000-0005-0000-0000-00005C640000}"/>
    <cellStyle name="Обычный 7 106 2 2" xfId="57172" xr:uid="{00000000-0005-0000-0000-00005D640000}"/>
    <cellStyle name="Обычный 7 106 3" xfId="14451" xr:uid="{00000000-0005-0000-0000-00005E640000}"/>
    <cellStyle name="Обычный 7 106 4" xfId="19791" xr:uid="{00000000-0005-0000-0000-00005F640000}"/>
    <cellStyle name="Обычный 7 106 5" xfId="25131" xr:uid="{00000000-0005-0000-0000-000060640000}"/>
    <cellStyle name="Обычный 7 106 6" xfId="30471" xr:uid="{00000000-0005-0000-0000-000061640000}"/>
    <cellStyle name="Обычный 7 106 7" xfId="35811" xr:uid="{00000000-0005-0000-0000-000062640000}"/>
    <cellStyle name="Обычный 7 106 8" xfId="41151" xr:uid="{00000000-0005-0000-0000-000063640000}"/>
    <cellStyle name="Обычный 7 106 9" xfId="46491" xr:uid="{00000000-0005-0000-0000-000064640000}"/>
    <cellStyle name="Обычный 7 107" xfId="3800" xr:uid="{00000000-0005-0000-0000-000065640000}"/>
    <cellStyle name="Обычный 7 107 10" xfId="51863" xr:uid="{00000000-0005-0000-0000-000066640000}"/>
    <cellStyle name="Обычный 7 107 2" xfId="9143" xr:uid="{00000000-0005-0000-0000-000067640000}"/>
    <cellStyle name="Обычный 7 107 2 2" xfId="57204" xr:uid="{00000000-0005-0000-0000-000068640000}"/>
    <cellStyle name="Обычный 7 107 3" xfId="14483" xr:uid="{00000000-0005-0000-0000-000069640000}"/>
    <cellStyle name="Обычный 7 107 4" xfId="19823" xr:uid="{00000000-0005-0000-0000-00006A640000}"/>
    <cellStyle name="Обычный 7 107 5" xfId="25163" xr:uid="{00000000-0005-0000-0000-00006B640000}"/>
    <cellStyle name="Обычный 7 107 6" xfId="30503" xr:uid="{00000000-0005-0000-0000-00006C640000}"/>
    <cellStyle name="Обычный 7 107 7" xfId="35843" xr:uid="{00000000-0005-0000-0000-00006D640000}"/>
    <cellStyle name="Обычный 7 107 8" xfId="41183" xr:uid="{00000000-0005-0000-0000-00006E640000}"/>
    <cellStyle name="Обычный 7 107 9" xfId="46523" xr:uid="{00000000-0005-0000-0000-00006F640000}"/>
    <cellStyle name="Обычный 7 108" xfId="3832" xr:uid="{00000000-0005-0000-0000-000070640000}"/>
    <cellStyle name="Обычный 7 108 10" xfId="51895" xr:uid="{00000000-0005-0000-0000-000071640000}"/>
    <cellStyle name="Обычный 7 108 2" xfId="9175" xr:uid="{00000000-0005-0000-0000-000072640000}"/>
    <cellStyle name="Обычный 7 108 2 2" xfId="57236" xr:uid="{00000000-0005-0000-0000-000073640000}"/>
    <cellStyle name="Обычный 7 108 3" xfId="14515" xr:uid="{00000000-0005-0000-0000-000074640000}"/>
    <cellStyle name="Обычный 7 108 4" xfId="19855" xr:uid="{00000000-0005-0000-0000-000075640000}"/>
    <cellStyle name="Обычный 7 108 5" xfId="25195" xr:uid="{00000000-0005-0000-0000-000076640000}"/>
    <cellStyle name="Обычный 7 108 6" xfId="30535" xr:uid="{00000000-0005-0000-0000-000077640000}"/>
    <cellStyle name="Обычный 7 108 7" xfId="35875" xr:uid="{00000000-0005-0000-0000-000078640000}"/>
    <cellStyle name="Обычный 7 108 8" xfId="41215" xr:uid="{00000000-0005-0000-0000-000079640000}"/>
    <cellStyle name="Обычный 7 108 9" xfId="46555" xr:uid="{00000000-0005-0000-0000-00007A640000}"/>
    <cellStyle name="Обычный 7 109" xfId="3864" xr:uid="{00000000-0005-0000-0000-00007B640000}"/>
    <cellStyle name="Обычный 7 109 10" xfId="51927" xr:uid="{00000000-0005-0000-0000-00007C640000}"/>
    <cellStyle name="Обычный 7 109 2" xfId="9207" xr:uid="{00000000-0005-0000-0000-00007D640000}"/>
    <cellStyle name="Обычный 7 109 2 2" xfId="57268" xr:uid="{00000000-0005-0000-0000-00007E640000}"/>
    <cellStyle name="Обычный 7 109 3" xfId="14547" xr:uid="{00000000-0005-0000-0000-00007F640000}"/>
    <cellStyle name="Обычный 7 109 4" xfId="19887" xr:uid="{00000000-0005-0000-0000-000080640000}"/>
    <cellStyle name="Обычный 7 109 5" xfId="25227" xr:uid="{00000000-0005-0000-0000-000081640000}"/>
    <cellStyle name="Обычный 7 109 6" xfId="30567" xr:uid="{00000000-0005-0000-0000-000082640000}"/>
    <cellStyle name="Обычный 7 109 7" xfId="35907" xr:uid="{00000000-0005-0000-0000-000083640000}"/>
    <cellStyle name="Обычный 7 109 8" xfId="41247" xr:uid="{00000000-0005-0000-0000-000084640000}"/>
    <cellStyle name="Обычный 7 109 9" xfId="46587" xr:uid="{00000000-0005-0000-0000-000085640000}"/>
    <cellStyle name="Обычный 7 11" xfId="997" xr:uid="{00000000-0005-0000-0000-000086640000}"/>
    <cellStyle name="Обычный 7 11 10" xfId="49059" xr:uid="{00000000-0005-0000-0000-000087640000}"/>
    <cellStyle name="Обычный 7 11 2" xfId="6338" xr:uid="{00000000-0005-0000-0000-000088640000}"/>
    <cellStyle name="Обычный 7 11 2 2" xfId="54400" xr:uid="{00000000-0005-0000-0000-000089640000}"/>
    <cellStyle name="Обычный 7 11 3" xfId="11679" xr:uid="{00000000-0005-0000-0000-00008A640000}"/>
    <cellStyle name="Обычный 7 11 4" xfId="17019" xr:uid="{00000000-0005-0000-0000-00008B640000}"/>
    <cellStyle name="Обычный 7 11 5" xfId="22359" xr:uid="{00000000-0005-0000-0000-00008C640000}"/>
    <cellStyle name="Обычный 7 11 6" xfId="27699" xr:uid="{00000000-0005-0000-0000-00008D640000}"/>
    <cellStyle name="Обычный 7 11 7" xfId="33039" xr:uid="{00000000-0005-0000-0000-00008E640000}"/>
    <cellStyle name="Обычный 7 11 8" xfId="38379" xr:uid="{00000000-0005-0000-0000-00008F640000}"/>
    <cellStyle name="Обычный 7 11 9" xfId="43719" xr:uid="{00000000-0005-0000-0000-000090640000}"/>
    <cellStyle name="Обычный 7 110" xfId="3896" xr:uid="{00000000-0005-0000-0000-000091640000}"/>
    <cellStyle name="Обычный 7 110 10" xfId="51959" xr:uid="{00000000-0005-0000-0000-000092640000}"/>
    <cellStyle name="Обычный 7 110 2" xfId="9239" xr:uid="{00000000-0005-0000-0000-000093640000}"/>
    <cellStyle name="Обычный 7 110 2 2" xfId="57300" xr:uid="{00000000-0005-0000-0000-000094640000}"/>
    <cellStyle name="Обычный 7 110 3" xfId="14579" xr:uid="{00000000-0005-0000-0000-000095640000}"/>
    <cellStyle name="Обычный 7 110 4" xfId="19919" xr:uid="{00000000-0005-0000-0000-000096640000}"/>
    <cellStyle name="Обычный 7 110 5" xfId="25259" xr:uid="{00000000-0005-0000-0000-000097640000}"/>
    <cellStyle name="Обычный 7 110 6" xfId="30599" xr:uid="{00000000-0005-0000-0000-000098640000}"/>
    <cellStyle name="Обычный 7 110 7" xfId="35939" xr:uid="{00000000-0005-0000-0000-000099640000}"/>
    <cellStyle name="Обычный 7 110 8" xfId="41279" xr:uid="{00000000-0005-0000-0000-00009A640000}"/>
    <cellStyle name="Обычный 7 110 9" xfId="46619" xr:uid="{00000000-0005-0000-0000-00009B640000}"/>
    <cellStyle name="Обычный 7 111" xfId="3928" xr:uid="{00000000-0005-0000-0000-00009C640000}"/>
    <cellStyle name="Обычный 7 111 10" xfId="51991" xr:uid="{00000000-0005-0000-0000-00009D640000}"/>
    <cellStyle name="Обычный 7 111 2" xfId="9271" xr:uid="{00000000-0005-0000-0000-00009E640000}"/>
    <cellStyle name="Обычный 7 111 2 2" xfId="57332" xr:uid="{00000000-0005-0000-0000-00009F640000}"/>
    <cellStyle name="Обычный 7 111 3" xfId="14611" xr:uid="{00000000-0005-0000-0000-0000A0640000}"/>
    <cellStyle name="Обычный 7 111 4" xfId="19951" xr:uid="{00000000-0005-0000-0000-0000A1640000}"/>
    <cellStyle name="Обычный 7 111 5" xfId="25291" xr:uid="{00000000-0005-0000-0000-0000A2640000}"/>
    <cellStyle name="Обычный 7 111 6" xfId="30631" xr:uid="{00000000-0005-0000-0000-0000A3640000}"/>
    <cellStyle name="Обычный 7 111 7" xfId="35971" xr:uid="{00000000-0005-0000-0000-0000A4640000}"/>
    <cellStyle name="Обычный 7 111 8" xfId="41311" xr:uid="{00000000-0005-0000-0000-0000A5640000}"/>
    <cellStyle name="Обычный 7 111 9" xfId="46651" xr:uid="{00000000-0005-0000-0000-0000A6640000}"/>
    <cellStyle name="Обычный 7 112" xfId="3960" xr:uid="{00000000-0005-0000-0000-0000A7640000}"/>
    <cellStyle name="Обычный 7 112 10" xfId="52023" xr:uid="{00000000-0005-0000-0000-0000A8640000}"/>
    <cellStyle name="Обычный 7 112 2" xfId="9303" xr:uid="{00000000-0005-0000-0000-0000A9640000}"/>
    <cellStyle name="Обычный 7 112 2 2" xfId="57364" xr:uid="{00000000-0005-0000-0000-0000AA640000}"/>
    <cellStyle name="Обычный 7 112 3" xfId="14643" xr:uid="{00000000-0005-0000-0000-0000AB640000}"/>
    <cellStyle name="Обычный 7 112 4" xfId="19983" xr:uid="{00000000-0005-0000-0000-0000AC640000}"/>
    <cellStyle name="Обычный 7 112 5" xfId="25323" xr:uid="{00000000-0005-0000-0000-0000AD640000}"/>
    <cellStyle name="Обычный 7 112 6" xfId="30663" xr:uid="{00000000-0005-0000-0000-0000AE640000}"/>
    <cellStyle name="Обычный 7 112 7" xfId="36003" xr:uid="{00000000-0005-0000-0000-0000AF640000}"/>
    <cellStyle name="Обычный 7 112 8" xfId="41343" xr:uid="{00000000-0005-0000-0000-0000B0640000}"/>
    <cellStyle name="Обычный 7 112 9" xfId="46683" xr:uid="{00000000-0005-0000-0000-0000B1640000}"/>
    <cellStyle name="Обычный 7 113" xfId="3992" xr:uid="{00000000-0005-0000-0000-0000B2640000}"/>
    <cellStyle name="Обычный 7 113 10" xfId="52055" xr:uid="{00000000-0005-0000-0000-0000B3640000}"/>
    <cellStyle name="Обычный 7 113 2" xfId="9335" xr:uid="{00000000-0005-0000-0000-0000B4640000}"/>
    <cellStyle name="Обычный 7 113 2 2" xfId="57396" xr:uid="{00000000-0005-0000-0000-0000B5640000}"/>
    <cellStyle name="Обычный 7 113 3" xfId="14675" xr:uid="{00000000-0005-0000-0000-0000B6640000}"/>
    <cellStyle name="Обычный 7 113 4" xfId="20015" xr:uid="{00000000-0005-0000-0000-0000B7640000}"/>
    <cellStyle name="Обычный 7 113 5" xfId="25355" xr:uid="{00000000-0005-0000-0000-0000B8640000}"/>
    <cellStyle name="Обычный 7 113 6" xfId="30695" xr:uid="{00000000-0005-0000-0000-0000B9640000}"/>
    <cellStyle name="Обычный 7 113 7" xfId="36035" xr:uid="{00000000-0005-0000-0000-0000BA640000}"/>
    <cellStyle name="Обычный 7 113 8" xfId="41375" xr:uid="{00000000-0005-0000-0000-0000BB640000}"/>
    <cellStyle name="Обычный 7 113 9" xfId="46715" xr:uid="{00000000-0005-0000-0000-0000BC640000}"/>
    <cellStyle name="Обычный 7 114" xfId="4024" xr:uid="{00000000-0005-0000-0000-0000BD640000}"/>
    <cellStyle name="Обычный 7 114 10" xfId="52087" xr:uid="{00000000-0005-0000-0000-0000BE640000}"/>
    <cellStyle name="Обычный 7 114 2" xfId="9367" xr:uid="{00000000-0005-0000-0000-0000BF640000}"/>
    <cellStyle name="Обычный 7 114 2 2" xfId="57428" xr:uid="{00000000-0005-0000-0000-0000C0640000}"/>
    <cellStyle name="Обычный 7 114 3" xfId="14707" xr:uid="{00000000-0005-0000-0000-0000C1640000}"/>
    <cellStyle name="Обычный 7 114 4" xfId="20047" xr:uid="{00000000-0005-0000-0000-0000C2640000}"/>
    <cellStyle name="Обычный 7 114 5" xfId="25387" xr:uid="{00000000-0005-0000-0000-0000C3640000}"/>
    <cellStyle name="Обычный 7 114 6" xfId="30727" xr:uid="{00000000-0005-0000-0000-0000C4640000}"/>
    <cellStyle name="Обычный 7 114 7" xfId="36067" xr:uid="{00000000-0005-0000-0000-0000C5640000}"/>
    <cellStyle name="Обычный 7 114 8" xfId="41407" xr:uid="{00000000-0005-0000-0000-0000C6640000}"/>
    <cellStyle name="Обычный 7 114 9" xfId="46747" xr:uid="{00000000-0005-0000-0000-0000C7640000}"/>
    <cellStyle name="Обычный 7 115" xfId="4056" xr:uid="{00000000-0005-0000-0000-0000C8640000}"/>
    <cellStyle name="Обычный 7 115 10" xfId="52119" xr:uid="{00000000-0005-0000-0000-0000C9640000}"/>
    <cellStyle name="Обычный 7 115 2" xfId="9399" xr:uid="{00000000-0005-0000-0000-0000CA640000}"/>
    <cellStyle name="Обычный 7 115 2 2" xfId="57460" xr:uid="{00000000-0005-0000-0000-0000CB640000}"/>
    <cellStyle name="Обычный 7 115 3" xfId="14739" xr:uid="{00000000-0005-0000-0000-0000CC640000}"/>
    <cellStyle name="Обычный 7 115 4" xfId="20079" xr:uid="{00000000-0005-0000-0000-0000CD640000}"/>
    <cellStyle name="Обычный 7 115 5" xfId="25419" xr:uid="{00000000-0005-0000-0000-0000CE640000}"/>
    <cellStyle name="Обычный 7 115 6" xfId="30759" xr:uid="{00000000-0005-0000-0000-0000CF640000}"/>
    <cellStyle name="Обычный 7 115 7" xfId="36099" xr:uid="{00000000-0005-0000-0000-0000D0640000}"/>
    <cellStyle name="Обычный 7 115 8" xfId="41439" xr:uid="{00000000-0005-0000-0000-0000D1640000}"/>
    <cellStyle name="Обычный 7 115 9" xfId="46779" xr:uid="{00000000-0005-0000-0000-0000D2640000}"/>
    <cellStyle name="Обычный 7 116" xfId="4088" xr:uid="{00000000-0005-0000-0000-0000D3640000}"/>
    <cellStyle name="Обычный 7 116 10" xfId="52151" xr:uid="{00000000-0005-0000-0000-0000D4640000}"/>
    <cellStyle name="Обычный 7 116 2" xfId="9431" xr:uid="{00000000-0005-0000-0000-0000D5640000}"/>
    <cellStyle name="Обычный 7 116 2 2" xfId="57492" xr:uid="{00000000-0005-0000-0000-0000D6640000}"/>
    <cellStyle name="Обычный 7 116 3" xfId="14771" xr:uid="{00000000-0005-0000-0000-0000D7640000}"/>
    <cellStyle name="Обычный 7 116 4" xfId="20111" xr:uid="{00000000-0005-0000-0000-0000D8640000}"/>
    <cellStyle name="Обычный 7 116 5" xfId="25451" xr:uid="{00000000-0005-0000-0000-0000D9640000}"/>
    <cellStyle name="Обычный 7 116 6" xfId="30791" xr:uid="{00000000-0005-0000-0000-0000DA640000}"/>
    <cellStyle name="Обычный 7 116 7" xfId="36131" xr:uid="{00000000-0005-0000-0000-0000DB640000}"/>
    <cellStyle name="Обычный 7 116 8" xfId="41471" xr:uid="{00000000-0005-0000-0000-0000DC640000}"/>
    <cellStyle name="Обычный 7 116 9" xfId="46811" xr:uid="{00000000-0005-0000-0000-0000DD640000}"/>
    <cellStyle name="Обычный 7 117" xfId="4120" xr:uid="{00000000-0005-0000-0000-0000DE640000}"/>
    <cellStyle name="Обычный 7 117 10" xfId="52183" xr:uid="{00000000-0005-0000-0000-0000DF640000}"/>
    <cellStyle name="Обычный 7 117 2" xfId="9463" xr:uid="{00000000-0005-0000-0000-0000E0640000}"/>
    <cellStyle name="Обычный 7 117 2 2" xfId="57524" xr:uid="{00000000-0005-0000-0000-0000E1640000}"/>
    <cellStyle name="Обычный 7 117 3" xfId="14803" xr:uid="{00000000-0005-0000-0000-0000E2640000}"/>
    <cellStyle name="Обычный 7 117 4" xfId="20143" xr:uid="{00000000-0005-0000-0000-0000E3640000}"/>
    <cellStyle name="Обычный 7 117 5" xfId="25483" xr:uid="{00000000-0005-0000-0000-0000E4640000}"/>
    <cellStyle name="Обычный 7 117 6" xfId="30823" xr:uid="{00000000-0005-0000-0000-0000E5640000}"/>
    <cellStyle name="Обычный 7 117 7" xfId="36163" xr:uid="{00000000-0005-0000-0000-0000E6640000}"/>
    <cellStyle name="Обычный 7 117 8" xfId="41503" xr:uid="{00000000-0005-0000-0000-0000E7640000}"/>
    <cellStyle name="Обычный 7 117 9" xfId="46843" xr:uid="{00000000-0005-0000-0000-0000E8640000}"/>
    <cellStyle name="Обычный 7 118" xfId="4152" xr:uid="{00000000-0005-0000-0000-0000E9640000}"/>
    <cellStyle name="Обычный 7 118 10" xfId="52215" xr:uid="{00000000-0005-0000-0000-0000EA640000}"/>
    <cellStyle name="Обычный 7 118 2" xfId="9495" xr:uid="{00000000-0005-0000-0000-0000EB640000}"/>
    <cellStyle name="Обычный 7 118 2 2" xfId="57556" xr:uid="{00000000-0005-0000-0000-0000EC640000}"/>
    <cellStyle name="Обычный 7 118 3" xfId="14835" xr:uid="{00000000-0005-0000-0000-0000ED640000}"/>
    <cellStyle name="Обычный 7 118 4" xfId="20175" xr:uid="{00000000-0005-0000-0000-0000EE640000}"/>
    <cellStyle name="Обычный 7 118 5" xfId="25515" xr:uid="{00000000-0005-0000-0000-0000EF640000}"/>
    <cellStyle name="Обычный 7 118 6" xfId="30855" xr:uid="{00000000-0005-0000-0000-0000F0640000}"/>
    <cellStyle name="Обычный 7 118 7" xfId="36195" xr:uid="{00000000-0005-0000-0000-0000F1640000}"/>
    <cellStyle name="Обычный 7 118 8" xfId="41535" xr:uid="{00000000-0005-0000-0000-0000F2640000}"/>
    <cellStyle name="Обычный 7 118 9" xfId="46875" xr:uid="{00000000-0005-0000-0000-0000F3640000}"/>
    <cellStyle name="Обычный 7 119" xfId="4184" xr:uid="{00000000-0005-0000-0000-0000F4640000}"/>
    <cellStyle name="Обычный 7 119 10" xfId="52247" xr:uid="{00000000-0005-0000-0000-0000F5640000}"/>
    <cellStyle name="Обычный 7 119 2" xfId="9527" xr:uid="{00000000-0005-0000-0000-0000F6640000}"/>
    <cellStyle name="Обычный 7 119 2 2" xfId="57588" xr:uid="{00000000-0005-0000-0000-0000F7640000}"/>
    <cellStyle name="Обычный 7 119 3" xfId="14867" xr:uid="{00000000-0005-0000-0000-0000F8640000}"/>
    <cellStyle name="Обычный 7 119 4" xfId="20207" xr:uid="{00000000-0005-0000-0000-0000F9640000}"/>
    <cellStyle name="Обычный 7 119 5" xfId="25547" xr:uid="{00000000-0005-0000-0000-0000FA640000}"/>
    <cellStyle name="Обычный 7 119 6" xfId="30887" xr:uid="{00000000-0005-0000-0000-0000FB640000}"/>
    <cellStyle name="Обычный 7 119 7" xfId="36227" xr:uid="{00000000-0005-0000-0000-0000FC640000}"/>
    <cellStyle name="Обычный 7 119 8" xfId="41567" xr:uid="{00000000-0005-0000-0000-0000FD640000}"/>
    <cellStyle name="Обычный 7 119 9" xfId="46907" xr:uid="{00000000-0005-0000-0000-0000FE640000}"/>
    <cellStyle name="Обычный 7 12" xfId="1021" xr:uid="{00000000-0005-0000-0000-0000FF640000}"/>
    <cellStyle name="Обычный 7 12 10" xfId="49083" xr:uid="{00000000-0005-0000-0000-000000650000}"/>
    <cellStyle name="Обычный 7 12 2" xfId="6362" xr:uid="{00000000-0005-0000-0000-000001650000}"/>
    <cellStyle name="Обычный 7 12 2 2" xfId="54424" xr:uid="{00000000-0005-0000-0000-000002650000}"/>
    <cellStyle name="Обычный 7 12 3" xfId="11703" xr:uid="{00000000-0005-0000-0000-000003650000}"/>
    <cellStyle name="Обычный 7 12 4" xfId="17043" xr:uid="{00000000-0005-0000-0000-000004650000}"/>
    <cellStyle name="Обычный 7 12 5" xfId="22383" xr:uid="{00000000-0005-0000-0000-000005650000}"/>
    <cellStyle name="Обычный 7 12 6" xfId="27723" xr:uid="{00000000-0005-0000-0000-000006650000}"/>
    <cellStyle name="Обычный 7 12 7" xfId="33063" xr:uid="{00000000-0005-0000-0000-000007650000}"/>
    <cellStyle name="Обычный 7 12 8" xfId="38403" xr:uid="{00000000-0005-0000-0000-000008650000}"/>
    <cellStyle name="Обычный 7 12 9" xfId="43743" xr:uid="{00000000-0005-0000-0000-000009650000}"/>
    <cellStyle name="Обычный 7 120" xfId="4216" xr:uid="{00000000-0005-0000-0000-00000A650000}"/>
    <cellStyle name="Обычный 7 120 10" xfId="52279" xr:uid="{00000000-0005-0000-0000-00000B650000}"/>
    <cellStyle name="Обычный 7 120 2" xfId="9559" xr:uid="{00000000-0005-0000-0000-00000C650000}"/>
    <cellStyle name="Обычный 7 120 2 2" xfId="57620" xr:uid="{00000000-0005-0000-0000-00000D650000}"/>
    <cellStyle name="Обычный 7 120 3" xfId="14899" xr:uid="{00000000-0005-0000-0000-00000E650000}"/>
    <cellStyle name="Обычный 7 120 4" xfId="20239" xr:uid="{00000000-0005-0000-0000-00000F650000}"/>
    <cellStyle name="Обычный 7 120 5" xfId="25579" xr:uid="{00000000-0005-0000-0000-000010650000}"/>
    <cellStyle name="Обычный 7 120 6" xfId="30919" xr:uid="{00000000-0005-0000-0000-000011650000}"/>
    <cellStyle name="Обычный 7 120 7" xfId="36259" xr:uid="{00000000-0005-0000-0000-000012650000}"/>
    <cellStyle name="Обычный 7 120 8" xfId="41599" xr:uid="{00000000-0005-0000-0000-000013650000}"/>
    <cellStyle name="Обычный 7 120 9" xfId="46939" xr:uid="{00000000-0005-0000-0000-000014650000}"/>
    <cellStyle name="Обычный 7 121" xfId="4248" xr:uid="{00000000-0005-0000-0000-000015650000}"/>
    <cellStyle name="Обычный 7 121 10" xfId="52311" xr:uid="{00000000-0005-0000-0000-000016650000}"/>
    <cellStyle name="Обычный 7 121 2" xfId="9591" xr:uid="{00000000-0005-0000-0000-000017650000}"/>
    <cellStyle name="Обычный 7 121 2 2" xfId="57652" xr:uid="{00000000-0005-0000-0000-000018650000}"/>
    <cellStyle name="Обычный 7 121 3" xfId="14931" xr:uid="{00000000-0005-0000-0000-000019650000}"/>
    <cellStyle name="Обычный 7 121 4" xfId="20271" xr:uid="{00000000-0005-0000-0000-00001A650000}"/>
    <cellStyle name="Обычный 7 121 5" xfId="25611" xr:uid="{00000000-0005-0000-0000-00001B650000}"/>
    <cellStyle name="Обычный 7 121 6" xfId="30951" xr:uid="{00000000-0005-0000-0000-00001C650000}"/>
    <cellStyle name="Обычный 7 121 7" xfId="36291" xr:uid="{00000000-0005-0000-0000-00001D650000}"/>
    <cellStyle name="Обычный 7 121 8" xfId="41631" xr:uid="{00000000-0005-0000-0000-00001E650000}"/>
    <cellStyle name="Обычный 7 121 9" xfId="46971" xr:uid="{00000000-0005-0000-0000-00001F650000}"/>
    <cellStyle name="Обычный 7 122" xfId="4280" xr:uid="{00000000-0005-0000-0000-000020650000}"/>
    <cellStyle name="Обычный 7 122 10" xfId="52343" xr:uid="{00000000-0005-0000-0000-000021650000}"/>
    <cellStyle name="Обычный 7 122 2" xfId="9623" xr:uid="{00000000-0005-0000-0000-000022650000}"/>
    <cellStyle name="Обычный 7 122 2 2" xfId="57684" xr:uid="{00000000-0005-0000-0000-000023650000}"/>
    <cellStyle name="Обычный 7 122 3" xfId="14963" xr:uid="{00000000-0005-0000-0000-000024650000}"/>
    <cellStyle name="Обычный 7 122 4" xfId="20303" xr:uid="{00000000-0005-0000-0000-000025650000}"/>
    <cellStyle name="Обычный 7 122 5" xfId="25643" xr:uid="{00000000-0005-0000-0000-000026650000}"/>
    <cellStyle name="Обычный 7 122 6" xfId="30983" xr:uid="{00000000-0005-0000-0000-000027650000}"/>
    <cellStyle name="Обычный 7 122 7" xfId="36323" xr:uid="{00000000-0005-0000-0000-000028650000}"/>
    <cellStyle name="Обычный 7 122 8" xfId="41663" xr:uid="{00000000-0005-0000-0000-000029650000}"/>
    <cellStyle name="Обычный 7 122 9" xfId="47003" xr:uid="{00000000-0005-0000-0000-00002A650000}"/>
    <cellStyle name="Обычный 7 123" xfId="4312" xr:uid="{00000000-0005-0000-0000-00002B650000}"/>
    <cellStyle name="Обычный 7 123 10" xfId="52375" xr:uid="{00000000-0005-0000-0000-00002C650000}"/>
    <cellStyle name="Обычный 7 123 2" xfId="9655" xr:uid="{00000000-0005-0000-0000-00002D650000}"/>
    <cellStyle name="Обычный 7 123 2 2" xfId="57716" xr:uid="{00000000-0005-0000-0000-00002E650000}"/>
    <cellStyle name="Обычный 7 123 3" xfId="14995" xr:uid="{00000000-0005-0000-0000-00002F650000}"/>
    <cellStyle name="Обычный 7 123 4" xfId="20335" xr:uid="{00000000-0005-0000-0000-000030650000}"/>
    <cellStyle name="Обычный 7 123 5" xfId="25675" xr:uid="{00000000-0005-0000-0000-000031650000}"/>
    <cellStyle name="Обычный 7 123 6" xfId="31015" xr:uid="{00000000-0005-0000-0000-000032650000}"/>
    <cellStyle name="Обычный 7 123 7" xfId="36355" xr:uid="{00000000-0005-0000-0000-000033650000}"/>
    <cellStyle name="Обычный 7 123 8" xfId="41695" xr:uid="{00000000-0005-0000-0000-000034650000}"/>
    <cellStyle name="Обычный 7 123 9" xfId="47035" xr:uid="{00000000-0005-0000-0000-000035650000}"/>
    <cellStyle name="Обычный 7 124" xfId="4344" xr:uid="{00000000-0005-0000-0000-000036650000}"/>
    <cellStyle name="Обычный 7 124 10" xfId="52407" xr:uid="{00000000-0005-0000-0000-000037650000}"/>
    <cellStyle name="Обычный 7 124 2" xfId="9687" xr:uid="{00000000-0005-0000-0000-000038650000}"/>
    <cellStyle name="Обычный 7 124 2 2" xfId="57748" xr:uid="{00000000-0005-0000-0000-000039650000}"/>
    <cellStyle name="Обычный 7 124 3" xfId="15027" xr:uid="{00000000-0005-0000-0000-00003A650000}"/>
    <cellStyle name="Обычный 7 124 4" xfId="20367" xr:uid="{00000000-0005-0000-0000-00003B650000}"/>
    <cellStyle name="Обычный 7 124 5" xfId="25707" xr:uid="{00000000-0005-0000-0000-00003C650000}"/>
    <cellStyle name="Обычный 7 124 6" xfId="31047" xr:uid="{00000000-0005-0000-0000-00003D650000}"/>
    <cellStyle name="Обычный 7 124 7" xfId="36387" xr:uid="{00000000-0005-0000-0000-00003E650000}"/>
    <cellStyle name="Обычный 7 124 8" xfId="41727" xr:uid="{00000000-0005-0000-0000-00003F650000}"/>
    <cellStyle name="Обычный 7 124 9" xfId="47067" xr:uid="{00000000-0005-0000-0000-000040650000}"/>
    <cellStyle name="Обычный 7 125" xfId="4376" xr:uid="{00000000-0005-0000-0000-000041650000}"/>
    <cellStyle name="Обычный 7 125 10" xfId="52439" xr:uid="{00000000-0005-0000-0000-000042650000}"/>
    <cellStyle name="Обычный 7 125 2" xfId="9719" xr:uid="{00000000-0005-0000-0000-000043650000}"/>
    <cellStyle name="Обычный 7 125 2 2" xfId="57780" xr:uid="{00000000-0005-0000-0000-000044650000}"/>
    <cellStyle name="Обычный 7 125 3" xfId="15059" xr:uid="{00000000-0005-0000-0000-000045650000}"/>
    <cellStyle name="Обычный 7 125 4" xfId="20399" xr:uid="{00000000-0005-0000-0000-000046650000}"/>
    <cellStyle name="Обычный 7 125 5" xfId="25739" xr:uid="{00000000-0005-0000-0000-000047650000}"/>
    <cellStyle name="Обычный 7 125 6" xfId="31079" xr:uid="{00000000-0005-0000-0000-000048650000}"/>
    <cellStyle name="Обычный 7 125 7" xfId="36419" xr:uid="{00000000-0005-0000-0000-000049650000}"/>
    <cellStyle name="Обычный 7 125 8" xfId="41759" xr:uid="{00000000-0005-0000-0000-00004A650000}"/>
    <cellStyle name="Обычный 7 125 9" xfId="47099" xr:uid="{00000000-0005-0000-0000-00004B650000}"/>
    <cellStyle name="Обычный 7 126" xfId="4408" xr:uid="{00000000-0005-0000-0000-00004C650000}"/>
    <cellStyle name="Обычный 7 126 10" xfId="52471" xr:uid="{00000000-0005-0000-0000-00004D650000}"/>
    <cellStyle name="Обычный 7 126 2" xfId="9751" xr:uid="{00000000-0005-0000-0000-00004E650000}"/>
    <cellStyle name="Обычный 7 126 2 2" xfId="57812" xr:uid="{00000000-0005-0000-0000-00004F650000}"/>
    <cellStyle name="Обычный 7 126 3" xfId="15091" xr:uid="{00000000-0005-0000-0000-000050650000}"/>
    <cellStyle name="Обычный 7 126 4" xfId="20431" xr:uid="{00000000-0005-0000-0000-000051650000}"/>
    <cellStyle name="Обычный 7 126 5" xfId="25771" xr:uid="{00000000-0005-0000-0000-000052650000}"/>
    <cellStyle name="Обычный 7 126 6" xfId="31111" xr:uid="{00000000-0005-0000-0000-000053650000}"/>
    <cellStyle name="Обычный 7 126 7" xfId="36451" xr:uid="{00000000-0005-0000-0000-000054650000}"/>
    <cellStyle name="Обычный 7 126 8" xfId="41791" xr:uid="{00000000-0005-0000-0000-000055650000}"/>
    <cellStyle name="Обычный 7 126 9" xfId="47131" xr:uid="{00000000-0005-0000-0000-000056650000}"/>
    <cellStyle name="Обычный 7 127" xfId="4440" xr:uid="{00000000-0005-0000-0000-000057650000}"/>
    <cellStyle name="Обычный 7 127 10" xfId="52503" xr:uid="{00000000-0005-0000-0000-000058650000}"/>
    <cellStyle name="Обычный 7 127 2" xfId="9783" xr:uid="{00000000-0005-0000-0000-000059650000}"/>
    <cellStyle name="Обычный 7 127 2 2" xfId="57844" xr:uid="{00000000-0005-0000-0000-00005A650000}"/>
    <cellStyle name="Обычный 7 127 3" xfId="15123" xr:uid="{00000000-0005-0000-0000-00005B650000}"/>
    <cellStyle name="Обычный 7 127 4" xfId="20463" xr:uid="{00000000-0005-0000-0000-00005C650000}"/>
    <cellStyle name="Обычный 7 127 5" xfId="25803" xr:uid="{00000000-0005-0000-0000-00005D650000}"/>
    <cellStyle name="Обычный 7 127 6" xfId="31143" xr:uid="{00000000-0005-0000-0000-00005E650000}"/>
    <cellStyle name="Обычный 7 127 7" xfId="36483" xr:uid="{00000000-0005-0000-0000-00005F650000}"/>
    <cellStyle name="Обычный 7 127 8" xfId="41823" xr:uid="{00000000-0005-0000-0000-000060650000}"/>
    <cellStyle name="Обычный 7 127 9" xfId="47163" xr:uid="{00000000-0005-0000-0000-000061650000}"/>
    <cellStyle name="Обычный 7 128" xfId="4472" xr:uid="{00000000-0005-0000-0000-000062650000}"/>
    <cellStyle name="Обычный 7 128 10" xfId="52535" xr:uid="{00000000-0005-0000-0000-000063650000}"/>
    <cellStyle name="Обычный 7 128 2" xfId="9815" xr:uid="{00000000-0005-0000-0000-000064650000}"/>
    <cellStyle name="Обычный 7 128 2 2" xfId="57876" xr:uid="{00000000-0005-0000-0000-000065650000}"/>
    <cellStyle name="Обычный 7 128 3" xfId="15155" xr:uid="{00000000-0005-0000-0000-000066650000}"/>
    <cellStyle name="Обычный 7 128 4" xfId="20495" xr:uid="{00000000-0005-0000-0000-000067650000}"/>
    <cellStyle name="Обычный 7 128 5" xfId="25835" xr:uid="{00000000-0005-0000-0000-000068650000}"/>
    <cellStyle name="Обычный 7 128 6" xfId="31175" xr:uid="{00000000-0005-0000-0000-000069650000}"/>
    <cellStyle name="Обычный 7 128 7" xfId="36515" xr:uid="{00000000-0005-0000-0000-00006A650000}"/>
    <cellStyle name="Обычный 7 128 8" xfId="41855" xr:uid="{00000000-0005-0000-0000-00006B650000}"/>
    <cellStyle name="Обычный 7 128 9" xfId="47195" xr:uid="{00000000-0005-0000-0000-00006C650000}"/>
    <cellStyle name="Обычный 7 129" xfId="4504" xr:uid="{00000000-0005-0000-0000-00006D650000}"/>
    <cellStyle name="Обычный 7 129 10" xfId="52567" xr:uid="{00000000-0005-0000-0000-00006E650000}"/>
    <cellStyle name="Обычный 7 129 2" xfId="9847" xr:uid="{00000000-0005-0000-0000-00006F650000}"/>
    <cellStyle name="Обычный 7 129 2 2" xfId="57908" xr:uid="{00000000-0005-0000-0000-000070650000}"/>
    <cellStyle name="Обычный 7 129 3" xfId="15187" xr:uid="{00000000-0005-0000-0000-000071650000}"/>
    <cellStyle name="Обычный 7 129 4" xfId="20527" xr:uid="{00000000-0005-0000-0000-000072650000}"/>
    <cellStyle name="Обычный 7 129 5" xfId="25867" xr:uid="{00000000-0005-0000-0000-000073650000}"/>
    <cellStyle name="Обычный 7 129 6" xfId="31207" xr:uid="{00000000-0005-0000-0000-000074650000}"/>
    <cellStyle name="Обычный 7 129 7" xfId="36547" xr:uid="{00000000-0005-0000-0000-000075650000}"/>
    <cellStyle name="Обычный 7 129 8" xfId="41887" xr:uid="{00000000-0005-0000-0000-000076650000}"/>
    <cellStyle name="Обычный 7 129 9" xfId="47227" xr:uid="{00000000-0005-0000-0000-000077650000}"/>
    <cellStyle name="Обычный 7 13" xfId="1045" xr:uid="{00000000-0005-0000-0000-000078650000}"/>
    <cellStyle name="Обычный 7 13 10" xfId="49107" xr:uid="{00000000-0005-0000-0000-000079650000}"/>
    <cellStyle name="Обычный 7 13 2" xfId="6386" xr:uid="{00000000-0005-0000-0000-00007A650000}"/>
    <cellStyle name="Обычный 7 13 2 2" xfId="54448" xr:uid="{00000000-0005-0000-0000-00007B650000}"/>
    <cellStyle name="Обычный 7 13 3" xfId="11727" xr:uid="{00000000-0005-0000-0000-00007C650000}"/>
    <cellStyle name="Обычный 7 13 4" xfId="17067" xr:uid="{00000000-0005-0000-0000-00007D650000}"/>
    <cellStyle name="Обычный 7 13 5" xfId="22407" xr:uid="{00000000-0005-0000-0000-00007E650000}"/>
    <cellStyle name="Обычный 7 13 6" xfId="27747" xr:uid="{00000000-0005-0000-0000-00007F650000}"/>
    <cellStyle name="Обычный 7 13 7" xfId="33087" xr:uid="{00000000-0005-0000-0000-000080650000}"/>
    <cellStyle name="Обычный 7 13 8" xfId="38427" xr:uid="{00000000-0005-0000-0000-000081650000}"/>
    <cellStyle name="Обычный 7 13 9" xfId="43767" xr:uid="{00000000-0005-0000-0000-000082650000}"/>
    <cellStyle name="Обычный 7 130" xfId="4536" xr:uid="{00000000-0005-0000-0000-000083650000}"/>
    <cellStyle name="Обычный 7 130 10" xfId="52599" xr:uid="{00000000-0005-0000-0000-000084650000}"/>
    <cellStyle name="Обычный 7 130 2" xfId="9879" xr:uid="{00000000-0005-0000-0000-000085650000}"/>
    <cellStyle name="Обычный 7 130 2 2" xfId="57940" xr:uid="{00000000-0005-0000-0000-000086650000}"/>
    <cellStyle name="Обычный 7 130 3" xfId="15219" xr:uid="{00000000-0005-0000-0000-000087650000}"/>
    <cellStyle name="Обычный 7 130 4" xfId="20559" xr:uid="{00000000-0005-0000-0000-000088650000}"/>
    <cellStyle name="Обычный 7 130 5" xfId="25899" xr:uid="{00000000-0005-0000-0000-000089650000}"/>
    <cellStyle name="Обычный 7 130 6" xfId="31239" xr:uid="{00000000-0005-0000-0000-00008A650000}"/>
    <cellStyle name="Обычный 7 130 7" xfId="36579" xr:uid="{00000000-0005-0000-0000-00008B650000}"/>
    <cellStyle name="Обычный 7 130 8" xfId="41919" xr:uid="{00000000-0005-0000-0000-00008C650000}"/>
    <cellStyle name="Обычный 7 130 9" xfId="47259" xr:uid="{00000000-0005-0000-0000-00008D650000}"/>
    <cellStyle name="Обычный 7 131" xfId="4568" xr:uid="{00000000-0005-0000-0000-00008E650000}"/>
    <cellStyle name="Обычный 7 131 10" xfId="52631" xr:uid="{00000000-0005-0000-0000-00008F650000}"/>
    <cellStyle name="Обычный 7 131 2" xfId="9911" xr:uid="{00000000-0005-0000-0000-000090650000}"/>
    <cellStyle name="Обычный 7 131 2 2" xfId="57972" xr:uid="{00000000-0005-0000-0000-000091650000}"/>
    <cellStyle name="Обычный 7 131 3" xfId="15251" xr:uid="{00000000-0005-0000-0000-000092650000}"/>
    <cellStyle name="Обычный 7 131 4" xfId="20591" xr:uid="{00000000-0005-0000-0000-000093650000}"/>
    <cellStyle name="Обычный 7 131 5" xfId="25931" xr:uid="{00000000-0005-0000-0000-000094650000}"/>
    <cellStyle name="Обычный 7 131 6" xfId="31271" xr:uid="{00000000-0005-0000-0000-000095650000}"/>
    <cellStyle name="Обычный 7 131 7" xfId="36611" xr:uid="{00000000-0005-0000-0000-000096650000}"/>
    <cellStyle name="Обычный 7 131 8" xfId="41951" xr:uid="{00000000-0005-0000-0000-000097650000}"/>
    <cellStyle name="Обычный 7 131 9" xfId="47291" xr:uid="{00000000-0005-0000-0000-000098650000}"/>
    <cellStyle name="Обычный 7 132" xfId="4600" xr:uid="{00000000-0005-0000-0000-000099650000}"/>
    <cellStyle name="Обычный 7 132 10" xfId="52663" xr:uid="{00000000-0005-0000-0000-00009A650000}"/>
    <cellStyle name="Обычный 7 132 2" xfId="9943" xr:uid="{00000000-0005-0000-0000-00009B650000}"/>
    <cellStyle name="Обычный 7 132 2 2" xfId="58004" xr:uid="{00000000-0005-0000-0000-00009C650000}"/>
    <cellStyle name="Обычный 7 132 3" xfId="15283" xr:uid="{00000000-0005-0000-0000-00009D650000}"/>
    <cellStyle name="Обычный 7 132 4" xfId="20623" xr:uid="{00000000-0005-0000-0000-00009E650000}"/>
    <cellStyle name="Обычный 7 132 5" xfId="25963" xr:uid="{00000000-0005-0000-0000-00009F650000}"/>
    <cellStyle name="Обычный 7 132 6" xfId="31303" xr:uid="{00000000-0005-0000-0000-0000A0650000}"/>
    <cellStyle name="Обычный 7 132 7" xfId="36643" xr:uid="{00000000-0005-0000-0000-0000A1650000}"/>
    <cellStyle name="Обычный 7 132 8" xfId="41983" xr:uid="{00000000-0005-0000-0000-0000A2650000}"/>
    <cellStyle name="Обычный 7 132 9" xfId="47323" xr:uid="{00000000-0005-0000-0000-0000A3650000}"/>
    <cellStyle name="Обычный 7 133" xfId="4632" xr:uid="{00000000-0005-0000-0000-0000A4650000}"/>
    <cellStyle name="Обычный 7 133 10" xfId="52695" xr:uid="{00000000-0005-0000-0000-0000A5650000}"/>
    <cellStyle name="Обычный 7 133 2" xfId="9975" xr:uid="{00000000-0005-0000-0000-0000A6650000}"/>
    <cellStyle name="Обычный 7 133 2 2" xfId="58036" xr:uid="{00000000-0005-0000-0000-0000A7650000}"/>
    <cellStyle name="Обычный 7 133 3" xfId="15315" xr:uid="{00000000-0005-0000-0000-0000A8650000}"/>
    <cellStyle name="Обычный 7 133 4" xfId="20655" xr:uid="{00000000-0005-0000-0000-0000A9650000}"/>
    <cellStyle name="Обычный 7 133 5" xfId="25995" xr:uid="{00000000-0005-0000-0000-0000AA650000}"/>
    <cellStyle name="Обычный 7 133 6" xfId="31335" xr:uid="{00000000-0005-0000-0000-0000AB650000}"/>
    <cellStyle name="Обычный 7 133 7" xfId="36675" xr:uid="{00000000-0005-0000-0000-0000AC650000}"/>
    <cellStyle name="Обычный 7 133 8" xfId="42015" xr:uid="{00000000-0005-0000-0000-0000AD650000}"/>
    <cellStyle name="Обычный 7 133 9" xfId="47355" xr:uid="{00000000-0005-0000-0000-0000AE650000}"/>
    <cellStyle name="Обычный 7 134" xfId="4664" xr:uid="{00000000-0005-0000-0000-0000AF650000}"/>
    <cellStyle name="Обычный 7 134 10" xfId="52727" xr:uid="{00000000-0005-0000-0000-0000B0650000}"/>
    <cellStyle name="Обычный 7 134 2" xfId="10007" xr:uid="{00000000-0005-0000-0000-0000B1650000}"/>
    <cellStyle name="Обычный 7 134 2 2" xfId="58068" xr:uid="{00000000-0005-0000-0000-0000B2650000}"/>
    <cellStyle name="Обычный 7 134 3" xfId="15347" xr:uid="{00000000-0005-0000-0000-0000B3650000}"/>
    <cellStyle name="Обычный 7 134 4" xfId="20687" xr:uid="{00000000-0005-0000-0000-0000B4650000}"/>
    <cellStyle name="Обычный 7 134 5" xfId="26027" xr:uid="{00000000-0005-0000-0000-0000B5650000}"/>
    <cellStyle name="Обычный 7 134 6" xfId="31367" xr:uid="{00000000-0005-0000-0000-0000B6650000}"/>
    <cellStyle name="Обычный 7 134 7" xfId="36707" xr:uid="{00000000-0005-0000-0000-0000B7650000}"/>
    <cellStyle name="Обычный 7 134 8" xfId="42047" xr:uid="{00000000-0005-0000-0000-0000B8650000}"/>
    <cellStyle name="Обычный 7 134 9" xfId="47387" xr:uid="{00000000-0005-0000-0000-0000B9650000}"/>
    <cellStyle name="Обычный 7 135" xfId="4696" xr:uid="{00000000-0005-0000-0000-0000BA650000}"/>
    <cellStyle name="Обычный 7 135 10" xfId="52759" xr:uid="{00000000-0005-0000-0000-0000BB650000}"/>
    <cellStyle name="Обычный 7 135 2" xfId="10039" xr:uid="{00000000-0005-0000-0000-0000BC650000}"/>
    <cellStyle name="Обычный 7 135 2 2" xfId="58100" xr:uid="{00000000-0005-0000-0000-0000BD650000}"/>
    <cellStyle name="Обычный 7 135 3" xfId="15379" xr:uid="{00000000-0005-0000-0000-0000BE650000}"/>
    <cellStyle name="Обычный 7 135 4" xfId="20719" xr:uid="{00000000-0005-0000-0000-0000BF650000}"/>
    <cellStyle name="Обычный 7 135 5" xfId="26059" xr:uid="{00000000-0005-0000-0000-0000C0650000}"/>
    <cellStyle name="Обычный 7 135 6" xfId="31399" xr:uid="{00000000-0005-0000-0000-0000C1650000}"/>
    <cellStyle name="Обычный 7 135 7" xfId="36739" xr:uid="{00000000-0005-0000-0000-0000C2650000}"/>
    <cellStyle name="Обычный 7 135 8" xfId="42079" xr:uid="{00000000-0005-0000-0000-0000C3650000}"/>
    <cellStyle name="Обычный 7 135 9" xfId="47419" xr:uid="{00000000-0005-0000-0000-0000C4650000}"/>
    <cellStyle name="Обычный 7 136" xfId="4730" xr:uid="{00000000-0005-0000-0000-0000C5650000}"/>
    <cellStyle name="Обычный 7 136 10" xfId="52793" xr:uid="{00000000-0005-0000-0000-0000C6650000}"/>
    <cellStyle name="Обычный 7 136 2" xfId="10073" xr:uid="{00000000-0005-0000-0000-0000C7650000}"/>
    <cellStyle name="Обычный 7 136 2 2" xfId="58134" xr:uid="{00000000-0005-0000-0000-0000C8650000}"/>
    <cellStyle name="Обычный 7 136 3" xfId="15413" xr:uid="{00000000-0005-0000-0000-0000C9650000}"/>
    <cellStyle name="Обычный 7 136 4" xfId="20753" xr:uid="{00000000-0005-0000-0000-0000CA650000}"/>
    <cellStyle name="Обычный 7 136 5" xfId="26093" xr:uid="{00000000-0005-0000-0000-0000CB650000}"/>
    <cellStyle name="Обычный 7 136 6" xfId="31433" xr:uid="{00000000-0005-0000-0000-0000CC650000}"/>
    <cellStyle name="Обычный 7 136 7" xfId="36773" xr:uid="{00000000-0005-0000-0000-0000CD650000}"/>
    <cellStyle name="Обычный 7 136 8" xfId="42113" xr:uid="{00000000-0005-0000-0000-0000CE650000}"/>
    <cellStyle name="Обычный 7 136 9" xfId="47453" xr:uid="{00000000-0005-0000-0000-0000CF650000}"/>
    <cellStyle name="Обычный 7 137" xfId="4762" xr:uid="{00000000-0005-0000-0000-0000D0650000}"/>
    <cellStyle name="Обычный 7 137 10" xfId="52825" xr:uid="{00000000-0005-0000-0000-0000D1650000}"/>
    <cellStyle name="Обычный 7 137 2" xfId="10105" xr:uid="{00000000-0005-0000-0000-0000D2650000}"/>
    <cellStyle name="Обычный 7 137 2 2" xfId="58166" xr:uid="{00000000-0005-0000-0000-0000D3650000}"/>
    <cellStyle name="Обычный 7 137 3" xfId="15445" xr:uid="{00000000-0005-0000-0000-0000D4650000}"/>
    <cellStyle name="Обычный 7 137 4" xfId="20785" xr:uid="{00000000-0005-0000-0000-0000D5650000}"/>
    <cellStyle name="Обычный 7 137 5" xfId="26125" xr:uid="{00000000-0005-0000-0000-0000D6650000}"/>
    <cellStyle name="Обычный 7 137 6" xfId="31465" xr:uid="{00000000-0005-0000-0000-0000D7650000}"/>
    <cellStyle name="Обычный 7 137 7" xfId="36805" xr:uid="{00000000-0005-0000-0000-0000D8650000}"/>
    <cellStyle name="Обычный 7 137 8" xfId="42145" xr:uid="{00000000-0005-0000-0000-0000D9650000}"/>
    <cellStyle name="Обычный 7 137 9" xfId="47485" xr:uid="{00000000-0005-0000-0000-0000DA650000}"/>
    <cellStyle name="Обычный 7 138" xfId="4794" xr:uid="{00000000-0005-0000-0000-0000DB650000}"/>
    <cellStyle name="Обычный 7 138 10" xfId="52857" xr:uid="{00000000-0005-0000-0000-0000DC650000}"/>
    <cellStyle name="Обычный 7 138 2" xfId="10137" xr:uid="{00000000-0005-0000-0000-0000DD650000}"/>
    <cellStyle name="Обычный 7 138 2 2" xfId="58198" xr:uid="{00000000-0005-0000-0000-0000DE650000}"/>
    <cellStyle name="Обычный 7 138 3" xfId="15477" xr:uid="{00000000-0005-0000-0000-0000DF650000}"/>
    <cellStyle name="Обычный 7 138 4" xfId="20817" xr:uid="{00000000-0005-0000-0000-0000E0650000}"/>
    <cellStyle name="Обычный 7 138 5" xfId="26157" xr:uid="{00000000-0005-0000-0000-0000E1650000}"/>
    <cellStyle name="Обычный 7 138 6" xfId="31497" xr:uid="{00000000-0005-0000-0000-0000E2650000}"/>
    <cellStyle name="Обычный 7 138 7" xfId="36837" xr:uid="{00000000-0005-0000-0000-0000E3650000}"/>
    <cellStyle name="Обычный 7 138 8" xfId="42177" xr:uid="{00000000-0005-0000-0000-0000E4650000}"/>
    <cellStyle name="Обычный 7 138 9" xfId="47517" xr:uid="{00000000-0005-0000-0000-0000E5650000}"/>
    <cellStyle name="Обычный 7 139" xfId="4826" xr:uid="{00000000-0005-0000-0000-0000E6650000}"/>
    <cellStyle name="Обычный 7 139 10" xfId="52889" xr:uid="{00000000-0005-0000-0000-0000E7650000}"/>
    <cellStyle name="Обычный 7 139 2" xfId="10169" xr:uid="{00000000-0005-0000-0000-0000E8650000}"/>
    <cellStyle name="Обычный 7 139 2 2" xfId="58230" xr:uid="{00000000-0005-0000-0000-0000E9650000}"/>
    <cellStyle name="Обычный 7 139 3" xfId="15509" xr:uid="{00000000-0005-0000-0000-0000EA650000}"/>
    <cellStyle name="Обычный 7 139 4" xfId="20849" xr:uid="{00000000-0005-0000-0000-0000EB650000}"/>
    <cellStyle name="Обычный 7 139 5" xfId="26189" xr:uid="{00000000-0005-0000-0000-0000EC650000}"/>
    <cellStyle name="Обычный 7 139 6" xfId="31529" xr:uid="{00000000-0005-0000-0000-0000ED650000}"/>
    <cellStyle name="Обычный 7 139 7" xfId="36869" xr:uid="{00000000-0005-0000-0000-0000EE650000}"/>
    <cellStyle name="Обычный 7 139 8" xfId="42209" xr:uid="{00000000-0005-0000-0000-0000EF650000}"/>
    <cellStyle name="Обычный 7 139 9" xfId="47549" xr:uid="{00000000-0005-0000-0000-0000F0650000}"/>
    <cellStyle name="Обычный 7 14" xfId="1070" xr:uid="{00000000-0005-0000-0000-0000F1650000}"/>
    <cellStyle name="Обычный 7 14 10" xfId="49133" xr:uid="{00000000-0005-0000-0000-0000F2650000}"/>
    <cellStyle name="Обычный 7 14 2" xfId="6412" xr:uid="{00000000-0005-0000-0000-0000F3650000}"/>
    <cellStyle name="Обычный 7 14 2 2" xfId="54474" xr:uid="{00000000-0005-0000-0000-0000F4650000}"/>
    <cellStyle name="Обычный 7 14 3" xfId="11753" xr:uid="{00000000-0005-0000-0000-0000F5650000}"/>
    <cellStyle name="Обычный 7 14 4" xfId="17093" xr:uid="{00000000-0005-0000-0000-0000F6650000}"/>
    <cellStyle name="Обычный 7 14 5" xfId="22433" xr:uid="{00000000-0005-0000-0000-0000F7650000}"/>
    <cellStyle name="Обычный 7 14 6" xfId="27773" xr:uid="{00000000-0005-0000-0000-0000F8650000}"/>
    <cellStyle name="Обычный 7 14 7" xfId="33113" xr:uid="{00000000-0005-0000-0000-0000F9650000}"/>
    <cellStyle name="Обычный 7 14 8" xfId="38453" xr:uid="{00000000-0005-0000-0000-0000FA650000}"/>
    <cellStyle name="Обычный 7 14 9" xfId="43793" xr:uid="{00000000-0005-0000-0000-0000FB650000}"/>
    <cellStyle name="Обычный 7 140" xfId="4858" xr:uid="{00000000-0005-0000-0000-0000FC650000}"/>
    <cellStyle name="Обычный 7 140 10" xfId="52921" xr:uid="{00000000-0005-0000-0000-0000FD650000}"/>
    <cellStyle name="Обычный 7 140 2" xfId="10201" xr:uid="{00000000-0005-0000-0000-0000FE650000}"/>
    <cellStyle name="Обычный 7 140 2 2" xfId="58262" xr:uid="{00000000-0005-0000-0000-0000FF650000}"/>
    <cellStyle name="Обычный 7 140 3" xfId="15541" xr:uid="{00000000-0005-0000-0000-000000660000}"/>
    <cellStyle name="Обычный 7 140 4" xfId="20881" xr:uid="{00000000-0005-0000-0000-000001660000}"/>
    <cellStyle name="Обычный 7 140 5" xfId="26221" xr:uid="{00000000-0005-0000-0000-000002660000}"/>
    <cellStyle name="Обычный 7 140 6" xfId="31561" xr:uid="{00000000-0005-0000-0000-000003660000}"/>
    <cellStyle name="Обычный 7 140 7" xfId="36901" xr:uid="{00000000-0005-0000-0000-000004660000}"/>
    <cellStyle name="Обычный 7 140 8" xfId="42241" xr:uid="{00000000-0005-0000-0000-000005660000}"/>
    <cellStyle name="Обычный 7 140 9" xfId="47581" xr:uid="{00000000-0005-0000-0000-000006660000}"/>
    <cellStyle name="Обычный 7 141" xfId="4890" xr:uid="{00000000-0005-0000-0000-000007660000}"/>
    <cellStyle name="Обычный 7 141 10" xfId="52953" xr:uid="{00000000-0005-0000-0000-000008660000}"/>
    <cellStyle name="Обычный 7 141 2" xfId="10233" xr:uid="{00000000-0005-0000-0000-000009660000}"/>
    <cellStyle name="Обычный 7 141 2 2" xfId="58294" xr:uid="{00000000-0005-0000-0000-00000A660000}"/>
    <cellStyle name="Обычный 7 141 3" xfId="15573" xr:uid="{00000000-0005-0000-0000-00000B660000}"/>
    <cellStyle name="Обычный 7 141 4" xfId="20913" xr:uid="{00000000-0005-0000-0000-00000C660000}"/>
    <cellStyle name="Обычный 7 141 5" xfId="26253" xr:uid="{00000000-0005-0000-0000-00000D660000}"/>
    <cellStyle name="Обычный 7 141 6" xfId="31593" xr:uid="{00000000-0005-0000-0000-00000E660000}"/>
    <cellStyle name="Обычный 7 141 7" xfId="36933" xr:uid="{00000000-0005-0000-0000-00000F660000}"/>
    <cellStyle name="Обычный 7 141 8" xfId="42273" xr:uid="{00000000-0005-0000-0000-000010660000}"/>
    <cellStyle name="Обычный 7 141 9" xfId="47613" xr:uid="{00000000-0005-0000-0000-000011660000}"/>
    <cellStyle name="Обычный 7 142" xfId="4922" xr:uid="{00000000-0005-0000-0000-000012660000}"/>
    <cellStyle name="Обычный 7 142 10" xfId="52985" xr:uid="{00000000-0005-0000-0000-000013660000}"/>
    <cellStyle name="Обычный 7 142 2" xfId="10265" xr:uid="{00000000-0005-0000-0000-000014660000}"/>
    <cellStyle name="Обычный 7 142 2 2" xfId="58326" xr:uid="{00000000-0005-0000-0000-000015660000}"/>
    <cellStyle name="Обычный 7 142 3" xfId="15605" xr:uid="{00000000-0005-0000-0000-000016660000}"/>
    <cellStyle name="Обычный 7 142 4" xfId="20945" xr:uid="{00000000-0005-0000-0000-000017660000}"/>
    <cellStyle name="Обычный 7 142 5" xfId="26285" xr:uid="{00000000-0005-0000-0000-000018660000}"/>
    <cellStyle name="Обычный 7 142 6" xfId="31625" xr:uid="{00000000-0005-0000-0000-000019660000}"/>
    <cellStyle name="Обычный 7 142 7" xfId="36965" xr:uid="{00000000-0005-0000-0000-00001A660000}"/>
    <cellStyle name="Обычный 7 142 8" xfId="42305" xr:uid="{00000000-0005-0000-0000-00001B660000}"/>
    <cellStyle name="Обычный 7 142 9" xfId="47645" xr:uid="{00000000-0005-0000-0000-00001C660000}"/>
    <cellStyle name="Обычный 7 143" xfId="4954" xr:uid="{00000000-0005-0000-0000-00001D660000}"/>
    <cellStyle name="Обычный 7 143 10" xfId="53017" xr:uid="{00000000-0005-0000-0000-00001E660000}"/>
    <cellStyle name="Обычный 7 143 2" xfId="10297" xr:uid="{00000000-0005-0000-0000-00001F660000}"/>
    <cellStyle name="Обычный 7 143 2 2" xfId="58358" xr:uid="{00000000-0005-0000-0000-000020660000}"/>
    <cellStyle name="Обычный 7 143 3" xfId="15637" xr:uid="{00000000-0005-0000-0000-000021660000}"/>
    <cellStyle name="Обычный 7 143 4" xfId="20977" xr:uid="{00000000-0005-0000-0000-000022660000}"/>
    <cellStyle name="Обычный 7 143 5" xfId="26317" xr:uid="{00000000-0005-0000-0000-000023660000}"/>
    <cellStyle name="Обычный 7 143 6" xfId="31657" xr:uid="{00000000-0005-0000-0000-000024660000}"/>
    <cellStyle name="Обычный 7 143 7" xfId="36997" xr:uid="{00000000-0005-0000-0000-000025660000}"/>
    <cellStyle name="Обычный 7 143 8" xfId="42337" xr:uid="{00000000-0005-0000-0000-000026660000}"/>
    <cellStyle name="Обычный 7 143 9" xfId="47677" xr:uid="{00000000-0005-0000-0000-000027660000}"/>
    <cellStyle name="Обычный 7 144" xfId="4986" xr:uid="{00000000-0005-0000-0000-000028660000}"/>
    <cellStyle name="Обычный 7 144 10" xfId="53049" xr:uid="{00000000-0005-0000-0000-000029660000}"/>
    <cellStyle name="Обычный 7 144 2" xfId="10329" xr:uid="{00000000-0005-0000-0000-00002A660000}"/>
    <cellStyle name="Обычный 7 144 2 2" xfId="58390" xr:uid="{00000000-0005-0000-0000-00002B660000}"/>
    <cellStyle name="Обычный 7 144 3" xfId="15669" xr:uid="{00000000-0005-0000-0000-00002C660000}"/>
    <cellStyle name="Обычный 7 144 4" xfId="21009" xr:uid="{00000000-0005-0000-0000-00002D660000}"/>
    <cellStyle name="Обычный 7 144 5" xfId="26349" xr:uid="{00000000-0005-0000-0000-00002E660000}"/>
    <cellStyle name="Обычный 7 144 6" xfId="31689" xr:uid="{00000000-0005-0000-0000-00002F660000}"/>
    <cellStyle name="Обычный 7 144 7" xfId="37029" xr:uid="{00000000-0005-0000-0000-000030660000}"/>
    <cellStyle name="Обычный 7 144 8" xfId="42369" xr:uid="{00000000-0005-0000-0000-000031660000}"/>
    <cellStyle name="Обычный 7 144 9" xfId="47709" xr:uid="{00000000-0005-0000-0000-000032660000}"/>
    <cellStyle name="Обычный 7 145" xfId="5018" xr:uid="{00000000-0005-0000-0000-000033660000}"/>
    <cellStyle name="Обычный 7 145 10" xfId="53081" xr:uid="{00000000-0005-0000-0000-000034660000}"/>
    <cellStyle name="Обычный 7 145 2" xfId="10361" xr:uid="{00000000-0005-0000-0000-000035660000}"/>
    <cellStyle name="Обычный 7 145 2 2" xfId="58422" xr:uid="{00000000-0005-0000-0000-000036660000}"/>
    <cellStyle name="Обычный 7 145 3" xfId="15701" xr:uid="{00000000-0005-0000-0000-000037660000}"/>
    <cellStyle name="Обычный 7 145 4" xfId="21041" xr:uid="{00000000-0005-0000-0000-000038660000}"/>
    <cellStyle name="Обычный 7 145 5" xfId="26381" xr:uid="{00000000-0005-0000-0000-000039660000}"/>
    <cellStyle name="Обычный 7 145 6" xfId="31721" xr:uid="{00000000-0005-0000-0000-00003A660000}"/>
    <cellStyle name="Обычный 7 145 7" xfId="37061" xr:uid="{00000000-0005-0000-0000-00003B660000}"/>
    <cellStyle name="Обычный 7 145 8" xfId="42401" xr:uid="{00000000-0005-0000-0000-00003C660000}"/>
    <cellStyle name="Обычный 7 145 9" xfId="47741" xr:uid="{00000000-0005-0000-0000-00003D660000}"/>
    <cellStyle name="Обычный 7 146" xfId="5050" xr:uid="{00000000-0005-0000-0000-00003E660000}"/>
    <cellStyle name="Обычный 7 146 10" xfId="53113" xr:uid="{00000000-0005-0000-0000-00003F660000}"/>
    <cellStyle name="Обычный 7 146 2" xfId="10393" xr:uid="{00000000-0005-0000-0000-000040660000}"/>
    <cellStyle name="Обычный 7 146 2 2" xfId="58454" xr:uid="{00000000-0005-0000-0000-000041660000}"/>
    <cellStyle name="Обычный 7 146 3" xfId="15733" xr:uid="{00000000-0005-0000-0000-000042660000}"/>
    <cellStyle name="Обычный 7 146 4" xfId="21073" xr:uid="{00000000-0005-0000-0000-000043660000}"/>
    <cellStyle name="Обычный 7 146 5" xfId="26413" xr:uid="{00000000-0005-0000-0000-000044660000}"/>
    <cellStyle name="Обычный 7 146 6" xfId="31753" xr:uid="{00000000-0005-0000-0000-000045660000}"/>
    <cellStyle name="Обычный 7 146 7" xfId="37093" xr:uid="{00000000-0005-0000-0000-000046660000}"/>
    <cellStyle name="Обычный 7 146 8" xfId="42433" xr:uid="{00000000-0005-0000-0000-000047660000}"/>
    <cellStyle name="Обычный 7 146 9" xfId="47773" xr:uid="{00000000-0005-0000-0000-000048660000}"/>
    <cellStyle name="Обычный 7 147" xfId="5082" xr:uid="{00000000-0005-0000-0000-000049660000}"/>
    <cellStyle name="Обычный 7 147 10" xfId="53145" xr:uid="{00000000-0005-0000-0000-00004A660000}"/>
    <cellStyle name="Обычный 7 147 2" xfId="10425" xr:uid="{00000000-0005-0000-0000-00004B660000}"/>
    <cellStyle name="Обычный 7 147 2 2" xfId="58486" xr:uid="{00000000-0005-0000-0000-00004C660000}"/>
    <cellStyle name="Обычный 7 147 3" xfId="15765" xr:uid="{00000000-0005-0000-0000-00004D660000}"/>
    <cellStyle name="Обычный 7 147 4" xfId="21105" xr:uid="{00000000-0005-0000-0000-00004E660000}"/>
    <cellStyle name="Обычный 7 147 5" xfId="26445" xr:uid="{00000000-0005-0000-0000-00004F660000}"/>
    <cellStyle name="Обычный 7 147 6" xfId="31785" xr:uid="{00000000-0005-0000-0000-000050660000}"/>
    <cellStyle name="Обычный 7 147 7" xfId="37125" xr:uid="{00000000-0005-0000-0000-000051660000}"/>
    <cellStyle name="Обычный 7 147 8" xfId="42465" xr:uid="{00000000-0005-0000-0000-000052660000}"/>
    <cellStyle name="Обычный 7 147 9" xfId="47805" xr:uid="{00000000-0005-0000-0000-000053660000}"/>
    <cellStyle name="Обычный 7 148" xfId="5114" xr:uid="{00000000-0005-0000-0000-000054660000}"/>
    <cellStyle name="Обычный 7 148 10" xfId="53177" xr:uid="{00000000-0005-0000-0000-000055660000}"/>
    <cellStyle name="Обычный 7 148 2" xfId="10457" xr:uid="{00000000-0005-0000-0000-000056660000}"/>
    <cellStyle name="Обычный 7 148 2 2" xfId="58518" xr:uid="{00000000-0005-0000-0000-000057660000}"/>
    <cellStyle name="Обычный 7 148 3" xfId="15797" xr:uid="{00000000-0005-0000-0000-000058660000}"/>
    <cellStyle name="Обычный 7 148 4" xfId="21137" xr:uid="{00000000-0005-0000-0000-000059660000}"/>
    <cellStyle name="Обычный 7 148 5" xfId="26477" xr:uid="{00000000-0005-0000-0000-00005A660000}"/>
    <cellStyle name="Обычный 7 148 6" xfId="31817" xr:uid="{00000000-0005-0000-0000-00005B660000}"/>
    <cellStyle name="Обычный 7 148 7" xfId="37157" xr:uid="{00000000-0005-0000-0000-00005C660000}"/>
    <cellStyle name="Обычный 7 148 8" xfId="42497" xr:uid="{00000000-0005-0000-0000-00005D660000}"/>
    <cellStyle name="Обычный 7 148 9" xfId="47837" xr:uid="{00000000-0005-0000-0000-00005E660000}"/>
    <cellStyle name="Обычный 7 149" xfId="5146" xr:uid="{00000000-0005-0000-0000-00005F660000}"/>
    <cellStyle name="Обычный 7 149 10" xfId="53209" xr:uid="{00000000-0005-0000-0000-000060660000}"/>
    <cellStyle name="Обычный 7 149 2" xfId="10489" xr:uid="{00000000-0005-0000-0000-000061660000}"/>
    <cellStyle name="Обычный 7 149 2 2" xfId="58550" xr:uid="{00000000-0005-0000-0000-000062660000}"/>
    <cellStyle name="Обычный 7 149 3" xfId="15829" xr:uid="{00000000-0005-0000-0000-000063660000}"/>
    <cellStyle name="Обычный 7 149 4" xfId="21169" xr:uid="{00000000-0005-0000-0000-000064660000}"/>
    <cellStyle name="Обычный 7 149 5" xfId="26509" xr:uid="{00000000-0005-0000-0000-000065660000}"/>
    <cellStyle name="Обычный 7 149 6" xfId="31849" xr:uid="{00000000-0005-0000-0000-000066660000}"/>
    <cellStyle name="Обычный 7 149 7" xfId="37189" xr:uid="{00000000-0005-0000-0000-000067660000}"/>
    <cellStyle name="Обычный 7 149 8" xfId="42529" xr:uid="{00000000-0005-0000-0000-000068660000}"/>
    <cellStyle name="Обычный 7 149 9" xfId="47869" xr:uid="{00000000-0005-0000-0000-000069660000}"/>
    <cellStyle name="Обычный 7 15" xfId="1096" xr:uid="{00000000-0005-0000-0000-00006A660000}"/>
    <cellStyle name="Обычный 7 15 10" xfId="49159" xr:uid="{00000000-0005-0000-0000-00006B660000}"/>
    <cellStyle name="Обычный 7 15 2" xfId="6438" xr:uid="{00000000-0005-0000-0000-00006C660000}"/>
    <cellStyle name="Обычный 7 15 2 2" xfId="54500" xr:uid="{00000000-0005-0000-0000-00006D660000}"/>
    <cellStyle name="Обычный 7 15 3" xfId="11779" xr:uid="{00000000-0005-0000-0000-00006E660000}"/>
    <cellStyle name="Обычный 7 15 4" xfId="17119" xr:uid="{00000000-0005-0000-0000-00006F660000}"/>
    <cellStyle name="Обычный 7 15 5" xfId="22459" xr:uid="{00000000-0005-0000-0000-000070660000}"/>
    <cellStyle name="Обычный 7 15 6" xfId="27799" xr:uid="{00000000-0005-0000-0000-000071660000}"/>
    <cellStyle name="Обычный 7 15 7" xfId="33139" xr:uid="{00000000-0005-0000-0000-000072660000}"/>
    <cellStyle name="Обычный 7 15 8" xfId="38479" xr:uid="{00000000-0005-0000-0000-000073660000}"/>
    <cellStyle name="Обычный 7 15 9" xfId="43819" xr:uid="{00000000-0005-0000-0000-000074660000}"/>
    <cellStyle name="Обычный 7 150" xfId="5178" xr:uid="{00000000-0005-0000-0000-000075660000}"/>
    <cellStyle name="Обычный 7 150 10" xfId="53241" xr:uid="{00000000-0005-0000-0000-000076660000}"/>
    <cellStyle name="Обычный 7 150 2" xfId="10521" xr:uid="{00000000-0005-0000-0000-000077660000}"/>
    <cellStyle name="Обычный 7 150 2 2" xfId="58582" xr:uid="{00000000-0005-0000-0000-000078660000}"/>
    <cellStyle name="Обычный 7 150 3" xfId="15861" xr:uid="{00000000-0005-0000-0000-000079660000}"/>
    <cellStyle name="Обычный 7 150 4" xfId="21201" xr:uid="{00000000-0005-0000-0000-00007A660000}"/>
    <cellStyle name="Обычный 7 150 5" xfId="26541" xr:uid="{00000000-0005-0000-0000-00007B660000}"/>
    <cellStyle name="Обычный 7 150 6" xfId="31881" xr:uid="{00000000-0005-0000-0000-00007C660000}"/>
    <cellStyle name="Обычный 7 150 7" xfId="37221" xr:uid="{00000000-0005-0000-0000-00007D660000}"/>
    <cellStyle name="Обычный 7 150 8" xfId="42561" xr:uid="{00000000-0005-0000-0000-00007E660000}"/>
    <cellStyle name="Обычный 7 150 9" xfId="47901" xr:uid="{00000000-0005-0000-0000-00007F660000}"/>
    <cellStyle name="Обычный 7 151" xfId="5210" xr:uid="{00000000-0005-0000-0000-000080660000}"/>
    <cellStyle name="Обычный 7 151 10" xfId="53273" xr:uid="{00000000-0005-0000-0000-000081660000}"/>
    <cellStyle name="Обычный 7 151 2" xfId="10553" xr:uid="{00000000-0005-0000-0000-000082660000}"/>
    <cellStyle name="Обычный 7 151 2 2" xfId="58614" xr:uid="{00000000-0005-0000-0000-000083660000}"/>
    <cellStyle name="Обычный 7 151 3" xfId="15893" xr:uid="{00000000-0005-0000-0000-000084660000}"/>
    <cellStyle name="Обычный 7 151 4" xfId="21233" xr:uid="{00000000-0005-0000-0000-000085660000}"/>
    <cellStyle name="Обычный 7 151 5" xfId="26573" xr:uid="{00000000-0005-0000-0000-000086660000}"/>
    <cellStyle name="Обычный 7 151 6" xfId="31913" xr:uid="{00000000-0005-0000-0000-000087660000}"/>
    <cellStyle name="Обычный 7 151 7" xfId="37253" xr:uid="{00000000-0005-0000-0000-000088660000}"/>
    <cellStyle name="Обычный 7 151 8" xfId="42593" xr:uid="{00000000-0005-0000-0000-000089660000}"/>
    <cellStyle name="Обычный 7 151 9" xfId="47933" xr:uid="{00000000-0005-0000-0000-00008A660000}"/>
    <cellStyle name="Обычный 7 152" xfId="5242" xr:uid="{00000000-0005-0000-0000-00008B660000}"/>
    <cellStyle name="Обычный 7 152 10" xfId="53305" xr:uid="{00000000-0005-0000-0000-00008C660000}"/>
    <cellStyle name="Обычный 7 152 2" xfId="10585" xr:uid="{00000000-0005-0000-0000-00008D660000}"/>
    <cellStyle name="Обычный 7 152 2 2" xfId="58646" xr:uid="{00000000-0005-0000-0000-00008E660000}"/>
    <cellStyle name="Обычный 7 152 3" xfId="15925" xr:uid="{00000000-0005-0000-0000-00008F660000}"/>
    <cellStyle name="Обычный 7 152 4" xfId="21265" xr:uid="{00000000-0005-0000-0000-000090660000}"/>
    <cellStyle name="Обычный 7 152 5" xfId="26605" xr:uid="{00000000-0005-0000-0000-000091660000}"/>
    <cellStyle name="Обычный 7 152 6" xfId="31945" xr:uid="{00000000-0005-0000-0000-000092660000}"/>
    <cellStyle name="Обычный 7 152 7" xfId="37285" xr:uid="{00000000-0005-0000-0000-000093660000}"/>
    <cellStyle name="Обычный 7 152 8" xfId="42625" xr:uid="{00000000-0005-0000-0000-000094660000}"/>
    <cellStyle name="Обычный 7 152 9" xfId="47965" xr:uid="{00000000-0005-0000-0000-000095660000}"/>
    <cellStyle name="Обычный 7 153" xfId="5274" xr:uid="{00000000-0005-0000-0000-000096660000}"/>
    <cellStyle name="Обычный 7 153 10" xfId="53337" xr:uid="{00000000-0005-0000-0000-000097660000}"/>
    <cellStyle name="Обычный 7 153 2" xfId="10617" xr:uid="{00000000-0005-0000-0000-000098660000}"/>
    <cellStyle name="Обычный 7 153 2 2" xfId="58678" xr:uid="{00000000-0005-0000-0000-000099660000}"/>
    <cellStyle name="Обычный 7 153 3" xfId="15957" xr:uid="{00000000-0005-0000-0000-00009A660000}"/>
    <cellStyle name="Обычный 7 153 4" xfId="21297" xr:uid="{00000000-0005-0000-0000-00009B660000}"/>
    <cellStyle name="Обычный 7 153 5" xfId="26637" xr:uid="{00000000-0005-0000-0000-00009C660000}"/>
    <cellStyle name="Обычный 7 153 6" xfId="31977" xr:uid="{00000000-0005-0000-0000-00009D660000}"/>
    <cellStyle name="Обычный 7 153 7" xfId="37317" xr:uid="{00000000-0005-0000-0000-00009E660000}"/>
    <cellStyle name="Обычный 7 153 8" xfId="42657" xr:uid="{00000000-0005-0000-0000-00009F660000}"/>
    <cellStyle name="Обычный 7 153 9" xfId="47997" xr:uid="{00000000-0005-0000-0000-0000A0660000}"/>
    <cellStyle name="Обычный 7 154" xfId="5306" xr:uid="{00000000-0005-0000-0000-0000A1660000}"/>
    <cellStyle name="Обычный 7 154 10" xfId="53369" xr:uid="{00000000-0005-0000-0000-0000A2660000}"/>
    <cellStyle name="Обычный 7 154 2" xfId="10649" xr:uid="{00000000-0005-0000-0000-0000A3660000}"/>
    <cellStyle name="Обычный 7 154 2 2" xfId="58710" xr:uid="{00000000-0005-0000-0000-0000A4660000}"/>
    <cellStyle name="Обычный 7 154 3" xfId="15989" xr:uid="{00000000-0005-0000-0000-0000A5660000}"/>
    <cellStyle name="Обычный 7 154 4" xfId="21329" xr:uid="{00000000-0005-0000-0000-0000A6660000}"/>
    <cellStyle name="Обычный 7 154 5" xfId="26669" xr:uid="{00000000-0005-0000-0000-0000A7660000}"/>
    <cellStyle name="Обычный 7 154 6" xfId="32009" xr:uid="{00000000-0005-0000-0000-0000A8660000}"/>
    <cellStyle name="Обычный 7 154 7" xfId="37349" xr:uid="{00000000-0005-0000-0000-0000A9660000}"/>
    <cellStyle name="Обычный 7 154 8" xfId="42689" xr:uid="{00000000-0005-0000-0000-0000AA660000}"/>
    <cellStyle name="Обычный 7 154 9" xfId="48029" xr:uid="{00000000-0005-0000-0000-0000AB660000}"/>
    <cellStyle name="Обычный 7 155" xfId="5338" xr:uid="{00000000-0005-0000-0000-0000AC660000}"/>
    <cellStyle name="Обычный 7 155 10" xfId="53401" xr:uid="{00000000-0005-0000-0000-0000AD660000}"/>
    <cellStyle name="Обычный 7 155 2" xfId="10681" xr:uid="{00000000-0005-0000-0000-0000AE660000}"/>
    <cellStyle name="Обычный 7 155 2 2" xfId="58742" xr:uid="{00000000-0005-0000-0000-0000AF660000}"/>
    <cellStyle name="Обычный 7 155 3" xfId="16021" xr:uid="{00000000-0005-0000-0000-0000B0660000}"/>
    <cellStyle name="Обычный 7 155 4" xfId="21361" xr:uid="{00000000-0005-0000-0000-0000B1660000}"/>
    <cellStyle name="Обычный 7 155 5" xfId="26701" xr:uid="{00000000-0005-0000-0000-0000B2660000}"/>
    <cellStyle name="Обычный 7 155 6" xfId="32041" xr:uid="{00000000-0005-0000-0000-0000B3660000}"/>
    <cellStyle name="Обычный 7 155 7" xfId="37381" xr:uid="{00000000-0005-0000-0000-0000B4660000}"/>
    <cellStyle name="Обычный 7 155 8" xfId="42721" xr:uid="{00000000-0005-0000-0000-0000B5660000}"/>
    <cellStyle name="Обычный 7 155 9" xfId="48061" xr:uid="{00000000-0005-0000-0000-0000B6660000}"/>
    <cellStyle name="Обычный 7 156" xfId="5370" xr:uid="{00000000-0005-0000-0000-0000B7660000}"/>
    <cellStyle name="Обычный 7 156 10" xfId="53433" xr:uid="{00000000-0005-0000-0000-0000B8660000}"/>
    <cellStyle name="Обычный 7 156 2" xfId="10713" xr:uid="{00000000-0005-0000-0000-0000B9660000}"/>
    <cellStyle name="Обычный 7 156 2 2" xfId="58774" xr:uid="{00000000-0005-0000-0000-0000BA660000}"/>
    <cellStyle name="Обычный 7 156 3" xfId="16053" xr:uid="{00000000-0005-0000-0000-0000BB660000}"/>
    <cellStyle name="Обычный 7 156 4" xfId="21393" xr:uid="{00000000-0005-0000-0000-0000BC660000}"/>
    <cellStyle name="Обычный 7 156 5" xfId="26733" xr:uid="{00000000-0005-0000-0000-0000BD660000}"/>
    <cellStyle name="Обычный 7 156 6" xfId="32073" xr:uid="{00000000-0005-0000-0000-0000BE660000}"/>
    <cellStyle name="Обычный 7 156 7" xfId="37413" xr:uid="{00000000-0005-0000-0000-0000BF660000}"/>
    <cellStyle name="Обычный 7 156 8" xfId="42753" xr:uid="{00000000-0005-0000-0000-0000C0660000}"/>
    <cellStyle name="Обычный 7 156 9" xfId="48093" xr:uid="{00000000-0005-0000-0000-0000C1660000}"/>
    <cellStyle name="Обычный 7 157" xfId="5763" xr:uid="{00000000-0005-0000-0000-0000C2660000}"/>
    <cellStyle name="Обычный 7 157 2" xfId="53825" xr:uid="{00000000-0005-0000-0000-0000C3660000}"/>
    <cellStyle name="Обычный 7 158" xfId="11104" xr:uid="{00000000-0005-0000-0000-0000C4660000}"/>
    <cellStyle name="Обычный 7 159" xfId="16444" xr:uid="{00000000-0005-0000-0000-0000C5660000}"/>
    <cellStyle name="Обычный 7 16" xfId="1122" xr:uid="{00000000-0005-0000-0000-0000C6660000}"/>
    <cellStyle name="Обычный 7 16 10" xfId="49185" xr:uid="{00000000-0005-0000-0000-0000C7660000}"/>
    <cellStyle name="Обычный 7 16 2" xfId="6464" xr:uid="{00000000-0005-0000-0000-0000C8660000}"/>
    <cellStyle name="Обычный 7 16 2 2" xfId="54526" xr:uid="{00000000-0005-0000-0000-0000C9660000}"/>
    <cellStyle name="Обычный 7 16 3" xfId="11805" xr:uid="{00000000-0005-0000-0000-0000CA660000}"/>
    <cellStyle name="Обычный 7 16 4" xfId="17145" xr:uid="{00000000-0005-0000-0000-0000CB660000}"/>
    <cellStyle name="Обычный 7 16 5" xfId="22485" xr:uid="{00000000-0005-0000-0000-0000CC660000}"/>
    <cellStyle name="Обычный 7 16 6" xfId="27825" xr:uid="{00000000-0005-0000-0000-0000CD660000}"/>
    <cellStyle name="Обычный 7 16 7" xfId="33165" xr:uid="{00000000-0005-0000-0000-0000CE660000}"/>
    <cellStyle name="Обычный 7 16 8" xfId="38505" xr:uid="{00000000-0005-0000-0000-0000CF660000}"/>
    <cellStyle name="Обычный 7 16 9" xfId="43845" xr:uid="{00000000-0005-0000-0000-0000D0660000}"/>
    <cellStyle name="Обычный 7 160" xfId="21784" xr:uid="{00000000-0005-0000-0000-0000D1660000}"/>
    <cellStyle name="Обычный 7 161" xfId="27124" xr:uid="{00000000-0005-0000-0000-0000D2660000}"/>
    <cellStyle name="Обычный 7 162" xfId="32464" xr:uid="{00000000-0005-0000-0000-0000D3660000}"/>
    <cellStyle name="Обычный 7 163" xfId="37804" xr:uid="{00000000-0005-0000-0000-0000D4660000}"/>
    <cellStyle name="Обычный 7 164" xfId="43144" xr:uid="{00000000-0005-0000-0000-0000D5660000}"/>
    <cellStyle name="Обычный 7 165" xfId="48484" xr:uid="{00000000-0005-0000-0000-0000D6660000}"/>
    <cellStyle name="Обычный 7 17" xfId="1148" xr:uid="{00000000-0005-0000-0000-0000D7660000}"/>
    <cellStyle name="Обычный 7 17 10" xfId="49211" xr:uid="{00000000-0005-0000-0000-0000D8660000}"/>
    <cellStyle name="Обычный 7 17 2" xfId="6490" xr:uid="{00000000-0005-0000-0000-0000D9660000}"/>
    <cellStyle name="Обычный 7 17 2 2" xfId="54552" xr:uid="{00000000-0005-0000-0000-0000DA660000}"/>
    <cellStyle name="Обычный 7 17 3" xfId="11831" xr:uid="{00000000-0005-0000-0000-0000DB660000}"/>
    <cellStyle name="Обычный 7 17 4" xfId="17171" xr:uid="{00000000-0005-0000-0000-0000DC660000}"/>
    <cellStyle name="Обычный 7 17 5" xfId="22511" xr:uid="{00000000-0005-0000-0000-0000DD660000}"/>
    <cellStyle name="Обычный 7 17 6" xfId="27851" xr:uid="{00000000-0005-0000-0000-0000DE660000}"/>
    <cellStyle name="Обычный 7 17 7" xfId="33191" xr:uid="{00000000-0005-0000-0000-0000DF660000}"/>
    <cellStyle name="Обычный 7 17 8" xfId="38531" xr:uid="{00000000-0005-0000-0000-0000E0660000}"/>
    <cellStyle name="Обычный 7 17 9" xfId="43871" xr:uid="{00000000-0005-0000-0000-0000E1660000}"/>
    <cellStyle name="Обычный 7 18" xfId="1174" xr:uid="{00000000-0005-0000-0000-0000E2660000}"/>
    <cellStyle name="Обычный 7 18 10" xfId="49237" xr:uid="{00000000-0005-0000-0000-0000E3660000}"/>
    <cellStyle name="Обычный 7 18 2" xfId="6516" xr:uid="{00000000-0005-0000-0000-0000E4660000}"/>
    <cellStyle name="Обычный 7 18 2 2" xfId="54578" xr:uid="{00000000-0005-0000-0000-0000E5660000}"/>
    <cellStyle name="Обычный 7 18 3" xfId="11857" xr:uid="{00000000-0005-0000-0000-0000E6660000}"/>
    <cellStyle name="Обычный 7 18 4" xfId="17197" xr:uid="{00000000-0005-0000-0000-0000E7660000}"/>
    <cellStyle name="Обычный 7 18 5" xfId="22537" xr:uid="{00000000-0005-0000-0000-0000E8660000}"/>
    <cellStyle name="Обычный 7 18 6" xfId="27877" xr:uid="{00000000-0005-0000-0000-0000E9660000}"/>
    <cellStyle name="Обычный 7 18 7" xfId="33217" xr:uid="{00000000-0005-0000-0000-0000EA660000}"/>
    <cellStyle name="Обычный 7 18 8" xfId="38557" xr:uid="{00000000-0005-0000-0000-0000EB660000}"/>
    <cellStyle name="Обычный 7 18 9" xfId="43897" xr:uid="{00000000-0005-0000-0000-0000EC660000}"/>
    <cellStyle name="Обычный 7 19" xfId="1200" xr:uid="{00000000-0005-0000-0000-0000ED660000}"/>
    <cellStyle name="Обычный 7 19 10" xfId="49263" xr:uid="{00000000-0005-0000-0000-0000EE660000}"/>
    <cellStyle name="Обычный 7 19 2" xfId="6542" xr:uid="{00000000-0005-0000-0000-0000EF660000}"/>
    <cellStyle name="Обычный 7 19 2 2" xfId="54604" xr:uid="{00000000-0005-0000-0000-0000F0660000}"/>
    <cellStyle name="Обычный 7 19 3" xfId="11883" xr:uid="{00000000-0005-0000-0000-0000F1660000}"/>
    <cellStyle name="Обычный 7 19 4" xfId="17223" xr:uid="{00000000-0005-0000-0000-0000F2660000}"/>
    <cellStyle name="Обычный 7 19 5" xfId="22563" xr:uid="{00000000-0005-0000-0000-0000F3660000}"/>
    <cellStyle name="Обычный 7 19 6" xfId="27903" xr:uid="{00000000-0005-0000-0000-0000F4660000}"/>
    <cellStyle name="Обычный 7 19 7" xfId="33243" xr:uid="{00000000-0005-0000-0000-0000F5660000}"/>
    <cellStyle name="Обычный 7 19 8" xfId="38583" xr:uid="{00000000-0005-0000-0000-0000F6660000}"/>
    <cellStyle name="Обычный 7 19 9" xfId="43923" xr:uid="{00000000-0005-0000-0000-0000F7660000}"/>
    <cellStyle name="Обычный 7 2" xfId="434" xr:uid="{00000000-0005-0000-0000-0000F8660000}"/>
    <cellStyle name="Обычный 7 2 10" xfId="1186" xr:uid="{00000000-0005-0000-0000-0000F9660000}"/>
    <cellStyle name="Обычный 7 2 10 10" xfId="49249" xr:uid="{00000000-0005-0000-0000-0000FA660000}"/>
    <cellStyle name="Обычный 7 2 10 2" xfId="6528" xr:uid="{00000000-0005-0000-0000-0000FB660000}"/>
    <cellStyle name="Обычный 7 2 10 2 2" xfId="54590" xr:uid="{00000000-0005-0000-0000-0000FC660000}"/>
    <cellStyle name="Обычный 7 2 10 3" xfId="11869" xr:uid="{00000000-0005-0000-0000-0000FD660000}"/>
    <cellStyle name="Обычный 7 2 10 4" xfId="17209" xr:uid="{00000000-0005-0000-0000-0000FE660000}"/>
    <cellStyle name="Обычный 7 2 10 5" xfId="22549" xr:uid="{00000000-0005-0000-0000-0000FF660000}"/>
    <cellStyle name="Обычный 7 2 10 6" xfId="27889" xr:uid="{00000000-0005-0000-0000-000000670000}"/>
    <cellStyle name="Обычный 7 2 10 7" xfId="33229" xr:uid="{00000000-0005-0000-0000-000001670000}"/>
    <cellStyle name="Обычный 7 2 10 8" xfId="38569" xr:uid="{00000000-0005-0000-0000-000002670000}"/>
    <cellStyle name="Обычный 7 2 10 9" xfId="43909" xr:uid="{00000000-0005-0000-0000-000003670000}"/>
    <cellStyle name="Обычный 7 2 100" xfId="3844" xr:uid="{00000000-0005-0000-0000-000004670000}"/>
    <cellStyle name="Обычный 7 2 100 10" xfId="51907" xr:uid="{00000000-0005-0000-0000-000005670000}"/>
    <cellStyle name="Обычный 7 2 100 2" xfId="9187" xr:uid="{00000000-0005-0000-0000-000006670000}"/>
    <cellStyle name="Обычный 7 2 100 2 2" xfId="57248" xr:uid="{00000000-0005-0000-0000-000007670000}"/>
    <cellStyle name="Обычный 7 2 100 3" xfId="14527" xr:uid="{00000000-0005-0000-0000-000008670000}"/>
    <cellStyle name="Обычный 7 2 100 4" xfId="19867" xr:uid="{00000000-0005-0000-0000-000009670000}"/>
    <cellStyle name="Обычный 7 2 100 5" xfId="25207" xr:uid="{00000000-0005-0000-0000-00000A670000}"/>
    <cellStyle name="Обычный 7 2 100 6" xfId="30547" xr:uid="{00000000-0005-0000-0000-00000B670000}"/>
    <cellStyle name="Обычный 7 2 100 7" xfId="35887" xr:uid="{00000000-0005-0000-0000-00000C670000}"/>
    <cellStyle name="Обычный 7 2 100 8" xfId="41227" xr:uid="{00000000-0005-0000-0000-00000D670000}"/>
    <cellStyle name="Обычный 7 2 100 9" xfId="46567" xr:uid="{00000000-0005-0000-0000-00000E670000}"/>
    <cellStyle name="Обычный 7 2 101" xfId="3876" xr:uid="{00000000-0005-0000-0000-00000F670000}"/>
    <cellStyle name="Обычный 7 2 101 10" xfId="51939" xr:uid="{00000000-0005-0000-0000-000010670000}"/>
    <cellStyle name="Обычный 7 2 101 2" xfId="9219" xr:uid="{00000000-0005-0000-0000-000011670000}"/>
    <cellStyle name="Обычный 7 2 101 2 2" xfId="57280" xr:uid="{00000000-0005-0000-0000-000012670000}"/>
    <cellStyle name="Обычный 7 2 101 3" xfId="14559" xr:uid="{00000000-0005-0000-0000-000013670000}"/>
    <cellStyle name="Обычный 7 2 101 4" xfId="19899" xr:uid="{00000000-0005-0000-0000-000014670000}"/>
    <cellStyle name="Обычный 7 2 101 5" xfId="25239" xr:uid="{00000000-0005-0000-0000-000015670000}"/>
    <cellStyle name="Обычный 7 2 101 6" xfId="30579" xr:uid="{00000000-0005-0000-0000-000016670000}"/>
    <cellStyle name="Обычный 7 2 101 7" xfId="35919" xr:uid="{00000000-0005-0000-0000-000017670000}"/>
    <cellStyle name="Обычный 7 2 101 8" xfId="41259" xr:uid="{00000000-0005-0000-0000-000018670000}"/>
    <cellStyle name="Обычный 7 2 101 9" xfId="46599" xr:uid="{00000000-0005-0000-0000-000019670000}"/>
    <cellStyle name="Обычный 7 2 102" xfId="3908" xr:uid="{00000000-0005-0000-0000-00001A670000}"/>
    <cellStyle name="Обычный 7 2 102 10" xfId="51971" xr:uid="{00000000-0005-0000-0000-00001B670000}"/>
    <cellStyle name="Обычный 7 2 102 2" xfId="9251" xr:uid="{00000000-0005-0000-0000-00001C670000}"/>
    <cellStyle name="Обычный 7 2 102 2 2" xfId="57312" xr:uid="{00000000-0005-0000-0000-00001D670000}"/>
    <cellStyle name="Обычный 7 2 102 3" xfId="14591" xr:uid="{00000000-0005-0000-0000-00001E670000}"/>
    <cellStyle name="Обычный 7 2 102 4" xfId="19931" xr:uid="{00000000-0005-0000-0000-00001F670000}"/>
    <cellStyle name="Обычный 7 2 102 5" xfId="25271" xr:uid="{00000000-0005-0000-0000-000020670000}"/>
    <cellStyle name="Обычный 7 2 102 6" xfId="30611" xr:uid="{00000000-0005-0000-0000-000021670000}"/>
    <cellStyle name="Обычный 7 2 102 7" xfId="35951" xr:uid="{00000000-0005-0000-0000-000022670000}"/>
    <cellStyle name="Обычный 7 2 102 8" xfId="41291" xr:uid="{00000000-0005-0000-0000-000023670000}"/>
    <cellStyle name="Обычный 7 2 102 9" xfId="46631" xr:uid="{00000000-0005-0000-0000-000024670000}"/>
    <cellStyle name="Обычный 7 2 103" xfId="3940" xr:uid="{00000000-0005-0000-0000-000025670000}"/>
    <cellStyle name="Обычный 7 2 103 10" xfId="52003" xr:uid="{00000000-0005-0000-0000-000026670000}"/>
    <cellStyle name="Обычный 7 2 103 2" xfId="9283" xr:uid="{00000000-0005-0000-0000-000027670000}"/>
    <cellStyle name="Обычный 7 2 103 2 2" xfId="57344" xr:uid="{00000000-0005-0000-0000-000028670000}"/>
    <cellStyle name="Обычный 7 2 103 3" xfId="14623" xr:uid="{00000000-0005-0000-0000-000029670000}"/>
    <cellStyle name="Обычный 7 2 103 4" xfId="19963" xr:uid="{00000000-0005-0000-0000-00002A670000}"/>
    <cellStyle name="Обычный 7 2 103 5" xfId="25303" xr:uid="{00000000-0005-0000-0000-00002B670000}"/>
    <cellStyle name="Обычный 7 2 103 6" xfId="30643" xr:uid="{00000000-0005-0000-0000-00002C670000}"/>
    <cellStyle name="Обычный 7 2 103 7" xfId="35983" xr:uid="{00000000-0005-0000-0000-00002D670000}"/>
    <cellStyle name="Обычный 7 2 103 8" xfId="41323" xr:uid="{00000000-0005-0000-0000-00002E670000}"/>
    <cellStyle name="Обычный 7 2 103 9" xfId="46663" xr:uid="{00000000-0005-0000-0000-00002F670000}"/>
    <cellStyle name="Обычный 7 2 104" xfId="3972" xr:uid="{00000000-0005-0000-0000-000030670000}"/>
    <cellStyle name="Обычный 7 2 104 10" xfId="52035" xr:uid="{00000000-0005-0000-0000-000031670000}"/>
    <cellStyle name="Обычный 7 2 104 2" xfId="9315" xr:uid="{00000000-0005-0000-0000-000032670000}"/>
    <cellStyle name="Обычный 7 2 104 2 2" xfId="57376" xr:uid="{00000000-0005-0000-0000-000033670000}"/>
    <cellStyle name="Обычный 7 2 104 3" xfId="14655" xr:uid="{00000000-0005-0000-0000-000034670000}"/>
    <cellStyle name="Обычный 7 2 104 4" xfId="19995" xr:uid="{00000000-0005-0000-0000-000035670000}"/>
    <cellStyle name="Обычный 7 2 104 5" xfId="25335" xr:uid="{00000000-0005-0000-0000-000036670000}"/>
    <cellStyle name="Обычный 7 2 104 6" xfId="30675" xr:uid="{00000000-0005-0000-0000-000037670000}"/>
    <cellStyle name="Обычный 7 2 104 7" xfId="36015" xr:uid="{00000000-0005-0000-0000-000038670000}"/>
    <cellStyle name="Обычный 7 2 104 8" xfId="41355" xr:uid="{00000000-0005-0000-0000-000039670000}"/>
    <cellStyle name="Обычный 7 2 104 9" xfId="46695" xr:uid="{00000000-0005-0000-0000-00003A670000}"/>
    <cellStyle name="Обычный 7 2 105" xfId="4004" xr:uid="{00000000-0005-0000-0000-00003B670000}"/>
    <cellStyle name="Обычный 7 2 105 10" xfId="52067" xr:uid="{00000000-0005-0000-0000-00003C670000}"/>
    <cellStyle name="Обычный 7 2 105 2" xfId="9347" xr:uid="{00000000-0005-0000-0000-00003D670000}"/>
    <cellStyle name="Обычный 7 2 105 2 2" xfId="57408" xr:uid="{00000000-0005-0000-0000-00003E670000}"/>
    <cellStyle name="Обычный 7 2 105 3" xfId="14687" xr:uid="{00000000-0005-0000-0000-00003F670000}"/>
    <cellStyle name="Обычный 7 2 105 4" xfId="20027" xr:uid="{00000000-0005-0000-0000-000040670000}"/>
    <cellStyle name="Обычный 7 2 105 5" xfId="25367" xr:uid="{00000000-0005-0000-0000-000041670000}"/>
    <cellStyle name="Обычный 7 2 105 6" xfId="30707" xr:uid="{00000000-0005-0000-0000-000042670000}"/>
    <cellStyle name="Обычный 7 2 105 7" xfId="36047" xr:uid="{00000000-0005-0000-0000-000043670000}"/>
    <cellStyle name="Обычный 7 2 105 8" xfId="41387" xr:uid="{00000000-0005-0000-0000-000044670000}"/>
    <cellStyle name="Обычный 7 2 105 9" xfId="46727" xr:uid="{00000000-0005-0000-0000-000045670000}"/>
    <cellStyle name="Обычный 7 2 106" xfId="4036" xr:uid="{00000000-0005-0000-0000-000046670000}"/>
    <cellStyle name="Обычный 7 2 106 10" xfId="52099" xr:uid="{00000000-0005-0000-0000-000047670000}"/>
    <cellStyle name="Обычный 7 2 106 2" xfId="9379" xr:uid="{00000000-0005-0000-0000-000048670000}"/>
    <cellStyle name="Обычный 7 2 106 2 2" xfId="57440" xr:uid="{00000000-0005-0000-0000-000049670000}"/>
    <cellStyle name="Обычный 7 2 106 3" xfId="14719" xr:uid="{00000000-0005-0000-0000-00004A670000}"/>
    <cellStyle name="Обычный 7 2 106 4" xfId="20059" xr:uid="{00000000-0005-0000-0000-00004B670000}"/>
    <cellStyle name="Обычный 7 2 106 5" xfId="25399" xr:uid="{00000000-0005-0000-0000-00004C670000}"/>
    <cellStyle name="Обычный 7 2 106 6" xfId="30739" xr:uid="{00000000-0005-0000-0000-00004D670000}"/>
    <cellStyle name="Обычный 7 2 106 7" xfId="36079" xr:uid="{00000000-0005-0000-0000-00004E670000}"/>
    <cellStyle name="Обычный 7 2 106 8" xfId="41419" xr:uid="{00000000-0005-0000-0000-00004F670000}"/>
    <cellStyle name="Обычный 7 2 106 9" xfId="46759" xr:uid="{00000000-0005-0000-0000-000050670000}"/>
    <cellStyle name="Обычный 7 2 107" xfId="4068" xr:uid="{00000000-0005-0000-0000-000051670000}"/>
    <cellStyle name="Обычный 7 2 107 10" xfId="52131" xr:uid="{00000000-0005-0000-0000-000052670000}"/>
    <cellStyle name="Обычный 7 2 107 2" xfId="9411" xr:uid="{00000000-0005-0000-0000-000053670000}"/>
    <cellStyle name="Обычный 7 2 107 2 2" xfId="57472" xr:uid="{00000000-0005-0000-0000-000054670000}"/>
    <cellStyle name="Обычный 7 2 107 3" xfId="14751" xr:uid="{00000000-0005-0000-0000-000055670000}"/>
    <cellStyle name="Обычный 7 2 107 4" xfId="20091" xr:uid="{00000000-0005-0000-0000-000056670000}"/>
    <cellStyle name="Обычный 7 2 107 5" xfId="25431" xr:uid="{00000000-0005-0000-0000-000057670000}"/>
    <cellStyle name="Обычный 7 2 107 6" xfId="30771" xr:uid="{00000000-0005-0000-0000-000058670000}"/>
    <cellStyle name="Обычный 7 2 107 7" xfId="36111" xr:uid="{00000000-0005-0000-0000-000059670000}"/>
    <cellStyle name="Обычный 7 2 107 8" xfId="41451" xr:uid="{00000000-0005-0000-0000-00005A670000}"/>
    <cellStyle name="Обычный 7 2 107 9" xfId="46791" xr:uid="{00000000-0005-0000-0000-00005B670000}"/>
    <cellStyle name="Обычный 7 2 108" xfId="4100" xr:uid="{00000000-0005-0000-0000-00005C670000}"/>
    <cellStyle name="Обычный 7 2 108 10" xfId="52163" xr:uid="{00000000-0005-0000-0000-00005D670000}"/>
    <cellStyle name="Обычный 7 2 108 2" xfId="9443" xr:uid="{00000000-0005-0000-0000-00005E670000}"/>
    <cellStyle name="Обычный 7 2 108 2 2" xfId="57504" xr:uid="{00000000-0005-0000-0000-00005F670000}"/>
    <cellStyle name="Обычный 7 2 108 3" xfId="14783" xr:uid="{00000000-0005-0000-0000-000060670000}"/>
    <cellStyle name="Обычный 7 2 108 4" xfId="20123" xr:uid="{00000000-0005-0000-0000-000061670000}"/>
    <cellStyle name="Обычный 7 2 108 5" xfId="25463" xr:uid="{00000000-0005-0000-0000-000062670000}"/>
    <cellStyle name="Обычный 7 2 108 6" xfId="30803" xr:uid="{00000000-0005-0000-0000-000063670000}"/>
    <cellStyle name="Обычный 7 2 108 7" xfId="36143" xr:uid="{00000000-0005-0000-0000-000064670000}"/>
    <cellStyle name="Обычный 7 2 108 8" xfId="41483" xr:uid="{00000000-0005-0000-0000-000065670000}"/>
    <cellStyle name="Обычный 7 2 108 9" xfId="46823" xr:uid="{00000000-0005-0000-0000-000066670000}"/>
    <cellStyle name="Обычный 7 2 109" xfId="4132" xr:uid="{00000000-0005-0000-0000-000067670000}"/>
    <cellStyle name="Обычный 7 2 109 10" xfId="52195" xr:uid="{00000000-0005-0000-0000-000068670000}"/>
    <cellStyle name="Обычный 7 2 109 2" xfId="9475" xr:uid="{00000000-0005-0000-0000-000069670000}"/>
    <cellStyle name="Обычный 7 2 109 2 2" xfId="57536" xr:uid="{00000000-0005-0000-0000-00006A670000}"/>
    <cellStyle name="Обычный 7 2 109 3" xfId="14815" xr:uid="{00000000-0005-0000-0000-00006B670000}"/>
    <cellStyle name="Обычный 7 2 109 4" xfId="20155" xr:uid="{00000000-0005-0000-0000-00006C670000}"/>
    <cellStyle name="Обычный 7 2 109 5" xfId="25495" xr:uid="{00000000-0005-0000-0000-00006D670000}"/>
    <cellStyle name="Обычный 7 2 109 6" xfId="30835" xr:uid="{00000000-0005-0000-0000-00006E670000}"/>
    <cellStyle name="Обычный 7 2 109 7" xfId="36175" xr:uid="{00000000-0005-0000-0000-00006F670000}"/>
    <cellStyle name="Обычный 7 2 109 8" xfId="41515" xr:uid="{00000000-0005-0000-0000-000070670000}"/>
    <cellStyle name="Обычный 7 2 109 9" xfId="46855" xr:uid="{00000000-0005-0000-0000-000071670000}"/>
    <cellStyle name="Обычный 7 2 11" xfId="1212" xr:uid="{00000000-0005-0000-0000-000072670000}"/>
    <cellStyle name="Обычный 7 2 11 10" xfId="49275" xr:uid="{00000000-0005-0000-0000-000073670000}"/>
    <cellStyle name="Обычный 7 2 11 2" xfId="6554" xr:uid="{00000000-0005-0000-0000-000074670000}"/>
    <cellStyle name="Обычный 7 2 11 2 2" xfId="54616" xr:uid="{00000000-0005-0000-0000-000075670000}"/>
    <cellStyle name="Обычный 7 2 11 3" xfId="11895" xr:uid="{00000000-0005-0000-0000-000076670000}"/>
    <cellStyle name="Обычный 7 2 11 4" xfId="17235" xr:uid="{00000000-0005-0000-0000-000077670000}"/>
    <cellStyle name="Обычный 7 2 11 5" xfId="22575" xr:uid="{00000000-0005-0000-0000-000078670000}"/>
    <cellStyle name="Обычный 7 2 11 6" xfId="27915" xr:uid="{00000000-0005-0000-0000-000079670000}"/>
    <cellStyle name="Обычный 7 2 11 7" xfId="33255" xr:uid="{00000000-0005-0000-0000-00007A670000}"/>
    <cellStyle name="Обычный 7 2 11 8" xfId="38595" xr:uid="{00000000-0005-0000-0000-00007B670000}"/>
    <cellStyle name="Обычный 7 2 11 9" xfId="43935" xr:uid="{00000000-0005-0000-0000-00007C670000}"/>
    <cellStyle name="Обычный 7 2 110" xfId="4164" xr:uid="{00000000-0005-0000-0000-00007D670000}"/>
    <cellStyle name="Обычный 7 2 110 10" xfId="52227" xr:uid="{00000000-0005-0000-0000-00007E670000}"/>
    <cellStyle name="Обычный 7 2 110 2" xfId="9507" xr:uid="{00000000-0005-0000-0000-00007F670000}"/>
    <cellStyle name="Обычный 7 2 110 2 2" xfId="57568" xr:uid="{00000000-0005-0000-0000-000080670000}"/>
    <cellStyle name="Обычный 7 2 110 3" xfId="14847" xr:uid="{00000000-0005-0000-0000-000081670000}"/>
    <cellStyle name="Обычный 7 2 110 4" xfId="20187" xr:uid="{00000000-0005-0000-0000-000082670000}"/>
    <cellStyle name="Обычный 7 2 110 5" xfId="25527" xr:uid="{00000000-0005-0000-0000-000083670000}"/>
    <cellStyle name="Обычный 7 2 110 6" xfId="30867" xr:uid="{00000000-0005-0000-0000-000084670000}"/>
    <cellStyle name="Обычный 7 2 110 7" xfId="36207" xr:uid="{00000000-0005-0000-0000-000085670000}"/>
    <cellStyle name="Обычный 7 2 110 8" xfId="41547" xr:uid="{00000000-0005-0000-0000-000086670000}"/>
    <cellStyle name="Обычный 7 2 110 9" xfId="46887" xr:uid="{00000000-0005-0000-0000-000087670000}"/>
    <cellStyle name="Обычный 7 2 111" xfId="4196" xr:uid="{00000000-0005-0000-0000-000088670000}"/>
    <cellStyle name="Обычный 7 2 111 10" xfId="52259" xr:uid="{00000000-0005-0000-0000-000089670000}"/>
    <cellStyle name="Обычный 7 2 111 2" xfId="9539" xr:uid="{00000000-0005-0000-0000-00008A670000}"/>
    <cellStyle name="Обычный 7 2 111 2 2" xfId="57600" xr:uid="{00000000-0005-0000-0000-00008B670000}"/>
    <cellStyle name="Обычный 7 2 111 3" xfId="14879" xr:uid="{00000000-0005-0000-0000-00008C670000}"/>
    <cellStyle name="Обычный 7 2 111 4" xfId="20219" xr:uid="{00000000-0005-0000-0000-00008D670000}"/>
    <cellStyle name="Обычный 7 2 111 5" xfId="25559" xr:uid="{00000000-0005-0000-0000-00008E670000}"/>
    <cellStyle name="Обычный 7 2 111 6" xfId="30899" xr:uid="{00000000-0005-0000-0000-00008F670000}"/>
    <cellStyle name="Обычный 7 2 111 7" xfId="36239" xr:uid="{00000000-0005-0000-0000-000090670000}"/>
    <cellStyle name="Обычный 7 2 111 8" xfId="41579" xr:uid="{00000000-0005-0000-0000-000091670000}"/>
    <cellStyle name="Обычный 7 2 111 9" xfId="46919" xr:uid="{00000000-0005-0000-0000-000092670000}"/>
    <cellStyle name="Обычный 7 2 112" xfId="4228" xr:uid="{00000000-0005-0000-0000-000093670000}"/>
    <cellStyle name="Обычный 7 2 112 10" xfId="52291" xr:uid="{00000000-0005-0000-0000-000094670000}"/>
    <cellStyle name="Обычный 7 2 112 2" xfId="9571" xr:uid="{00000000-0005-0000-0000-000095670000}"/>
    <cellStyle name="Обычный 7 2 112 2 2" xfId="57632" xr:uid="{00000000-0005-0000-0000-000096670000}"/>
    <cellStyle name="Обычный 7 2 112 3" xfId="14911" xr:uid="{00000000-0005-0000-0000-000097670000}"/>
    <cellStyle name="Обычный 7 2 112 4" xfId="20251" xr:uid="{00000000-0005-0000-0000-000098670000}"/>
    <cellStyle name="Обычный 7 2 112 5" xfId="25591" xr:uid="{00000000-0005-0000-0000-000099670000}"/>
    <cellStyle name="Обычный 7 2 112 6" xfId="30931" xr:uid="{00000000-0005-0000-0000-00009A670000}"/>
    <cellStyle name="Обычный 7 2 112 7" xfId="36271" xr:uid="{00000000-0005-0000-0000-00009B670000}"/>
    <cellStyle name="Обычный 7 2 112 8" xfId="41611" xr:uid="{00000000-0005-0000-0000-00009C670000}"/>
    <cellStyle name="Обычный 7 2 112 9" xfId="46951" xr:uid="{00000000-0005-0000-0000-00009D670000}"/>
    <cellStyle name="Обычный 7 2 113" xfId="4260" xr:uid="{00000000-0005-0000-0000-00009E670000}"/>
    <cellStyle name="Обычный 7 2 113 10" xfId="52323" xr:uid="{00000000-0005-0000-0000-00009F670000}"/>
    <cellStyle name="Обычный 7 2 113 2" xfId="9603" xr:uid="{00000000-0005-0000-0000-0000A0670000}"/>
    <cellStyle name="Обычный 7 2 113 2 2" xfId="57664" xr:uid="{00000000-0005-0000-0000-0000A1670000}"/>
    <cellStyle name="Обычный 7 2 113 3" xfId="14943" xr:uid="{00000000-0005-0000-0000-0000A2670000}"/>
    <cellStyle name="Обычный 7 2 113 4" xfId="20283" xr:uid="{00000000-0005-0000-0000-0000A3670000}"/>
    <cellStyle name="Обычный 7 2 113 5" xfId="25623" xr:uid="{00000000-0005-0000-0000-0000A4670000}"/>
    <cellStyle name="Обычный 7 2 113 6" xfId="30963" xr:uid="{00000000-0005-0000-0000-0000A5670000}"/>
    <cellStyle name="Обычный 7 2 113 7" xfId="36303" xr:uid="{00000000-0005-0000-0000-0000A6670000}"/>
    <cellStyle name="Обычный 7 2 113 8" xfId="41643" xr:uid="{00000000-0005-0000-0000-0000A7670000}"/>
    <cellStyle name="Обычный 7 2 113 9" xfId="46983" xr:uid="{00000000-0005-0000-0000-0000A8670000}"/>
    <cellStyle name="Обычный 7 2 114" xfId="4292" xr:uid="{00000000-0005-0000-0000-0000A9670000}"/>
    <cellStyle name="Обычный 7 2 114 10" xfId="52355" xr:uid="{00000000-0005-0000-0000-0000AA670000}"/>
    <cellStyle name="Обычный 7 2 114 2" xfId="9635" xr:uid="{00000000-0005-0000-0000-0000AB670000}"/>
    <cellStyle name="Обычный 7 2 114 2 2" xfId="57696" xr:uid="{00000000-0005-0000-0000-0000AC670000}"/>
    <cellStyle name="Обычный 7 2 114 3" xfId="14975" xr:uid="{00000000-0005-0000-0000-0000AD670000}"/>
    <cellStyle name="Обычный 7 2 114 4" xfId="20315" xr:uid="{00000000-0005-0000-0000-0000AE670000}"/>
    <cellStyle name="Обычный 7 2 114 5" xfId="25655" xr:uid="{00000000-0005-0000-0000-0000AF670000}"/>
    <cellStyle name="Обычный 7 2 114 6" xfId="30995" xr:uid="{00000000-0005-0000-0000-0000B0670000}"/>
    <cellStyle name="Обычный 7 2 114 7" xfId="36335" xr:uid="{00000000-0005-0000-0000-0000B1670000}"/>
    <cellStyle name="Обычный 7 2 114 8" xfId="41675" xr:uid="{00000000-0005-0000-0000-0000B2670000}"/>
    <cellStyle name="Обычный 7 2 114 9" xfId="47015" xr:uid="{00000000-0005-0000-0000-0000B3670000}"/>
    <cellStyle name="Обычный 7 2 115" xfId="4324" xr:uid="{00000000-0005-0000-0000-0000B4670000}"/>
    <cellStyle name="Обычный 7 2 115 10" xfId="52387" xr:uid="{00000000-0005-0000-0000-0000B5670000}"/>
    <cellStyle name="Обычный 7 2 115 2" xfId="9667" xr:uid="{00000000-0005-0000-0000-0000B6670000}"/>
    <cellStyle name="Обычный 7 2 115 2 2" xfId="57728" xr:uid="{00000000-0005-0000-0000-0000B7670000}"/>
    <cellStyle name="Обычный 7 2 115 3" xfId="15007" xr:uid="{00000000-0005-0000-0000-0000B8670000}"/>
    <cellStyle name="Обычный 7 2 115 4" xfId="20347" xr:uid="{00000000-0005-0000-0000-0000B9670000}"/>
    <cellStyle name="Обычный 7 2 115 5" xfId="25687" xr:uid="{00000000-0005-0000-0000-0000BA670000}"/>
    <cellStyle name="Обычный 7 2 115 6" xfId="31027" xr:uid="{00000000-0005-0000-0000-0000BB670000}"/>
    <cellStyle name="Обычный 7 2 115 7" xfId="36367" xr:uid="{00000000-0005-0000-0000-0000BC670000}"/>
    <cellStyle name="Обычный 7 2 115 8" xfId="41707" xr:uid="{00000000-0005-0000-0000-0000BD670000}"/>
    <cellStyle name="Обычный 7 2 115 9" xfId="47047" xr:uid="{00000000-0005-0000-0000-0000BE670000}"/>
    <cellStyle name="Обычный 7 2 116" xfId="4356" xr:uid="{00000000-0005-0000-0000-0000BF670000}"/>
    <cellStyle name="Обычный 7 2 116 10" xfId="52419" xr:uid="{00000000-0005-0000-0000-0000C0670000}"/>
    <cellStyle name="Обычный 7 2 116 2" xfId="9699" xr:uid="{00000000-0005-0000-0000-0000C1670000}"/>
    <cellStyle name="Обычный 7 2 116 2 2" xfId="57760" xr:uid="{00000000-0005-0000-0000-0000C2670000}"/>
    <cellStyle name="Обычный 7 2 116 3" xfId="15039" xr:uid="{00000000-0005-0000-0000-0000C3670000}"/>
    <cellStyle name="Обычный 7 2 116 4" xfId="20379" xr:uid="{00000000-0005-0000-0000-0000C4670000}"/>
    <cellStyle name="Обычный 7 2 116 5" xfId="25719" xr:uid="{00000000-0005-0000-0000-0000C5670000}"/>
    <cellStyle name="Обычный 7 2 116 6" xfId="31059" xr:uid="{00000000-0005-0000-0000-0000C6670000}"/>
    <cellStyle name="Обычный 7 2 116 7" xfId="36399" xr:uid="{00000000-0005-0000-0000-0000C7670000}"/>
    <cellStyle name="Обычный 7 2 116 8" xfId="41739" xr:uid="{00000000-0005-0000-0000-0000C8670000}"/>
    <cellStyle name="Обычный 7 2 116 9" xfId="47079" xr:uid="{00000000-0005-0000-0000-0000C9670000}"/>
    <cellStyle name="Обычный 7 2 117" xfId="4388" xr:uid="{00000000-0005-0000-0000-0000CA670000}"/>
    <cellStyle name="Обычный 7 2 117 10" xfId="52451" xr:uid="{00000000-0005-0000-0000-0000CB670000}"/>
    <cellStyle name="Обычный 7 2 117 2" xfId="9731" xr:uid="{00000000-0005-0000-0000-0000CC670000}"/>
    <cellStyle name="Обычный 7 2 117 2 2" xfId="57792" xr:uid="{00000000-0005-0000-0000-0000CD670000}"/>
    <cellStyle name="Обычный 7 2 117 3" xfId="15071" xr:uid="{00000000-0005-0000-0000-0000CE670000}"/>
    <cellStyle name="Обычный 7 2 117 4" xfId="20411" xr:uid="{00000000-0005-0000-0000-0000CF670000}"/>
    <cellStyle name="Обычный 7 2 117 5" xfId="25751" xr:uid="{00000000-0005-0000-0000-0000D0670000}"/>
    <cellStyle name="Обычный 7 2 117 6" xfId="31091" xr:uid="{00000000-0005-0000-0000-0000D1670000}"/>
    <cellStyle name="Обычный 7 2 117 7" xfId="36431" xr:uid="{00000000-0005-0000-0000-0000D2670000}"/>
    <cellStyle name="Обычный 7 2 117 8" xfId="41771" xr:uid="{00000000-0005-0000-0000-0000D3670000}"/>
    <cellStyle name="Обычный 7 2 117 9" xfId="47111" xr:uid="{00000000-0005-0000-0000-0000D4670000}"/>
    <cellStyle name="Обычный 7 2 118" xfId="4420" xr:uid="{00000000-0005-0000-0000-0000D5670000}"/>
    <cellStyle name="Обычный 7 2 118 10" xfId="52483" xr:uid="{00000000-0005-0000-0000-0000D6670000}"/>
    <cellStyle name="Обычный 7 2 118 2" xfId="9763" xr:uid="{00000000-0005-0000-0000-0000D7670000}"/>
    <cellStyle name="Обычный 7 2 118 2 2" xfId="57824" xr:uid="{00000000-0005-0000-0000-0000D8670000}"/>
    <cellStyle name="Обычный 7 2 118 3" xfId="15103" xr:uid="{00000000-0005-0000-0000-0000D9670000}"/>
    <cellStyle name="Обычный 7 2 118 4" xfId="20443" xr:uid="{00000000-0005-0000-0000-0000DA670000}"/>
    <cellStyle name="Обычный 7 2 118 5" xfId="25783" xr:uid="{00000000-0005-0000-0000-0000DB670000}"/>
    <cellStyle name="Обычный 7 2 118 6" xfId="31123" xr:uid="{00000000-0005-0000-0000-0000DC670000}"/>
    <cellStyle name="Обычный 7 2 118 7" xfId="36463" xr:uid="{00000000-0005-0000-0000-0000DD670000}"/>
    <cellStyle name="Обычный 7 2 118 8" xfId="41803" xr:uid="{00000000-0005-0000-0000-0000DE670000}"/>
    <cellStyle name="Обычный 7 2 118 9" xfId="47143" xr:uid="{00000000-0005-0000-0000-0000DF670000}"/>
    <cellStyle name="Обычный 7 2 119" xfId="4452" xr:uid="{00000000-0005-0000-0000-0000E0670000}"/>
    <cellStyle name="Обычный 7 2 119 10" xfId="52515" xr:uid="{00000000-0005-0000-0000-0000E1670000}"/>
    <cellStyle name="Обычный 7 2 119 2" xfId="9795" xr:uid="{00000000-0005-0000-0000-0000E2670000}"/>
    <cellStyle name="Обычный 7 2 119 2 2" xfId="57856" xr:uid="{00000000-0005-0000-0000-0000E3670000}"/>
    <cellStyle name="Обычный 7 2 119 3" xfId="15135" xr:uid="{00000000-0005-0000-0000-0000E4670000}"/>
    <cellStyle name="Обычный 7 2 119 4" xfId="20475" xr:uid="{00000000-0005-0000-0000-0000E5670000}"/>
    <cellStyle name="Обычный 7 2 119 5" xfId="25815" xr:uid="{00000000-0005-0000-0000-0000E6670000}"/>
    <cellStyle name="Обычный 7 2 119 6" xfId="31155" xr:uid="{00000000-0005-0000-0000-0000E7670000}"/>
    <cellStyle name="Обычный 7 2 119 7" xfId="36495" xr:uid="{00000000-0005-0000-0000-0000E8670000}"/>
    <cellStyle name="Обычный 7 2 119 8" xfId="41835" xr:uid="{00000000-0005-0000-0000-0000E9670000}"/>
    <cellStyle name="Обычный 7 2 119 9" xfId="47175" xr:uid="{00000000-0005-0000-0000-0000EA670000}"/>
    <cellStyle name="Обычный 7 2 12" xfId="1238" xr:uid="{00000000-0005-0000-0000-0000EB670000}"/>
    <cellStyle name="Обычный 7 2 12 10" xfId="49301" xr:uid="{00000000-0005-0000-0000-0000EC670000}"/>
    <cellStyle name="Обычный 7 2 12 2" xfId="6580" xr:uid="{00000000-0005-0000-0000-0000ED670000}"/>
    <cellStyle name="Обычный 7 2 12 2 2" xfId="54642" xr:uid="{00000000-0005-0000-0000-0000EE670000}"/>
    <cellStyle name="Обычный 7 2 12 3" xfId="11921" xr:uid="{00000000-0005-0000-0000-0000EF670000}"/>
    <cellStyle name="Обычный 7 2 12 4" xfId="17261" xr:uid="{00000000-0005-0000-0000-0000F0670000}"/>
    <cellStyle name="Обычный 7 2 12 5" xfId="22601" xr:uid="{00000000-0005-0000-0000-0000F1670000}"/>
    <cellStyle name="Обычный 7 2 12 6" xfId="27941" xr:uid="{00000000-0005-0000-0000-0000F2670000}"/>
    <cellStyle name="Обычный 7 2 12 7" xfId="33281" xr:uid="{00000000-0005-0000-0000-0000F3670000}"/>
    <cellStyle name="Обычный 7 2 12 8" xfId="38621" xr:uid="{00000000-0005-0000-0000-0000F4670000}"/>
    <cellStyle name="Обычный 7 2 12 9" xfId="43961" xr:uid="{00000000-0005-0000-0000-0000F5670000}"/>
    <cellStyle name="Обычный 7 2 120" xfId="4484" xr:uid="{00000000-0005-0000-0000-0000F6670000}"/>
    <cellStyle name="Обычный 7 2 120 10" xfId="52547" xr:uid="{00000000-0005-0000-0000-0000F7670000}"/>
    <cellStyle name="Обычный 7 2 120 2" xfId="9827" xr:uid="{00000000-0005-0000-0000-0000F8670000}"/>
    <cellStyle name="Обычный 7 2 120 2 2" xfId="57888" xr:uid="{00000000-0005-0000-0000-0000F9670000}"/>
    <cellStyle name="Обычный 7 2 120 3" xfId="15167" xr:uid="{00000000-0005-0000-0000-0000FA670000}"/>
    <cellStyle name="Обычный 7 2 120 4" xfId="20507" xr:uid="{00000000-0005-0000-0000-0000FB670000}"/>
    <cellStyle name="Обычный 7 2 120 5" xfId="25847" xr:uid="{00000000-0005-0000-0000-0000FC670000}"/>
    <cellStyle name="Обычный 7 2 120 6" xfId="31187" xr:uid="{00000000-0005-0000-0000-0000FD670000}"/>
    <cellStyle name="Обычный 7 2 120 7" xfId="36527" xr:uid="{00000000-0005-0000-0000-0000FE670000}"/>
    <cellStyle name="Обычный 7 2 120 8" xfId="41867" xr:uid="{00000000-0005-0000-0000-0000FF670000}"/>
    <cellStyle name="Обычный 7 2 120 9" xfId="47207" xr:uid="{00000000-0005-0000-0000-000000680000}"/>
    <cellStyle name="Обычный 7 2 121" xfId="4516" xr:uid="{00000000-0005-0000-0000-000001680000}"/>
    <cellStyle name="Обычный 7 2 121 10" xfId="52579" xr:uid="{00000000-0005-0000-0000-000002680000}"/>
    <cellStyle name="Обычный 7 2 121 2" xfId="9859" xr:uid="{00000000-0005-0000-0000-000003680000}"/>
    <cellStyle name="Обычный 7 2 121 2 2" xfId="57920" xr:uid="{00000000-0005-0000-0000-000004680000}"/>
    <cellStyle name="Обычный 7 2 121 3" xfId="15199" xr:uid="{00000000-0005-0000-0000-000005680000}"/>
    <cellStyle name="Обычный 7 2 121 4" xfId="20539" xr:uid="{00000000-0005-0000-0000-000006680000}"/>
    <cellStyle name="Обычный 7 2 121 5" xfId="25879" xr:uid="{00000000-0005-0000-0000-000007680000}"/>
    <cellStyle name="Обычный 7 2 121 6" xfId="31219" xr:uid="{00000000-0005-0000-0000-000008680000}"/>
    <cellStyle name="Обычный 7 2 121 7" xfId="36559" xr:uid="{00000000-0005-0000-0000-000009680000}"/>
    <cellStyle name="Обычный 7 2 121 8" xfId="41899" xr:uid="{00000000-0005-0000-0000-00000A680000}"/>
    <cellStyle name="Обычный 7 2 121 9" xfId="47239" xr:uid="{00000000-0005-0000-0000-00000B680000}"/>
    <cellStyle name="Обычный 7 2 122" xfId="4548" xr:uid="{00000000-0005-0000-0000-00000C680000}"/>
    <cellStyle name="Обычный 7 2 122 10" xfId="52611" xr:uid="{00000000-0005-0000-0000-00000D680000}"/>
    <cellStyle name="Обычный 7 2 122 2" xfId="9891" xr:uid="{00000000-0005-0000-0000-00000E680000}"/>
    <cellStyle name="Обычный 7 2 122 2 2" xfId="57952" xr:uid="{00000000-0005-0000-0000-00000F680000}"/>
    <cellStyle name="Обычный 7 2 122 3" xfId="15231" xr:uid="{00000000-0005-0000-0000-000010680000}"/>
    <cellStyle name="Обычный 7 2 122 4" xfId="20571" xr:uid="{00000000-0005-0000-0000-000011680000}"/>
    <cellStyle name="Обычный 7 2 122 5" xfId="25911" xr:uid="{00000000-0005-0000-0000-000012680000}"/>
    <cellStyle name="Обычный 7 2 122 6" xfId="31251" xr:uid="{00000000-0005-0000-0000-000013680000}"/>
    <cellStyle name="Обычный 7 2 122 7" xfId="36591" xr:uid="{00000000-0005-0000-0000-000014680000}"/>
    <cellStyle name="Обычный 7 2 122 8" xfId="41931" xr:uid="{00000000-0005-0000-0000-000015680000}"/>
    <cellStyle name="Обычный 7 2 122 9" xfId="47271" xr:uid="{00000000-0005-0000-0000-000016680000}"/>
    <cellStyle name="Обычный 7 2 123" xfId="4580" xr:uid="{00000000-0005-0000-0000-000017680000}"/>
    <cellStyle name="Обычный 7 2 123 10" xfId="52643" xr:uid="{00000000-0005-0000-0000-000018680000}"/>
    <cellStyle name="Обычный 7 2 123 2" xfId="9923" xr:uid="{00000000-0005-0000-0000-000019680000}"/>
    <cellStyle name="Обычный 7 2 123 2 2" xfId="57984" xr:uid="{00000000-0005-0000-0000-00001A680000}"/>
    <cellStyle name="Обычный 7 2 123 3" xfId="15263" xr:uid="{00000000-0005-0000-0000-00001B680000}"/>
    <cellStyle name="Обычный 7 2 123 4" xfId="20603" xr:uid="{00000000-0005-0000-0000-00001C680000}"/>
    <cellStyle name="Обычный 7 2 123 5" xfId="25943" xr:uid="{00000000-0005-0000-0000-00001D680000}"/>
    <cellStyle name="Обычный 7 2 123 6" xfId="31283" xr:uid="{00000000-0005-0000-0000-00001E680000}"/>
    <cellStyle name="Обычный 7 2 123 7" xfId="36623" xr:uid="{00000000-0005-0000-0000-00001F680000}"/>
    <cellStyle name="Обычный 7 2 123 8" xfId="41963" xr:uid="{00000000-0005-0000-0000-000020680000}"/>
    <cellStyle name="Обычный 7 2 123 9" xfId="47303" xr:uid="{00000000-0005-0000-0000-000021680000}"/>
    <cellStyle name="Обычный 7 2 124" xfId="4612" xr:uid="{00000000-0005-0000-0000-000022680000}"/>
    <cellStyle name="Обычный 7 2 124 10" xfId="52675" xr:uid="{00000000-0005-0000-0000-000023680000}"/>
    <cellStyle name="Обычный 7 2 124 2" xfId="9955" xr:uid="{00000000-0005-0000-0000-000024680000}"/>
    <cellStyle name="Обычный 7 2 124 2 2" xfId="58016" xr:uid="{00000000-0005-0000-0000-000025680000}"/>
    <cellStyle name="Обычный 7 2 124 3" xfId="15295" xr:uid="{00000000-0005-0000-0000-000026680000}"/>
    <cellStyle name="Обычный 7 2 124 4" xfId="20635" xr:uid="{00000000-0005-0000-0000-000027680000}"/>
    <cellStyle name="Обычный 7 2 124 5" xfId="25975" xr:uid="{00000000-0005-0000-0000-000028680000}"/>
    <cellStyle name="Обычный 7 2 124 6" xfId="31315" xr:uid="{00000000-0005-0000-0000-000029680000}"/>
    <cellStyle name="Обычный 7 2 124 7" xfId="36655" xr:uid="{00000000-0005-0000-0000-00002A680000}"/>
    <cellStyle name="Обычный 7 2 124 8" xfId="41995" xr:uid="{00000000-0005-0000-0000-00002B680000}"/>
    <cellStyle name="Обычный 7 2 124 9" xfId="47335" xr:uid="{00000000-0005-0000-0000-00002C680000}"/>
    <cellStyle name="Обычный 7 2 125" xfId="4644" xr:uid="{00000000-0005-0000-0000-00002D680000}"/>
    <cellStyle name="Обычный 7 2 125 10" xfId="52707" xr:uid="{00000000-0005-0000-0000-00002E680000}"/>
    <cellStyle name="Обычный 7 2 125 2" xfId="9987" xr:uid="{00000000-0005-0000-0000-00002F680000}"/>
    <cellStyle name="Обычный 7 2 125 2 2" xfId="58048" xr:uid="{00000000-0005-0000-0000-000030680000}"/>
    <cellStyle name="Обычный 7 2 125 3" xfId="15327" xr:uid="{00000000-0005-0000-0000-000031680000}"/>
    <cellStyle name="Обычный 7 2 125 4" xfId="20667" xr:uid="{00000000-0005-0000-0000-000032680000}"/>
    <cellStyle name="Обычный 7 2 125 5" xfId="26007" xr:uid="{00000000-0005-0000-0000-000033680000}"/>
    <cellStyle name="Обычный 7 2 125 6" xfId="31347" xr:uid="{00000000-0005-0000-0000-000034680000}"/>
    <cellStyle name="Обычный 7 2 125 7" xfId="36687" xr:uid="{00000000-0005-0000-0000-000035680000}"/>
    <cellStyle name="Обычный 7 2 125 8" xfId="42027" xr:uid="{00000000-0005-0000-0000-000036680000}"/>
    <cellStyle name="Обычный 7 2 125 9" xfId="47367" xr:uid="{00000000-0005-0000-0000-000037680000}"/>
    <cellStyle name="Обычный 7 2 126" xfId="4676" xr:uid="{00000000-0005-0000-0000-000038680000}"/>
    <cellStyle name="Обычный 7 2 126 10" xfId="52739" xr:uid="{00000000-0005-0000-0000-000039680000}"/>
    <cellStyle name="Обычный 7 2 126 2" xfId="10019" xr:uid="{00000000-0005-0000-0000-00003A680000}"/>
    <cellStyle name="Обычный 7 2 126 2 2" xfId="58080" xr:uid="{00000000-0005-0000-0000-00003B680000}"/>
    <cellStyle name="Обычный 7 2 126 3" xfId="15359" xr:uid="{00000000-0005-0000-0000-00003C680000}"/>
    <cellStyle name="Обычный 7 2 126 4" xfId="20699" xr:uid="{00000000-0005-0000-0000-00003D680000}"/>
    <cellStyle name="Обычный 7 2 126 5" xfId="26039" xr:uid="{00000000-0005-0000-0000-00003E680000}"/>
    <cellStyle name="Обычный 7 2 126 6" xfId="31379" xr:uid="{00000000-0005-0000-0000-00003F680000}"/>
    <cellStyle name="Обычный 7 2 126 7" xfId="36719" xr:uid="{00000000-0005-0000-0000-000040680000}"/>
    <cellStyle name="Обычный 7 2 126 8" xfId="42059" xr:uid="{00000000-0005-0000-0000-000041680000}"/>
    <cellStyle name="Обычный 7 2 126 9" xfId="47399" xr:uid="{00000000-0005-0000-0000-000042680000}"/>
    <cellStyle name="Обычный 7 2 127" xfId="4708" xr:uid="{00000000-0005-0000-0000-000043680000}"/>
    <cellStyle name="Обычный 7 2 127 10" xfId="52771" xr:uid="{00000000-0005-0000-0000-000044680000}"/>
    <cellStyle name="Обычный 7 2 127 2" xfId="10051" xr:uid="{00000000-0005-0000-0000-000045680000}"/>
    <cellStyle name="Обычный 7 2 127 2 2" xfId="58112" xr:uid="{00000000-0005-0000-0000-000046680000}"/>
    <cellStyle name="Обычный 7 2 127 3" xfId="15391" xr:uid="{00000000-0005-0000-0000-000047680000}"/>
    <cellStyle name="Обычный 7 2 127 4" xfId="20731" xr:uid="{00000000-0005-0000-0000-000048680000}"/>
    <cellStyle name="Обычный 7 2 127 5" xfId="26071" xr:uid="{00000000-0005-0000-0000-000049680000}"/>
    <cellStyle name="Обычный 7 2 127 6" xfId="31411" xr:uid="{00000000-0005-0000-0000-00004A680000}"/>
    <cellStyle name="Обычный 7 2 127 7" xfId="36751" xr:uid="{00000000-0005-0000-0000-00004B680000}"/>
    <cellStyle name="Обычный 7 2 127 8" xfId="42091" xr:uid="{00000000-0005-0000-0000-00004C680000}"/>
    <cellStyle name="Обычный 7 2 127 9" xfId="47431" xr:uid="{00000000-0005-0000-0000-00004D680000}"/>
    <cellStyle name="Обычный 7 2 128" xfId="4742" xr:uid="{00000000-0005-0000-0000-00004E680000}"/>
    <cellStyle name="Обычный 7 2 128 10" xfId="52805" xr:uid="{00000000-0005-0000-0000-00004F680000}"/>
    <cellStyle name="Обычный 7 2 128 2" xfId="10085" xr:uid="{00000000-0005-0000-0000-000050680000}"/>
    <cellStyle name="Обычный 7 2 128 2 2" xfId="58146" xr:uid="{00000000-0005-0000-0000-000051680000}"/>
    <cellStyle name="Обычный 7 2 128 3" xfId="15425" xr:uid="{00000000-0005-0000-0000-000052680000}"/>
    <cellStyle name="Обычный 7 2 128 4" xfId="20765" xr:uid="{00000000-0005-0000-0000-000053680000}"/>
    <cellStyle name="Обычный 7 2 128 5" xfId="26105" xr:uid="{00000000-0005-0000-0000-000054680000}"/>
    <cellStyle name="Обычный 7 2 128 6" xfId="31445" xr:uid="{00000000-0005-0000-0000-000055680000}"/>
    <cellStyle name="Обычный 7 2 128 7" xfId="36785" xr:uid="{00000000-0005-0000-0000-000056680000}"/>
    <cellStyle name="Обычный 7 2 128 8" xfId="42125" xr:uid="{00000000-0005-0000-0000-000057680000}"/>
    <cellStyle name="Обычный 7 2 128 9" xfId="47465" xr:uid="{00000000-0005-0000-0000-000058680000}"/>
    <cellStyle name="Обычный 7 2 129" xfId="4774" xr:uid="{00000000-0005-0000-0000-000059680000}"/>
    <cellStyle name="Обычный 7 2 129 10" xfId="52837" xr:uid="{00000000-0005-0000-0000-00005A680000}"/>
    <cellStyle name="Обычный 7 2 129 2" xfId="10117" xr:uid="{00000000-0005-0000-0000-00005B680000}"/>
    <cellStyle name="Обычный 7 2 129 2 2" xfId="58178" xr:uid="{00000000-0005-0000-0000-00005C680000}"/>
    <cellStyle name="Обычный 7 2 129 3" xfId="15457" xr:uid="{00000000-0005-0000-0000-00005D680000}"/>
    <cellStyle name="Обычный 7 2 129 4" xfId="20797" xr:uid="{00000000-0005-0000-0000-00005E680000}"/>
    <cellStyle name="Обычный 7 2 129 5" xfId="26137" xr:uid="{00000000-0005-0000-0000-00005F680000}"/>
    <cellStyle name="Обычный 7 2 129 6" xfId="31477" xr:uid="{00000000-0005-0000-0000-000060680000}"/>
    <cellStyle name="Обычный 7 2 129 7" xfId="36817" xr:uid="{00000000-0005-0000-0000-000061680000}"/>
    <cellStyle name="Обычный 7 2 129 8" xfId="42157" xr:uid="{00000000-0005-0000-0000-000062680000}"/>
    <cellStyle name="Обычный 7 2 129 9" xfId="47497" xr:uid="{00000000-0005-0000-0000-000063680000}"/>
    <cellStyle name="Обычный 7 2 13" xfId="1264" xr:uid="{00000000-0005-0000-0000-000064680000}"/>
    <cellStyle name="Обычный 7 2 13 10" xfId="49327" xr:uid="{00000000-0005-0000-0000-000065680000}"/>
    <cellStyle name="Обычный 7 2 13 2" xfId="6606" xr:uid="{00000000-0005-0000-0000-000066680000}"/>
    <cellStyle name="Обычный 7 2 13 2 2" xfId="54668" xr:uid="{00000000-0005-0000-0000-000067680000}"/>
    <cellStyle name="Обычный 7 2 13 3" xfId="11947" xr:uid="{00000000-0005-0000-0000-000068680000}"/>
    <cellStyle name="Обычный 7 2 13 4" xfId="17287" xr:uid="{00000000-0005-0000-0000-000069680000}"/>
    <cellStyle name="Обычный 7 2 13 5" xfId="22627" xr:uid="{00000000-0005-0000-0000-00006A680000}"/>
    <cellStyle name="Обычный 7 2 13 6" xfId="27967" xr:uid="{00000000-0005-0000-0000-00006B680000}"/>
    <cellStyle name="Обычный 7 2 13 7" xfId="33307" xr:uid="{00000000-0005-0000-0000-00006C680000}"/>
    <cellStyle name="Обычный 7 2 13 8" xfId="38647" xr:uid="{00000000-0005-0000-0000-00006D680000}"/>
    <cellStyle name="Обычный 7 2 13 9" xfId="43987" xr:uid="{00000000-0005-0000-0000-00006E680000}"/>
    <cellStyle name="Обычный 7 2 130" xfId="4806" xr:uid="{00000000-0005-0000-0000-00006F680000}"/>
    <cellStyle name="Обычный 7 2 130 10" xfId="52869" xr:uid="{00000000-0005-0000-0000-000070680000}"/>
    <cellStyle name="Обычный 7 2 130 2" xfId="10149" xr:uid="{00000000-0005-0000-0000-000071680000}"/>
    <cellStyle name="Обычный 7 2 130 2 2" xfId="58210" xr:uid="{00000000-0005-0000-0000-000072680000}"/>
    <cellStyle name="Обычный 7 2 130 3" xfId="15489" xr:uid="{00000000-0005-0000-0000-000073680000}"/>
    <cellStyle name="Обычный 7 2 130 4" xfId="20829" xr:uid="{00000000-0005-0000-0000-000074680000}"/>
    <cellStyle name="Обычный 7 2 130 5" xfId="26169" xr:uid="{00000000-0005-0000-0000-000075680000}"/>
    <cellStyle name="Обычный 7 2 130 6" xfId="31509" xr:uid="{00000000-0005-0000-0000-000076680000}"/>
    <cellStyle name="Обычный 7 2 130 7" xfId="36849" xr:uid="{00000000-0005-0000-0000-000077680000}"/>
    <cellStyle name="Обычный 7 2 130 8" xfId="42189" xr:uid="{00000000-0005-0000-0000-000078680000}"/>
    <cellStyle name="Обычный 7 2 130 9" xfId="47529" xr:uid="{00000000-0005-0000-0000-000079680000}"/>
    <cellStyle name="Обычный 7 2 131" xfId="4838" xr:uid="{00000000-0005-0000-0000-00007A680000}"/>
    <cellStyle name="Обычный 7 2 131 10" xfId="52901" xr:uid="{00000000-0005-0000-0000-00007B680000}"/>
    <cellStyle name="Обычный 7 2 131 2" xfId="10181" xr:uid="{00000000-0005-0000-0000-00007C680000}"/>
    <cellStyle name="Обычный 7 2 131 2 2" xfId="58242" xr:uid="{00000000-0005-0000-0000-00007D680000}"/>
    <cellStyle name="Обычный 7 2 131 3" xfId="15521" xr:uid="{00000000-0005-0000-0000-00007E680000}"/>
    <cellStyle name="Обычный 7 2 131 4" xfId="20861" xr:uid="{00000000-0005-0000-0000-00007F680000}"/>
    <cellStyle name="Обычный 7 2 131 5" xfId="26201" xr:uid="{00000000-0005-0000-0000-000080680000}"/>
    <cellStyle name="Обычный 7 2 131 6" xfId="31541" xr:uid="{00000000-0005-0000-0000-000081680000}"/>
    <cellStyle name="Обычный 7 2 131 7" xfId="36881" xr:uid="{00000000-0005-0000-0000-000082680000}"/>
    <cellStyle name="Обычный 7 2 131 8" xfId="42221" xr:uid="{00000000-0005-0000-0000-000083680000}"/>
    <cellStyle name="Обычный 7 2 131 9" xfId="47561" xr:uid="{00000000-0005-0000-0000-000084680000}"/>
    <cellStyle name="Обычный 7 2 132" xfId="4870" xr:uid="{00000000-0005-0000-0000-000085680000}"/>
    <cellStyle name="Обычный 7 2 132 10" xfId="52933" xr:uid="{00000000-0005-0000-0000-000086680000}"/>
    <cellStyle name="Обычный 7 2 132 2" xfId="10213" xr:uid="{00000000-0005-0000-0000-000087680000}"/>
    <cellStyle name="Обычный 7 2 132 2 2" xfId="58274" xr:uid="{00000000-0005-0000-0000-000088680000}"/>
    <cellStyle name="Обычный 7 2 132 3" xfId="15553" xr:uid="{00000000-0005-0000-0000-000089680000}"/>
    <cellStyle name="Обычный 7 2 132 4" xfId="20893" xr:uid="{00000000-0005-0000-0000-00008A680000}"/>
    <cellStyle name="Обычный 7 2 132 5" xfId="26233" xr:uid="{00000000-0005-0000-0000-00008B680000}"/>
    <cellStyle name="Обычный 7 2 132 6" xfId="31573" xr:uid="{00000000-0005-0000-0000-00008C680000}"/>
    <cellStyle name="Обычный 7 2 132 7" xfId="36913" xr:uid="{00000000-0005-0000-0000-00008D680000}"/>
    <cellStyle name="Обычный 7 2 132 8" xfId="42253" xr:uid="{00000000-0005-0000-0000-00008E680000}"/>
    <cellStyle name="Обычный 7 2 132 9" xfId="47593" xr:uid="{00000000-0005-0000-0000-00008F680000}"/>
    <cellStyle name="Обычный 7 2 133" xfId="4902" xr:uid="{00000000-0005-0000-0000-000090680000}"/>
    <cellStyle name="Обычный 7 2 133 10" xfId="52965" xr:uid="{00000000-0005-0000-0000-000091680000}"/>
    <cellStyle name="Обычный 7 2 133 2" xfId="10245" xr:uid="{00000000-0005-0000-0000-000092680000}"/>
    <cellStyle name="Обычный 7 2 133 2 2" xfId="58306" xr:uid="{00000000-0005-0000-0000-000093680000}"/>
    <cellStyle name="Обычный 7 2 133 3" xfId="15585" xr:uid="{00000000-0005-0000-0000-000094680000}"/>
    <cellStyle name="Обычный 7 2 133 4" xfId="20925" xr:uid="{00000000-0005-0000-0000-000095680000}"/>
    <cellStyle name="Обычный 7 2 133 5" xfId="26265" xr:uid="{00000000-0005-0000-0000-000096680000}"/>
    <cellStyle name="Обычный 7 2 133 6" xfId="31605" xr:uid="{00000000-0005-0000-0000-000097680000}"/>
    <cellStyle name="Обычный 7 2 133 7" xfId="36945" xr:uid="{00000000-0005-0000-0000-000098680000}"/>
    <cellStyle name="Обычный 7 2 133 8" xfId="42285" xr:uid="{00000000-0005-0000-0000-000099680000}"/>
    <cellStyle name="Обычный 7 2 133 9" xfId="47625" xr:uid="{00000000-0005-0000-0000-00009A680000}"/>
    <cellStyle name="Обычный 7 2 134" xfId="4934" xr:uid="{00000000-0005-0000-0000-00009B680000}"/>
    <cellStyle name="Обычный 7 2 134 10" xfId="52997" xr:uid="{00000000-0005-0000-0000-00009C680000}"/>
    <cellStyle name="Обычный 7 2 134 2" xfId="10277" xr:uid="{00000000-0005-0000-0000-00009D680000}"/>
    <cellStyle name="Обычный 7 2 134 2 2" xfId="58338" xr:uid="{00000000-0005-0000-0000-00009E680000}"/>
    <cellStyle name="Обычный 7 2 134 3" xfId="15617" xr:uid="{00000000-0005-0000-0000-00009F680000}"/>
    <cellStyle name="Обычный 7 2 134 4" xfId="20957" xr:uid="{00000000-0005-0000-0000-0000A0680000}"/>
    <cellStyle name="Обычный 7 2 134 5" xfId="26297" xr:uid="{00000000-0005-0000-0000-0000A1680000}"/>
    <cellStyle name="Обычный 7 2 134 6" xfId="31637" xr:uid="{00000000-0005-0000-0000-0000A2680000}"/>
    <cellStyle name="Обычный 7 2 134 7" xfId="36977" xr:uid="{00000000-0005-0000-0000-0000A3680000}"/>
    <cellStyle name="Обычный 7 2 134 8" xfId="42317" xr:uid="{00000000-0005-0000-0000-0000A4680000}"/>
    <cellStyle name="Обычный 7 2 134 9" xfId="47657" xr:uid="{00000000-0005-0000-0000-0000A5680000}"/>
    <cellStyle name="Обычный 7 2 135" xfId="4966" xr:uid="{00000000-0005-0000-0000-0000A6680000}"/>
    <cellStyle name="Обычный 7 2 135 10" xfId="53029" xr:uid="{00000000-0005-0000-0000-0000A7680000}"/>
    <cellStyle name="Обычный 7 2 135 2" xfId="10309" xr:uid="{00000000-0005-0000-0000-0000A8680000}"/>
    <cellStyle name="Обычный 7 2 135 2 2" xfId="58370" xr:uid="{00000000-0005-0000-0000-0000A9680000}"/>
    <cellStyle name="Обычный 7 2 135 3" xfId="15649" xr:uid="{00000000-0005-0000-0000-0000AA680000}"/>
    <cellStyle name="Обычный 7 2 135 4" xfId="20989" xr:uid="{00000000-0005-0000-0000-0000AB680000}"/>
    <cellStyle name="Обычный 7 2 135 5" xfId="26329" xr:uid="{00000000-0005-0000-0000-0000AC680000}"/>
    <cellStyle name="Обычный 7 2 135 6" xfId="31669" xr:uid="{00000000-0005-0000-0000-0000AD680000}"/>
    <cellStyle name="Обычный 7 2 135 7" xfId="37009" xr:uid="{00000000-0005-0000-0000-0000AE680000}"/>
    <cellStyle name="Обычный 7 2 135 8" xfId="42349" xr:uid="{00000000-0005-0000-0000-0000AF680000}"/>
    <cellStyle name="Обычный 7 2 135 9" xfId="47689" xr:uid="{00000000-0005-0000-0000-0000B0680000}"/>
    <cellStyle name="Обычный 7 2 136" xfId="4998" xr:uid="{00000000-0005-0000-0000-0000B1680000}"/>
    <cellStyle name="Обычный 7 2 136 10" xfId="53061" xr:uid="{00000000-0005-0000-0000-0000B2680000}"/>
    <cellStyle name="Обычный 7 2 136 2" xfId="10341" xr:uid="{00000000-0005-0000-0000-0000B3680000}"/>
    <cellStyle name="Обычный 7 2 136 2 2" xfId="58402" xr:uid="{00000000-0005-0000-0000-0000B4680000}"/>
    <cellStyle name="Обычный 7 2 136 3" xfId="15681" xr:uid="{00000000-0005-0000-0000-0000B5680000}"/>
    <cellStyle name="Обычный 7 2 136 4" xfId="21021" xr:uid="{00000000-0005-0000-0000-0000B6680000}"/>
    <cellStyle name="Обычный 7 2 136 5" xfId="26361" xr:uid="{00000000-0005-0000-0000-0000B7680000}"/>
    <cellStyle name="Обычный 7 2 136 6" xfId="31701" xr:uid="{00000000-0005-0000-0000-0000B8680000}"/>
    <cellStyle name="Обычный 7 2 136 7" xfId="37041" xr:uid="{00000000-0005-0000-0000-0000B9680000}"/>
    <cellStyle name="Обычный 7 2 136 8" xfId="42381" xr:uid="{00000000-0005-0000-0000-0000BA680000}"/>
    <cellStyle name="Обычный 7 2 136 9" xfId="47721" xr:uid="{00000000-0005-0000-0000-0000BB680000}"/>
    <cellStyle name="Обычный 7 2 137" xfId="5030" xr:uid="{00000000-0005-0000-0000-0000BC680000}"/>
    <cellStyle name="Обычный 7 2 137 10" xfId="53093" xr:uid="{00000000-0005-0000-0000-0000BD680000}"/>
    <cellStyle name="Обычный 7 2 137 2" xfId="10373" xr:uid="{00000000-0005-0000-0000-0000BE680000}"/>
    <cellStyle name="Обычный 7 2 137 2 2" xfId="58434" xr:uid="{00000000-0005-0000-0000-0000BF680000}"/>
    <cellStyle name="Обычный 7 2 137 3" xfId="15713" xr:uid="{00000000-0005-0000-0000-0000C0680000}"/>
    <cellStyle name="Обычный 7 2 137 4" xfId="21053" xr:uid="{00000000-0005-0000-0000-0000C1680000}"/>
    <cellStyle name="Обычный 7 2 137 5" xfId="26393" xr:uid="{00000000-0005-0000-0000-0000C2680000}"/>
    <cellStyle name="Обычный 7 2 137 6" xfId="31733" xr:uid="{00000000-0005-0000-0000-0000C3680000}"/>
    <cellStyle name="Обычный 7 2 137 7" xfId="37073" xr:uid="{00000000-0005-0000-0000-0000C4680000}"/>
    <cellStyle name="Обычный 7 2 137 8" xfId="42413" xr:uid="{00000000-0005-0000-0000-0000C5680000}"/>
    <cellStyle name="Обычный 7 2 137 9" xfId="47753" xr:uid="{00000000-0005-0000-0000-0000C6680000}"/>
    <cellStyle name="Обычный 7 2 138" xfId="5062" xr:uid="{00000000-0005-0000-0000-0000C7680000}"/>
    <cellStyle name="Обычный 7 2 138 10" xfId="53125" xr:uid="{00000000-0005-0000-0000-0000C8680000}"/>
    <cellStyle name="Обычный 7 2 138 2" xfId="10405" xr:uid="{00000000-0005-0000-0000-0000C9680000}"/>
    <cellStyle name="Обычный 7 2 138 2 2" xfId="58466" xr:uid="{00000000-0005-0000-0000-0000CA680000}"/>
    <cellStyle name="Обычный 7 2 138 3" xfId="15745" xr:uid="{00000000-0005-0000-0000-0000CB680000}"/>
    <cellStyle name="Обычный 7 2 138 4" xfId="21085" xr:uid="{00000000-0005-0000-0000-0000CC680000}"/>
    <cellStyle name="Обычный 7 2 138 5" xfId="26425" xr:uid="{00000000-0005-0000-0000-0000CD680000}"/>
    <cellStyle name="Обычный 7 2 138 6" xfId="31765" xr:uid="{00000000-0005-0000-0000-0000CE680000}"/>
    <cellStyle name="Обычный 7 2 138 7" xfId="37105" xr:uid="{00000000-0005-0000-0000-0000CF680000}"/>
    <cellStyle name="Обычный 7 2 138 8" xfId="42445" xr:uid="{00000000-0005-0000-0000-0000D0680000}"/>
    <cellStyle name="Обычный 7 2 138 9" xfId="47785" xr:uid="{00000000-0005-0000-0000-0000D1680000}"/>
    <cellStyle name="Обычный 7 2 139" xfId="5094" xr:uid="{00000000-0005-0000-0000-0000D2680000}"/>
    <cellStyle name="Обычный 7 2 139 10" xfId="53157" xr:uid="{00000000-0005-0000-0000-0000D3680000}"/>
    <cellStyle name="Обычный 7 2 139 2" xfId="10437" xr:uid="{00000000-0005-0000-0000-0000D4680000}"/>
    <cellStyle name="Обычный 7 2 139 2 2" xfId="58498" xr:uid="{00000000-0005-0000-0000-0000D5680000}"/>
    <cellStyle name="Обычный 7 2 139 3" xfId="15777" xr:uid="{00000000-0005-0000-0000-0000D6680000}"/>
    <cellStyle name="Обычный 7 2 139 4" xfId="21117" xr:uid="{00000000-0005-0000-0000-0000D7680000}"/>
    <cellStyle name="Обычный 7 2 139 5" xfId="26457" xr:uid="{00000000-0005-0000-0000-0000D8680000}"/>
    <cellStyle name="Обычный 7 2 139 6" xfId="31797" xr:uid="{00000000-0005-0000-0000-0000D9680000}"/>
    <cellStyle name="Обычный 7 2 139 7" xfId="37137" xr:uid="{00000000-0005-0000-0000-0000DA680000}"/>
    <cellStyle name="Обычный 7 2 139 8" xfId="42477" xr:uid="{00000000-0005-0000-0000-0000DB680000}"/>
    <cellStyle name="Обычный 7 2 139 9" xfId="47817" xr:uid="{00000000-0005-0000-0000-0000DC680000}"/>
    <cellStyle name="Обычный 7 2 14" xfId="1290" xr:uid="{00000000-0005-0000-0000-0000DD680000}"/>
    <cellStyle name="Обычный 7 2 14 10" xfId="49353" xr:uid="{00000000-0005-0000-0000-0000DE680000}"/>
    <cellStyle name="Обычный 7 2 14 2" xfId="6632" xr:uid="{00000000-0005-0000-0000-0000DF680000}"/>
    <cellStyle name="Обычный 7 2 14 2 2" xfId="54694" xr:uid="{00000000-0005-0000-0000-0000E0680000}"/>
    <cellStyle name="Обычный 7 2 14 3" xfId="11973" xr:uid="{00000000-0005-0000-0000-0000E1680000}"/>
    <cellStyle name="Обычный 7 2 14 4" xfId="17313" xr:uid="{00000000-0005-0000-0000-0000E2680000}"/>
    <cellStyle name="Обычный 7 2 14 5" xfId="22653" xr:uid="{00000000-0005-0000-0000-0000E3680000}"/>
    <cellStyle name="Обычный 7 2 14 6" xfId="27993" xr:uid="{00000000-0005-0000-0000-0000E4680000}"/>
    <cellStyle name="Обычный 7 2 14 7" xfId="33333" xr:uid="{00000000-0005-0000-0000-0000E5680000}"/>
    <cellStyle name="Обычный 7 2 14 8" xfId="38673" xr:uid="{00000000-0005-0000-0000-0000E6680000}"/>
    <cellStyle name="Обычный 7 2 14 9" xfId="44013" xr:uid="{00000000-0005-0000-0000-0000E7680000}"/>
    <cellStyle name="Обычный 7 2 140" xfId="5126" xr:uid="{00000000-0005-0000-0000-0000E8680000}"/>
    <cellStyle name="Обычный 7 2 140 10" xfId="53189" xr:uid="{00000000-0005-0000-0000-0000E9680000}"/>
    <cellStyle name="Обычный 7 2 140 2" xfId="10469" xr:uid="{00000000-0005-0000-0000-0000EA680000}"/>
    <cellStyle name="Обычный 7 2 140 2 2" xfId="58530" xr:uid="{00000000-0005-0000-0000-0000EB680000}"/>
    <cellStyle name="Обычный 7 2 140 3" xfId="15809" xr:uid="{00000000-0005-0000-0000-0000EC680000}"/>
    <cellStyle name="Обычный 7 2 140 4" xfId="21149" xr:uid="{00000000-0005-0000-0000-0000ED680000}"/>
    <cellStyle name="Обычный 7 2 140 5" xfId="26489" xr:uid="{00000000-0005-0000-0000-0000EE680000}"/>
    <cellStyle name="Обычный 7 2 140 6" xfId="31829" xr:uid="{00000000-0005-0000-0000-0000EF680000}"/>
    <cellStyle name="Обычный 7 2 140 7" xfId="37169" xr:uid="{00000000-0005-0000-0000-0000F0680000}"/>
    <cellStyle name="Обычный 7 2 140 8" xfId="42509" xr:uid="{00000000-0005-0000-0000-0000F1680000}"/>
    <cellStyle name="Обычный 7 2 140 9" xfId="47849" xr:uid="{00000000-0005-0000-0000-0000F2680000}"/>
    <cellStyle name="Обычный 7 2 141" xfId="5158" xr:uid="{00000000-0005-0000-0000-0000F3680000}"/>
    <cellStyle name="Обычный 7 2 141 10" xfId="53221" xr:uid="{00000000-0005-0000-0000-0000F4680000}"/>
    <cellStyle name="Обычный 7 2 141 2" xfId="10501" xr:uid="{00000000-0005-0000-0000-0000F5680000}"/>
    <cellStyle name="Обычный 7 2 141 2 2" xfId="58562" xr:uid="{00000000-0005-0000-0000-0000F6680000}"/>
    <cellStyle name="Обычный 7 2 141 3" xfId="15841" xr:uid="{00000000-0005-0000-0000-0000F7680000}"/>
    <cellStyle name="Обычный 7 2 141 4" xfId="21181" xr:uid="{00000000-0005-0000-0000-0000F8680000}"/>
    <cellStyle name="Обычный 7 2 141 5" xfId="26521" xr:uid="{00000000-0005-0000-0000-0000F9680000}"/>
    <cellStyle name="Обычный 7 2 141 6" xfId="31861" xr:uid="{00000000-0005-0000-0000-0000FA680000}"/>
    <cellStyle name="Обычный 7 2 141 7" xfId="37201" xr:uid="{00000000-0005-0000-0000-0000FB680000}"/>
    <cellStyle name="Обычный 7 2 141 8" xfId="42541" xr:uid="{00000000-0005-0000-0000-0000FC680000}"/>
    <cellStyle name="Обычный 7 2 141 9" xfId="47881" xr:uid="{00000000-0005-0000-0000-0000FD680000}"/>
    <cellStyle name="Обычный 7 2 142" xfId="5190" xr:uid="{00000000-0005-0000-0000-0000FE680000}"/>
    <cellStyle name="Обычный 7 2 142 10" xfId="53253" xr:uid="{00000000-0005-0000-0000-0000FF680000}"/>
    <cellStyle name="Обычный 7 2 142 2" xfId="10533" xr:uid="{00000000-0005-0000-0000-000000690000}"/>
    <cellStyle name="Обычный 7 2 142 2 2" xfId="58594" xr:uid="{00000000-0005-0000-0000-000001690000}"/>
    <cellStyle name="Обычный 7 2 142 3" xfId="15873" xr:uid="{00000000-0005-0000-0000-000002690000}"/>
    <cellStyle name="Обычный 7 2 142 4" xfId="21213" xr:uid="{00000000-0005-0000-0000-000003690000}"/>
    <cellStyle name="Обычный 7 2 142 5" xfId="26553" xr:uid="{00000000-0005-0000-0000-000004690000}"/>
    <cellStyle name="Обычный 7 2 142 6" xfId="31893" xr:uid="{00000000-0005-0000-0000-000005690000}"/>
    <cellStyle name="Обычный 7 2 142 7" xfId="37233" xr:uid="{00000000-0005-0000-0000-000006690000}"/>
    <cellStyle name="Обычный 7 2 142 8" xfId="42573" xr:uid="{00000000-0005-0000-0000-000007690000}"/>
    <cellStyle name="Обычный 7 2 142 9" xfId="47913" xr:uid="{00000000-0005-0000-0000-000008690000}"/>
    <cellStyle name="Обычный 7 2 143" xfId="5222" xr:uid="{00000000-0005-0000-0000-000009690000}"/>
    <cellStyle name="Обычный 7 2 143 10" xfId="53285" xr:uid="{00000000-0005-0000-0000-00000A690000}"/>
    <cellStyle name="Обычный 7 2 143 2" xfId="10565" xr:uid="{00000000-0005-0000-0000-00000B690000}"/>
    <cellStyle name="Обычный 7 2 143 2 2" xfId="58626" xr:uid="{00000000-0005-0000-0000-00000C690000}"/>
    <cellStyle name="Обычный 7 2 143 3" xfId="15905" xr:uid="{00000000-0005-0000-0000-00000D690000}"/>
    <cellStyle name="Обычный 7 2 143 4" xfId="21245" xr:uid="{00000000-0005-0000-0000-00000E690000}"/>
    <cellStyle name="Обычный 7 2 143 5" xfId="26585" xr:uid="{00000000-0005-0000-0000-00000F690000}"/>
    <cellStyle name="Обычный 7 2 143 6" xfId="31925" xr:uid="{00000000-0005-0000-0000-000010690000}"/>
    <cellStyle name="Обычный 7 2 143 7" xfId="37265" xr:uid="{00000000-0005-0000-0000-000011690000}"/>
    <cellStyle name="Обычный 7 2 143 8" xfId="42605" xr:uid="{00000000-0005-0000-0000-000012690000}"/>
    <cellStyle name="Обычный 7 2 143 9" xfId="47945" xr:uid="{00000000-0005-0000-0000-000013690000}"/>
    <cellStyle name="Обычный 7 2 144" xfId="5254" xr:uid="{00000000-0005-0000-0000-000014690000}"/>
    <cellStyle name="Обычный 7 2 144 10" xfId="53317" xr:uid="{00000000-0005-0000-0000-000015690000}"/>
    <cellStyle name="Обычный 7 2 144 2" xfId="10597" xr:uid="{00000000-0005-0000-0000-000016690000}"/>
    <cellStyle name="Обычный 7 2 144 2 2" xfId="58658" xr:uid="{00000000-0005-0000-0000-000017690000}"/>
    <cellStyle name="Обычный 7 2 144 3" xfId="15937" xr:uid="{00000000-0005-0000-0000-000018690000}"/>
    <cellStyle name="Обычный 7 2 144 4" xfId="21277" xr:uid="{00000000-0005-0000-0000-000019690000}"/>
    <cellStyle name="Обычный 7 2 144 5" xfId="26617" xr:uid="{00000000-0005-0000-0000-00001A690000}"/>
    <cellStyle name="Обычный 7 2 144 6" xfId="31957" xr:uid="{00000000-0005-0000-0000-00001B690000}"/>
    <cellStyle name="Обычный 7 2 144 7" xfId="37297" xr:uid="{00000000-0005-0000-0000-00001C690000}"/>
    <cellStyle name="Обычный 7 2 144 8" xfId="42637" xr:uid="{00000000-0005-0000-0000-00001D690000}"/>
    <cellStyle name="Обычный 7 2 144 9" xfId="47977" xr:uid="{00000000-0005-0000-0000-00001E690000}"/>
    <cellStyle name="Обычный 7 2 145" xfId="5286" xr:uid="{00000000-0005-0000-0000-00001F690000}"/>
    <cellStyle name="Обычный 7 2 145 10" xfId="53349" xr:uid="{00000000-0005-0000-0000-000020690000}"/>
    <cellStyle name="Обычный 7 2 145 2" xfId="10629" xr:uid="{00000000-0005-0000-0000-000021690000}"/>
    <cellStyle name="Обычный 7 2 145 2 2" xfId="58690" xr:uid="{00000000-0005-0000-0000-000022690000}"/>
    <cellStyle name="Обычный 7 2 145 3" xfId="15969" xr:uid="{00000000-0005-0000-0000-000023690000}"/>
    <cellStyle name="Обычный 7 2 145 4" xfId="21309" xr:uid="{00000000-0005-0000-0000-000024690000}"/>
    <cellStyle name="Обычный 7 2 145 5" xfId="26649" xr:uid="{00000000-0005-0000-0000-000025690000}"/>
    <cellStyle name="Обычный 7 2 145 6" xfId="31989" xr:uid="{00000000-0005-0000-0000-000026690000}"/>
    <cellStyle name="Обычный 7 2 145 7" xfId="37329" xr:uid="{00000000-0005-0000-0000-000027690000}"/>
    <cellStyle name="Обычный 7 2 145 8" xfId="42669" xr:uid="{00000000-0005-0000-0000-000028690000}"/>
    <cellStyle name="Обычный 7 2 145 9" xfId="48009" xr:uid="{00000000-0005-0000-0000-000029690000}"/>
    <cellStyle name="Обычный 7 2 146" xfId="5318" xr:uid="{00000000-0005-0000-0000-00002A690000}"/>
    <cellStyle name="Обычный 7 2 146 10" xfId="53381" xr:uid="{00000000-0005-0000-0000-00002B690000}"/>
    <cellStyle name="Обычный 7 2 146 2" xfId="10661" xr:uid="{00000000-0005-0000-0000-00002C690000}"/>
    <cellStyle name="Обычный 7 2 146 2 2" xfId="58722" xr:uid="{00000000-0005-0000-0000-00002D690000}"/>
    <cellStyle name="Обычный 7 2 146 3" xfId="16001" xr:uid="{00000000-0005-0000-0000-00002E690000}"/>
    <cellStyle name="Обычный 7 2 146 4" xfId="21341" xr:uid="{00000000-0005-0000-0000-00002F690000}"/>
    <cellStyle name="Обычный 7 2 146 5" xfId="26681" xr:uid="{00000000-0005-0000-0000-000030690000}"/>
    <cellStyle name="Обычный 7 2 146 6" xfId="32021" xr:uid="{00000000-0005-0000-0000-000031690000}"/>
    <cellStyle name="Обычный 7 2 146 7" xfId="37361" xr:uid="{00000000-0005-0000-0000-000032690000}"/>
    <cellStyle name="Обычный 7 2 146 8" xfId="42701" xr:uid="{00000000-0005-0000-0000-000033690000}"/>
    <cellStyle name="Обычный 7 2 146 9" xfId="48041" xr:uid="{00000000-0005-0000-0000-000034690000}"/>
    <cellStyle name="Обычный 7 2 147" xfId="5350" xr:uid="{00000000-0005-0000-0000-000035690000}"/>
    <cellStyle name="Обычный 7 2 147 10" xfId="53413" xr:uid="{00000000-0005-0000-0000-000036690000}"/>
    <cellStyle name="Обычный 7 2 147 2" xfId="10693" xr:uid="{00000000-0005-0000-0000-000037690000}"/>
    <cellStyle name="Обычный 7 2 147 2 2" xfId="58754" xr:uid="{00000000-0005-0000-0000-000038690000}"/>
    <cellStyle name="Обычный 7 2 147 3" xfId="16033" xr:uid="{00000000-0005-0000-0000-000039690000}"/>
    <cellStyle name="Обычный 7 2 147 4" xfId="21373" xr:uid="{00000000-0005-0000-0000-00003A690000}"/>
    <cellStyle name="Обычный 7 2 147 5" xfId="26713" xr:uid="{00000000-0005-0000-0000-00003B690000}"/>
    <cellStyle name="Обычный 7 2 147 6" xfId="32053" xr:uid="{00000000-0005-0000-0000-00003C690000}"/>
    <cellStyle name="Обычный 7 2 147 7" xfId="37393" xr:uid="{00000000-0005-0000-0000-00003D690000}"/>
    <cellStyle name="Обычный 7 2 147 8" xfId="42733" xr:uid="{00000000-0005-0000-0000-00003E690000}"/>
    <cellStyle name="Обычный 7 2 147 9" xfId="48073" xr:uid="{00000000-0005-0000-0000-00003F690000}"/>
    <cellStyle name="Обычный 7 2 148" xfId="5382" xr:uid="{00000000-0005-0000-0000-000040690000}"/>
    <cellStyle name="Обычный 7 2 148 10" xfId="53445" xr:uid="{00000000-0005-0000-0000-000041690000}"/>
    <cellStyle name="Обычный 7 2 148 2" xfId="10725" xr:uid="{00000000-0005-0000-0000-000042690000}"/>
    <cellStyle name="Обычный 7 2 148 2 2" xfId="58786" xr:uid="{00000000-0005-0000-0000-000043690000}"/>
    <cellStyle name="Обычный 7 2 148 3" xfId="16065" xr:uid="{00000000-0005-0000-0000-000044690000}"/>
    <cellStyle name="Обычный 7 2 148 4" xfId="21405" xr:uid="{00000000-0005-0000-0000-000045690000}"/>
    <cellStyle name="Обычный 7 2 148 5" xfId="26745" xr:uid="{00000000-0005-0000-0000-000046690000}"/>
    <cellStyle name="Обычный 7 2 148 6" xfId="32085" xr:uid="{00000000-0005-0000-0000-000047690000}"/>
    <cellStyle name="Обычный 7 2 148 7" xfId="37425" xr:uid="{00000000-0005-0000-0000-000048690000}"/>
    <cellStyle name="Обычный 7 2 148 8" xfId="42765" xr:uid="{00000000-0005-0000-0000-000049690000}"/>
    <cellStyle name="Обычный 7 2 148 9" xfId="48105" xr:uid="{00000000-0005-0000-0000-00004A690000}"/>
    <cellStyle name="Обычный 7 2 149" xfId="5775" xr:uid="{00000000-0005-0000-0000-00004B690000}"/>
    <cellStyle name="Обычный 7 2 149 2" xfId="53837" xr:uid="{00000000-0005-0000-0000-00004C690000}"/>
    <cellStyle name="Обычный 7 2 15" xfId="1316" xr:uid="{00000000-0005-0000-0000-00004D690000}"/>
    <cellStyle name="Обычный 7 2 15 10" xfId="49379" xr:uid="{00000000-0005-0000-0000-00004E690000}"/>
    <cellStyle name="Обычный 7 2 15 2" xfId="6658" xr:uid="{00000000-0005-0000-0000-00004F690000}"/>
    <cellStyle name="Обычный 7 2 15 2 2" xfId="54720" xr:uid="{00000000-0005-0000-0000-000050690000}"/>
    <cellStyle name="Обычный 7 2 15 3" xfId="11999" xr:uid="{00000000-0005-0000-0000-000051690000}"/>
    <cellStyle name="Обычный 7 2 15 4" xfId="17339" xr:uid="{00000000-0005-0000-0000-000052690000}"/>
    <cellStyle name="Обычный 7 2 15 5" xfId="22679" xr:uid="{00000000-0005-0000-0000-000053690000}"/>
    <cellStyle name="Обычный 7 2 15 6" xfId="28019" xr:uid="{00000000-0005-0000-0000-000054690000}"/>
    <cellStyle name="Обычный 7 2 15 7" xfId="33359" xr:uid="{00000000-0005-0000-0000-000055690000}"/>
    <cellStyle name="Обычный 7 2 15 8" xfId="38699" xr:uid="{00000000-0005-0000-0000-000056690000}"/>
    <cellStyle name="Обычный 7 2 15 9" xfId="44039" xr:uid="{00000000-0005-0000-0000-000057690000}"/>
    <cellStyle name="Обычный 7 2 150" xfId="11116" xr:uid="{00000000-0005-0000-0000-000058690000}"/>
    <cellStyle name="Обычный 7 2 151" xfId="16456" xr:uid="{00000000-0005-0000-0000-000059690000}"/>
    <cellStyle name="Обычный 7 2 152" xfId="21796" xr:uid="{00000000-0005-0000-0000-00005A690000}"/>
    <cellStyle name="Обычный 7 2 153" xfId="27136" xr:uid="{00000000-0005-0000-0000-00005B690000}"/>
    <cellStyle name="Обычный 7 2 154" xfId="32476" xr:uid="{00000000-0005-0000-0000-00005C690000}"/>
    <cellStyle name="Обычный 7 2 155" xfId="37816" xr:uid="{00000000-0005-0000-0000-00005D690000}"/>
    <cellStyle name="Обычный 7 2 156" xfId="43156" xr:uid="{00000000-0005-0000-0000-00005E690000}"/>
    <cellStyle name="Обычный 7 2 157" xfId="48496" xr:uid="{00000000-0005-0000-0000-00005F690000}"/>
    <cellStyle name="Обычный 7 2 16" xfId="1342" xr:uid="{00000000-0005-0000-0000-000060690000}"/>
    <cellStyle name="Обычный 7 2 16 10" xfId="49405" xr:uid="{00000000-0005-0000-0000-000061690000}"/>
    <cellStyle name="Обычный 7 2 16 2" xfId="6684" xr:uid="{00000000-0005-0000-0000-000062690000}"/>
    <cellStyle name="Обычный 7 2 16 2 2" xfId="54746" xr:uid="{00000000-0005-0000-0000-000063690000}"/>
    <cellStyle name="Обычный 7 2 16 3" xfId="12025" xr:uid="{00000000-0005-0000-0000-000064690000}"/>
    <cellStyle name="Обычный 7 2 16 4" xfId="17365" xr:uid="{00000000-0005-0000-0000-000065690000}"/>
    <cellStyle name="Обычный 7 2 16 5" xfId="22705" xr:uid="{00000000-0005-0000-0000-000066690000}"/>
    <cellStyle name="Обычный 7 2 16 6" xfId="28045" xr:uid="{00000000-0005-0000-0000-000067690000}"/>
    <cellStyle name="Обычный 7 2 16 7" xfId="33385" xr:uid="{00000000-0005-0000-0000-000068690000}"/>
    <cellStyle name="Обычный 7 2 16 8" xfId="38725" xr:uid="{00000000-0005-0000-0000-000069690000}"/>
    <cellStyle name="Обычный 7 2 16 9" xfId="44065" xr:uid="{00000000-0005-0000-0000-00006A690000}"/>
    <cellStyle name="Обычный 7 2 17" xfId="1368" xr:uid="{00000000-0005-0000-0000-00006B690000}"/>
    <cellStyle name="Обычный 7 2 17 10" xfId="49431" xr:uid="{00000000-0005-0000-0000-00006C690000}"/>
    <cellStyle name="Обычный 7 2 17 2" xfId="6710" xr:uid="{00000000-0005-0000-0000-00006D690000}"/>
    <cellStyle name="Обычный 7 2 17 2 2" xfId="54772" xr:uid="{00000000-0005-0000-0000-00006E690000}"/>
    <cellStyle name="Обычный 7 2 17 3" xfId="12051" xr:uid="{00000000-0005-0000-0000-00006F690000}"/>
    <cellStyle name="Обычный 7 2 17 4" xfId="17391" xr:uid="{00000000-0005-0000-0000-000070690000}"/>
    <cellStyle name="Обычный 7 2 17 5" xfId="22731" xr:uid="{00000000-0005-0000-0000-000071690000}"/>
    <cellStyle name="Обычный 7 2 17 6" xfId="28071" xr:uid="{00000000-0005-0000-0000-000072690000}"/>
    <cellStyle name="Обычный 7 2 17 7" xfId="33411" xr:uid="{00000000-0005-0000-0000-000073690000}"/>
    <cellStyle name="Обычный 7 2 17 8" xfId="38751" xr:uid="{00000000-0005-0000-0000-000074690000}"/>
    <cellStyle name="Обычный 7 2 17 9" xfId="44091" xr:uid="{00000000-0005-0000-0000-000075690000}"/>
    <cellStyle name="Обычный 7 2 18" xfId="1394" xr:uid="{00000000-0005-0000-0000-000076690000}"/>
    <cellStyle name="Обычный 7 2 18 10" xfId="49457" xr:uid="{00000000-0005-0000-0000-000077690000}"/>
    <cellStyle name="Обычный 7 2 18 2" xfId="6736" xr:uid="{00000000-0005-0000-0000-000078690000}"/>
    <cellStyle name="Обычный 7 2 18 2 2" xfId="54798" xr:uid="{00000000-0005-0000-0000-000079690000}"/>
    <cellStyle name="Обычный 7 2 18 3" xfId="12077" xr:uid="{00000000-0005-0000-0000-00007A690000}"/>
    <cellStyle name="Обычный 7 2 18 4" xfId="17417" xr:uid="{00000000-0005-0000-0000-00007B690000}"/>
    <cellStyle name="Обычный 7 2 18 5" xfId="22757" xr:uid="{00000000-0005-0000-0000-00007C690000}"/>
    <cellStyle name="Обычный 7 2 18 6" xfId="28097" xr:uid="{00000000-0005-0000-0000-00007D690000}"/>
    <cellStyle name="Обычный 7 2 18 7" xfId="33437" xr:uid="{00000000-0005-0000-0000-00007E690000}"/>
    <cellStyle name="Обычный 7 2 18 8" xfId="38777" xr:uid="{00000000-0005-0000-0000-00007F690000}"/>
    <cellStyle name="Обычный 7 2 18 9" xfId="44117" xr:uid="{00000000-0005-0000-0000-000080690000}"/>
    <cellStyle name="Обычный 7 2 19" xfId="1420" xr:uid="{00000000-0005-0000-0000-000081690000}"/>
    <cellStyle name="Обычный 7 2 19 10" xfId="49483" xr:uid="{00000000-0005-0000-0000-000082690000}"/>
    <cellStyle name="Обычный 7 2 19 2" xfId="6762" xr:uid="{00000000-0005-0000-0000-000083690000}"/>
    <cellStyle name="Обычный 7 2 19 2 2" xfId="54824" xr:uid="{00000000-0005-0000-0000-000084690000}"/>
    <cellStyle name="Обычный 7 2 19 3" xfId="12103" xr:uid="{00000000-0005-0000-0000-000085690000}"/>
    <cellStyle name="Обычный 7 2 19 4" xfId="17443" xr:uid="{00000000-0005-0000-0000-000086690000}"/>
    <cellStyle name="Обычный 7 2 19 5" xfId="22783" xr:uid="{00000000-0005-0000-0000-000087690000}"/>
    <cellStyle name="Обычный 7 2 19 6" xfId="28123" xr:uid="{00000000-0005-0000-0000-000088690000}"/>
    <cellStyle name="Обычный 7 2 19 7" xfId="33463" xr:uid="{00000000-0005-0000-0000-000089690000}"/>
    <cellStyle name="Обычный 7 2 19 8" xfId="38803" xr:uid="{00000000-0005-0000-0000-00008A690000}"/>
    <cellStyle name="Обычный 7 2 19 9" xfId="44143" xr:uid="{00000000-0005-0000-0000-00008B690000}"/>
    <cellStyle name="Обычный 7 2 2" xfId="901" xr:uid="{00000000-0005-0000-0000-00008C690000}"/>
    <cellStyle name="Обычный 7 2 2 10" xfId="48963" xr:uid="{00000000-0005-0000-0000-00008D690000}"/>
    <cellStyle name="Обычный 7 2 2 2" xfId="6242" xr:uid="{00000000-0005-0000-0000-00008E690000}"/>
    <cellStyle name="Обычный 7 2 2 2 2" xfId="54304" xr:uid="{00000000-0005-0000-0000-00008F690000}"/>
    <cellStyle name="Обычный 7 2 2 3" xfId="11583" xr:uid="{00000000-0005-0000-0000-000090690000}"/>
    <cellStyle name="Обычный 7 2 2 4" xfId="16923" xr:uid="{00000000-0005-0000-0000-000091690000}"/>
    <cellStyle name="Обычный 7 2 2 5" xfId="22263" xr:uid="{00000000-0005-0000-0000-000092690000}"/>
    <cellStyle name="Обычный 7 2 2 6" xfId="27603" xr:uid="{00000000-0005-0000-0000-000093690000}"/>
    <cellStyle name="Обычный 7 2 2 7" xfId="32943" xr:uid="{00000000-0005-0000-0000-000094690000}"/>
    <cellStyle name="Обычный 7 2 2 8" xfId="38283" xr:uid="{00000000-0005-0000-0000-000095690000}"/>
    <cellStyle name="Обычный 7 2 2 9" xfId="43623" xr:uid="{00000000-0005-0000-0000-000096690000}"/>
    <cellStyle name="Обычный 7 2 20" xfId="1446" xr:uid="{00000000-0005-0000-0000-000097690000}"/>
    <cellStyle name="Обычный 7 2 20 10" xfId="49509" xr:uid="{00000000-0005-0000-0000-000098690000}"/>
    <cellStyle name="Обычный 7 2 20 2" xfId="6788" xr:uid="{00000000-0005-0000-0000-000099690000}"/>
    <cellStyle name="Обычный 7 2 20 2 2" xfId="54850" xr:uid="{00000000-0005-0000-0000-00009A690000}"/>
    <cellStyle name="Обычный 7 2 20 3" xfId="12129" xr:uid="{00000000-0005-0000-0000-00009B690000}"/>
    <cellStyle name="Обычный 7 2 20 4" xfId="17469" xr:uid="{00000000-0005-0000-0000-00009C690000}"/>
    <cellStyle name="Обычный 7 2 20 5" xfId="22809" xr:uid="{00000000-0005-0000-0000-00009D690000}"/>
    <cellStyle name="Обычный 7 2 20 6" xfId="28149" xr:uid="{00000000-0005-0000-0000-00009E690000}"/>
    <cellStyle name="Обычный 7 2 20 7" xfId="33489" xr:uid="{00000000-0005-0000-0000-00009F690000}"/>
    <cellStyle name="Обычный 7 2 20 8" xfId="38829" xr:uid="{00000000-0005-0000-0000-0000A0690000}"/>
    <cellStyle name="Обычный 7 2 20 9" xfId="44169" xr:uid="{00000000-0005-0000-0000-0000A1690000}"/>
    <cellStyle name="Обычный 7 2 21" xfId="1472" xr:uid="{00000000-0005-0000-0000-0000A2690000}"/>
    <cellStyle name="Обычный 7 2 21 10" xfId="49535" xr:uid="{00000000-0005-0000-0000-0000A3690000}"/>
    <cellStyle name="Обычный 7 2 21 2" xfId="6814" xr:uid="{00000000-0005-0000-0000-0000A4690000}"/>
    <cellStyle name="Обычный 7 2 21 2 2" xfId="54876" xr:uid="{00000000-0005-0000-0000-0000A5690000}"/>
    <cellStyle name="Обычный 7 2 21 3" xfId="12155" xr:uid="{00000000-0005-0000-0000-0000A6690000}"/>
    <cellStyle name="Обычный 7 2 21 4" xfId="17495" xr:uid="{00000000-0005-0000-0000-0000A7690000}"/>
    <cellStyle name="Обычный 7 2 21 5" xfId="22835" xr:uid="{00000000-0005-0000-0000-0000A8690000}"/>
    <cellStyle name="Обычный 7 2 21 6" xfId="28175" xr:uid="{00000000-0005-0000-0000-0000A9690000}"/>
    <cellStyle name="Обычный 7 2 21 7" xfId="33515" xr:uid="{00000000-0005-0000-0000-0000AA690000}"/>
    <cellStyle name="Обычный 7 2 21 8" xfId="38855" xr:uid="{00000000-0005-0000-0000-0000AB690000}"/>
    <cellStyle name="Обычный 7 2 21 9" xfId="44195" xr:uid="{00000000-0005-0000-0000-0000AC690000}"/>
    <cellStyle name="Обычный 7 2 22" xfId="1498" xr:uid="{00000000-0005-0000-0000-0000AD690000}"/>
    <cellStyle name="Обычный 7 2 22 10" xfId="49561" xr:uid="{00000000-0005-0000-0000-0000AE690000}"/>
    <cellStyle name="Обычный 7 2 22 2" xfId="6840" xr:uid="{00000000-0005-0000-0000-0000AF690000}"/>
    <cellStyle name="Обычный 7 2 22 2 2" xfId="54902" xr:uid="{00000000-0005-0000-0000-0000B0690000}"/>
    <cellStyle name="Обычный 7 2 22 3" xfId="12181" xr:uid="{00000000-0005-0000-0000-0000B1690000}"/>
    <cellStyle name="Обычный 7 2 22 4" xfId="17521" xr:uid="{00000000-0005-0000-0000-0000B2690000}"/>
    <cellStyle name="Обычный 7 2 22 5" xfId="22861" xr:uid="{00000000-0005-0000-0000-0000B3690000}"/>
    <cellStyle name="Обычный 7 2 22 6" xfId="28201" xr:uid="{00000000-0005-0000-0000-0000B4690000}"/>
    <cellStyle name="Обычный 7 2 22 7" xfId="33541" xr:uid="{00000000-0005-0000-0000-0000B5690000}"/>
    <cellStyle name="Обычный 7 2 22 8" xfId="38881" xr:uid="{00000000-0005-0000-0000-0000B6690000}"/>
    <cellStyle name="Обычный 7 2 22 9" xfId="44221" xr:uid="{00000000-0005-0000-0000-0000B7690000}"/>
    <cellStyle name="Обычный 7 2 23" xfId="1524" xr:uid="{00000000-0005-0000-0000-0000B8690000}"/>
    <cellStyle name="Обычный 7 2 23 10" xfId="49587" xr:uid="{00000000-0005-0000-0000-0000B9690000}"/>
    <cellStyle name="Обычный 7 2 23 2" xfId="6866" xr:uid="{00000000-0005-0000-0000-0000BA690000}"/>
    <cellStyle name="Обычный 7 2 23 2 2" xfId="54928" xr:uid="{00000000-0005-0000-0000-0000BB690000}"/>
    <cellStyle name="Обычный 7 2 23 3" xfId="12207" xr:uid="{00000000-0005-0000-0000-0000BC690000}"/>
    <cellStyle name="Обычный 7 2 23 4" xfId="17547" xr:uid="{00000000-0005-0000-0000-0000BD690000}"/>
    <cellStyle name="Обычный 7 2 23 5" xfId="22887" xr:uid="{00000000-0005-0000-0000-0000BE690000}"/>
    <cellStyle name="Обычный 7 2 23 6" xfId="28227" xr:uid="{00000000-0005-0000-0000-0000BF690000}"/>
    <cellStyle name="Обычный 7 2 23 7" xfId="33567" xr:uid="{00000000-0005-0000-0000-0000C0690000}"/>
    <cellStyle name="Обычный 7 2 23 8" xfId="38907" xr:uid="{00000000-0005-0000-0000-0000C1690000}"/>
    <cellStyle name="Обычный 7 2 23 9" xfId="44247" xr:uid="{00000000-0005-0000-0000-0000C2690000}"/>
    <cellStyle name="Обычный 7 2 24" xfId="1550" xr:uid="{00000000-0005-0000-0000-0000C3690000}"/>
    <cellStyle name="Обычный 7 2 24 10" xfId="49613" xr:uid="{00000000-0005-0000-0000-0000C4690000}"/>
    <cellStyle name="Обычный 7 2 24 2" xfId="6892" xr:uid="{00000000-0005-0000-0000-0000C5690000}"/>
    <cellStyle name="Обычный 7 2 24 2 2" xfId="54954" xr:uid="{00000000-0005-0000-0000-0000C6690000}"/>
    <cellStyle name="Обычный 7 2 24 3" xfId="12233" xr:uid="{00000000-0005-0000-0000-0000C7690000}"/>
    <cellStyle name="Обычный 7 2 24 4" xfId="17573" xr:uid="{00000000-0005-0000-0000-0000C8690000}"/>
    <cellStyle name="Обычный 7 2 24 5" xfId="22913" xr:uid="{00000000-0005-0000-0000-0000C9690000}"/>
    <cellStyle name="Обычный 7 2 24 6" xfId="28253" xr:uid="{00000000-0005-0000-0000-0000CA690000}"/>
    <cellStyle name="Обычный 7 2 24 7" xfId="33593" xr:uid="{00000000-0005-0000-0000-0000CB690000}"/>
    <cellStyle name="Обычный 7 2 24 8" xfId="38933" xr:uid="{00000000-0005-0000-0000-0000CC690000}"/>
    <cellStyle name="Обычный 7 2 24 9" xfId="44273" xr:uid="{00000000-0005-0000-0000-0000CD690000}"/>
    <cellStyle name="Обычный 7 2 25" xfId="1576" xr:uid="{00000000-0005-0000-0000-0000CE690000}"/>
    <cellStyle name="Обычный 7 2 25 10" xfId="49639" xr:uid="{00000000-0005-0000-0000-0000CF690000}"/>
    <cellStyle name="Обычный 7 2 25 2" xfId="6918" xr:uid="{00000000-0005-0000-0000-0000D0690000}"/>
    <cellStyle name="Обычный 7 2 25 2 2" xfId="54980" xr:uid="{00000000-0005-0000-0000-0000D1690000}"/>
    <cellStyle name="Обычный 7 2 25 3" xfId="12259" xr:uid="{00000000-0005-0000-0000-0000D2690000}"/>
    <cellStyle name="Обычный 7 2 25 4" xfId="17599" xr:uid="{00000000-0005-0000-0000-0000D3690000}"/>
    <cellStyle name="Обычный 7 2 25 5" xfId="22939" xr:uid="{00000000-0005-0000-0000-0000D4690000}"/>
    <cellStyle name="Обычный 7 2 25 6" xfId="28279" xr:uid="{00000000-0005-0000-0000-0000D5690000}"/>
    <cellStyle name="Обычный 7 2 25 7" xfId="33619" xr:uid="{00000000-0005-0000-0000-0000D6690000}"/>
    <cellStyle name="Обычный 7 2 25 8" xfId="38959" xr:uid="{00000000-0005-0000-0000-0000D7690000}"/>
    <cellStyle name="Обычный 7 2 25 9" xfId="44299" xr:uid="{00000000-0005-0000-0000-0000D8690000}"/>
    <cellStyle name="Обычный 7 2 26" xfId="1602" xr:uid="{00000000-0005-0000-0000-0000D9690000}"/>
    <cellStyle name="Обычный 7 2 26 10" xfId="49665" xr:uid="{00000000-0005-0000-0000-0000DA690000}"/>
    <cellStyle name="Обычный 7 2 26 2" xfId="6944" xr:uid="{00000000-0005-0000-0000-0000DB690000}"/>
    <cellStyle name="Обычный 7 2 26 2 2" xfId="55006" xr:uid="{00000000-0005-0000-0000-0000DC690000}"/>
    <cellStyle name="Обычный 7 2 26 3" xfId="12285" xr:uid="{00000000-0005-0000-0000-0000DD690000}"/>
    <cellStyle name="Обычный 7 2 26 4" xfId="17625" xr:uid="{00000000-0005-0000-0000-0000DE690000}"/>
    <cellStyle name="Обычный 7 2 26 5" xfId="22965" xr:uid="{00000000-0005-0000-0000-0000DF690000}"/>
    <cellStyle name="Обычный 7 2 26 6" xfId="28305" xr:uid="{00000000-0005-0000-0000-0000E0690000}"/>
    <cellStyle name="Обычный 7 2 26 7" xfId="33645" xr:uid="{00000000-0005-0000-0000-0000E1690000}"/>
    <cellStyle name="Обычный 7 2 26 8" xfId="38985" xr:uid="{00000000-0005-0000-0000-0000E2690000}"/>
    <cellStyle name="Обычный 7 2 26 9" xfId="44325" xr:uid="{00000000-0005-0000-0000-0000E3690000}"/>
    <cellStyle name="Обычный 7 2 27" xfId="1628" xr:uid="{00000000-0005-0000-0000-0000E4690000}"/>
    <cellStyle name="Обычный 7 2 27 10" xfId="49691" xr:uid="{00000000-0005-0000-0000-0000E5690000}"/>
    <cellStyle name="Обычный 7 2 27 2" xfId="6970" xr:uid="{00000000-0005-0000-0000-0000E6690000}"/>
    <cellStyle name="Обычный 7 2 27 2 2" xfId="55032" xr:uid="{00000000-0005-0000-0000-0000E7690000}"/>
    <cellStyle name="Обычный 7 2 27 3" xfId="12311" xr:uid="{00000000-0005-0000-0000-0000E8690000}"/>
    <cellStyle name="Обычный 7 2 27 4" xfId="17651" xr:uid="{00000000-0005-0000-0000-0000E9690000}"/>
    <cellStyle name="Обычный 7 2 27 5" xfId="22991" xr:uid="{00000000-0005-0000-0000-0000EA690000}"/>
    <cellStyle name="Обычный 7 2 27 6" xfId="28331" xr:uid="{00000000-0005-0000-0000-0000EB690000}"/>
    <cellStyle name="Обычный 7 2 27 7" xfId="33671" xr:uid="{00000000-0005-0000-0000-0000EC690000}"/>
    <cellStyle name="Обычный 7 2 27 8" xfId="39011" xr:uid="{00000000-0005-0000-0000-0000ED690000}"/>
    <cellStyle name="Обычный 7 2 27 9" xfId="44351" xr:uid="{00000000-0005-0000-0000-0000EE690000}"/>
    <cellStyle name="Обычный 7 2 28" xfId="1654" xr:uid="{00000000-0005-0000-0000-0000EF690000}"/>
    <cellStyle name="Обычный 7 2 28 10" xfId="49717" xr:uid="{00000000-0005-0000-0000-0000F0690000}"/>
    <cellStyle name="Обычный 7 2 28 2" xfId="6996" xr:uid="{00000000-0005-0000-0000-0000F1690000}"/>
    <cellStyle name="Обычный 7 2 28 2 2" xfId="55058" xr:uid="{00000000-0005-0000-0000-0000F2690000}"/>
    <cellStyle name="Обычный 7 2 28 3" xfId="12337" xr:uid="{00000000-0005-0000-0000-0000F3690000}"/>
    <cellStyle name="Обычный 7 2 28 4" xfId="17677" xr:uid="{00000000-0005-0000-0000-0000F4690000}"/>
    <cellStyle name="Обычный 7 2 28 5" xfId="23017" xr:uid="{00000000-0005-0000-0000-0000F5690000}"/>
    <cellStyle name="Обычный 7 2 28 6" xfId="28357" xr:uid="{00000000-0005-0000-0000-0000F6690000}"/>
    <cellStyle name="Обычный 7 2 28 7" xfId="33697" xr:uid="{00000000-0005-0000-0000-0000F7690000}"/>
    <cellStyle name="Обычный 7 2 28 8" xfId="39037" xr:uid="{00000000-0005-0000-0000-0000F8690000}"/>
    <cellStyle name="Обычный 7 2 28 9" xfId="44377" xr:uid="{00000000-0005-0000-0000-0000F9690000}"/>
    <cellStyle name="Обычный 7 2 29" xfId="1680" xr:uid="{00000000-0005-0000-0000-0000FA690000}"/>
    <cellStyle name="Обычный 7 2 29 10" xfId="49743" xr:uid="{00000000-0005-0000-0000-0000FB690000}"/>
    <cellStyle name="Обычный 7 2 29 2" xfId="7022" xr:uid="{00000000-0005-0000-0000-0000FC690000}"/>
    <cellStyle name="Обычный 7 2 29 2 2" xfId="55084" xr:uid="{00000000-0005-0000-0000-0000FD690000}"/>
    <cellStyle name="Обычный 7 2 29 3" xfId="12363" xr:uid="{00000000-0005-0000-0000-0000FE690000}"/>
    <cellStyle name="Обычный 7 2 29 4" xfId="17703" xr:uid="{00000000-0005-0000-0000-0000FF690000}"/>
    <cellStyle name="Обычный 7 2 29 5" xfId="23043" xr:uid="{00000000-0005-0000-0000-0000006A0000}"/>
    <cellStyle name="Обычный 7 2 29 6" xfId="28383" xr:uid="{00000000-0005-0000-0000-0000016A0000}"/>
    <cellStyle name="Обычный 7 2 29 7" xfId="33723" xr:uid="{00000000-0005-0000-0000-0000026A0000}"/>
    <cellStyle name="Обычный 7 2 29 8" xfId="39063" xr:uid="{00000000-0005-0000-0000-0000036A0000}"/>
    <cellStyle name="Обычный 7 2 29 9" xfId="44403" xr:uid="{00000000-0005-0000-0000-0000046A0000}"/>
    <cellStyle name="Обычный 7 2 3" xfId="1009" xr:uid="{00000000-0005-0000-0000-0000056A0000}"/>
    <cellStyle name="Обычный 7 2 3 10" xfId="49071" xr:uid="{00000000-0005-0000-0000-0000066A0000}"/>
    <cellStyle name="Обычный 7 2 3 2" xfId="6350" xr:uid="{00000000-0005-0000-0000-0000076A0000}"/>
    <cellStyle name="Обычный 7 2 3 2 2" xfId="54412" xr:uid="{00000000-0005-0000-0000-0000086A0000}"/>
    <cellStyle name="Обычный 7 2 3 3" xfId="11691" xr:uid="{00000000-0005-0000-0000-0000096A0000}"/>
    <cellStyle name="Обычный 7 2 3 4" xfId="17031" xr:uid="{00000000-0005-0000-0000-00000A6A0000}"/>
    <cellStyle name="Обычный 7 2 3 5" xfId="22371" xr:uid="{00000000-0005-0000-0000-00000B6A0000}"/>
    <cellStyle name="Обычный 7 2 3 6" xfId="27711" xr:uid="{00000000-0005-0000-0000-00000C6A0000}"/>
    <cellStyle name="Обычный 7 2 3 7" xfId="33051" xr:uid="{00000000-0005-0000-0000-00000D6A0000}"/>
    <cellStyle name="Обычный 7 2 3 8" xfId="38391" xr:uid="{00000000-0005-0000-0000-00000E6A0000}"/>
    <cellStyle name="Обычный 7 2 3 9" xfId="43731" xr:uid="{00000000-0005-0000-0000-00000F6A0000}"/>
    <cellStyle name="Обычный 7 2 30" xfId="1706" xr:uid="{00000000-0005-0000-0000-0000106A0000}"/>
    <cellStyle name="Обычный 7 2 30 10" xfId="49769" xr:uid="{00000000-0005-0000-0000-0000116A0000}"/>
    <cellStyle name="Обычный 7 2 30 2" xfId="7048" xr:uid="{00000000-0005-0000-0000-0000126A0000}"/>
    <cellStyle name="Обычный 7 2 30 2 2" xfId="55110" xr:uid="{00000000-0005-0000-0000-0000136A0000}"/>
    <cellStyle name="Обычный 7 2 30 3" xfId="12389" xr:uid="{00000000-0005-0000-0000-0000146A0000}"/>
    <cellStyle name="Обычный 7 2 30 4" xfId="17729" xr:uid="{00000000-0005-0000-0000-0000156A0000}"/>
    <cellStyle name="Обычный 7 2 30 5" xfId="23069" xr:uid="{00000000-0005-0000-0000-0000166A0000}"/>
    <cellStyle name="Обычный 7 2 30 6" xfId="28409" xr:uid="{00000000-0005-0000-0000-0000176A0000}"/>
    <cellStyle name="Обычный 7 2 30 7" xfId="33749" xr:uid="{00000000-0005-0000-0000-0000186A0000}"/>
    <cellStyle name="Обычный 7 2 30 8" xfId="39089" xr:uid="{00000000-0005-0000-0000-0000196A0000}"/>
    <cellStyle name="Обычный 7 2 30 9" xfId="44429" xr:uid="{00000000-0005-0000-0000-00001A6A0000}"/>
    <cellStyle name="Обычный 7 2 31" xfId="1732" xr:uid="{00000000-0005-0000-0000-00001B6A0000}"/>
    <cellStyle name="Обычный 7 2 31 10" xfId="49795" xr:uid="{00000000-0005-0000-0000-00001C6A0000}"/>
    <cellStyle name="Обычный 7 2 31 2" xfId="7074" xr:uid="{00000000-0005-0000-0000-00001D6A0000}"/>
    <cellStyle name="Обычный 7 2 31 2 2" xfId="55136" xr:uid="{00000000-0005-0000-0000-00001E6A0000}"/>
    <cellStyle name="Обычный 7 2 31 3" xfId="12415" xr:uid="{00000000-0005-0000-0000-00001F6A0000}"/>
    <cellStyle name="Обычный 7 2 31 4" xfId="17755" xr:uid="{00000000-0005-0000-0000-0000206A0000}"/>
    <cellStyle name="Обычный 7 2 31 5" xfId="23095" xr:uid="{00000000-0005-0000-0000-0000216A0000}"/>
    <cellStyle name="Обычный 7 2 31 6" xfId="28435" xr:uid="{00000000-0005-0000-0000-0000226A0000}"/>
    <cellStyle name="Обычный 7 2 31 7" xfId="33775" xr:uid="{00000000-0005-0000-0000-0000236A0000}"/>
    <cellStyle name="Обычный 7 2 31 8" xfId="39115" xr:uid="{00000000-0005-0000-0000-0000246A0000}"/>
    <cellStyle name="Обычный 7 2 31 9" xfId="44455" xr:uid="{00000000-0005-0000-0000-0000256A0000}"/>
    <cellStyle name="Обычный 7 2 32" xfId="1758" xr:uid="{00000000-0005-0000-0000-0000266A0000}"/>
    <cellStyle name="Обычный 7 2 32 10" xfId="49821" xr:uid="{00000000-0005-0000-0000-0000276A0000}"/>
    <cellStyle name="Обычный 7 2 32 2" xfId="7100" xr:uid="{00000000-0005-0000-0000-0000286A0000}"/>
    <cellStyle name="Обычный 7 2 32 2 2" xfId="55162" xr:uid="{00000000-0005-0000-0000-0000296A0000}"/>
    <cellStyle name="Обычный 7 2 32 3" xfId="12441" xr:uid="{00000000-0005-0000-0000-00002A6A0000}"/>
    <cellStyle name="Обычный 7 2 32 4" xfId="17781" xr:uid="{00000000-0005-0000-0000-00002B6A0000}"/>
    <cellStyle name="Обычный 7 2 32 5" xfId="23121" xr:uid="{00000000-0005-0000-0000-00002C6A0000}"/>
    <cellStyle name="Обычный 7 2 32 6" xfId="28461" xr:uid="{00000000-0005-0000-0000-00002D6A0000}"/>
    <cellStyle name="Обычный 7 2 32 7" xfId="33801" xr:uid="{00000000-0005-0000-0000-00002E6A0000}"/>
    <cellStyle name="Обычный 7 2 32 8" xfId="39141" xr:uid="{00000000-0005-0000-0000-00002F6A0000}"/>
    <cellStyle name="Обычный 7 2 32 9" xfId="44481" xr:uid="{00000000-0005-0000-0000-0000306A0000}"/>
    <cellStyle name="Обычный 7 2 33" xfId="1784" xr:uid="{00000000-0005-0000-0000-0000316A0000}"/>
    <cellStyle name="Обычный 7 2 33 10" xfId="49847" xr:uid="{00000000-0005-0000-0000-0000326A0000}"/>
    <cellStyle name="Обычный 7 2 33 2" xfId="7126" xr:uid="{00000000-0005-0000-0000-0000336A0000}"/>
    <cellStyle name="Обычный 7 2 33 2 2" xfId="55188" xr:uid="{00000000-0005-0000-0000-0000346A0000}"/>
    <cellStyle name="Обычный 7 2 33 3" xfId="12467" xr:uid="{00000000-0005-0000-0000-0000356A0000}"/>
    <cellStyle name="Обычный 7 2 33 4" xfId="17807" xr:uid="{00000000-0005-0000-0000-0000366A0000}"/>
    <cellStyle name="Обычный 7 2 33 5" xfId="23147" xr:uid="{00000000-0005-0000-0000-0000376A0000}"/>
    <cellStyle name="Обычный 7 2 33 6" xfId="28487" xr:uid="{00000000-0005-0000-0000-0000386A0000}"/>
    <cellStyle name="Обычный 7 2 33 7" xfId="33827" xr:uid="{00000000-0005-0000-0000-0000396A0000}"/>
    <cellStyle name="Обычный 7 2 33 8" xfId="39167" xr:uid="{00000000-0005-0000-0000-00003A6A0000}"/>
    <cellStyle name="Обычный 7 2 33 9" xfId="44507" xr:uid="{00000000-0005-0000-0000-00003B6A0000}"/>
    <cellStyle name="Обычный 7 2 34" xfId="1810" xr:uid="{00000000-0005-0000-0000-00003C6A0000}"/>
    <cellStyle name="Обычный 7 2 34 10" xfId="49873" xr:uid="{00000000-0005-0000-0000-00003D6A0000}"/>
    <cellStyle name="Обычный 7 2 34 2" xfId="7152" xr:uid="{00000000-0005-0000-0000-00003E6A0000}"/>
    <cellStyle name="Обычный 7 2 34 2 2" xfId="55214" xr:uid="{00000000-0005-0000-0000-00003F6A0000}"/>
    <cellStyle name="Обычный 7 2 34 3" xfId="12493" xr:uid="{00000000-0005-0000-0000-0000406A0000}"/>
    <cellStyle name="Обычный 7 2 34 4" xfId="17833" xr:uid="{00000000-0005-0000-0000-0000416A0000}"/>
    <cellStyle name="Обычный 7 2 34 5" xfId="23173" xr:uid="{00000000-0005-0000-0000-0000426A0000}"/>
    <cellStyle name="Обычный 7 2 34 6" xfId="28513" xr:uid="{00000000-0005-0000-0000-0000436A0000}"/>
    <cellStyle name="Обычный 7 2 34 7" xfId="33853" xr:uid="{00000000-0005-0000-0000-0000446A0000}"/>
    <cellStyle name="Обычный 7 2 34 8" xfId="39193" xr:uid="{00000000-0005-0000-0000-0000456A0000}"/>
    <cellStyle name="Обычный 7 2 34 9" xfId="44533" xr:uid="{00000000-0005-0000-0000-0000466A0000}"/>
    <cellStyle name="Обычный 7 2 35" xfId="1836" xr:uid="{00000000-0005-0000-0000-0000476A0000}"/>
    <cellStyle name="Обычный 7 2 35 10" xfId="49899" xr:uid="{00000000-0005-0000-0000-0000486A0000}"/>
    <cellStyle name="Обычный 7 2 35 2" xfId="7178" xr:uid="{00000000-0005-0000-0000-0000496A0000}"/>
    <cellStyle name="Обычный 7 2 35 2 2" xfId="55240" xr:uid="{00000000-0005-0000-0000-00004A6A0000}"/>
    <cellStyle name="Обычный 7 2 35 3" xfId="12519" xr:uid="{00000000-0005-0000-0000-00004B6A0000}"/>
    <cellStyle name="Обычный 7 2 35 4" xfId="17859" xr:uid="{00000000-0005-0000-0000-00004C6A0000}"/>
    <cellStyle name="Обычный 7 2 35 5" xfId="23199" xr:uid="{00000000-0005-0000-0000-00004D6A0000}"/>
    <cellStyle name="Обычный 7 2 35 6" xfId="28539" xr:uid="{00000000-0005-0000-0000-00004E6A0000}"/>
    <cellStyle name="Обычный 7 2 35 7" xfId="33879" xr:uid="{00000000-0005-0000-0000-00004F6A0000}"/>
    <cellStyle name="Обычный 7 2 35 8" xfId="39219" xr:uid="{00000000-0005-0000-0000-0000506A0000}"/>
    <cellStyle name="Обычный 7 2 35 9" xfId="44559" xr:uid="{00000000-0005-0000-0000-0000516A0000}"/>
    <cellStyle name="Обычный 7 2 36" xfId="1862" xr:uid="{00000000-0005-0000-0000-0000526A0000}"/>
    <cellStyle name="Обычный 7 2 36 10" xfId="49925" xr:uid="{00000000-0005-0000-0000-0000536A0000}"/>
    <cellStyle name="Обычный 7 2 36 2" xfId="7204" xr:uid="{00000000-0005-0000-0000-0000546A0000}"/>
    <cellStyle name="Обычный 7 2 36 2 2" xfId="55266" xr:uid="{00000000-0005-0000-0000-0000556A0000}"/>
    <cellStyle name="Обычный 7 2 36 3" xfId="12545" xr:uid="{00000000-0005-0000-0000-0000566A0000}"/>
    <cellStyle name="Обычный 7 2 36 4" xfId="17885" xr:uid="{00000000-0005-0000-0000-0000576A0000}"/>
    <cellStyle name="Обычный 7 2 36 5" xfId="23225" xr:uid="{00000000-0005-0000-0000-0000586A0000}"/>
    <cellStyle name="Обычный 7 2 36 6" xfId="28565" xr:uid="{00000000-0005-0000-0000-0000596A0000}"/>
    <cellStyle name="Обычный 7 2 36 7" xfId="33905" xr:uid="{00000000-0005-0000-0000-00005A6A0000}"/>
    <cellStyle name="Обычный 7 2 36 8" xfId="39245" xr:uid="{00000000-0005-0000-0000-00005B6A0000}"/>
    <cellStyle name="Обычный 7 2 36 9" xfId="44585" xr:uid="{00000000-0005-0000-0000-00005C6A0000}"/>
    <cellStyle name="Обычный 7 2 37" xfId="1888" xr:uid="{00000000-0005-0000-0000-00005D6A0000}"/>
    <cellStyle name="Обычный 7 2 37 10" xfId="49951" xr:uid="{00000000-0005-0000-0000-00005E6A0000}"/>
    <cellStyle name="Обычный 7 2 37 2" xfId="7230" xr:uid="{00000000-0005-0000-0000-00005F6A0000}"/>
    <cellStyle name="Обычный 7 2 37 2 2" xfId="55292" xr:uid="{00000000-0005-0000-0000-0000606A0000}"/>
    <cellStyle name="Обычный 7 2 37 3" xfId="12571" xr:uid="{00000000-0005-0000-0000-0000616A0000}"/>
    <cellStyle name="Обычный 7 2 37 4" xfId="17911" xr:uid="{00000000-0005-0000-0000-0000626A0000}"/>
    <cellStyle name="Обычный 7 2 37 5" xfId="23251" xr:uid="{00000000-0005-0000-0000-0000636A0000}"/>
    <cellStyle name="Обычный 7 2 37 6" xfId="28591" xr:uid="{00000000-0005-0000-0000-0000646A0000}"/>
    <cellStyle name="Обычный 7 2 37 7" xfId="33931" xr:uid="{00000000-0005-0000-0000-0000656A0000}"/>
    <cellStyle name="Обычный 7 2 37 8" xfId="39271" xr:uid="{00000000-0005-0000-0000-0000666A0000}"/>
    <cellStyle name="Обычный 7 2 37 9" xfId="44611" xr:uid="{00000000-0005-0000-0000-0000676A0000}"/>
    <cellStyle name="Обычный 7 2 38" xfId="1914" xr:uid="{00000000-0005-0000-0000-0000686A0000}"/>
    <cellStyle name="Обычный 7 2 38 10" xfId="49977" xr:uid="{00000000-0005-0000-0000-0000696A0000}"/>
    <cellStyle name="Обычный 7 2 38 2" xfId="7256" xr:uid="{00000000-0005-0000-0000-00006A6A0000}"/>
    <cellStyle name="Обычный 7 2 38 2 2" xfId="55318" xr:uid="{00000000-0005-0000-0000-00006B6A0000}"/>
    <cellStyle name="Обычный 7 2 38 3" xfId="12597" xr:uid="{00000000-0005-0000-0000-00006C6A0000}"/>
    <cellStyle name="Обычный 7 2 38 4" xfId="17937" xr:uid="{00000000-0005-0000-0000-00006D6A0000}"/>
    <cellStyle name="Обычный 7 2 38 5" xfId="23277" xr:uid="{00000000-0005-0000-0000-00006E6A0000}"/>
    <cellStyle name="Обычный 7 2 38 6" xfId="28617" xr:uid="{00000000-0005-0000-0000-00006F6A0000}"/>
    <cellStyle name="Обычный 7 2 38 7" xfId="33957" xr:uid="{00000000-0005-0000-0000-0000706A0000}"/>
    <cellStyle name="Обычный 7 2 38 8" xfId="39297" xr:uid="{00000000-0005-0000-0000-0000716A0000}"/>
    <cellStyle name="Обычный 7 2 38 9" xfId="44637" xr:uid="{00000000-0005-0000-0000-0000726A0000}"/>
    <cellStyle name="Обычный 7 2 39" xfId="1940" xr:uid="{00000000-0005-0000-0000-0000736A0000}"/>
    <cellStyle name="Обычный 7 2 39 10" xfId="50003" xr:uid="{00000000-0005-0000-0000-0000746A0000}"/>
    <cellStyle name="Обычный 7 2 39 2" xfId="7282" xr:uid="{00000000-0005-0000-0000-0000756A0000}"/>
    <cellStyle name="Обычный 7 2 39 2 2" xfId="55344" xr:uid="{00000000-0005-0000-0000-0000766A0000}"/>
    <cellStyle name="Обычный 7 2 39 3" xfId="12623" xr:uid="{00000000-0005-0000-0000-0000776A0000}"/>
    <cellStyle name="Обычный 7 2 39 4" xfId="17963" xr:uid="{00000000-0005-0000-0000-0000786A0000}"/>
    <cellStyle name="Обычный 7 2 39 5" xfId="23303" xr:uid="{00000000-0005-0000-0000-0000796A0000}"/>
    <cellStyle name="Обычный 7 2 39 6" xfId="28643" xr:uid="{00000000-0005-0000-0000-00007A6A0000}"/>
    <cellStyle name="Обычный 7 2 39 7" xfId="33983" xr:uid="{00000000-0005-0000-0000-00007B6A0000}"/>
    <cellStyle name="Обычный 7 2 39 8" xfId="39323" xr:uid="{00000000-0005-0000-0000-00007C6A0000}"/>
    <cellStyle name="Обычный 7 2 39 9" xfId="44663" xr:uid="{00000000-0005-0000-0000-00007D6A0000}"/>
    <cellStyle name="Обычный 7 2 4" xfId="1033" xr:uid="{00000000-0005-0000-0000-00007E6A0000}"/>
    <cellStyle name="Обычный 7 2 4 10" xfId="49095" xr:uid="{00000000-0005-0000-0000-00007F6A0000}"/>
    <cellStyle name="Обычный 7 2 4 2" xfId="6374" xr:uid="{00000000-0005-0000-0000-0000806A0000}"/>
    <cellStyle name="Обычный 7 2 4 2 2" xfId="54436" xr:uid="{00000000-0005-0000-0000-0000816A0000}"/>
    <cellStyle name="Обычный 7 2 4 3" xfId="11715" xr:uid="{00000000-0005-0000-0000-0000826A0000}"/>
    <cellStyle name="Обычный 7 2 4 4" xfId="17055" xr:uid="{00000000-0005-0000-0000-0000836A0000}"/>
    <cellStyle name="Обычный 7 2 4 5" xfId="22395" xr:uid="{00000000-0005-0000-0000-0000846A0000}"/>
    <cellStyle name="Обычный 7 2 4 6" xfId="27735" xr:uid="{00000000-0005-0000-0000-0000856A0000}"/>
    <cellStyle name="Обычный 7 2 4 7" xfId="33075" xr:uid="{00000000-0005-0000-0000-0000866A0000}"/>
    <cellStyle name="Обычный 7 2 4 8" xfId="38415" xr:uid="{00000000-0005-0000-0000-0000876A0000}"/>
    <cellStyle name="Обычный 7 2 4 9" xfId="43755" xr:uid="{00000000-0005-0000-0000-0000886A0000}"/>
    <cellStyle name="Обычный 7 2 40" xfId="1968" xr:uid="{00000000-0005-0000-0000-0000896A0000}"/>
    <cellStyle name="Обычный 7 2 40 10" xfId="50031" xr:uid="{00000000-0005-0000-0000-00008A6A0000}"/>
    <cellStyle name="Обычный 7 2 40 2" xfId="7310" xr:uid="{00000000-0005-0000-0000-00008B6A0000}"/>
    <cellStyle name="Обычный 7 2 40 2 2" xfId="55372" xr:uid="{00000000-0005-0000-0000-00008C6A0000}"/>
    <cellStyle name="Обычный 7 2 40 3" xfId="12651" xr:uid="{00000000-0005-0000-0000-00008D6A0000}"/>
    <cellStyle name="Обычный 7 2 40 4" xfId="17991" xr:uid="{00000000-0005-0000-0000-00008E6A0000}"/>
    <cellStyle name="Обычный 7 2 40 5" xfId="23331" xr:uid="{00000000-0005-0000-0000-00008F6A0000}"/>
    <cellStyle name="Обычный 7 2 40 6" xfId="28671" xr:uid="{00000000-0005-0000-0000-0000906A0000}"/>
    <cellStyle name="Обычный 7 2 40 7" xfId="34011" xr:uid="{00000000-0005-0000-0000-0000916A0000}"/>
    <cellStyle name="Обычный 7 2 40 8" xfId="39351" xr:uid="{00000000-0005-0000-0000-0000926A0000}"/>
    <cellStyle name="Обычный 7 2 40 9" xfId="44691" xr:uid="{00000000-0005-0000-0000-0000936A0000}"/>
    <cellStyle name="Обычный 7 2 41" xfId="1995" xr:uid="{00000000-0005-0000-0000-0000946A0000}"/>
    <cellStyle name="Обычный 7 2 41 10" xfId="50059" xr:uid="{00000000-0005-0000-0000-0000956A0000}"/>
    <cellStyle name="Обычный 7 2 41 2" xfId="7338" xr:uid="{00000000-0005-0000-0000-0000966A0000}"/>
    <cellStyle name="Обычный 7 2 41 2 2" xfId="55400" xr:uid="{00000000-0005-0000-0000-0000976A0000}"/>
    <cellStyle name="Обычный 7 2 41 3" xfId="12679" xr:uid="{00000000-0005-0000-0000-0000986A0000}"/>
    <cellStyle name="Обычный 7 2 41 4" xfId="18019" xr:uid="{00000000-0005-0000-0000-0000996A0000}"/>
    <cellStyle name="Обычный 7 2 41 5" xfId="23359" xr:uid="{00000000-0005-0000-0000-00009A6A0000}"/>
    <cellStyle name="Обычный 7 2 41 6" xfId="28699" xr:uid="{00000000-0005-0000-0000-00009B6A0000}"/>
    <cellStyle name="Обычный 7 2 41 7" xfId="34039" xr:uid="{00000000-0005-0000-0000-00009C6A0000}"/>
    <cellStyle name="Обычный 7 2 41 8" xfId="39379" xr:uid="{00000000-0005-0000-0000-00009D6A0000}"/>
    <cellStyle name="Обычный 7 2 41 9" xfId="44719" xr:uid="{00000000-0005-0000-0000-00009E6A0000}"/>
    <cellStyle name="Обычный 7 2 42" xfId="2023" xr:uid="{00000000-0005-0000-0000-00009F6A0000}"/>
    <cellStyle name="Обычный 7 2 42 10" xfId="50087" xr:uid="{00000000-0005-0000-0000-0000A06A0000}"/>
    <cellStyle name="Обычный 7 2 42 2" xfId="7366" xr:uid="{00000000-0005-0000-0000-0000A16A0000}"/>
    <cellStyle name="Обычный 7 2 42 2 2" xfId="55428" xr:uid="{00000000-0005-0000-0000-0000A26A0000}"/>
    <cellStyle name="Обычный 7 2 42 3" xfId="12707" xr:uid="{00000000-0005-0000-0000-0000A36A0000}"/>
    <cellStyle name="Обычный 7 2 42 4" xfId="18047" xr:uid="{00000000-0005-0000-0000-0000A46A0000}"/>
    <cellStyle name="Обычный 7 2 42 5" xfId="23387" xr:uid="{00000000-0005-0000-0000-0000A56A0000}"/>
    <cellStyle name="Обычный 7 2 42 6" xfId="28727" xr:uid="{00000000-0005-0000-0000-0000A66A0000}"/>
    <cellStyle name="Обычный 7 2 42 7" xfId="34067" xr:uid="{00000000-0005-0000-0000-0000A76A0000}"/>
    <cellStyle name="Обычный 7 2 42 8" xfId="39407" xr:uid="{00000000-0005-0000-0000-0000A86A0000}"/>
    <cellStyle name="Обычный 7 2 42 9" xfId="44747" xr:uid="{00000000-0005-0000-0000-0000A96A0000}"/>
    <cellStyle name="Обычный 7 2 43" xfId="2051" xr:uid="{00000000-0005-0000-0000-0000AA6A0000}"/>
    <cellStyle name="Обычный 7 2 43 10" xfId="50115" xr:uid="{00000000-0005-0000-0000-0000AB6A0000}"/>
    <cellStyle name="Обычный 7 2 43 2" xfId="7394" xr:uid="{00000000-0005-0000-0000-0000AC6A0000}"/>
    <cellStyle name="Обычный 7 2 43 2 2" xfId="55456" xr:uid="{00000000-0005-0000-0000-0000AD6A0000}"/>
    <cellStyle name="Обычный 7 2 43 3" xfId="12735" xr:uid="{00000000-0005-0000-0000-0000AE6A0000}"/>
    <cellStyle name="Обычный 7 2 43 4" xfId="18075" xr:uid="{00000000-0005-0000-0000-0000AF6A0000}"/>
    <cellStyle name="Обычный 7 2 43 5" xfId="23415" xr:uid="{00000000-0005-0000-0000-0000B06A0000}"/>
    <cellStyle name="Обычный 7 2 43 6" xfId="28755" xr:uid="{00000000-0005-0000-0000-0000B16A0000}"/>
    <cellStyle name="Обычный 7 2 43 7" xfId="34095" xr:uid="{00000000-0005-0000-0000-0000B26A0000}"/>
    <cellStyle name="Обычный 7 2 43 8" xfId="39435" xr:uid="{00000000-0005-0000-0000-0000B36A0000}"/>
    <cellStyle name="Обычный 7 2 43 9" xfId="44775" xr:uid="{00000000-0005-0000-0000-0000B46A0000}"/>
    <cellStyle name="Обычный 7 2 44" xfId="2079" xr:uid="{00000000-0005-0000-0000-0000B56A0000}"/>
    <cellStyle name="Обычный 7 2 44 10" xfId="50143" xr:uid="{00000000-0005-0000-0000-0000B66A0000}"/>
    <cellStyle name="Обычный 7 2 44 2" xfId="7422" xr:uid="{00000000-0005-0000-0000-0000B76A0000}"/>
    <cellStyle name="Обычный 7 2 44 2 2" xfId="55484" xr:uid="{00000000-0005-0000-0000-0000B86A0000}"/>
    <cellStyle name="Обычный 7 2 44 3" xfId="12763" xr:uid="{00000000-0005-0000-0000-0000B96A0000}"/>
    <cellStyle name="Обычный 7 2 44 4" xfId="18103" xr:uid="{00000000-0005-0000-0000-0000BA6A0000}"/>
    <cellStyle name="Обычный 7 2 44 5" xfId="23443" xr:uid="{00000000-0005-0000-0000-0000BB6A0000}"/>
    <cellStyle name="Обычный 7 2 44 6" xfId="28783" xr:uid="{00000000-0005-0000-0000-0000BC6A0000}"/>
    <cellStyle name="Обычный 7 2 44 7" xfId="34123" xr:uid="{00000000-0005-0000-0000-0000BD6A0000}"/>
    <cellStyle name="Обычный 7 2 44 8" xfId="39463" xr:uid="{00000000-0005-0000-0000-0000BE6A0000}"/>
    <cellStyle name="Обычный 7 2 44 9" xfId="44803" xr:uid="{00000000-0005-0000-0000-0000BF6A0000}"/>
    <cellStyle name="Обычный 7 2 45" xfId="2107" xr:uid="{00000000-0005-0000-0000-0000C06A0000}"/>
    <cellStyle name="Обычный 7 2 45 10" xfId="50171" xr:uid="{00000000-0005-0000-0000-0000C16A0000}"/>
    <cellStyle name="Обычный 7 2 45 2" xfId="7450" xr:uid="{00000000-0005-0000-0000-0000C26A0000}"/>
    <cellStyle name="Обычный 7 2 45 2 2" xfId="55512" xr:uid="{00000000-0005-0000-0000-0000C36A0000}"/>
    <cellStyle name="Обычный 7 2 45 3" xfId="12791" xr:uid="{00000000-0005-0000-0000-0000C46A0000}"/>
    <cellStyle name="Обычный 7 2 45 4" xfId="18131" xr:uid="{00000000-0005-0000-0000-0000C56A0000}"/>
    <cellStyle name="Обычный 7 2 45 5" xfId="23471" xr:uid="{00000000-0005-0000-0000-0000C66A0000}"/>
    <cellStyle name="Обычный 7 2 45 6" xfId="28811" xr:uid="{00000000-0005-0000-0000-0000C76A0000}"/>
    <cellStyle name="Обычный 7 2 45 7" xfId="34151" xr:uid="{00000000-0005-0000-0000-0000C86A0000}"/>
    <cellStyle name="Обычный 7 2 45 8" xfId="39491" xr:uid="{00000000-0005-0000-0000-0000C96A0000}"/>
    <cellStyle name="Обычный 7 2 45 9" xfId="44831" xr:uid="{00000000-0005-0000-0000-0000CA6A0000}"/>
    <cellStyle name="Обычный 7 2 46" xfId="2135" xr:uid="{00000000-0005-0000-0000-0000CB6A0000}"/>
    <cellStyle name="Обычный 7 2 46 10" xfId="50199" xr:uid="{00000000-0005-0000-0000-0000CC6A0000}"/>
    <cellStyle name="Обычный 7 2 46 2" xfId="7478" xr:uid="{00000000-0005-0000-0000-0000CD6A0000}"/>
    <cellStyle name="Обычный 7 2 46 2 2" xfId="55540" xr:uid="{00000000-0005-0000-0000-0000CE6A0000}"/>
    <cellStyle name="Обычный 7 2 46 3" xfId="12819" xr:uid="{00000000-0005-0000-0000-0000CF6A0000}"/>
    <cellStyle name="Обычный 7 2 46 4" xfId="18159" xr:uid="{00000000-0005-0000-0000-0000D06A0000}"/>
    <cellStyle name="Обычный 7 2 46 5" xfId="23499" xr:uid="{00000000-0005-0000-0000-0000D16A0000}"/>
    <cellStyle name="Обычный 7 2 46 6" xfId="28839" xr:uid="{00000000-0005-0000-0000-0000D26A0000}"/>
    <cellStyle name="Обычный 7 2 46 7" xfId="34179" xr:uid="{00000000-0005-0000-0000-0000D36A0000}"/>
    <cellStyle name="Обычный 7 2 46 8" xfId="39519" xr:uid="{00000000-0005-0000-0000-0000D46A0000}"/>
    <cellStyle name="Обычный 7 2 46 9" xfId="44859" xr:uid="{00000000-0005-0000-0000-0000D56A0000}"/>
    <cellStyle name="Обычный 7 2 47" xfId="2165" xr:uid="{00000000-0005-0000-0000-0000D66A0000}"/>
    <cellStyle name="Обычный 7 2 47 10" xfId="50229" xr:uid="{00000000-0005-0000-0000-0000D76A0000}"/>
    <cellStyle name="Обычный 7 2 47 2" xfId="7508" xr:uid="{00000000-0005-0000-0000-0000D86A0000}"/>
    <cellStyle name="Обычный 7 2 47 2 2" xfId="55570" xr:uid="{00000000-0005-0000-0000-0000D96A0000}"/>
    <cellStyle name="Обычный 7 2 47 3" xfId="12849" xr:uid="{00000000-0005-0000-0000-0000DA6A0000}"/>
    <cellStyle name="Обычный 7 2 47 4" xfId="18189" xr:uid="{00000000-0005-0000-0000-0000DB6A0000}"/>
    <cellStyle name="Обычный 7 2 47 5" xfId="23529" xr:uid="{00000000-0005-0000-0000-0000DC6A0000}"/>
    <cellStyle name="Обычный 7 2 47 6" xfId="28869" xr:uid="{00000000-0005-0000-0000-0000DD6A0000}"/>
    <cellStyle name="Обычный 7 2 47 7" xfId="34209" xr:uid="{00000000-0005-0000-0000-0000DE6A0000}"/>
    <cellStyle name="Обычный 7 2 47 8" xfId="39549" xr:uid="{00000000-0005-0000-0000-0000DF6A0000}"/>
    <cellStyle name="Обычный 7 2 47 9" xfId="44889" xr:uid="{00000000-0005-0000-0000-0000E06A0000}"/>
    <cellStyle name="Обычный 7 2 48" xfId="2195" xr:uid="{00000000-0005-0000-0000-0000E16A0000}"/>
    <cellStyle name="Обычный 7 2 48 10" xfId="50259" xr:uid="{00000000-0005-0000-0000-0000E26A0000}"/>
    <cellStyle name="Обычный 7 2 48 2" xfId="7538" xr:uid="{00000000-0005-0000-0000-0000E36A0000}"/>
    <cellStyle name="Обычный 7 2 48 2 2" xfId="55600" xr:uid="{00000000-0005-0000-0000-0000E46A0000}"/>
    <cellStyle name="Обычный 7 2 48 3" xfId="12879" xr:uid="{00000000-0005-0000-0000-0000E56A0000}"/>
    <cellStyle name="Обычный 7 2 48 4" xfId="18219" xr:uid="{00000000-0005-0000-0000-0000E66A0000}"/>
    <cellStyle name="Обычный 7 2 48 5" xfId="23559" xr:uid="{00000000-0005-0000-0000-0000E76A0000}"/>
    <cellStyle name="Обычный 7 2 48 6" xfId="28899" xr:uid="{00000000-0005-0000-0000-0000E86A0000}"/>
    <cellStyle name="Обычный 7 2 48 7" xfId="34239" xr:uid="{00000000-0005-0000-0000-0000E96A0000}"/>
    <cellStyle name="Обычный 7 2 48 8" xfId="39579" xr:uid="{00000000-0005-0000-0000-0000EA6A0000}"/>
    <cellStyle name="Обычный 7 2 48 9" xfId="44919" xr:uid="{00000000-0005-0000-0000-0000EB6A0000}"/>
    <cellStyle name="Обычный 7 2 49" xfId="2225" xr:uid="{00000000-0005-0000-0000-0000EC6A0000}"/>
    <cellStyle name="Обычный 7 2 49 10" xfId="50289" xr:uid="{00000000-0005-0000-0000-0000ED6A0000}"/>
    <cellStyle name="Обычный 7 2 49 2" xfId="7568" xr:uid="{00000000-0005-0000-0000-0000EE6A0000}"/>
    <cellStyle name="Обычный 7 2 49 2 2" xfId="55630" xr:uid="{00000000-0005-0000-0000-0000EF6A0000}"/>
    <cellStyle name="Обычный 7 2 49 3" xfId="12909" xr:uid="{00000000-0005-0000-0000-0000F06A0000}"/>
    <cellStyle name="Обычный 7 2 49 4" xfId="18249" xr:uid="{00000000-0005-0000-0000-0000F16A0000}"/>
    <cellStyle name="Обычный 7 2 49 5" xfId="23589" xr:uid="{00000000-0005-0000-0000-0000F26A0000}"/>
    <cellStyle name="Обычный 7 2 49 6" xfId="28929" xr:uid="{00000000-0005-0000-0000-0000F36A0000}"/>
    <cellStyle name="Обычный 7 2 49 7" xfId="34269" xr:uid="{00000000-0005-0000-0000-0000F46A0000}"/>
    <cellStyle name="Обычный 7 2 49 8" xfId="39609" xr:uid="{00000000-0005-0000-0000-0000F56A0000}"/>
    <cellStyle name="Обычный 7 2 49 9" xfId="44949" xr:uid="{00000000-0005-0000-0000-0000F66A0000}"/>
    <cellStyle name="Обычный 7 2 5" xfId="1057" xr:uid="{00000000-0005-0000-0000-0000F76A0000}"/>
    <cellStyle name="Обычный 7 2 5 10" xfId="49119" xr:uid="{00000000-0005-0000-0000-0000F86A0000}"/>
    <cellStyle name="Обычный 7 2 5 2" xfId="6398" xr:uid="{00000000-0005-0000-0000-0000F96A0000}"/>
    <cellStyle name="Обычный 7 2 5 2 2" xfId="54460" xr:uid="{00000000-0005-0000-0000-0000FA6A0000}"/>
    <cellStyle name="Обычный 7 2 5 3" xfId="11739" xr:uid="{00000000-0005-0000-0000-0000FB6A0000}"/>
    <cellStyle name="Обычный 7 2 5 4" xfId="17079" xr:uid="{00000000-0005-0000-0000-0000FC6A0000}"/>
    <cellStyle name="Обычный 7 2 5 5" xfId="22419" xr:uid="{00000000-0005-0000-0000-0000FD6A0000}"/>
    <cellStyle name="Обычный 7 2 5 6" xfId="27759" xr:uid="{00000000-0005-0000-0000-0000FE6A0000}"/>
    <cellStyle name="Обычный 7 2 5 7" xfId="33099" xr:uid="{00000000-0005-0000-0000-0000FF6A0000}"/>
    <cellStyle name="Обычный 7 2 5 8" xfId="38439" xr:uid="{00000000-0005-0000-0000-0000006B0000}"/>
    <cellStyle name="Обычный 7 2 5 9" xfId="43779" xr:uid="{00000000-0005-0000-0000-0000016B0000}"/>
    <cellStyle name="Обычный 7 2 50" xfId="2255" xr:uid="{00000000-0005-0000-0000-0000026B0000}"/>
    <cellStyle name="Обычный 7 2 50 10" xfId="50319" xr:uid="{00000000-0005-0000-0000-0000036B0000}"/>
    <cellStyle name="Обычный 7 2 50 2" xfId="7598" xr:uid="{00000000-0005-0000-0000-0000046B0000}"/>
    <cellStyle name="Обычный 7 2 50 2 2" xfId="55660" xr:uid="{00000000-0005-0000-0000-0000056B0000}"/>
    <cellStyle name="Обычный 7 2 50 3" xfId="12939" xr:uid="{00000000-0005-0000-0000-0000066B0000}"/>
    <cellStyle name="Обычный 7 2 50 4" xfId="18279" xr:uid="{00000000-0005-0000-0000-0000076B0000}"/>
    <cellStyle name="Обычный 7 2 50 5" xfId="23619" xr:uid="{00000000-0005-0000-0000-0000086B0000}"/>
    <cellStyle name="Обычный 7 2 50 6" xfId="28959" xr:uid="{00000000-0005-0000-0000-0000096B0000}"/>
    <cellStyle name="Обычный 7 2 50 7" xfId="34299" xr:uid="{00000000-0005-0000-0000-00000A6B0000}"/>
    <cellStyle name="Обычный 7 2 50 8" xfId="39639" xr:uid="{00000000-0005-0000-0000-00000B6B0000}"/>
    <cellStyle name="Обычный 7 2 50 9" xfId="44979" xr:uid="{00000000-0005-0000-0000-00000C6B0000}"/>
    <cellStyle name="Обычный 7 2 51" xfId="2285" xr:uid="{00000000-0005-0000-0000-00000D6B0000}"/>
    <cellStyle name="Обычный 7 2 51 10" xfId="50349" xr:uid="{00000000-0005-0000-0000-00000E6B0000}"/>
    <cellStyle name="Обычный 7 2 51 2" xfId="7628" xr:uid="{00000000-0005-0000-0000-00000F6B0000}"/>
    <cellStyle name="Обычный 7 2 51 2 2" xfId="55690" xr:uid="{00000000-0005-0000-0000-0000106B0000}"/>
    <cellStyle name="Обычный 7 2 51 3" xfId="12969" xr:uid="{00000000-0005-0000-0000-0000116B0000}"/>
    <cellStyle name="Обычный 7 2 51 4" xfId="18309" xr:uid="{00000000-0005-0000-0000-0000126B0000}"/>
    <cellStyle name="Обычный 7 2 51 5" xfId="23649" xr:uid="{00000000-0005-0000-0000-0000136B0000}"/>
    <cellStyle name="Обычный 7 2 51 6" xfId="28989" xr:uid="{00000000-0005-0000-0000-0000146B0000}"/>
    <cellStyle name="Обычный 7 2 51 7" xfId="34329" xr:uid="{00000000-0005-0000-0000-0000156B0000}"/>
    <cellStyle name="Обычный 7 2 51 8" xfId="39669" xr:uid="{00000000-0005-0000-0000-0000166B0000}"/>
    <cellStyle name="Обычный 7 2 51 9" xfId="45009" xr:uid="{00000000-0005-0000-0000-0000176B0000}"/>
    <cellStyle name="Обычный 7 2 52" xfId="2315" xr:uid="{00000000-0005-0000-0000-0000186B0000}"/>
    <cellStyle name="Обычный 7 2 52 10" xfId="50379" xr:uid="{00000000-0005-0000-0000-0000196B0000}"/>
    <cellStyle name="Обычный 7 2 52 2" xfId="7658" xr:uid="{00000000-0005-0000-0000-00001A6B0000}"/>
    <cellStyle name="Обычный 7 2 52 2 2" xfId="55720" xr:uid="{00000000-0005-0000-0000-00001B6B0000}"/>
    <cellStyle name="Обычный 7 2 52 3" xfId="12999" xr:uid="{00000000-0005-0000-0000-00001C6B0000}"/>
    <cellStyle name="Обычный 7 2 52 4" xfId="18339" xr:uid="{00000000-0005-0000-0000-00001D6B0000}"/>
    <cellStyle name="Обычный 7 2 52 5" xfId="23679" xr:uid="{00000000-0005-0000-0000-00001E6B0000}"/>
    <cellStyle name="Обычный 7 2 52 6" xfId="29019" xr:uid="{00000000-0005-0000-0000-00001F6B0000}"/>
    <cellStyle name="Обычный 7 2 52 7" xfId="34359" xr:uid="{00000000-0005-0000-0000-0000206B0000}"/>
    <cellStyle name="Обычный 7 2 52 8" xfId="39699" xr:uid="{00000000-0005-0000-0000-0000216B0000}"/>
    <cellStyle name="Обычный 7 2 52 9" xfId="45039" xr:uid="{00000000-0005-0000-0000-0000226B0000}"/>
    <cellStyle name="Обычный 7 2 53" xfId="2345" xr:uid="{00000000-0005-0000-0000-0000236B0000}"/>
    <cellStyle name="Обычный 7 2 53 10" xfId="50409" xr:uid="{00000000-0005-0000-0000-0000246B0000}"/>
    <cellStyle name="Обычный 7 2 53 2" xfId="7688" xr:uid="{00000000-0005-0000-0000-0000256B0000}"/>
    <cellStyle name="Обычный 7 2 53 2 2" xfId="55750" xr:uid="{00000000-0005-0000-0000-0000266B0000}"/>
    <cellStyle name="Обычный 7 2 53 3" xfId="13029" xr:uid="{00000000-0005-0000-0000-0000276B0000}"/>
    <cellStyle name="Обычный 7 2 53 4" xfId="18369" xr:uid="{00000000-0005-0000-0000-0000286B0000}"/>
    <cellStyle name="Обычный 7 2 53 5" xfId="23709" xr:uid="{00000000-0005-0000-0000-0000296B0000}"/>
    <cellStyle name="Обычный 7 2 53 6" xfId="29049" xr:uid="{00000000-0005-0000-0000-00002A6B0000}"/>
    <cellStyle name="Обычный 7 2 53 7" xfId="34389" xr:uid="{00000000-0005-0000-0000-00002B6B0000}"/>
    <cellStyle name="Обычный 7 2 53 8" xfId="39729" xr:uid="{00000000-0005-0000-0000-00002C6B0000}"/>
    <cellStyle name="Обычный 7 2 53 9" xfId="45069" xr:uid="{00000000-0005-0000-0000-00002D6B0000}"/>
    <cellStyle name="Обычный 7 2 54" xfId="2375" xr:uid="{00000000-0005-0000-0000-00002E6B0000}"/>
    <cellStyle name="Обычный 7 2 54 10" xfId="50439" xr:uid="{00000000-0005-0000-0000-00002F6B0000}"/>
    <cellStyle name="Обычный 7 2 54 2" xfId="7718" xr:uid="{00000000-0005-0000-0000-0000306B0000}"/>
    <cellStyle name="Обычный 7 2 54 2 2" xfId="55780" xr:uid="{00000000-0005-0000-0000-0000316B0000}"/>
    <cellStyle name="Обычный 7 2 54 3" xfId="13059" xr:uid="{00000000-0005-0000-0000-0000326B0000}"/>
    <cellStyle name="Обычный 7 2 54 4" xfId="18399" xr:uid="{00000000-0005-0000-0000-0000336B0000}"/>
    <cellStyle name="Обычный 7 2 54 5" xfId="23739" xr:uid="{00000000-0005-0000-0000-0000346B0000}"/>
    <cellStyle name="Обычный 7 2 54 6" xfId="29079" xr:uid="{00000000-0005-0000-0000-0000356B0000}"/>
    <cellStyle name="Обычный 7 2 54 7" xfId="34419" xr:uid="{00000000-0005-0000-0000-0000366B0000}"/>
    <cellStyle name="Обычный 7 2 54 8" xfId="39759" xr:uid="{00000000-0005-0000-0000-0000376B0000}"/>
    <cellStyle name="Обычный 7 2 54 9" xfId="45099" xr:uid="{00000000-0005-0000-0000-0000386B0000}"/>
    <cellStyle name="Обычный 7 2 55" xfId="2405" xr:uid="{00000000-0005-0000-0000-0000396B0000}"/>
    <cellStyle name="Обычный 7 2 55 10" xfId="50469" xr:uid="{00000000-0005-0000-0000-00003A6B0000}"/>
    <cellStyle name="Обычный 7 2 55 2" xfId="7748" xr:uid="{00000000-0005-0000-0000-00003B6B0000}"/>
    <cellStyle name="Обычный 7 2 55 2 2" xfId="55810" xr:uid="{00000000-0005-0000-0000-00003C6B0000}"/>
    <cellStyle name="Обычный 7 2 55 3" xfId="13089" xr:uid="{00000000-0005-0000-0000-00003D6B0000}"/>
    <cellStyle name="Обычный 7 2 55 4" xfId="18429" xr:uid="{00000000-0005-0000-0000-00003E6B0000}"/>
    <cellStyle name="Обычный 7 2 55 5" xfId="23769" xr:uid="{00000000-0005-0000-0000-00003F6B0000}"/>
    <cellStyle name="Обычный 7 2 55 6" xfId="29109" xr:uid="{00000000-0005-0000-0000-0000406B0000}"/>
    <cellStyle name="Обычный 7 2 55 7" xfId="34449" xr:uid="{00000000-0005-0000-0000-0000416B0000}"/>
    <cellStyle name="Обычный 7 2 55 8" xfId="39789" xr:uid="{00000000-0005-0000-0000-0000426B0000}"/>
    <cellStyle name="Обычный 7 2 55 9" xfId="45129" xr:uid="{00000000-0005-0000-0000-0000436B0000}"/>
    <cellStyle name="Обычный 7 2 56" xfId="2435" xr:uid="{00000000-0005-0000-0000-0000446B0000}"/>
    <cellStyle name="Обычный 7 2 56 10" xfId="50499" xr:uid="{00000000-0005-0000-0000-0000456B0000}"/>
    <cellStyle name="Обычный 7 2 56 2" xfId="7778" xr:uid="{00000000-0005-0000-0000-0000466B0000}"/>
    <cellStyle name="Обычный 7 2 56 2 2" xfId="55840" xr:uid="{00000000-0005-0000-0000-0000476B0000}"/>
    <cellStyle name="Обычный 7 2 56 3" xfId="13119" xr:uid="{00000000-0005-0000-0000-0000486B0000}"/>
    <cellStyle name="Обычный 7 2 56 4" xfId="18459" xr:uid="{00000000-0005-0000-0000-0000496B0000}"/>
    <cellStyle name="Обычный 7 2 56 5" xfId="23799" xr:uid="{00000000-0005-0000-0000-00004A6B0000}"/>
    <cellStyle name="Обычный 7 2 56 6" xfId="29139" xr:uid="{00000000-0005-0000-0000-00004B6B0000}"/>
    <cellStyle name="Обычный 7 2 56 7" xfId="34479" xr:uid="{00000000-0005-0000-0000-00004C6B0000}"/>
    <cellStyle name="Обычный 7 2 56 8" xfId="39819" xr:uid="{00000000-0005-0000-0000-00004D6B0000}"/>
    <cellStyle name="Обычный 7 2 56 9" xfId="45159" xr:uid="{00000000-0005-0000-0000-00004E6B0000}"/>
    <cellStyle name="Обычный 7 2 57" xfId="2465" xr:uid="{00000000-0005-0000-0000-00004F6B0000}"/>
    <cellStyle name="Обычный 7 2 57 10" xfId="50529" xr:uid="{00000000-0005-0000-0000-0000506B0000}"/>
    <cellStyle name="Обычный 7 2 57 2" xfId="7808" xr:uid="{00000000-0005-0000-0000-0000516B0000}"/>
    <cellStyle name="Обычный 7 2 57 2 2" xfId="55870" xr:uid="{00000000-0005-0000-0000-0000526B0000}"/>
    <cellStyle name="Обычный 7 2 57 3" xfId="13149" xr:uid="{00000000-0005-0000-0000-0000536B0000}"/>
    <cellStyle name="Обычный 7 2 57 4" xfId="18489" xr:uid="{00000000-0005-0000-0000-0000546B0000}"/>
    <cellStyle name="Обычный 7 2 57 5" xfId="23829" xr:uid="{00000000-0005-0000-0000-0000556B0000}"/>
    <cellStyle name="Обычный 7 2 57 6" xfId="29169" xr:uid="{00000000-0005-0000-0000-0000566B0000}"/>
    <cellStyle name="Обычный 7 2 57 7" xfId="34509" xr:uid="{00000000-0005-0000-0000-0000576B0000}"/>
    <cellStyle name="Обычный 7 2 57 8" xfId="39849" xr:uid="{00000000-0005-0000-0000-0000586B0000}"/>
    <cellStyle name="Обычный 7 2 57 9" xfId="45189" xr:uid="{00000000-0005-0000-0000-0000596B0000}"/>
    <cellStyle name="Обычный 7 2 58" xfId="2495" xr:uid="{00000000-0005-0000-0000-00005A6B0000}"/>
    <cellStyle name="Обычный 7 2 58 10" xfId="50559" xr:uid="{00000000-0005-0000-0000-00005B6B0000}"/>
    <cellStyle name="Обычный 7 2 58 2" xfId="7838" xr:uid="{00000000-0005-0000-0000-00005C6B0000}"/>
    <cellStyle name="Обычный 7 2 58 2 2" xfId="55900" xr:uid="{00000000-0005-0000-0000-00005D6B0000}"/>
    <cellStyle name="Обычный 7 2 58 3" xfId="13179" xr:uid="{00000000-0005-0000-0000-00005E6B0000}"/>
    <cellStyle name="Обычный 7 2 58 4" xfId="18519" xr:uid="{00000000-0005-0000-0000-00005F6B0000}"/>
    <cellStyle name="Обычный 7 2 58 5" xfId="23859" xr:uid="{00000000-0005-0000-0000-0000606B0000}"/>
    <cellStyle name="Обычный 7 2 58 6" xfId="29199" xr:uid="{00000000-0005-0000-0000-0000616B0000}"/>
    <cellStyle name="Обычный 7 2 58 7" xfId="34539" xr:uid="{00000000-0005-0000-0000-0000626B0000}"/>
    <cellStyle name="Обычный 7 2 58 8" xfId="39879" xr:uid="{00000000-0005-0000-0000-0000636B0000}"/>
    <cellStyle name="Обычный 7 2 58 9" xfId="45219" xr:uid="{00000000-0005-0000-0000-0000646B0000}"/>
    <cellStyle name="Обычный 7 2 59" xfId="2527" xr:uid="{00000000-0005-0000-0000-0000656B0000}"/>
    <cellStyle name="Обычный 7 2 59 10" xfId="50591" xr:uid="{00000000-0005-0000-0000-0000666B0000}"/>
    <cellStyle name="Обычный 7 2 59 2" xfId="7870" xr:uid="{00000000-0005-0000-0000-0000676B0000}"/>
    <cellStyle name="Обычный 7 2 59 2 2" xfId="55932" xr:uid="{00000000-0005-0000-0000-0000686B0000}"/>
    <cellStyle name="Обычный 7 2 59 3" xfId="13211" xr:uid="{00000000-0005-0000-0000-0000696B0000}"/>
    <cellStyle name="Обычный 7 2 59 4" xfId="18551" xr:uid="{00000000-0005-0000-0000-00006A6B0000}"/>
    <cellStyle name="Обычный 7 2 59 5" xfId="23891" xr:uid="{00000000-0005-0000-0000-00006B6B0000}"/>
    <cellStyle name="Обычный 7 2 59 6" xfId="29231" xr:uid="{00000000-0005-0000-0000-00006C6B0000}"/>
    <cellStyle name="Обычный 7 2 59 7" xfId="34571" xr:uid="{00000000-0005-0000-0000-00006D6B0000}"/>
    <cellStyle name="Обычный 7 2 59 8" xfId="39911" xr:uid="{00000000-0005-0000-0000-00006E6B0000}"/>
    <cellStyle name="Обычный 7 2 59 9" xfId="45251" xr:uid="{00000000-0005-0000-0000-00006F6B0000}"/>
    <cellStyle name="Обычный 7 2 6" xfId="1082" xr:uid="{00000000-0005-0000-0000-0000706B0000}"/>
    <cellStyle name="Обычный 7 2 6 10" xfId="49145" xr:uid="{00000000-0005-0000-0000-0000716B0000}"/>
    <cellStyle name="Обычный 7 2 6 2" xfId="6424" xr:uid="{00000000-0005-0000-0000-0000726B0000}"/>
    <cellStyle name="Обычный 7 2 6 2 2" xfId="54486" xr:uid="{00000000-0005-0000-0000-0000736B0000}"/>
    <cellStyle name="Обычный 7 2 6 3" xfId="11765" xr:uid="{00000000-0005-0000-0000-0000746B0000}"/>
    <cellStyle name="Обычный 7 2 6 4" xfId="17105" xr:uid="{00000000-0005-0000-0000-0000756B0000}"/>
    <cellStyle name="Обычный 7 2 6 5" xfId="22445" xr:uid="{00000000-0005-0000-0000-0000766B0000}"/>
    <cellStyle name="Обычный 7 2 6 6" xfId="27785" xr:uid="{00000000-0005-0000-0000-0000776B0000}"/>
    <cellStyle name="Обычный 7 2 6 7" xfId="33125" xr:uid="{00000000-0005-0000-0000-0000786B0000}"/>
    <cellStyle name="Обычный 7 2 6 8" xfId="38465" xr:uid="{00000000-0005-0000-0000-0000796B0000}"/>
    <cellStyle name="Обычный 7 2 6 9" xfId="43805" xr:uid="{00000000-0005-0000-0000-00007A6B0000}"/>
    <cellStyle name="Обычный 7 2 60" xfId="2561" xr:uid="{00000000-0005-0000-0000-00007B6B0000}"/>
    <cellStyle name="Обычный 7 2 60 10" xfId="50625" xr:uid="{00000000-0005-0000-0000-00007C6B0000}"/>
    <cellStyle name="Обычный 7 2 60 2" xfId="7904" xr:uid="{00000000-0005-0000-0000-00007D6B0000}"/>
    <cellStyle name="Обычный 7 2 60 2 2" xfId="55966" xr:uid="{00000000-0005-0000-0000-00007E6B0000}"/>
    <cellStyle name="Обычный 7 2 60 3" xfId="13245" xr:uid="{00000000-0005-0000-0000-00007F6B0000}"/>
    <cellStyle name="Обычный 7 2 60 4" xfId="18585" xr:uid="{00000000-0005-0000-0000-0000806B0000}"/>
    <cellStyle name="Обычный 7 2 60 5" xfId="23925" xr:uid="{00000000-0005-0000-0000-0000816B0000}"/>
    <cellStyle name="Обычный 7 2 60 6" xfId="29265" xr:uid="{00000000-0005-0000-0000-0000826B0000}"/>
    <cellStyle name="Обычный 7 2 60 7" xfId="34605" xr:uid="{00000000-0005-0000-0000-0000836B0000}"/>
    <cellStyle name="Обычный 7 2 60 8" xfId="39945" xr:uid="{00000000-0005-0000-0000-0000846B0000}"/>
    <cellStyle name="Обычный 7 2 60 9" xfId="45285" xr:uid="{00000000-0005-0000-0000-0000856B0000}"/>
    <cellStyle name="Обычный 7 2 61" xfId="2593" xr:uid="{00000000-0005-0000-0000-0000866B0000}"/>
    <cellStyle name="Обычный 7 2 61 10" xfId="50657" xr:uid="{00000000-0005-0000-0000-0000876B0000}"/>
    <cellStyle name="Обычный 7 2 61 2" xfId="7936" xr:uid="{00000000-0005-0000-0000-0000886B0000}"/>
    <cellStyle name="Обычный 7 2 61 2 2" xfId="55998" xr:uid="{00000000-0005-0000-0000-0000896B0000}"/>
    <cellStyle name="Обычный 7 2 61 3" xfId="13277" xr:uid="{00000000-0005-0000-0000-00008A6B0000}"/>
    <cellStyle name="Обычный 7 2 61 4" xfId="18617" xr:uid="{00000000-0005-0000-0000-00008B6B0000}"/>
    <cellStyle name="Обычный 7 2 61 5" xfId="23957" xr:uid="{00000000-0005-0000-0000-00008C6B0000}"/>
    <cellStyle name="Обычный 7 2 61 6" xfId="29297" xr:uid="{00000000-0005-0000-0000-00008D6B0000}"/>
    <cellStyle name="Обычный 7 2 61 7" xfId="34637" xr:uid="{00000000-0005-0000-0000-00008E6B0000}"/>
    <cellStyle name="Обычный 7 2 61 8" xfId="39977" xr:uid="{00000000-0005-0000-0000-00008F6B0000}"/>
    <cellStyle name="Обычный 7 2 61 9" xfId="45317" xr:uid="{00000000-0005-0000-0000-0000906B0000}"/>
    <cellStyle name="Обычный 7 2 62" xfId="2625" xr:uid="{00000000-0005-0000-0000-0000916B0000}"/>
    <cellStyle name="Обычный 7 2 62 10" xfId="50689" xr:uid="{00000000-0005-0000-0000-0000926B0000}"/>
    <cellStyle name="Обычный 7 2 62 2" xfId="7968" xr:uid="{00000000-0005-0000-0000-0000936B0000}"/>
    <cellStyle name="Обычный 7 2 62 2 2" xfId="56030" xr:uid="{00000000-0005-0000-0000-0000946B0000}"/>
    <cellStyle name="Обычный 7 2 62 3" xfId="13309" xr:uid="{00000000-0005-0000-0000-0000956B0000}"/>
    <cellStyle name="Обычный 7 2 62 4" xfId="18649" xr:uid="{00000000-0005-0000-0000-0000966B0000}"/>
    <cellStyle name="Обычный 7 2 62 5" xfId="23989" xr:uid="{00000000-0005-0000-0000-0000976B0000}"/>
    <cellStyle name="Обычный 7 2 62 6" xfId="29329" xr:uid="{00000000-0005-0000-0000-0000986B0000}"/>
    <cellStyle name="Обычный 7 2 62 7" xfId="34669" xr:uid="{00000000-0005-0000-0000-0000996B0000}"/>
    <cellStyle name="Обычный 7 2 62 8" xfId="40009" xr:uid="{00000000-0005-0000-0000-00009A6B0000}"/>
    <cellStyle name="Обычный 7 2 62 9" xfId="45349" xr:uid="{00000000-0005-0000-0000-00009B6B0000}"/>
    <cellStyle name="Обычный 7 2 63" xfId="2657" xr:uid="{00000000-0005-0000-0000-00009C6B0000}"/>
    <cellStyle name="Обычный 7 2 63 10" xfId="50721" xr:uid="{00000000-0005-0000-0000-00009D6B0000}"/>
    <cellStyle name="Обычный 7 2 63 2" xfId="8000" xr:uid="{00000000-0005-0000-0000-00009E6B0000}"/>
    <cellStyle name="Обычный 7 2 63 2 2" xfId="56062" xr:uid="{00000000-0005-0000-0000-00009F6B0000}"/>
    <cellStyle name="Обычный 7 2 63 3" xfId="13341" xr:uid="{00000000-0005-0000-0000-0000A06B0000}"/>
    <cellStyle name="Обычный 7 2 63 4" xfId="18681" xr:uid="{00000000-0005-0000-0000-0000A16B0000}"/>
    <cellStyle name="Обычный 7 2 63 5" xfId="24021" xr:uid="{00000000-0005-0000-0000-0000A26B0000}"/>
    <cellStyle name="Обычный 7 2 63 6" xfId="29361" xr:uid="{00000000-0005-0000-0000-0000A36B0000}"/>
    <cellStyle name="Обычный 7 2 63 7" xfId="34701" xr:uid="{00000000-0005-0000-0000-0000A46B0000}"/>
    <cellStyle name="Обычный 7 2 63 8" xfId="40041" xr:uid="{00000000-0005-0000-0000-0000A56B0000}"/>
    <cellStyle name="Обычный 7 2 63 9" xfId="45381" xr:uid="{00000000-0005-0000-0000-0000A66B0000}"/>
    <cellStyle name="Обычный 7 2 64" xfId="2689" xr:uid="{00000000-0005-0000-0000-0000A76B0000}"/>
    <cellStyle name="Обычный 7 2 64 10" xfId="50753" xr:uid="{00000000-0005-0000-0000-0000A86B0000}"/>
    <cellStyle name="Обычный 7 2 64 2" xfId="8032" xr:uid="{00000000-0005-0000-0000-0000A96B0000}"/>
    <cellStyle name="Обычный 7 2 64 2 2" xfId="56094" xr:uid="{00000000-0005-0000-0000-0000AA6B0000}"/>
    <cellStyle name="Обычный 7 2 64 3" xfId="13373" xr:uid="{00000000-0005-0000-0000-0000AB6B0000}"/>
    <cellStyle name="Обычный 7 2 64 4" xfId="18713" xr:uid="{00000000-0005-0000-0000-0000AC6B0000}"/>
    <cellStyle name="Обычный 7 2 64 5" xfId="24053" xr:uid="{00000000-0005-0000-0000-0000AD6B0000}"/>
    <cellStyle name="Обычный 7 2 64 6" xfId="29393" xr:uid="{00000000-0005-0000-0000-0000AE6B0000}"/>
    <cellStyle name="Обычный 7 2 64 7" xfId="34733" xr:uid="{00000000-0005-0000-0000-0000AF6B0000}"/>
    <cellStyle name="Обычный 7 2 64 8" xfId="40073" xr:uid="{00000000-0005-0000-0000-0000B06B0000}"/>
    <cellStyle name="Обычный 7 2 64 9" xfId="45413" xr:uid="{00000000-0005-0000-0000-0000B16B0000}"/>
    <cellStyle name="Обычный 7 2 65" xfId="2721" xr:uid="{00000000-0005-0000-0000-0000B26B0000}"/>
    <cellStyle name="Обычный 7 2 65 10" xfId="50785" xr:uid="{00000000-0005-0000-0000-0000B36B0000}"/>
    <cellStyle name="Обычный 7 2 65 2" xfId="8064" xr:uid="{00000000-0005-0000-0000-0000B46B0000}"/>
    <cellStyle name="Обычный 7 2 65 2 2" xfId="56126" xr:uid="{00000000-0005-0000-0000-0000B56B0000}"/>
    <cellStyle name="Обычный 7 2 65 3" xfId="13405" xr:uid="{00000000-0005-0000-0000-0000B66B0000}"/>
    <cellStyle name="Обычный 7 2 65 4" xfId="18745" xr:uid="{00000000-0005-0000-0000-0000B76B0000}"/>
    <cellStyle name="Обычный 7 2 65 5" xfId="24085" xr:uid="{00000000-0005-0000-0000-0000B86B0000}"/>
    <cellStyle name="Обычный 7 2 65 6" xfId="29425" xr:uid="{00000000-0005-0000-0000-0000B96B0000}"/>
    <cellStyle name="Обычный 7 2 65 7" xfId="34765" xr:uid="{00000000-0005-0000-0000-0000BA6B0000}"/>
    <cellStyle name="Обычный 7 2 65 8" xfId="40105" xr:uid="{00000000-0005-0000-0000-0000BB6B0000}"/>
    <cellStyle name="Обычный 7 2 65 9" xfId="45445" xr:uid="{00000000-0005-0000-0000-0000BC6B0000}"/>
    <cellStyle name="Обычный 7 2 66" xfId="2753" xr:uid="{00000000-0005-0000-0000-0000BD6B0000}"/>
    <cellStyle name="Обычный 7 2 66 10" xfId="50817" xr:uid="{00000000-0005-0000-0000-0000BE6B0000}"/>
    <cellStyle name="Обычный 7 2 66 2" xfId="8096" xr:uid="{00000000-0005-0000-0000-0000BF6B0000}"/>
    <cellStyle name="Обычный 7 2 66 2 2" xfId="56158" xr:uid="{00000000-0005-0000-0000-0000C06B0000}"/>
    <cellStyle name="Обычный 7 2 66 3" xfId="13437" xr:uid="{00000000-0005-0000-0000-0000C16B0000}"/>
    <cellStyle name="Обычный 7 2 66 4" xfId="18777" xr:uid="{00000000-0005-0000-0000-0000C26B0000}"/>
    <cellStyle name="Обычный 7 2 66 5" xfId="24117" xr:uid="{00000000-0005-0000-0000-0000C36B0000}"/>
    <cellStyle name="Обычный 7 2 66 6" xfId="29457" xr:uid="{00000000-0005-0000-0000-0000C46B0000}"/>
    <cellStyle name="Обычный 7 2 66 7" xfId="34797" xr:uid="{00000000-0005-0000-0000-0000C56B0000}"/>
    <cellStyle name="Обычный 7 2 66 8" xfId="40137" xr:uid="{00000000-0005-0000-0000-0000C66B0000}"/>
    <cellStyle name="Обычный 7 2 66 9" xfId="45477" xr:uid="{00000000-0005-0000-0000-0000C76B0000}"/>
    <cellStyle name="Обычный 7 2 67" xfId="2787" xr:uid="{00000000-0005-0000-0000-0000C86B0000}"/>
    <cellStyle name="Обычный 7 2 67 10" xfId="50851" xr:uid="{00000000-0005-0000-0000-0000C96B0000}"/>
    <cellStyle name="Обычный 7 2 67 2" xfId="8130" xr:uid="{00000000-0005-0000-0000-0000CA6B0000}"/>
    <cellStyle name="Обычный 7 2 67 2 2" xfId="56192" xr:uid="{00000000-0005-0000-0000-0000CB6B0000}"/>
    <cellStyle name="Обычный 7 2 67 3" xfId="13471" xr:uid="{00000000-0005-0000-0000-0000CC6B0000}"/>
    <cellStyle name="Обычный 7 2 67 4" xfId="18811" xr:uid="{00000000-0005-0000-0000-0000CD6B0000}"/>
    <cellStyle name="Обычный 7 2 67 5" xfId="24151" xr:uid="{00000000-0005-0000-0000-0000CE6B0000}"/>
    <cellStyle name="Обычный 7 2 67 6" xfId="29491" xr:uid="{00000000-0005-0000-0000-0000CF6B0000}"/>
    <cellStyle name="Обычный 7 2 67 7" xfId="34831" xr:uid="{00000000-0005-0000-0000-0000D06B0000}"/>
    <cellStyle name="Обычный 7 2 67 8" xfId="40171" xr:uid="{00000000-0005-0000-0000-0000D16B0000}"/>
    <cellStyle name="Обычный 7 2 67 9" xfId="45511" xr:uid="{00000000-0005-0000-0000-0000D26B0000}"/>
    <cellStyle name="Обычный 7 2 68" xfId="2819" xr:uid="{00000000-0005-0000-0000-0000D36B0000}"/>
    <cellStyle name="Обычный 7 2 68 10" xfId="50883" xr:uid="{00000000-0005-0000-0000-0000D46B0000}"/>
    <cellStyle name="Обычный 7 2 68 2" xfId="8162" xr:uid="{00000000-0005-0000-0000-0000D56B0000}"/>
    <cellStyle name="Обычный 7 2 68 2 2" xfId="56224" xr:uid="{00000000-0005-0000-0000-0000D66B0000}"/>
    <cellStyle name="Обычный 7 2 68 3" xfId="13503" xr:uid="{00000000-0005-0000-0000-0000D76B0000}"/>
    <cellStyle name="Обычный 7 2 68 4" xfId="18843" xr:uid="{00000000-0005-0000-0000-0000D86B0000}"/>
    <cellStyle name="Обычный 7 2 68 5" xfId="24183" xr:uid="{00000000-0005-0000-0000-0000D96B0000}"/>
    <cellStyle name="Обычный 7 2 68 6" xfId="29523" xr:uid="{00000000-0005-0000-0000-0000DA6B0000}"/>
    <cellStyle name="Обычный 7 2 68 7" xfId="34863" xr:uid="{00000000-0005-0000-0000-0000DB6B0000}"/>
    <cellStyle name="Обычный 7 2 68 8" xfId="40203" xr:uid="{00000000-0005-0000-0000-0000DC6B0000}"/>
    <cellStyle name="Обычный 7 2 68 9" xfId="45543" xr:uid="{00000000-0005-0000-0000-0000DD6B0000}"/>
    <cellStyle name="Обычный 7 2 69" xfId="2851" xr:uid="{00000000-0005-0000-0000-0000DE6B0000}"/>
    <cellStyle name="Обычный 7 2 69 10" xfId="50915" xr:uid="{00000000-0005-0000-0000-0000DF6B0000}"/>
    <cellStyle name="Обычный 7 2 69 2" xfId="8194" xr:uid="{00000000-0005-0000-0000-0000E06B0000}"/>
    <cellStyle name="Обычный 7 2 69 2 2" xfId="56256" xr:uid="{00000000-0005-0000-0000-0000E16B0000}"/>
    <cellStyle name="Обычный 7 2 69 3" xfId="13535" xr:uid="{00000000-0005-0000-0000-0000E26B0000}"/>
    <cellStyle name="Обычный 7 2 69 4" xfId="18875" xr:uid="{00000000-0005-0000-0000-0000E36B0000}"/>
    <cellStyle name="Обычный 7 2 69 5" xfId="24215" xr:uid="{00000000-0005-0000-0000-0000E46B0000}"/>
    <cellStyle name="Обычный 7 2 69 6" xfId="29555" xr:uid="{00000000-0005-0000-0000-0000E56B0000}"/>
    <cellStyle name="Обычный 7 2 69 7" xfId="34895" xr:uid="{00000000-0005-0000-0000-0000E66B0000}"/>
    <cellStyle name="Обычный 7 2 69 8" xfId="40235" xr:uid="{00000000-0005-0000-0000-0000E76B0000}"/>
    <cellStyle name="Обычный 7 2 69 9" xfId="45575" xr:uid="{00000000-0005-0000-0000-0000E86B0000}"/>
    <cellStyle name="Обычный 7 2 7" xfId="1108" xr:uid="{00000000-0005-0000-0000-0000E96B0000}"/>
    <cellStyle name="Обычный 7 2 7 10" xfId="49171" xr:uid="{00000000-0005-0000-0000-0000EA6B0000}"/>
    <cellStyle name="Обычный 7 2 7 2" xfId="6450" xr:uid="{00000000-0005-0000-0000-0000EB6B0000}"/>
    <cellStyle name="Обычный 7 2 7 2 2" xfId="54512" xr:uid="{00000000-0005-0000-0000-0000EC6B0000}"/>
    <cellStyle name="Обычный 7 2 7 3" xfId="11791" xr:uid="{00000000-0005-0000-0000-0000ED6B0000}"/>
    <cellStyle name="Обычный 7 2 7 4" xfId="17131" xr:uid="{00000000-0005-0000-0000-0000EE6B0000}"/>
    <cellStyle name="Обычный 7 2 7 5" xfId="22471" xr:uid="{00000000-0005-0000-0000-0000EF6B0000}"/>
    <cellStyle name="Обычный 7 2 7 6" xfId="27811" xr:uid="{00000000-0005-0000-0000-0000F06B0000}"/>
    <cellStyle name="Обычный 7 2 7 7" xfId="33151" xr:uid="{00000000-0005-0000-0000-0000F16B0000}"/>
    <cellStyle name="Обычный 7 2 7 8" xfId="38491" xr:uid="{00000000-0005-0000-0000-0000F26B0000}"/>
    <cellStyle name="Обычный 7 2 7 9" xfId="43831" xr:uid="{00000000-0005-0000-0000-0000F36B0000}"/>
    <cellStyle name="Обычный 7 2 70" xfId="2883" xr:uid="{00000000-0005-0000-0000-0000F46B0000}"/>
    <cellStyle name="Обычный 7 2 70 10" xfId="50947" xr:uid="{00000000-0005-0000-0000-0000F56B0000}"/>
    <cellStyle name="Обычный 7 2 70 2" xfId="8226" xr:uid="{00000000-0005-0000-0000-0000F66B0000}"/>
    <cellStyle name="Обычный 7 2 70 2 2" xfId="56288" xr:uid="{00000000-0005-0000-0000-0000F76B0000}"/>
    <cellStyle name="Обычный 7 2 70 3" xfId="13567" xr:uid="{00000000-0005-0000-0000-0000F86B0000}"/>
    <cellStyle name="Обычный 7 2 70 4" xfId="18907" xr:uid="{00000000-0005-0000-0000-0000F96B0000}"/>
    <cellStyle name="Обычный 7 2 70 5" xfId="24247" xr:uid="{00000000-0005-0000-0000-0000FA6B0000}"/>
    <cellStyle name="Обычный 7 2 70 6" xfId="29587" xr:uid="{00000000-0005-0000-0000-0000FB6B0000}"/>
    <cellStyle name="Обычный 7 2 70 7" xfId="34927" xr:uid="{00000000-0005-0000-0000-0000FC6B0000}"/>
    <cellStyle name="Обычный 7 2 70 8" xfId="40267" xr:uid="{00000000-0005-0000-0000-0000FD6B0000}"/>
    <cellStyle name="Обычный 7 2 70 9" xfId="45607" xr:uid="{00000000-0005-0000-0000-0000FE6B0000}"/>
    <cellStyle name="Обычный 7 2 71" xfId="2915" xr:uid="{00000000-0005-0000-0000-0000FF6B0000}"/>
    <cellStyle name="Обычный 7 2 71 10" xfId="50979" xr:uid="{00000000-0005-0000-0000-0000006C0000}"/>
    <cellStyle name="Обычный 7 2 71 2" xfId="8258" xr:uid="{00000000-0005-0000-0000-0000016C0000}"/>
    <cellStyle name="Обычный 7 2 71 2 2" xfId="56320" xr:uid="{00000000-0005-0000-0000-0000026C0000}"/>
    <cellStyle name="Обычный 7 2 71 3" xfId="13599" xr:uid="{00000000-0005-0000-0000-0000036C0000}"/>
    <cellStyle name="Обычный 7 2 71 4" xfId="18939" xr:uid="{00000000-0005-0000-0000-0000046C0000}"/>
    <cellStyle name="Обычный 7 2 71 5" xfId="24279" xr:uid="{00000000-0005-0000-0000-0000056C0000}"/>
    <cellStyle name="Обычный 7 2 71 6" xfId="29619" xr:uid="{00000000-0005-0000-0000-0000066C0000}"/>
    <cellStyle name="Обычный 7 2 71 7" xfId="34959" xr:uid="{00000000-0005-0000-0000-0000076C0000}"/>
    <cellStyle name="Обычный 7 2 71 8" xfId="40299" xr:uid="{00000000-0005-0000-0000-0000086C0000}"/>
    <cellStyle name="Обычный 7 2 71 9" xfId="45639" xr:uid="{00000000-0005-0000-0000-0000096C0000}"/>
    <cellStyle name="Обычный 7 2 72" xfId="2947" xr:uid="{00000000-0005-0000-0000-00000A6C0000}"/>
    <cellStyle name="Обычный 7 2 72 10" xfId="51011" xr:uid="{00000000-0005-0000-0000-00000B6C0000}"/>
    <cellStyle name="Обычный 7 2 72 2" xfId="8290" xr:uid="{00000000-0005-0000-0000-00000C6C0000}"/>
    <cellStyle name="Обычный 7 2 72 2 2" xfId="56352" xr:uid="{00000000-0005-0000-0000-00000D6C0000}"/>
    <cellStyle name="Обычный 7 2 72 3" xfId="13631" xr:uid="{00000000-0005-0000-0000-00000E6C0000}"/>
    <cellStyle name="Обычный 7 2 72 4" xfId="18971" xr:uid="{00000000-0005-0000-0000-00000F6C0000}"/>
    <cellStyle name="Обычный 7 2 72 5" xfId="24311" xr:uid="{00000000-0005-0000-0000-0000106C0000}"/>
    <cellStyle name="Обычный 7 2 72 6" xfId="29651" xr:uid="{00000000-0005-0000-0000-0000116C0000}"/>
    <cellStyle name="Обычный 7 2 72 7" xfId="34991" xr:uid="{00000000-0005-0000-0000-0000126C0000}"/>
    <cellStyle name="Обычный 7 2 72 8" xfId="40331" xr:uid="{00000000-0005-0000-0000-0000136C0000}"/>
    <cellStyle name="Обычный 7 2 72 9" xfId="45671" xr:uid="{00000000-0005-0000-0000-0000146C0000}"/>
    <cellStyle name="Обычный 7 2 73" xfId="2979" xr:uid="{00000000-0005-0000-0000-0000156C0000}"/>
    <cellStyle name="Обычный 7 2 73 10" xfId="51043" xr:uid="{00000000-0005-0000-0000-0000166C0000}"/>
    <cellStyle name="Обычный 7 2 73 2" xfId="8322" xr:uid="{00000000-0005-0000-0000-0000176C0000}"/>
    <cellStyle name="Обычный 7 2 73 2 2" xfId="56384" xr:uid="{00000000-0005-0000-0000-0000186C0000}"/>
    <cellStyle name="Обычный 7 2 73 3" xfId="13663" xr:uid="{00000000-0005-0000-0000-0000196C0000}"/>
    <cellStyle name="Обычный 7 2 73 4" xfId="19003" xr:uid="{00000000-0005-0000-0000-00001A6C0000}"/>
    <cellStyle name="Обычный 7 2 73 5" xfId="24343" xr:uid="{00000000-0005-0000-0000-00001B6C0000}"/>
    <cellStyle name="Обычный 7 2 73 6" xfId="29683" xr:uid="{00000000-0005-0000-0000-00001C6C0000}"/>
    <cellStyle name="Обычный 7 2 73 7" xfId="35023" xr:uid="{00000000-0005-0000-0000-00001D6C0000}"/>
    <cellStyle name="Обычный 7 2 73 8" xfId="40363" xr:uid="{00000000-0005-0000-0000-00001E6C0000}"/>
    <cellStyle name="Обычный 7 2 73 9" xfId="45703" xr:uid="{00000000-0005-0000-0000-00001F6C0000}"/>
    <cellStyle name="Обычный 7 2 74" xfId="3011" xr:uid="{00000000-0005-0000-0000-0000206C0000}"/>
    <cellStyle name="Обычный 7 2 74 10" xfId="51075" xr:uid="{00000000-0005-0000-0000-0000216C0000}"/>
    <cellStyle name="Обычный 7 2 74 2" xfId="8354" xr:uid="{00000000-0005-0000-0000-0000226C0000}"/>
    <cellStyle name="Обычный 7 2 74 2 2" xfId="56416" xr:uid="{00000000-0005-0000-0000-0000236C0000}"/>
    <cellStyle name="Обычный 7 2 74 3" xfId="13695" xr:uid="{00000000-0005-0000-0000-0000246C0000}"/>
    <cellStyle name="Обычный 7 2 74 4" xfId="19035" xr:uid="{00000000-0005-0000-0000-0000256C0000}"/>
    <cellStyle name="Обычный 7 2 74 5" xfId="24375" xr:uid="{00000000-0005-0000-0000-0000266C0000}"/>
    <cellStyle name="Обычный 7 2 74 6" xfId="29715" xr:uid="{00000000-0005-0000-0000-0000276C0000}"/>
    <cellStyle name="Обычный 7 2 74 7" xfId="35055" xr:uid="{00000000-0005-0000-0000-0000286C0000}"/>
    <cellStyle name="Обычный 7 2 74 8" xfId="40395" xr:uid="{00000000-0005-0000-0000-0000296C0000}"/>
    <cellStyle name="Обычный 7 2 74 9" xfId="45735" xr:uid="{00000000-0005-0000-0000-00002A6C0000}"/>
    <cellStyle name="Обычный 7 2 75" xfId="3043" xr:uid="{00000000-0005-0000-0000-00002B6C0000}"/>
    <cellStyle name="Обычный 7 2 75 10" xfId="51107" xr:uid="{00000000-0005-0000-0000-00002C6C0000}"/>
    <cellStyle name="Обычный 7 2 75 2" xfId="8386" xr:uid="{00000000-0005-0000-0000-00002D6C0000}"/>
    <cellStyle name="Обычный 7 2 75 2 2" xfId="56448" xr:uid="{00000000-0005-0000-0000-00002E6C0000}"/>
    <cellStyle name="Обычный 7 2 75 3" xfId="13727" xr:uid="{00000000-0005-0000-0000-00002F6C0000}"/>
    <cellStyle name="Обычный 7 2 75 4" xfId="19067" xr:uid="{00000000-0005-0000-0000-0000306C0000}"/>
    <cellStyle name="Обычный 7 2 75 5" xfId="24407" xr:uid="{00000000-0005-0000-0000-0000316C0000}"/>
    <cellStyle name="Обычный 7 2 75 6" xfId="29747" xr:uid="{00000000-0005-0000-0000-0000326C0000}"/>
    <cellStyle name="Обычный 7 2 75 7" xfId="35087" xr:uid="{00000000-0005-0000-0000-0000336C0000}"/>
    <cellStyle name="Обычный 7 2 75 8" xfId="40427" xr:uid="{00000000-0005-0000-0000-0000346C0000}"/>
    <cellStyle name="Обычный 7 2 75 9" xfId="45767" xr:uid="{00000000-0005-0000-0000-0000356C0000}"/>
    <cellStyle name="Обычный 7 2 76" xfId="3075" xr:uid="{00000000-0005-0000-0000-0000366C0000}"/>
    <cellStyle name="Обычный 7 2 76 10" xfId="51139" xr:uid="{00000000-0005-0000-0000-0000376C0000}"/>
    <cellStyle name="Обычный 7 2 76 2" xfId="8418" xr:uid="{00000000-0005-0000-0000-0000386C0000}"/>
    <cellStyle name="Обычный 7 2 76 2 2" xfId="56480" xr:uid="{00000000-0005-0000-0000-0000396C0000}"/>
    <cellStyle name="Обычный 7 2 76 3" xfId="13759" xr:uid="{00000000-0005-0000-0000-00003A6C0000}"/>
    <cellStyle name="Обычный 7 2 76 4" xfId="19099" xr:uid="{00000000-0005-0000-0000-00003B6C0000}"/>
    <cellStyle name="Обычный 7 2 76 5" xfId="24439" xr:uid="{00000000-0005-0000-0000-00003C6C0000}"/>
    <cellStyle name="Обычный 7 2 76 6" xfId="29779" xr:uid="{00000000-0005-0000-0000-00003D6C0000}"/>
    <cellStyle name="Обычный 7 2 76 7" xfId="35119" xr:uid="{00000000-0005-0000-0000-00003E6C0000}"/>
    <cellStyle name="Обычный 7 2 76 8" xfId="40459" xr:uid="{00000000-0005-0000-0000-00003F6C0000}"/>
    <cellStyle name="Обычный 7 2 76 9" xfId="45799" xr:uid="{00000000-0005-0000-0000-0000406C0000}"/>
    <cellStyle name="Обычный 7 2 77" xfId="3107" xr:uid="{00000000-0005-0000-0000-0000416C0000}"/>
    <cellStyle name="Обычный 7 2 77 10" xfId="51171" xr:uid="{00000000-0005-0000-0000-0000426C0000}"/>
    <cellStyle name="Обычный 7 2 77 2" xfId="8450" xr:uid="{00000000-0005-0000-0000-0000436C0000}"/>
    <cellStyle name="Обычный 7 2 77 2 2" xfId="56512" xr:uid="{00000000-0005-0000-0000-0000446C0000}"/>
    <cellStyle name="Обычный 7 2 77 3" xfId="13791" xr:uid="{00000000-0005-0000-0000-0000456C0000}"/>
    <cellStyle name="Обычный 7 2 77 4" xfId="19131" xr:uid="{00000000-0005-0000-0000-0000466C0000}"/>
    <cellStyle name="Обычный 7 2 77 5" xfId="24471" xr:uid="{00000000-0005-0000-0000-0000476C0000}"/>
    <cellStyle name="Обычный 7 2 77 6" xfId="29811" xr:uid="{00000000-0005-0000-0000-0000486C0000}"/>
    <cellStyle name="Обычный 7 2 77 7" xfId="35151" xr:uid="{00000000-0005-0000-0000-0000496C0000}"/>
    <cellStyle name="Обычный 7 2 77 8" xfId="40491" xr:uid="{00000000-0005-0000-0000-00004A6C0000}"/>
    <cellStyle name="Обычный 7 2 77 9" xfId="45831" xr:uid="{00000000-0005-0000-0000-00004B6C0000}"/>
    <cellStyle name="Обычный 7 2 78" xfId="3140" xr:uid="{00000000-0005-0000-0000-00004C6C0000}"/>
    <cellStyle name="Обычный 7 2 78 10" xfId="51203" xr:uid="{00000000-0005-0000-0000-00004D6C0000}"/>
    <cellStyle name="Обычный 7 2 78 2" xfId="8483" xr:uid="{00000000-0005-0000-0000-00004E6C0000}"/>
    <cellStyle name="Обычный 7 2 78 2 2" xfId="56544" xr:uid="{00000000-0005-0000-0000-00004F6C0000}"/>
    <cellStyle name="Обычный 7 2 78 3" xfId="13823" xr:uid="{00000000-0005-0000-0000-0000506C0000}"/>
    <cellStyle name="Обычный 7 2 78 4" xfId="19163" xr:uid="{00000000-0005-0000-0000-0000516C0000}"/>
    <cellStyle name="Обычный 7 2 78 5" xfId="24503" xr:uid="{00000000-0005-0000-0000-0000526C0000}"/>
    <cellStyle name="Обычный 7 2 78 6" xfId="29843" xr:uid="{00000000-0005-0000-0000-0000536C0000}"/>
    <cellStyle name="Обычный 7 2 78 7" xfId="35183" xr:uid="{00000000-0005-0000-0000-0000546C0000}"/>
    <cellStyle name="Обычный 7 2 78 8" xfId="40523" xr:uid="{00000000-0005-0000-0000-0000556C0000}"/>
    <cellStyle name="Обычный 7 2 78 9" xfId="45863" xr:uid="{00000000-0005-0000-0000-0000566C0000}"/>
    <cellStyle name="Обычный 7 2 79" xfId="3172" xr:uid="{00000000-0005-0000-0000-0000576C0000}"/>
    <cellStyle name="Обычный 7 2 79 10" xfId="51235" xr:uid="{00000000-0005-0000-0000-0000586C0000}"/>
    <cellStyle name="Обычный 7 2 79 2" xfId="8515" xr:uid="{00000000-0005-0000-0000-0000596C0000}"/>
    <cellStyle name="Обычный 7 2 79 2 2" xfId="56576" xr:uid="{00000000-0005-0000-0000-00005A6C0000}"/>
    <cellStyle name="Обычный 7 2 79 3" xfId="13855" xr:uid="{00000000-0005-0000-0000-00005B6C0000}"/>
    <cellStyle name="Обычный 7 2 79 4" xfId="19195" xr:uid="{00000000-0005-0000-0000-00005C6C0000}"/>
    <cellStyle name="Обычный 7 2 79 5" xfId="24535" xr:uid="{00000000-0005-0000-0000-00005D6C0000}"/>
    <cellStyle name="Обычный 7 2 79 6" xfId="29875" xr:uid="{00000000-0005-0000-0000-00005E6C0000}"/>
    <cellStyle name="Обычный 7 2 79 7" xfId="35215" xr:uid="{00000000-0005-0000-0000-00005F6C0000}"/>
    <cellStyle name="Обычный 7 2 79 8" xfId="40555" xr:uid="{00000000-0005-0000-0000-0000606C0000}"/>
    <cellStyle name="Обычный 7 2 79 9" xfId="45895" xr:uid="{00000000-0005-0000-0000-0000616C0000}"/>
    <cellStyle name="Обычный 7 2 8" xfId="1134" xr:uid="{00000000-0005-0000-0000-0000626C0000}"/>
    <cellStyle name="Обычный 7 2 8 10" xfId="49197" xr:uid="{00000000-0005-0000-0000-0000636C0000}"/>
    <cellStyle name="Обычный 7 2 8 2" xfId="6476" xr:uid="{00000000-0005-0000-0000-0000646C0000}"/>
    <cellStyle name="Обычный 7 2 8 2 2" xfId="54538" xr:uid="{00000000-0005-0000-0000-0000656C0000}"/>
    <cellStyle name="Обычный 7 2 8 3" xfId="11817" xr:uid="{00000000-0005-0000-0000-0000666C0000}"/>
    <cellStyle name="Обычный 7 2 8 4" xfId="17157" xr:uid="{00000000-0005-0000-0000-0000676C0000}"/>
    <cellStyle name="Обычный 7 2 8 5" xfId="22497" xr:uid="{00000000-0005-0000-0000-0000686C0000}"/>
    <cellStyle name="Обычный 7 2 8 6" xfId="27837" xr:uid="{00000000-0005-0000-0000-0000696C0000}"/>
    <cellStyle name="Обычный 7 2 8 7" xfId="33177" xr:uid="{00000000-0005-0000-0000-00006A6C0000}"/>
    <cellStyle name="Обычный 7 2 8 8" xfId="38517" xr:uid="{00000000-0005-0000-0000-00006B6C0000}"/>
    <cellStyle name="Обычный 7 2 8 9" xfId="43857" xr:uid="{00000000-0005-0000-0000-00006C6C0000}"/>
    <cellStyle name="Обычный 7 2 80" xfId="3204" xr:uid="{00000000-0005-0000-0000-00006D6C0000}"/>
    <cellStyle name="Обычный 7 2 80 10" xfId="51267" xr:uid="{00000000-0005-0000-0000-00006E6C0000}"/>
    <cellStyle name="Обычный 7 2 80 2" xfId="8547" xr:uid="{00000000-0005-0000-0000-00006F6C0000}"/>
    <cellStyle name="Обычный 7 2 80 2 2" xfId="56608" xr:uid="{00000000-0005-0000-0000-0000706C0000}"/>
    <cellStyle name="Обычный 7 2 80 3" xfId="13887" xr:uid="{00000000-0005-0000-0000-0000716C0000}"/>
    <cellStyle name="Обычный 7 2 80 4" xfId="19227" xr:uid="{00000000-0005-0000-0000-0000726C0000}"/>
    <cellStyle name="Обычный 7 2 80 5" xfId="24567" xr:uid="{00000000-0005-0000-0000-0000736C0000}"/>
    <cellStyle name="Обычный 7 2 80 6" xfId="29907" xr:uid="{00000000-0005-0000-0000-0000746C0000}"/>
    <cellStyle name="Обычный 7 2 80 7" xfId="35247" xr:uid="{00000000-0005-0000-0000-0000756C0000}"/>
    <cellStyle name="Обычный 7 2 80 8" xfId="40587" xr:uid="{00000000-0005-0000-0000-0000766C0000}"/>
    <cellStyle name="Обычный 7 2 80 9" xfId="45927" xr:uid="{00000000-0005-0000-0000-0000776C0000}"/>
    <cellStyle name="Обычный 7 2 81" xfId="3236" xr:uid="{00000000-0005-0000-0000-0000786C0000}"/>
    <cellStyle name="Обычный 7 2 81 10" xfId="51299" xr:uid="{00000000-0005-0000-0000-0000796C0000}"/>
    <cellStyle name="Обычный 7 2 81 2" xfId="8579" xr:uid="{00000000-0005-0000-0000-00007A6C0000}"/>
    <cellStyle name="Обычный 7 2 81 2 2" xfId="56640" xr:uid="{00000000-0005-0000-0000-00007B6C0000}"/>
    <cellStyle name="Обычный 7 2 81 3" xfId="13919" xr:uid="{00000000-0005-0000-0000-00007C6C0000}"/>
    <cellStyle name="Обычный 7 2 81 4" xfId="19259" xr:uid="{00000000-0005-0000-0000-00007D6C0000}"/>
    <cellStyle name="Обычный 7 2 81 5" xfId="24599" xr:uid="{00000000-0005-0000-0000-00007E6C0000}"/>
    <cellStyle name="Обычный 7 2 81 6" xfId="29939" xr:uid="{00000000-0005-0000-0000-00007F6C0000}"/>
    <cellStyle name="Обычный 7 2 81 7" xfId="35279" xr:uid="{00000000-0005-0000-0000-0000806C0000}"/>
    <cellStyle name="Обычный 7 2 81 8" xfId="40619" xr:uid="{00000000-0005-0000-0000-0000816C0000}"/>
    <cellStyle name="Обычный 7 2 81 9" xfId="45959" xr:uid="{00000000-0005-0000-0000-0000826C0000}"/>
    <cellStyle name="Обычный 7 2 82" xfId="3268" xr:uid="{00000000-0005-0000-0000-0000836C0000}"/>
    <cellStyle name="Обычный 7 2 82 10" xfId="51331" xr:uid="{00000000-0005-0000-0000-0000846C0000}"/>
    <cellStyle name="Обычный 7 2 82 2" xfId="8611" xr:uid="{00000000-0005-0000-0000-0000856C0000}"/>
    <cellStyle name="Обычный 7 2 82 2 2" xfId="56672" xr:uid="{00000000-0005-0000-0000-0000866C0000}"/>
    <cellStyle name="Обычный 7 2 82 3" xfId="13951" xr:uid="{00000000-0005-0000-0000-0000876C0000}"/>
    <cellStyle name="Обычный 7 2 82 4" xfId="19291" xr:uid="{00000000-0005-0000-0000-0000886C0000}"/>
    <cellStyle name="Обычный 7 2 82 5" xfId="24631" xr:uid="{00000000-0005-0000-0000-0000896C0000}"/>
    <cellStyle name="Обычный 7 2 82 6" xfId="29971" xr:uid="{00000000-0005-0000-0000-00008A6C0000}"/>
    <cellStyle name="Обычный 7 2 82 7" xfId="35311" xr:uid="{00000000-0005-0000-0000-00008B6C0000}"/>
    <cellStyle name="Обычный 7 2 82 8" xfId="40651" xr:uid="{00000000-0005-0000-0000-00008C6C0000}"/>
    <cellStyle name="Обычный 7 2 82 9" xfId="45991" xr:uid="{00000000-0005-0000-0000-00008D6C0000}"/>
    <cellStyle name="Обычный 7 2 83" xfId="3300" xr:uid="{00000000-0005-0000-0000-00008E6C0000}"/>
    <cellStyle name="Обычный 7 2 83 10" xfId="51363" xr:uid="{00000000-0005-0000-0000-00008F6C0000}"/>
    <cellStyle name="Обычный 7 2 83 2" xfId="8643" xr:uid="{00000000-0005-0000-0000-0000906C0000}"/>
    <cellStyle name="Обычный 7 2 83 2 2" xfId="56704" xr:uid="{00000000-0005-0000-0000-0000916C0000}"/>
    <cellStyle name="Обычный 7 2 83 3" xfId="13983" xr:uid="{00000000-0005-0000-0000-0000926C0000}"/>
    <cellStyle name="Обычный 7 2 83 4" xfId="19323" xr:uid="{00000000-0005-0000-0000-0000936C0000}"/>
    <cellStyle name="Обычный 7 2 83 5" xfId="24663" xr:uid="{00000000-0005-0000-0000-0000946C0000}"/>
    <cellStyle name="Обычный 7 2 83 6" xfId="30003" xr:uid="{00000000-0005-0000-0000-0000956C0000}"/>
    <cellStyle name="Обычный 7 2 83 7" xfId="35343" xr:uid="{00000000-0005-0000-0000-0000966C0000}"/>
    <cellStyle name="Обычный 7 2 83 8" xfId="40683" xr:uid="{00000000-0005-0000-0000-0000976C0000}"/>
    <cellStyle name="Обычный 7 2 83 9" xfId="46023" xr:uid="{00000000-0005-0000-0000-0000986C0000}"/>
    <cellStyle name="Обычный 7 2 84" xfId="3332" xr:uid="{00000000-0005-0000-0000-0000996C0000}"/>
    <cellStyle name="Обычный 7 2 84 10" xfId="51395" xr:uid="{00000000-0005-0000-0000-00009A6C0000}"/>
    <cellStyle name="Обычный 7 2 84 2" xfId="8675" xr:uid="{00000000-0005-0000-0000-00009B6C0000}"/>
    <cellStyle name="Обычный 7 2 84 2 2" xfId="56736" xr:uid="{00000000-0005-0000-0000-00009C6C0000}"/>
    <cellStyle name="Обычный 7 2 84 3" xfId="14015" xr:uid="{00000000-0005-0000-0000-00009D6C0000}"/>
    <cellStyle name="Обычный 7 2 84 4" xfId="19355" xr:uid="{00000000-0005-0000-0000-00009E6C0000}"/>
    <cellStyle name="Обычный 7 2 84 5" xfId="24695" xr:uid="{00000000-0005-0000-0000-00009F6C0000}"/>
    <cellStyle name="Обычный 7 2 84 6" xfId="30035" xr:uid="{00000000-0005-0000-0000-0000A06C0000}"/>
    <cellStyle name="Обычный 7 2 84 7" xfId="35375" xr:uid="{00000000-0005-0000-0000-0000A16C0000}"/>
    <cellStyle name="Обычный 7 2 84 8" xfId="40715" xr:uid="{00000000-0005-0000-0000-0000A26C0000}"/>
    <cellStyle name="Обычный 7 2 84 9" xfId="46055" xr:uid="{00000000-0005-0000-0000-0000A36C0000}"/>
    <cellStyle name="Обычный 7 2 85" xfId="3364" xr:uid="{00000000-0005-0000-0000-0000A46C0000}"/>
    <cellStyle name="Обычный 7 2 85 10" xfId="51427" xr:uid="{00000000-0005-0000-0000-0000A56C0000}"/>
    <cellStyle name="Обычный 7 2 85 2" xfId="8707" xr:uid="{00000000-0005-0000-0000-0000A66C0000}"/>
    <cellStyle name="Обычный 7 2 85 2 2" xfId="56768" xr:uid="{00000000-0005-0000-0000-0000A76C0000}"/>
    <cellStyle name="Обычный 7 2 85 3" xfId="14047" xr:uid="{00000000-0005-0000-0000-0000A86C0000}"/>
    <cellStyle name="Обычный 7 2 85 4" xfId="19387" xr:uid="{00000000-0005-0000-0000-0000A96C0000}"/>
    <cellStyle name="Обычный 7 2 85 5" xfId="24727" xr:uid="{00000000-0005-0000-0000-0000AA6C0000}"/>
    <cellStyle name="Обычный 7 2 85 6" xfId="30067" xr:uid="{00000000-0005-0000-0000-0000AB6C0000}"/>
    <cellStyle name="Обычный 7 2 85 7" xfId="35407" xr:uid="{00000000-0005-0000-0000-0000AC6C0000}"/>
    <cellStyle name="Обычный 7 2 85 8" xfId="40747" xr:uid="{00000000-0005-0000-0000-0000AD6C0000}"/>
    <cellStyle name="Обычный 7 2 85 9" xfId="46087" xr:uid="{00000000-0005-0000-0000-0000AE6C0000}"/>
    <cellStyle name="Обычный 7 2 86" xfId="3396" xr:uid="{00000000-0005-0000-0000-0000AF6C0000}"/>
    <cellStyle name="Обычный 7 2 86 10" xfId="51459" xr:uid="{00000000-0005-0000-0000-0000B06C0000}"/>
    <cellStyle name="Обычный 7 2 86 2" xfId="8739" xr:uid="{00000000-0005-0000-0000-0000B16C0000}"/>
    <cellStyle name="Обычный 7 2 86 2 2" xfId="56800" xr:uid="{00000000-0005-0000-0000-0000B26C0000}"/>
    <cellStyle name="Обычный 7 2 86 3" xfId="14079" xr:uid="{00000000-0005-0000-0000-0000B36C0000}"/>
    <cellStyle name="Обычный 7 2 86 4" xfId="19419" xr:uid="{00000000-0005-0000-0000-0000B46C0000}"/>
    <cellStyle name="Обычный 7 2 86 5" xfId="24759" xr:uid="{00000000-0005-0000-0000-0000B56C0000}"/>
    <cellStyle name="Обычный 7 2 86 6" xfId="30099" xr:uid="{00000000-0005-0000-0000-0000B66C0000}"/>
    <cellStyle name="Обычный 7 2 86 7" xfId="35439" xr:uid="{00000000-0005-0000-0000-0000B76C0000}"/>
    <cellStyle name="Обычный 7 2 86 8" xfId="40779" xr:uid="{00000000-0005-0000-0000-0000B86C0000}"/>
    <cellStyle name="Обычный 7 2 86 9" xfId="46119" xr:uid="{00000000-0005-0000-0000-0000B96C0000}"/>
    <cellStyle name="Обычный 7 2 87" xfId="3428" xr:uid="{00000000-0005-0000-0000-0000BA6C0000}"/>
    <cellStyle name="Обычный 7 2 87 10" xfId="51491" xr:uid="{00000000-0005-0000-0000-0000BB6C0000}"/>
    <cellStyle name="Обычный 7 2 87 2" xfId="8771" xr:uid="{00000000-0005-0000-0000-0000BC6C0000}"/>
    <cellStyle name="Обычный 7 2 87 2 2" xfId="56832" xr:uid="{00000000-0005-0000-0000-0000BD6C0000}"/>
    <cellStyle name="Обычный 7 2 87 3" xfId="14111" xr:uid="{00000000-0005-0000-0000-0000BE6C0000}"/>
    <cellStyle name="Обычный 7 2 87 4" xfId="19451" xr:uid="{00000000-0005-0000-0000-0000BF6C0000}"/>
    <cellStyle name="Обычный 7 2 87 5" xfId="24791" xr:uid="{00000000-0005-0000-0000-0000C06C0000}"/>
    <cellStyle name="Обычный 7 2 87 6" xfId="30131" xr:uid="{00000000-0005-0000-0000-0000C16C0000}"/>
    <cellStyle name="Обычный 7 2 87 7" xfId="35471" xr:uid="{00000000-0005-0000-0000-0000C26C0000}"/>
    <cellStyle name="Обычный 7 2 87 8" xfId="40811" xr:uid="{00000000-0005-0000-0000-0000C36C0000}"/>
    <cellStyle name="Обычный 7 2 87 9" xfId="46151" xr:uid="{00000000-0005-0000-0000-0000C46C0000}"/>
    <cellStyle name="Обычный 7 2 88" xfId="3460" xr:uid="{00000000-0005-0000-0000-0000C56C0000}"/>
    <cellStyle name="Обычный 7 2 88 10" xfId="51523" xr:uid="{00000000-0005-0000-0000-0000C66C0000}"/>
    <cellStyle name="Обычный 7 2 88 2" xfId="8803" xr:uid="{00000000-0005-0000-0000-0000C76C0000}"/>
    <cellStyle name="Обычный 7 2 88 2 2" xfId="56864" xr:uid="{00000000-0005-0000-0000-0000C86C0000}"/>
    <cellStyle name="Обычный 7 2 88 3" xfId="14143" xr:uid="{00000000-0005-0000-0000-0000C96C0000}"/>
    <cellStyle name="Обычный 7 2 88 4" xfId="19483" xr:uid="{00000000-0005-0000-0000-0000CA6C0000}"/>
    <cellStyle name="Обычный 7 2 88 5" xfId="24823" xr:uid="{00000000-0005-0000-0000-0000CB6C0000}"/>
    <cellStyle name="Обычный 7 2 88 6" xfId="30163" xr:uid="{00000000-0005-0000-0000-0000CC6C0000}"/>
    <cellStyle name="Обычный 7 2 88 7" xfId="35503" xr:uid="{00000000-0005-0000-0000-0000CD6C0000}"/>
    <cellStyle name="Обычный 7 2 88 8" xfId="40843" xr:uid="{00000000-0005-0000-0000-0000CE6C0000}"/>
    <cellStyle name="Обычный 7 2 88 9" xfId="46183" xr:uid="{00000000-0005-0000-0000-0000CF6C0000}"/>
    <cellStyle name="Обычный 7 2 89" xfId="3492" xr:uid="{00000000-0005-0000-0000-0000D06C0000}"/>
    <cellStyle name="Обычный 7 2 89 10" xfId="51555" xr:uid="{00000000-0005-0000-0000-0000D16C0000}"/>
    <cellStyle name="Обычный 7 2 89 2" xfId="8835" xr:uid="{00000000-0005-0000-0000-0000D26C0000}"/>
    <cellStyle name="Обычный 7 2 89 2 2" xfId="56896" xr:uid="{00000000-0005-0000-0000-0000D36C0000}"/>
    <cellStyle name="Обычный 7 2 89 3" xfId="14175" xr:uid="{00000000-0005-0000-0000-0000D46C0000}"/>
    <cellStyle name="Обычный 7 2 89 4" xfId="19515" xr:uid="{00000000-0005-0000-0000-0000D56C0000}"/>
    <cellStyle name="Обычный 7 2 89 5" xfId="24855" xr:uid="{00000000-0005-0000-0000-0000D66C0000}"/>
    <cellStyle name="Обычный 7 2 89 6" xfId="30195" xr:uid="{00000000-0005-0000-0000-0000D76C0000}"/>
    <cellStyle name="Обычный 7 2 89 7" xfId="35535" xr:uid="{00000000-0005-0000-0000-0000D86C0000}"/>
    <cellStyle name="Обычный 7 2 89 8" xfId="40875" xr:uid="{00000000-0005-0000-0000-0000D96C0000}"/>
    <cellStyle name="Обычный 7 2 89 9" xfId="46215" xr:uid="{00000000-0005-0000-0000-0000DA6C0000}"/>
    <cellStyle name="Обычный 7 2 9" xfId="1160" xr:uid="{00000000-0005-0000-0000-0000DB6C0000}"/>
    <cellStyle name="Обычный 7 2 9 10" xfId="49223" xr:uid="{00000000-0005-0000-0000-0000DC6C0000}"/>
    <cellStyle name="Обычный 7 2 9 2" xfId="6502" xr:uid="{00000000-0005-0000-0000-0000DD6C0000}"/>
    <cellStyle name="Обычный 7 2 9 2 2" xfId="54564" xr:uid="{00000000-0005-0000-0000-0000DE6C0000}"/>
    <cellStyle name="Обычный 7 2 9 3" xfId="11843" xr:uid="{00000000-0005-0000-0000-0000DF6C0000}"/>
    <cellStyle name="Обычный 7 2 9 4" xfId="17183" xr:uid="{00000000-0005-0000-0000-0000E06C0000}"/>
    <cellStyle name="Обычный 7 2 9 5" xfId="22523" xr:uid="{00000000-0005-0000-0000-0000E16C0000}"/>
    <cellStyle name="Обычный 7 2 9 6" xfId="27863" xr:uid="{00000000-0005-0000-0000-0000E26C0000}"/>
    <cellStyle name="Обычный 7 2 9 7" xfId="33203" xr:uid="{00000000-0005-0000-0000-0000E36C0000}"/>
    <cellStyle name="Обычный 7 2 9 8" xfId="38543" xr:uid="{00000000-0005-0000-0000-0000E46C0000}"/>
    <cellStyle name="Обычный 7 2 9 9" xfId="43883" xr:uid="{00000000-0005-0000-0000-0000E56C0000}"/>
    <cellStyle name="Обычный 7 2 90" xfId="3524" xr:uid="{00000000-0005-0000-0000-0000E66C0000}"/>
    <cellStyle name="Обычный 7 2 90 10" xfId="51587" xr:uid="{00000000-0005-0000-0000-0000E76C0000}"/>
    <cellStyle name="Обычный 7 2 90 2" xfId="8867" xr:uid="{00000000-0005-0000-0000-0000E86C0000}"/>
    <cellStyle name="Обычный 7 2 90 2 2" xfId="56928" xr:uid="{00000000-0005-0000-0000-0000E96C0000}"/>
    <cellStyle name="Обычный 7 2 90 3" xfId="14207" xr:uid="{00000000-0005-0000-0000-0000EA6C0000}"/>
    <cellStyle name="Обычный 7 2 90 4" xfId="19547" xr:uid="{00000000-0005-0000-0000-0000EB6C0000}"/>
    <cellStyle name="Обычный 7 2 90 5" xfId="24887" xr:uid="{00000000-0005-0000-0000-0000EC6C0000}"/>
    <cellStyle name="Обычный 7 2 90 6" xfId="30227" xr:uid="{00000000-0005-0000-0000-0000ED6C0000}"/>
    <cellStyle name="Обычный 7 2 90 7" xfId="35567" xr:uid="{00000000-0005-0000-0000-0000EE6C0000}"/>
    <cellStyle name="Обычный 7 2 90 8" xfId="40907" xr:uid="{00000000-0005-0000-0000-0000EF6C0000}"/>
    <cellStyle name="Обычный 7 2 90 9" xfId="46247" xr:uid="{00000000-0005-0000-0000-0000F06C0000}"/>
    <cellStyle name="Обычный 7 2 91" xfId="3556" xr:uid="{00000000-0005-0000-0000-0000F16C0000}"/>
    <cellStyle name="Обычный 7 2 91 10" xfId="51619" xr:uid="{00000000-0005-0000-0000-0000F26C0000}"/>
    <cellStyle name="Обычный 7 2 91 2" xfId="8899" xr:uid="{00000000-0005-0000-0000-0000F36C0000}"/>
    <cellStyle name="Обычный 7 2 91 2 2" xfId="56960" xr:uid="{00000000-0005-0000-0000-0000F46C0000}"/>
    <cellStyle name="Обычный 7 2 91 3" xfId="14239" xr:uid="{00000000-0005-0000-0000-0000F56C0000}"/>
    <cellStyle name="Обычный 7 2 91 4" xfId="19579" xr:uid="{00000000-0005-0000-0000-0000F66C0000}"/>
    <cellStyle name="Обычный 7 2 91 5" xfId="24919" xr:uid="{00000000-0005-0000-0000-0000F76C0000}"/>
    <cellStyle name="Обычный 7 2 91 6" xfId="30259" xr:uid="{00000000-0005-0000-0000-0000F86C0000}"/>
    <cellStyle name="Обычный 7 2 91 7" xfId="35599" xr:uid="{00000000-0005-0000-0000-0000F96C0000}"/>
    <cellStyle name="Обычный 7 2 91 8" xfId="40939" xr:uid="{00000000-0005-0000-0000-0000FA6C0000}"/>
    <cellStyle name="Обычный 7 2 91 9" xfId="46279" xr:uid="{00000000-0005-0000-0000-0000FB6C0000}"/>
    <cellStyle name="Обычный 7 2 92" xfId="3588" xr:uid="{00000000-0005-0000-0000-0000FC6C0000}"/>
    <cellStyle name="Обычный 7 2 92 10" xfId="51651" xr:uid="{00000000-0005-0000-0000-0000FD6C0000}"/>
    <cellStyle name="Обычный 7 2 92 2" xfId="8931" xr:uid="{00000000-0005-0000-0000-0000FE6C0000}"/>
    <cellStyle name="Обычный 7 2 92 2 2" xfId="56992" xr:uid="{00000000-0005-0000-0000-0000FF6C0000}"/>
    <cellStyle name="Обычный 7 2 92 3" xfId="14271" xr:uid="{00000000-0005-0000-0000-0000006D0000}"/>
    <cellStyle name="Обычный 7 2 92 4" xfId="19611" xr:uid="{00000000-0005-0000-0000-0000016D0000}"/>
    <cellStyle name="Обычный 7 2 92 5" xfId="24951" xr:uid="{00000000-0005-0000-0000-0000026D0000}"/>
    <cellStyle name="Обычный 7 2 92 6" xfId="30291" xr:uid="{00000000-0005-0000-0000-0000036D0000}"/>
    <cellStyle name="Обычный 7 2 92 7" xfId="35631" xr:uid="{00000000-0005-0000-0000-0000046D0000}"/>
    <cellStyle name="Обычный 7 2 92 8" xfId="40971" xr:uid="{00000000-0005-0000-0000-0000056D0000}"/>
    <cellStyle name="Обычный 7 2 92 9" xfId="46311" xr:uid="{00000000-0005-0000-0000-0000066D0000}"/>
    <cellStyle name="Обычный 7 2 93" xfId="3620" xr:uid="{00000000-0005-0000-0000-0000076D0000}"/>
    <cellStyle name="Обычный 7 2 93 10" xfId="51683" xr:uid="{00000000-0005-0000-0000-0000086D0000}"/>
    <cellStyle name="Обычный 7 2 93 2" xfId="8963" xr:uid="{00000000-0005-0000-0000-0000096D0000}"/>
    <cellStyle name="Обычный 7 2 93 2 2" xfId="57024" xr:uid="{00000000-0005-0000-0000-00000A6D0000}"/>
    <cellStyle name="Обычный 7 2 93 3" xfId="14303" xr:uid="{00000000-0005-0000-0000-00000B6D0000}"/>
    <cellStyle name="Обычный 7 2 93 4" xfId="19643" xr:uid="{00000000-0005-0000-0000-00000C6D0000}"/>
    <cellStyle name="Обычный 7 2 93 5" xfId="24983" xr:uid="{00000000-0005-0000-0000-00000D6D0000}"/>
    <cellStyle name="Обычный 7 2 93 6" xfId="30323" xr:uid="{00000000-0005-0000-0000-00000E6D0000}"/>
    <cellStyle name="Обычный 7 2 93 7" xfId="35663" xr:uid="{00000000-0005-0000-0000-00000F6D0000}"/>
    <cellStyle name="Обычный 7 2 93 8" xfId="41003" xr:uid="{00000000-0005-0000-0000-0000106D0000}"/>
    <cellStyle name="Обычный 7 2 93 9" xfId="46343" xr:uid="{00000000-0005-0000-0000-0000116D0000}"/>
    <cellStyle name="Обычный 7 2 94" xfId="3652" xr:uid="{00000000-0005-0000-0000-0000126D0000}"/>
    <cellStyle name="Обычный 7 2 94 10" xfId="51715" xr:uid="{00000000-0005-0000-0000-0000136D0000}"/>
    <cellStyle name="Обычный 7 2 94 2" xfId="8995" xr:uid="{00000000-0005-0000-0000-0000146D0000}"/>
    <cellStyle name="Обычный 7 2 94 2 2" xfId="57056" xr:uid="{00000000-0005-0000-0000-0000156D0000}"/>
    <cellStyle name="Обычный 7 2 94 3" xfId="14335" xr:uid="{00000000-0005-0000-0000-0000166D0000}"/>
    <cellStyle name="Обычный 7 2 94 4" xfId="19675" xr:uid="{00000000-0005-0000-0000-0000176D0000}"/>
    <cellStyle name="Обычный 7 2 94 5" xfId="25015" xr:uid="{00000000-0005-0000-0000-0000186D0000}"/>
    <cellStyle name="Обычный 7 2 94 6" xfId="30355" xr:uid="{00000000-0005-0000-0000-0000196D0000}"/>
    <cellStyle name="Обычный 7 2 94 7" xfId="35695" xr:uid="{00000000-0005-0000-0000-00001A6D0000}"/>
    <cellStyle name="Обычный 7 2 94 8" xfId="41035" xr:uid="{00000000-0005-0000-0000-00001B6D0000}"/>
    <cellStyle name="Обычный 7 2 94 9" xfId="46375" xr:uid="{00000000-0005-0000-0000-00001C6D0000}"/>
    <cellStyle name="Обычный 7 2 95" xfId="3684" xr:uid="{00000000-0005-0000-0000-00001D6D0000}"/>
    <cellStyle name="Обычный 7 2 95 10" xfId="51747" xr:uid="{00000000-0005-0000-0000-00001E6D0000}"/>
    <cellStyle name="Обычный 7 2 95 2" xfId="9027" xr:uid="{00000000-0005-0000-0000-00001F6D0000}"/>
    <cellStyle name="Обычный 7 2 95 2 2" xfId="57088" xr:uid="{00000000-0005-0000-0000-0000206D0000}"/>
    <cellStyle name="Обычный 7 2 95 3" xfId="14367" xr:uid="{00000000-0005-0000-0000-0000216D0000}"/>
    <cellStyle name="Обычный 7 2 95 4" xfId="19707" xr:uid="{00000000-0005-0000-0000-0000226D0000}"/>
    <cellStyle name="Обычный 7 2 95 5" xfId="25047" xr:uid="{00000000-0005-0000-0000-0000236D0000}"/>
    <cellStyle name="Обычный 7 2 95 6" xfId="30387" xr:uid="{00000000-0005-0000-0000-0000246D0000}"/>
    <cellStyle name="Обычный 7 2 95 7" xfId="35727" xr:uid="{00000000-0005-0000-0000-0000256D0000}"/>
    <cellStyle name="Обычный 7 2 95 8" xfId="41067" xr:uid="{00000000-0005-0000-0000-0000266D0000}"/>
    <cellStyle name="Обычный 7 2 95 9" xfId="46407" xr:uid="{00000000-0005-0000-0000-0000276D0000}"/>
    <cellStyle name="Обычный 7 2 96" xfId="3716" xr:uid="{00000000-0005-0000-0000-0000286D0000}"/>
    <cellStyle name="Обычный 7 2 96 10" xfId="51779" xr:uid="{00000000-0005-0000-0000-0000296D0000}"/>
    <cellStyle name="Обычный 7 2 96 2" xfId="9059" xr:uid="{00000000-0005-0000-0000-00002A6D0000}"/>
    <cellStyle name="Обычный 7 2 96 2 2" xfId="57120" xr:uid="{00000000-0005-0000-0000-00002B6D0000}"/>
    <cellStyle name="Обычный 7 2 96 3" xfId="14399" xr:uid="{00000000-0005-0000-0000-00002C6D0000}"/>
    <cellStyle name="Обычный 7 2 96 4" xfId="19739" xr:uid="{00000000-0005-0000-0000-00002D6D0000}"/>
    <cellStyle name="Обычный 7 2 96 5" xfId="25079" xr:uid="{00000000-0005-0000-0000-00002E6D0000}"/>
    <cellStyle name="Обычный 7 2 96 6" xfId="30419" xr:uid="{00000000-0005-0000-0000-00002F6D0000}"/>
    <cellStyle name="Обычный 7 2 96 7" xfId="35759" xr:uid="{00000000-0005-0000-0000-0000306D0000}"/>
    <cellStyle name="Обычный 7 2 96 8" xfId="41099" xr:uid="{00000000-0005-0000-0000-0000316D0000}"/>
    <cellStyle name="Обычный 7 2 96 9" xfId="46439" xr:uid="{00000000-0005-0000-0000-0000326D0000}"/>
    <cellStyle name="Обычный 7 2 97" xfId="3748" xr:uid="{00000000-0005-0000-0000-0000336D0000}"/>
    <cellStyle name="Обычный 7 2 97 10" xfId="51811" xr:uid="{00000000-0005-0000-0000-0000346D0000}"/>
    <cellStyle name="Обычный 7 2 97 2" xfId="9091" xr:uid="{00000000-0005-0000-0000-0000356D0000}"/>
    <cellStyle name="Обычный 7 2 97 2 2" xfId="57152" xr:uid="{00000000-0005-0000-0000-0000366D0000}"/>
    <cellStyle name="Обычный 7 2 97 3" xfId="14431" xr:uid="{00000000-0005-0000-0000-0000376D0000}"/>
    <cellStyle name="Обычный 7 2 97 4" xfId="19771" xr:uid="{00000000-0005-0000-0000-0000386D0000}"/>
    <cellStyle name="Обычный 7 2 97 5" xfId="25111" xr:uid="{00000000-0005-0000-0000-0000396D0000}"/>
    <cellStyle name="Обычный 7 2 97 6" xfId="30451" xr:uid="{00000000-0005-0000-0000-00003A6D0000}"/>
    <cellStyle name="Обычный 7 2 97 7" xfId="35791" xr:uid="{00000000-0005-0000-0000-00003B6D0000}"/>
    <cellStyle name="Обычный 7 2 97 8" xfId="41131" xr:uid="{00000000-0005-0000-0000-00003C6D0000}"/>
    <cellStyle name="Обычный 7 2 97 9" xfId="46471" xr:uid="{00000000-0005-0000-0000-00003D6D0000}"/>
    <cellStyle name="Обычный 7 2 98" xfId="3780" xr:uid="{00000000-0005-0000-0000-00003E6D0000}"/>
    <cellStyle name="Обычный 7 2 98 10" xfId="51843" xr:uid="{00000000-0005-0000-0000-00003F6D0000}"/>
    <cellStyle name="Обычный 7 2 98 2" xfId="9123" xr:uid="{00000000-0005-0000-0000-0000406D0000}"/>
    <cellStyle name="Обычный 7 2 98 2 2" xfId="57184" xr:uid="{00000000-0005-0000-0000-0000416D0000}"/>
    <cellStyle name="Обычный 7 2 98 3" xfId="14463" xr:uid="{00000000-0005-0000-0000-0000426D0000}"/>
    <cellStyle name="Обычный 7 2 98 4" xfId="19803" xr:uid="{00000000-0005-0000-0000-0000436D0000}"/>
    <cellStyle name="Обычный 7 2 98 5" xfId="25143" xr:uid="{00000000-0005-0000-0000-0000446D0000}"/>
    <cellStyle name="Обычный 7 2 98 6" xfId="30483" xr:uid="{00000000-0005-0000-0000-0000456D0000}"/>
    <cellStyle name="Обычный 7 2 98 7" xfId="35823" xr:uid="{00000000-0005-0000-0000-0000466D0000}"/>
    <cellStyle name="Обычный 7 2 98 8" xfId="41163" xr:uid="{00000000-0005-0000-0000-0000476D0000}"/>
    <cellStyle name="Обычный 7 2 98 9" xfId="46503" xr:uid="{00000000-0005-0000-0000-0000486D0000}"/>
    <cellStyle name="Обычный 7 2 99" xfId="3812" xr:uid="{00000000-0005-0000-0000-0000496D0000}"/>
    <cellStyle name="Обычный 7 2 99 10" xfId="51875" xr:uid="{00000000-0005-0000-0000-00004A6D0000}"/>
    <cellStyle name="Обычный 7 2 99 2" xfId="9155" xr:uid="{00000000-0005-0000-0000-00004B6D0000}"/>
    <cellStyle name="Обычный 7 2 99 2 2" xfId="57216" xr:uid="{00000000-0005-0000-0000-00004C6D0000}"/>
    <cellStyle name="Обычный 7 2 99 3" xfId="14495" xr:uid="{00000000-0005-0000-0000-00004D6D0000}"/>
    <cellStyle name="Обычный 7 2 99 4" xfId="19835" xr:uid="{00000000-0005-0000-0000-00004E6D0000}"/>
    <cellStyle name="Обычный 7 2 99 5" xfId="25175" xr:uid="{00000000-0005-0000-0000-00004F6D0000}"/>
    <cellStyle name="Обычный 7 2 99 6" xfId="30515" xr:uid="{00000000-0005-0000-0000-0000506D0000}"/>
    <cellStyle name="Обычный 7 2 99 7" xfId="35855" xr:uid="{00000000-0005-0000-0000-0000516D0000}"/>
    <cellStyle name="Обычный 7 2 99 8" xfId="41195" xr:uid="{00000000-0005-0000-0000-0000526D0000}"/>
    <cellStyle name="Обычный 7 2 99 9" xfId="46535" xr:uid="{00000000-0005-0000-0000-0000536D0000}"/>
    <cellStyle name="Обычный 7 20" xfId="1226" xr:uid="{00000000-0005-0000-0000-0000546D0000}"/>
    <cellStyle name="Обычный 7 20 10" xfId="49289" xr:uid="{00000000-0005-0000-0000-0000556D0000}"/>
    <cellStyle name="Обычный 7 20 2" xfId="6568" xr:uid="{00000000-0005-0000-0000-0000566D0000}"/>
    <cellStyle name="Обычный 7 20 2 2" xfId="54630" xr:uid="{00000000-0005-0000-0000-0000576D0000}"/>
    <cellStyle name="Обычный 7 20 3" xfId="11909" xr:uid="{00000000-0005-0000-0000-0000586D0000}"/>
    <cellStyle name="Обычный 7 20 4" xfId="17249" xr:uid="{00000000-0005-0000-0000-0000596D0000}"/>
    <cellStyle name="Обычный 7 20 5" xfId="22589" xr:uid="{00000000-0005-0000-0000-00005A6D0000}"/>
    <cellStyle name="Обычный 7 20 6" xfId="27929" xr:uid="{00000000-0005-0000-0000-00005B6D0000}"/>
    <cellStyle name="Обычный 7 20 7" xfId="33269" xr:uid="{00000000-0005-0000-0000-00005C6D0000}"/>
    <cellStyle name="Обычный 7 20 8" xfId="38609" xr:uid="{00000000-0005-0000-0000-00005D6D0000}"/>
    <cellStyle name="Обычный 7 20 9" xfId="43949" xr:uid="{00000000-0005-0000-0000-00005E6D0000}"/>
    <cellStyle name="Обычный 7 21" xfId="1252" xr:uid="{00000000-0005-0000-0000-00005F6D0000}"/>
    <cellStyle name="Обычный 7 21 10" xfId="49315" xr:uid="{00000000-0005-0000-0000-0000606D0000}"/>
    <cellStyle name="Обычный 7 21 2" xfId="6594" xr:uid="{00000000-0005-0000-0000-0000616D0000}"/>
    <cellStyle name="Обычный 7 21 2 2" xfId="54656" xr:uid="{00000000-0005-0000-0000-0000626D0000}"/>
    <cellStyle name="Обычный 7 21 3" xfId="11935" xr:uid="{00000000-0005-0000-0000-0000636D0000}"/>
    <cellStyle name="Обычный 7 21 4" xfId="17275" xr:uid="{00000000-0005-0000-0000-0000646D0000}"/>
    <cellStyle name="Обычный 7 21 5" xfId="22615" xr:uid="{00000000-0005-0000-0000-0000656D0000}"/>
    <cellStyle name="Обычный 7 21 6" xfId="27955" xr:uid="{00000000-0005-0000-0000-0000666D0000}"/>
    <cellStyle name="Обычный 7 21 7" xfId="33295" xr:uid="{00000000-0005-0000-0000-0000676D0000}"/>
    <cellStyle name="Обычный 7 21 8" xfId="38635" xr:uid="{00000000-0005-0000-0000-0000686D0000}"/>
    <cellStyle name="Обычный 7 21 9" xfId="43975" xr:uid="{00000000-0005-0000-0000-0000696D0000}"/>
    <cellStyle name="Обычный 7 22" xfId="1278" xr:uid="{00000000-0005-0000-0000-00006A6D0000}"/>
    <cellStyle name="Обычный 7 22 10" xfId="49341" xr:uid="{00000000-0005-0000-0000-00006B6D0000}"/>
    <cellStyle name="Обычный 7 22 2" xfId="6620" xr:uid="{00000000-0005-0000-0000-00006C6D0000}"/>
    <cellStyle name="Обычный 7 22 2 2" xfId="54682" xr:uid="{00000000-0005-0000-0000-00006D6D0000}"/>
    <cellStyle name="Обычный 7 22 3" xfId="11961" xr:uid="{00000000-0005-0000-0000-00006E6D0000}"/>
    <cellStyle name="Обычный 7 22 4" xfId="17301" xr:uid="{00000000-0005-0000-0000-00006F6D0000}"/>
    <cellStyle name="Обычный 7 22 5" xfId="22641" xr:uid="{00000000-0005-0000-0000-0000706D0000}"/>
    <cellStyle name="Обычный 7 22 6" xfId="27981" xr:uid="{00000000-0005-0000-0000-0000716D0000}"/>
    <cellStyle name="Обычный 7 22 7" xfId="33321" xr:uid="{00000000-0005-0000-0000-0000726D0000}"/>
    <cellStyle name="Обычный 7 22 8" xfId="38661" xr:uid="{00000000-0005-0000-0000-0000736D0000}"/>
    <cellStyle name="Обычный 7 22 9" xfId="44001" xr:uid="{00000000-0005-0000-0000-0000746D0000}"/>
    <cellStyle name="Обычный 7 23" xfId="1304" xr:uid="{00000000-0005-0000-0000-0000756D0000}"/>
    <cellStyle name="Обычный 7 23 10" xfId="49367" xr:uid="{00000000-0005-0000-0000-0000766D0000}"/>
    <cellStyle name="Обычный 7 23 2" xfId="6646" xr:uid="{00000000-0005-0000-0000-0000776D0000}"/>
    <cellStyle name="Обычный 7 23 2 2" xfId="54708" xr:uid="{00000000-0005-0000-0000-0000786D0000}"/>
    <cellStyle name="Обычный 7 23 3" xfId="11987" xr:uid="{00000000-0005-0000-0000-0000796D0000}"/>
    <cellStyle name="Обычный 7 23 4" xfId="17327" xr:uid="{00000000-0005-0000-0000-00007A6D0000}"/>
    <cellStyle name="Обычный 7 23 5" xfId="22667" xr:uid="{00000000-0005-0000-0000-00007B6D0000}"/>
    <cellStyle name="Обычный 7 23 6" xfId="28007" xr:uid="{00000000-0005-0000-0000-00007C6D0000}"/>
    <cellStyle name="Обычный 7 23 7" xfId="33347" xr:uid="{00000000-0005-0000-0000-00007D6D0000}"/>
    <cellStyle name="Обычный 7 23 8" xfId="38687" xr:uid="{00000000-0005-0000-0000-00007E6D0000}"/>
    <cellStyle name="Обычный 7 23 9" xfId="44027" xr:uid="{00000000-0005-0000-0000-00007F6D0000}"/>
    <cellStyle name="Обычный 7 24" xfId="1330" xr:uid="{00000000-0005-0000-0000-0000806D0000}"/>
    <cellStyle name="Обычный 7 24 10" xfId="49393" xr:uid="{00000000-0005-0000-0000-0000816D0000}"/>
    <cellStyle name="Обычный 7 24 2" xfId="6672" xr:uid="{00000000-0005-0000-0000-0000826D0000}"/>
    <cellStyle name="Обычный 7 24 2 2" xfId="54734" xr:uid="{00000000-0005-0000-0000-0000836D0000}"/>
    <cellStyle name="Обычный 7 24 3" xfId="12013" xr:uid="{00000000-0005-0000-0000-0000846D0000}"/>
    <cellStyle name="Обычный 7 24 4" xfId="17353" xr:uid="{00000000-0005-0000-0000-0000856D0000}"/>
    <cellStyle name="Обычный 7 24 5" xfId="22693" xr:uid="{00000000-0005-0000-0000-0000866D0000}"/>
    <cellStyle name="Обычный 7 24 6" xfId="28033" xr:uid="{00000000-0005-0000-0000-0000876D0000}"/>
    <cellStyle name="Обычный 7 24 7" xfId="33373" xr:uid="{00000000-0005-0000-0000-0000886D0000}"/>
    <cellStyle name="Обычный 7 24 8" xfId="38713" xr:uid="{00000000-0005-0000-0000-0000896D0000}"/>
    <cellStyle name="Обычный 7 24 9" xfId="44053" xr:uid="{00000000-0005-0000-0000-00008A6D0000}"/>
    <cellStyle name="Обычный 7 25" xfId="1356" xr:uid="{00000000-0005-0000-0000-00008B6D0000}"/>
    <cellStyle name="Обычный 7 25 10" xfId="49419" xr:uid="{00000000-0005-0000-0000-00008C6D0000}"/>
    <cellStyle name="Обычный 7 25 2" xfId="6698" xr:uid="{00000000-0005-0000-0000-00008D6D0000}"/>
    <cellStyle name="Обычный 7 25 2 2" xfId="54760" xr:uid="{00000000-0005-0000-0000-00008E6D0000}"/>
    <cellStyle name="Обычный 7 25 3" xfId="12039" xr:uid="{00000000-0005-0000-0000-00008F6D0000}"/>
    <cellStyle name="Обычный 7 25 4" xfId="17379" xr:uid="{00000000-0005-0000-0000-0000906D0000}"/>
    <cellStyle name="Обычный 7 25 5" xfId="22719" xr:uid="{00000000-0005-0000-0000-0000916D0000}"/>
    <cellStyle name="Обычный 7 25 6" xfId="28059" xr:uid="{00000000-0005-0000-0000-0000926D0000}"/>
    <cellStyle name="Обычный 7 25 7" xfId="33399" xr:uid="{00000000-0005-0000-0000-0000936D0000}"/>
    <cellStyle name="Обычный 7 25 8" xfId="38739" xr:uid="{00000000-0005-0000-0000-0000946D0000}"/>
    <cellStyle name="Обычный 7 25 9" xfId="44079" xr:uid="{00000000-0005-0000-0000-0000956D0000}"/>
    <cellStyle name="Обычный 7 26" xfId="1382" xr:uid="{00000000-0005-0000-0000-0000966D0000}"/>
    <cellStyle name="Обычный 7 26 10" xfId="49445" xr:uid="{00000000-0005-0000-0000-0000976D0000}"/>
    <cellStyle name="Обычный 7 26 2" xfId="6724" xr:uid="{00000000-0005-0000-0000-0000986D0000}"/>
    <cellStyle name="Обычный 7 26 2 2" xfId="54786" xr:uid="{00000000-0005-0000-0000-0000996D0000}"/>
    <cellStyle name="Обычный 7 26 3" xfId="12065" xr:uid="{00000000-0005-0000-0000-00009A6D0000}"/>
    <cellStyle name="Обычный 7 26 4" xfId="17405" xr:uid="{00000000-0005-0000-0000-00009B6D0000}"/>
    <cellStyle name="Обычный 7 26 5" xfId="22745" xr:uid="{00000000-0005-0000-0000-00009C6D0000}"/>
    <cellStyle name="Обычный 7 26 6" xfId="28085" xr:uid="{00000000-0005-0000-0000-00009D6D0000}"/>
    <cellStyle name="Обычный 7 26 7" xfId="33425" xr:uid="{00000000-0005-0000-0000-00009E6D0000}"/>
    <cellStyle name="Обычный 7 26 8" xfId="38765" xr:uid="{00000000-0005-0000-0000-00009F6D0000}"/>
    <cellStyle name="Обычный 7 26 9" xfId="44105" xr:uid="{00000000-0005-0000-0000-0000A06D0000}"/>
    <cellStyle name="Обычный 7 27" xfId="1408" xr:uid="{00000000-0005-0000-0000-0000A16D0000}"/>
    <cellStyle name="Обычный 7 27 10" xfId="49471" xr:uid="{00000000-0005-0000-0000-0000A26D0000}"/>
    <cellStyle name="Обычный 7 27 2" xfId="6750" xr:uid="{00000000-0005-0000-0000-0000A36D0000}"/>
    <cellStyle name="Обычный 7 27 2 2" xfId="54812" xr:uid="{00000000-0005-0000-0000-0000A46D0000}"/>
    <cellStyle name="Обычный 7 27 3" xfId="12091" xr:uid="{00000000-0005-0000-0000-0000A56D0000}"/>
    <cellStyle name="Обычный 7 27 4" xfId="17431" xr:uid="{00000000-0005-0000-0000-0000A66D0000}"/>
    <cellStyle name="Обычный 7 27 5" xfId="22771" xr:uid="{00000000-0005-0000-0000-0000A76D0000}"/>
    <cellStyle name="Обычный 7 27 6" xfId="28111" xr:uid="{00000000-0005-0000-0000-0000A86D0000}"/>
    <cellStyle name="Обычный 7 27 7" xfId="33451" xr:uid="{00000000-0005-0000-0000-0000A96D0000}"/>
    <cellStyle name="Обычный 7 27 8" xfId="38791" xr:uid="{00000000-0005-0000-0000-0000AA6D0000}"/>
    <cellStyle name="Обычный 7 27 9" xfId="44131" xr:uid="{00000000-0005-0000-0000-0000AB6D0000}"/>
    <cellStyle name="Обычный 7 28" xfId="1434" xr:uid="{00000000-0005-0000-0000-0000AC6D0000}"/>
    <cellStyle name="Обычный 7 28 10" xfId="49497" xr:uid="{00000000-0005-0000-0000-0000AD6D0000}"/>
    <cellStyle name="Обычный 7 28 2" xfId="6776" xr:uid="{00000000-0005-0000-0000-0000AE6D0000}"/>
    <cellStyle name="Обычный 7 28 2 2" xfId="54838" xr:uid="{00000000-0005-0000-0000-0000AF6D0000}"/>
    <cellStyle name="Обычный 7 28 3" xfId="12117" xr:uid="{00000000-0005-0000-0000-0000B06D0000}"/>
    <cellStyle name="Обычный 7 28 4" xfId="17457" xr:uid="{00000000-0005-0000-0000-0000B16D0000}"/>
    <cellStyle name="Обычный 7 28 5" xfId="22797" xr:uid="{00000000-0005-0000-0000-0000B26D0000}"/>
    <cellStyle name="Обычный 7 28 6" xfId="28137" xr:uid="{00000000-0005-0000-0000-0000B36D0000}"/>
    <cellStyle name="Обычный 7 28 7" xfId="33477" xr:uid="{00000000-0005-0000-0000-0000B46D0000}"/>
    <cellStyle name="Обычный 7 28 8" xfId="38817" xr:uid="{00000000-0005-0000-0000-0000B56D0000}"/>
    <cellStyle name="Обычный 7 28 9" xfId="44157" xr:uid="{00000000-0005-0000-0000-0000B66D0000}"/>
    <cellStyle name="Обычный 7 29" xfId="1460" xr:uid="{00000000-0005-0000-0000-0000B76D0000}"/>
    <cellStyle name="Обычный 7 29 10" xfId="49523" xr:uid="{00000000-0005-0000-0000-0000B86D0000}"/>
    <cellStyle name="Обычный 7 29 2" xfId="6802" xr:uid="{00000000-0005-0000-0000-0000B96D0000}"/>
    <cellStyle name="Обычный 7 29 2 2" xfId="54864" xr:uid="{00000000-0005-0000-0000-0000BA6D0000}"/>
    <cellStyle name="Обычный 7 29 3" xfId="12143" xr:uid="{00000000-0005-0000-0000-0000BB6D0000}"/>
    <cellStyle name="Обычный 7 29 4" xfId="17483" xr:uid="{00000000-0005-0000-0000-0000BC6D0000}"/>
    <cellStyle name="Обычный 7 29 5" xfId="22823" xr:uid="{00000000-0005-0000-0000-0000BD6D0000}"/>
    <cellStyle name="Обычный 7 29 6" xfId="28163" xr:uid="{00000000-0005-0000-0000-0000BE6D0000}"/>
    <cellStyle name="Обычный 7 29 7" xfId="33503" xr:uid="{00000000-0005-0000-0000-0000BF6D0000}"/>
    <cellStyle name="Обычный 7 29 8" xfId="38843" xr:uid="{00000000-0005-0000-0000-0000C06D0000}"/>
    <cellStyle name="Обычный 7 29 9" xfId="44183" xr:uid="{00000000-0005-0000-0000-0000C16D0000}"/>
    <cellStyle name="Обычный 7 3" xfId="446" xr:uid="{00000000-0005-0000-0000-0000C26D0000}"/>
    <cellStyle name="Обычный 7 3 10" xfId="43168" xr:uid="{00000000-0005-0000-0000-0000C36D0000}"/>
    <cellStyle name="Обычный 7 3 11" xfId="48508" xr:uid="{00000000-0005-0000-0000-0000C46D0000}"/>
    <cellStyle name="Обычный 7 3 2" xfId="913" xr:uid="{00000000-0005-0000-0000-0000C56D0000}"/>
    <cellStyle name="Обычный 7 3 2 10" xfId="48975" xr:uid="{00000000-0005-0000-0000-0000C66D0000}"/>
    <cellStyle name="Обычный 7 3 2 2" xfId="6254" xr:uid="{00000000-0005-0000-0000-0000C76D0000}"/>
    <cellStyle name="Обычный 7 3 2 2 2" xfId="54316" xr:uid="{00000000-0005-0000-0000-0000C86D0000}"/>
    <cellStyle name="Обычный 7 3 2 3" xfId="11595" xr:uid="{00000000-0005-0000-0000-0000C96D0000}"/>
    <cellStyle name="Обычный 7 3 2 4" xfId="16935" xr:uid="{00000000-0005-0000-0000-0000CA6D0000}"/>
    <cellStyle name="Обычный 7 3 2 5" xfId="22275" xr:uid="{00000000-0005-0000-0000-0000CB6D0000}"/>
    <cellStyle name="Обычный 7 3 2 6" xfId="27615" xr:uid="{00000000-0005-0000-0000-0000CC6D0000}"/>
    <cellStyle name="Обычный 7 3 2 7" xfId="32955" xr:uid="{00000000-0005-0000-0000-0000CD6D0000}"/>
    <cellStyle name="Обычный 7 3 2 8" xfId="38295" xr:uid="{00000000-0005-0000-0000-0000CE6D0000}"/>
    <cellStyle name="Обычный 7 3 2 9" xfId="43635" xr:uid="{00000000-0005-0000-0000-0000CF6D0000}"/>
    <cellStyle name="Обычный 7 3 3" xfId="5787" xr:uid="{00000000-0005-0000-0000-0000D06D0000}"/>
    <cellStyle name="Обычный 7 3 3 2" xfId="53849" xr:uid="{00000000-0005-0000-0000-0000D16D0000}"/>
    <cellStyle name="Обычный 7 3 4" xfId="11128" xr:uid="{00000000-0005-0000-0000-0000D26D0000}"/>
    <cellStyle name="Обычный 7 3 5" xfId="16468" xr:uid="{00000000-0005-0000-0000-0000D36D0000}"/>
    <cellStyle name="Обычный 7 3 6" xfId="21808" xr:uid="{00000000-0005-0000-0000-0000D46D0000}"/>
    <cellStyle name="Обычный 7 3 7" xfId="27148" xr:uid="{00000000-0005-0000-0000-0000D56D0000}"/>
    <cellStyle name="Обычный 7 3 8" xfId="32488" xr:uid="{00000000-0005-0000-0000-0000D66D0000}"/>
    <cellStyle name="Обычный 7 3 9" xfId="37828" xr:uid="{00000000-0005-0000-0000-0000D76D0000}"/>
    <cellStyle name="Обычный 7 30" xfId="1486" xr:uid="{00000000-0005-0000-0000-0000D86D0000}"/>
    <cellStyle name="Обычный 7 30 10" xfId="49549" xr:uid="{00000000-0005-0000-0000-0000D96D0000}"/>
    <cellStyle name="Обычный 7 30 2" xfId="6828" xr:uid="{00000000-0005-0000-0000-0000DA6D0000}"/>
    <cellStyle name="Обычный 7 30 2 2" xfId="54890" xr:uid="{00000000-0005-0000-0000-0000DB6D0000}"/>
    <cellStyle name="Обычный 7 30 3" xfId="12169" xr:uid="{00000000-0005-0000-0000-0000DC6D0000}"/>
    <cellStyle name="Обычный 7 30 4" xfId="17509" xr:uid="{00000000-0005-0000-0000-0000DD6D0000}"/>
    <cellStyle name="Обычный 7 30 5" xfId="22849" xr:uid="{00000000-0005-0000-0000-0000DE6D0000}"/>
    <cellStyle name="Обычный 7 30 6" xfId="28189" xr:uid="{00000000-0005-0000-0000-0000DF6D0000}"/>
    <cellStyle name="Обычный 7 30 7" xfId="33529" xr:uid="{00000000-0005-0000-0000-0000E06D0000}"/>
    <cellStyle name="Обычный 7 30 8" xfId="38869" xr:uid="{00000000-0005-0000-0000-0000E16D0000}"/>
    <cellStyle name="Обычный 7 30 9" xfId="44209" xr:uid="{00000000-0005-0000-0000-0000E26D0000}"/>
    <cellStyle name="Обычный 7 31" xfId="1512" xr:uid="{00000000-0005-0000-0000-0000E36D0000}"/>
    <cellStyle name="Обычный 7 31 10" xfId="49575" xr:uid="{00000000-0005-0000-0000-0000E46D0000}"/>
    <cellStyle name="Обычный 7 31 2" xfId="6854" xr:uid="{00000000-0005-0000-0000-0000E56D0000}"/>
    <cellStyle name="Обычный 7 31 2 2" xfId="54916" xr:uid="{00000000-0005-0000-0000-0000E66D0000}"/>
    <cellStyle name="Обычный 7 31 3" xfId="12195" xr:uid="{00000000-0005-0000-0000-0000E76D0000}"/>
    <cellStyle name="Обычный 7 31 4" xfId="17535" xr:uid="{00000000-0005-0000-0000-0000E86D0000}"/>
    <cellStyle name="Обычный 7 31 5" xfId="22875" xr:uid="{00000000-0005-0000-0000-0000E96D0000}"/>
    <cellStyle name="Обычный 7 31 6" xfId="28215" xr:uid="{00000000-0005-0000-0000-0000EA6D0000}"/>
    <cellStyle name="Обычный 7 31 7" xfId="33555" xr:uid="{00000000-0005-0000-0000-0000EB6D0000}"/>
    <cellStyle name="Обычный 7 31 8" xfId="38895" xr:uid="{00000000-0005-0000-0000-0000EC6D0000}"/>
    <cellStyle name="Обычный 7 31 9" xfId="44235" xr:uid="{00000000-0005-0000-0000-0000ED6D0000}"/>
    <cellStyle name="Обычный 7 32" xfId="1538" xr:uid="{00000000-0005-0000-0000-0000EE6D0000}"/>
    <cellStyle name="Обычный 7 32 10" xfId="49601" xr:uid="{00000000-0005-0000-0000-0000EF6D0000}"/>
    <cellStyle name="Обычный 7 32 2" xfId="6880" xr:uid="{00000000-0005-0000-0000-0000F06D0000}"/>
    <cellStyle name="Обычный 7 32 2 2" xfId="54942" xr:uid="{00000000-0005-0000-0000-0000F16D0000}"/>
    <cellStyle name="Обычный 7 32 3" xfId="12221" xr:uid="{00000000-0005-0000-0000-0000F26D0000}"/>
    <cellStyle name="Обычный 7 32 4" xfId="17561" xr:uid="{00000000-0005-0000-0000-0000F36D0000}"/>
    <cellStyle name="Обычный 7 32 5" xfId="22901" xr:uid="{00000000-0005-0000-0000-0000F46D0000}"/>
    <cellStyle name="Обычный 7 32 6" xfId="28241" xr:uid="{00000000-0005-0000-0000-0000F56D0000}"/>
    <cellStyle name="Обычный 7 32 7" xfId="33581" xr:uid="{00000000-0005-0000-0000-0000F66D0000}"/>
    <cellStyle name="Обычный 7 32 8" xfId="38921" xr:uid="{00000000-0005-0000-0000-0000F76D0000}"/>
    <cellStyle name="Обычный 7 32 9" xfId="44261" xr:uid="{00000000-0005-0000-0000-0000F86D0000}"/>
    <cellStyle name="Обычный 7 33" xfId="1564" xr:uid="{00000000-0005-0000-0000-0000F96D0000}"/>
    <cellStyle name="Обычный 7 33 10" xfId="49627" xr:uid="{00000000-0005-0000-0000-0000FA6D0000}"/>
    <cellStyle name="Обычный 7 33 2" xfId="6906" xr:uid="{00000000-0005-0000-0000-0000FB6D0000}"/>
    <cellStyle name="Обычный 7 33 2 2" xfId="54968" xr:uid="{00000000-0005-0000-0000-0000FC6D0000}"/>
    <cellStyle name="Обычный 7 33 3" xfId="12247" xr:uid="{00000000-0005-0000-0000-0000FD6D0000}"/>
    <cellStyle name="Обычный 7 33 4" xfId="17587" xr:uid="{00000000-0005-0000-0000-0000FE6D0000}"/>
    <cellStyle name="Обычный 7 33 5" xfId="22927" xr:uid="{00000000-0005-0000-0000-0000FF6D0000}"/>
    <cellStyle name="Обычный 7 33 6" xfId="28267" xr:uid="{00000000-0005-0000-0000-0000006E0000}"/>
    <cellStyle name="Обычный 7 33 7" xfId="33607" xr:uid="{00000000-0005-0000-0000-0000016E0000}"/>
    <cellStyle name="Обычный 7 33 8" xfId="38947" xr:uid="{00000000-0005-0000-0000-0000026E0000}"/>
    <cellStyle name="Обычный 7 33 9" xfId="44287" xr:uid="{00000000-0005-0000-0000-0000036E0000}"/>
    <cellStyle name="Обычный 7 34" xfId="1590" xr:uid="{00000000-0005-0000-0000-0000046E0000}"/>
    <cellStyle name="Обычный 7 34 10" xfId="49653" xr:uid="{00000000-0005-0000-0000-0000056E0000}"/>
    <cellStyle name="Обычный 7 34 2" xfId="6932" xr:uid="{00000000-0005-0000-0000-0000066E0000}"/>
    <cellStyle name="Обычный 7 34 2 2" xfId="54994" xr:uid="{00000000-0005-0000-0000-0000076E0000}"/>
    <cellStyle name="Обычный 7 34 3" xfId="12273" xr:uid="{00000000-0005-0000-0000-0000086E0000}"/>
    <cellStyle name="Обычный 7 34 4" xfId="17613" xr:uid="{00000000-0005-0000-0000-0000096E0000}"/>
    <cellStyle name="Обычный 7 34 5" xfId="22953" xr:uid="{00000000-0005-0000-0000-00000A6E0000}"/>
    <cellStyle name="Обычный 7 34 6" xfId="28293" xr:uid="{00000000-0005-0000-0000-00000B6E0000}"/>
    <cellStyle name="Обычный 7 34 7" xfId="33633" xr:uid="{00000000-0005-0000-0000-00000C6E0000}"/>
    <cellStyle name="Обычный 7 34 8" xfId="38973" xr:uid="{00000000-0005-0000-0000-00000D6E0000}"/>
    <cellStyle name="Обычный 7 34 9" xfId="44313" xr:uid="{00000000-0005-0000-0000-00000E6E0000}"/>
    <cellStyle name="Обычный 7 35" xfId="1616" xr:uid="{00000000-0005-0000-0000-00000F6E0000}"/>
    <cellStyle name="Обычный 7 35 10" xfId="49679" xr:uid="{00000000-0005-0000-0000-0000106E0000}"/>
    <cellStyle name="Обычный 7 35 2" xfId="6958" xr:uid="{00000000-0005-0000-0000-0000116E0000}"/>
    <cellStyle name="Обычный 7 35 2 2" xfId="55020" xr:uid="{00000000-0005-0000-0000-0000126E0000}"/>
    <cellStyle name="Обычный 7 35 3" xfId="12299" xr:uid="{00000000-0005-0000-0000-0000136E0000}"/>
    <cellStyle name="Обычный 7 35 4" xfId="17639" xr:uid="{00000000-0005-0000-0000-0000146E0000}"/>
    <cellStyle name="Обычный 7 35 5" xfId="22979" xr:uid="{00000000-0005-0000-0000-0000156E0000}"/>
    <cellStyle name="Обычный 7 35 6" xfId="28319" xr:uid="{00000000-0005-0000-0000-0000166E0000}"/>
    <cellStyle name="Обычный 7 35 7" xfId="33659" xr:uid="{00000000-0005-0000-0000-0000176E0000}"/>
    <cellStyle name="Обычный 7 35 8" xfId="38999" xr:uid="{00000000-0005-0000-0000-0000186E0000}"/>
    <cellStyle name="Обычный 7 35 9" xfId="44339" xr:uid="{00000000-0005-0000-0000-0000196E0000}"/>
    <cellStyle name="Обычный 7 36" xfId="1642" xr:uid="{00000000-0005-0000-0000-00001A6E0000}"/>
    <cellStyle name="Обычный 7 36 10" xfId="49705" xr:uid="{00000000-0005-0000-0000-00001B6E0000}"/>
    <cellStyle name="Обычный 7 36 2" xfId="6984" xr:uid="{00000000-0005-0000-0000-00001C6E0000}"/>
    <cellStyle name="Обычный 7 36 2 2" xfId="55046" xr:uid="{00000000-0005-0000-0000-00001D6E0000}"/>
    <cellStyle name="Обычный 7 36 3" xfId="12325" xr:uid="{00000000-0005-0000-0000-00001E6E0000}"/>
    <cellStyle name="Обычный 7 36 4" xfId="17665" xr:uid="{00000000-0005-0000-0000-00001F6E0000}"/>
    <cellStyle name="Обычный 7 36 5" xfId="23005" xr:uid="{00000000-0005-0000-0000-0000206E0000}"/>
    <cellStyle name="Обычный 7 36 6" xfId="28345" xr:uid="{00000000-0005-0000-0000-0000216E0000}"/>
    <cellStyle name="Обычный 7 36 7" xfId="33685" xr:uid="{00000000-0005-0000-0000-0000226E0000}"/>
    <cellStyle name="Обычный 7 36 8" xfId="39025" xr:uid="{00000000-0005-0000-0000-0000236E0000}"/>
    <cellStyle name="Обычный 7 36 9" xfId="44365" xr:uid="{00000000-0005-0000-0000-0000246E0000}"/>
    <cellStyle name="Обычный 7 37" xfId="1668" xr:uid="{00000000-0005-0000-0000-0000256E0000}"/>
    <cellStyle name="Обычный 7 37 10" xfId="49731" xr:uid="{00000000-0005-0000-0000-0000266E0000}"/>
    <cellStyle name="Обычный 7 37 2" xfId="7010" xr:uid="{00000000-0005-0000-0000-0000276E0000}"/>
    <cellStyle name="Обычный 7 37 2 2" xfId="55072" xr:uid="{00000000-0005-0000-0000-0000286E0000}"/>
    <cellStyle name="Обычный 7 37 3" xfId="12351" xr:uid="{00000000-0005-0000-0000-0000296E0000}"/>
    <cellStyle name="Обычный 7 37 4" xfId="17691" xr:uid="{00000000-0005-0000-0000-00002A6E0000}"/>
    <cellStyle name="Обычный 7 37 5" xfId="23031" xr:uid="{00000000-0005-0000-0000-00002B6E0000}"/>
    <cellStyle name="Обычный 7 37 6" xfId="28371" xr:uid="{00000000-0005-0000-0000-00002C6E0000}"/>
    <cellStyle name="Обычный 7 37 7" xfId="33711" xr:uid="{00000000-0005-0000-0000-00002D6E0000}"/>
    <cellStyle name="Обычный 7 37 8" xfId="39051" xr:uid="{00000000-0005-0000-0000-00002E6E0000}"/>
    <cellStyle name="Обычный 7 37 9" xfId="44391" xr:uid="{00000000-0005-0000-0000-00002F6E0000}"/>
    <cellStyle name="Обычный 7 38" xfId="1694" xr:uid="{00000000-0005-0000-0000-0000306E0000}"/>
    <cellStyle name="Обычный 7 38 10" xfId="49757" xr:uid="{00000000-0005-0000-0000-0000316E0000}"/>
    <cellStyle name="Обычный 7 38 2" xfId="7036" xr:uid="{00000000-0005-0000-0000-0000326E0000}"/>
    <cellStyle name="Обычный 7 38 2 2" xfId="55098" xr:uid="{00000000-0005-0000-0000-0000336E0000}"/>
    <cellStyle name="Обычный 7 38 3" xfId="12377" xr:uid="{00000000-0005-0000-0000-0000346E0000}"/>
    <cellStyle name="Обычный 7 38 4" xfId="17717" xr:uid="{00000000-0005-0000-0000-0000356E0000}"/>
    <cellStyle name="Обычный 7 38 5" xfId="23057" xr:uid="{00000000-0005-0000-0000-0000366E0000}"/>
    <cellStyle name="Обычный 7 38 6" xfId="28397" xr:uid="{00000000-0005-0000-0000-0000376E0000}"/>
    <cellStyle name="Обычный 7 38 7" xfId="33737" xr:uid="{00000000-0005-0000-0000-0000386E0000}"/>
    <cellStyle name="Обычный 7 38 8" xfId="39077" xr:uid="{00000000-0005-0000-0000-0000396E0000}"/>
    <cellStyle name="Обычный 7 38 9" xfId="44417" xr:uid="{00000000-0005-0000-0000-00003A6E0000}"/>
    <cellStyle name="Обычный 7 39" xfId="1720" xr:uid="{00000000-0005-0000-0000-00003B6E0000}"/>
    <cellStyle name="Обычный 7 39 10" xfId="49783" xr:uid="{00000000-0005-0000-0000-00003C6E0000}"/>
    <cellStyle name="Обычный 7 39 2" xfId="7062" xr:uid="{00000000-0005-0000-0000-00003D6E0000}"/>
    <cellStyle name="Обычный 7 39 2 2" xfId="55124" xr:uid="{00000000-0005-0000-0000-00003E6E0000}"/>
    <cellStyle name="Обычный 7 39 3" xfId="12403" xr:uid="{00000000-0005-0000-0000-00003F6E0000}"/>
    <cellStyle name="Обычный 7 39 4" xfId="17743" xr:uid="{00000000-0005-0000-0000-0000406E0000}"/>
    <cellStyle name="Обычный 7 39 5" xfId="23083" xr:uid="{00000000-0005-0000-0000-0000416E0000}"/>
    <cellStyle name="Обычный 7 39 6" xfId="28423" xr:uid="{00000000-0005-0000-0000-0000426E0000}"/>
    <cellStyle name="Обычный 7 39 7" xfId="33763" xr:uid="{00000000-0005-0000-0000-0000436E0000}"/>
    <cellStyle name="Обычный 7 39 8" xfId="39103" xr:uid="{00000000-0005-0000-0000-0000446E0000}"/>
    <cellStyle name="Обычный 7 39 9" xfId="44443" xr:uid="{00000000-0005-0000-0000-0000456E0000}"/>
    <cellStyle name="Обычный 7 4" xfId="458" xr:uid="{00000000-0005-0000-0000-0000466E0000}"/>
    <cellStyle name="Обычный 7 4 10" xfId="43180" xr:uid="{00000000-0005-0000-0000-0000476E0000}"/>
    <cellStyle name="Обычный 7 4 11" xfId="48520" xr:uid="{00000000-0005-0000-0000-0000486E0000}"/>
    <cellStyle name="Обычный 7 4 2" xfId="925" xr:uid="{00000000-0005-0000-0000-0000496E0000}"/>
    <cellStyle name="Обычный 7 4 2 10" xfId="48987" xr:uid="{00000000-0005-0000-0000-00004A6E0000}"/>
    <cellStyle name="Обычный 7 4 2 2" xfId="6266" xr:uid="{00000000-0005-0000-0000-00004B6E0000}"/>
    <cellStyle name="Обычный 7 4 2 2 2" xfId="54328" xr:uid="{00000000-0005-0000-0000-00004C6E0000}"/>
    <cellStyle name="Обычный 7 4 2 3" xfId="11607" xr:uid="{00000000-0005-0000-0000-00004D6E0000}"/>
    <cellStyle name="Обычный 7 4 2 4" xfId="16947" xr:uid="{00000000-0005-0000-0000-00004E6E0000}"/>
    <cellStyle name="Обычный 7 4 2 5" xfId="22287" xr:uid="{00000000-0005-0000-0000-00004F6E0000}"/>
    <cellStyle name="Обычный 7 4 2 6" xfId="27627" xr:uid="{00000000-0005-0000-0000-0000506E0000}"/>
    <cellStyle name="Обычный 7 4 2 7" xfId="32967" xr:uid="{00000000-0005-0000-0000-0000516E0000}"/>
    <cellStyle name="Обычный 7 4 2 8" xfId="38307" xr:uid="{00000000-0005-0000-0000-0000526E0000}"/>
    <cellStyle name="Обычный 7 4 2 9" xfId="43647" xr:uid="{00000000-0005-0000-0000-0000536E0000}"/>
    <cellStyle name="Обычный 7 4 3" xfId="5799" xr:uid="{00000000-0005-0000-0000-0000546E0000}"/>
    <cellStyle name="Обычный 7 4 3 2" xfId="53861" xr:uid="{00000000-0005-0000-0000-0000556E0000}"/>
    <cellStyle name="Обычный 7 4 4" xfId="11140" xr:uid="{00000000-0005-0000-0000-0000566E0000}"/>
    <cellStyle name="Обычный 7 4 5" xfId="16480" xr:uid="{00000000-0005-0000-0000-0000576E0000}"/>
    <cellStyle name="Обычный 7 4 6" xfId="21820" xr:uid="{00000000-0005-0000-0000-0000586E0000}"/>
    <cellStyle name="Обычный 7 4 7" xfId="27160" xr:uid="{00000000-0005-0000-0000-0000596E0000}"/>
    <cellStyle name="Обычный 7 4 8" xfId="32500" xr:uid="{00000000-0005-0000-0000-00005A6E0000}"/>
    <cellStyle name="Обычный 7 4 9" xfId="37840" xr:uid="{00000000-0005-0000-0000-00005B6E0000}"/>
    <cellStyle name="Обычный 7 40" xfId="1746" xr:uid="{00000000-0005-0000-0000-00005C6E0000}"/>
    <cellStyle name="Обычный 7 40 10" xfId="49809" xr:uid="{00000000-0005-0000-0000-00005D6E0000}"/>
    <cellStyle name="Обычный 7 40 2" xfId="7088" xr:uid="{00000000-0005-0000-0000-00005E6E0000}"/>
    <cellStyle name="Обычный 7 40 2 2" xfId="55150" xr:uid="{00000000-0005-0000-0000-00005F6E0000}"/>
    <cellStyle name="Обычный 7 40 3" xfId="12429" xr:uid="{00000000-0005-0000-0000-0000606E0000}"/>
    <cellStyle name="Обычный 7 40 4" xfId="17769" xr:uid="{00000000-0005-0000-0000-0000616E0000}"/>
    <cellStyle name="Обычный 7 40 5" xfId="23109" xr:uid="{00000000-0005-0000-0000-0000626E0000}"/>
    <cellStyle name="Обычный 7 40 6" xfId="28449" xr:uid="{00000000-0005-0000-0000-0000636E0000}"/>
    <cellStyle name="Обычный 7 40 7" xfId="33789" xr:uid="{00000000-0005-0000-0000-0000646E0000}"/>
    <cellStyle name="Обычный 7 40 8" xfId="39129" xr:uid="{00000000-0005-0000-0000-0000656E0000}"/>
    <cellStyle name="Обычный 7 40 9" xfId="44469" xr:uid="{00000000-0005-0000-0000-0000666E0000}"/>
    <cellStyle name="Обычный 7 41" xfId="1772" xr:uid="{00000000-0005-0000-0000-0000676E0000}"/>
    <cellStyle name="Обычный 7 41 10" xfId="49835" xr:uid="{00000000-0005-0000-0000-0000686E0000}"/>
    <cellStyle name="Обычный 7 41 2" xfId="7114" xr:uid="{00000000-0005-0000-0000-0000696E0000}"/>
    <cellStyle name="Обычный 7 41 2 2" xfId="55176" xr:uid="{00000000-0005-0000-0000-00006A6E0000}"/>
    <cellStyle name="Обычный 7 41 3" xfId="12455" xr:uid="{00000000-0005-0000-0000-00006B6E0000}"/>
    <cellStyle name="Обычный 7 41 4" xfId="17795" xr:uid="{00000000-0005-0000-0000-00006C6E0000}"/>
    <cellStyle name="Обычный 7 41 5" xfId="23135" xr:uid="{00000000-0005-0000-0000-00006D6E0000}"/>
    <cellStyle name="Обычный 7 41 6" xfId="28475" xr:uid="{00000000-0005-0000-0000-00006E6E0000}"/>
    <cellStyle name="Обычный 7 41 7" xfId="33815" xr:uid="{00000000-0005-0000-0000-00006F6E0000}"/>
    <cellStyle name="Обычный 7 41 8" xfId="39155" xr:uid="{00000000-0005-0000-0000-0000706E0000}"/>
    <cellStyle name="Обычный 7 41 9" xfId="44495" xr:uid="{00000000-0005-0000-0000-0000716E0000}"/>
    <cellStyle name="Обычный 7 42" xfId="1798" xr:uid="{00000000-0005-0000-0000-0000726E0000}"/>
    <cellStyle name="Обычный 7 42 10" xfId="49861" xr:uid="{00000000-0005-0000-0000-0000736E0000}"/>
    <cellStyle name="Обычный 7 42 2" xfId="7140" xr:uid="{00000000-0005-0000-0000-0000746E0000}"/>
    <cellStyle name="Обычный 7 42 2 2" xfId="55202" xr:uid="{00000000-0005-0000-0000-0000756E0000}"/>
    <cellStyle name="Обычный 7 42 3" xfId="12481" xr:uid="{00000000-0005-0000-0000-0000766E0000}"/>
    <cellStyle name="Обычный 7 42 4" xfId="17821" xr:uid="{00000000-0005-0000-0000-0000776E0000}"/>
    <cellStyle name="Обычный 7 42 5" xfId="23161" xr:uid="{00000000-0005-0000-0000-0000786E0000}"/>
    <cellStyle name="Обычный 7 42 6" xfId="28501" xr:uid="{00000000-0005-0000-0000-0000796E0000}"/>
    <cellStyle name="Обычный 7 42 7" xfId="33841" xr:uid="{00000000-0005-0000-0000-00007A6E0000}"/>
    <cellStyle name="Обычный 7 42 8" xfId="39181" xr:uid="{00000000-0005-0000-0000-00007B6E0000}"/>
    <cellStyle name="Обычный 7 42 9" xfId="44521" xr:uid="{00000000-0005-0000-0000-00007C6E0000}"/>
    <cellStyle name="Обычный 7 43" xfId="1824" xr:uid="{00000000-0005-0000-0000-00007D6E0000}"/>
    <cellStyle name="Обычный 7 43 10" xfId="49887" xr:uid="{00000000-0005-0000-0000-00007E6E0000}"/>
    <cellStyle name="Обычный 7 43 2" xfId="7166" xr:uid="{00000000-0005-0000-0000-00007F6E0000}"/>
    <cellStyle name="Обычный 7 43 2 2" xfId="55228" xr:uid="{00000000-0005-0000-0000-0000806E0000}"/>
    <cellStyle name="Обычный 7 43 3" xfId="12507" xr:uid="{00000000-0005-0000-0000-0000816E0000}"/>
    <cellStyle name="Обычный 7 43 4" xfId="17847" xr:uid="{00000000-0005-0000-0000-0000826E0000}"/>
    <cellStyle name="Обычный 7 43 5" xfId="23187" xr:uid="{00000000-0005-0000-0000-0000836E0000}"/>
    <cellStyle name="Обычный 7 43 6" xfId="28527" xr:uid="{00000000-0005-0000-0000-0000846E0000}"/>
    <cellStyle name="Обычный 7 43 7" xfId="33867" xr:uid="{00000000-0005-0000-0000-0000856E0000}"/>
    <cellStyle name="Обычный 7 43 8" xfId="39207" xr:uid="{00000000-0005-0000-0000-0000866E0000}"/>
    <cellStyle name="Обычный 7 43 9" xfId="44547" xr:uid="{00000000-0005-0000-0000-0000876E0000}"/>
    <cellStyle name="Обычный 7 44" xfId="1850" xr:uid="{00000000-0005-0000-0000-0000886E0000}"/>
    <cellStyle name="Обычный 7 44 10" xfId="49913" xr:uid="{00000000-0005-0000-0000-0000896E0000}"/>
    <cellStyle name="Обычный 7 44 2" xfId="7192" xr:uid="{00000000-0005-0000-0000-00008A6E0000}"/>
    <cellStyle name="Обычный 7 44 2 2" xfId="55254" xr:uid="{00000000-0005-0000-0000-00008B6E0000}"/>
    <cellStyle name="Обычный 7 44 3" xfId="12533" xr:uid="{00000000-0005-0000-0000-00008C6E0000}"/>
    <cellStyle name="Обычный 7 44 4" xfId="17873" xr:uid="{00000000-0005-0000-0000-00008D6E0000}"/>
    <cellStyle name="Обычный 7 44 5" xfId="23213" xr:uid="{00000000-0005-0000-0000-00008E6E0000}"/>
    <cellStyle name="Обычный 7 44 6" xfId="28553" xr:uid="{00000000-0005-0000-0000-00008F6E0000}"/>
    <cellStyle name="Обычный 7 44 7" xfId="33893" xr:uid="{00000000-0005-0000-0000-0000906E0000}"/>
    <cellStyle name="Обычный 7 44 8" xfId="39233" xr:uid="{00000000-0005-0000-0000-0000916E0000}"/>
    <cellStyle name="Обычный 7 44 9" xfId="44573" xr:uid="{00000000-0005-0000-0000-0000926E0000}"/>
    <cellStyle name="Обычный 7 45" xfId="1876" xr:uid="{00000000-0005-0000-0000-0000936E0000}"/>
    <cellStyle name="Обычный 7 45 10" xfId="49939" xr:uid="{00000000-0005-0000-0000-0000946E0000}"/>
    <cellStyle name="Обычный 7 45 2" xfId="7218" xr:uid="{00000000-0005-0000-0000-0000956E0000}"/>
    <cellStyle name="Обычный 7 45 2 2" xfId="55280" xr:uid="{00000000-0005-0000-0000-0000966E0000}"/>
    <cellStyle name="Обычный 7 45 3" xfId="12559" xr:uid="{00000000-0005-0000-0000-0000976E0000}"/>
    <cellStyle name="Обычный 7 45 4" xfId="17899" xr:uid="{00000000-0005-0000-0000-0000986E0000}"/>
    <cellStyle name="Обычный 7 45 5" xfId="23239" xr:uid="{00000000-0005-0000-0000-0000996E0000}"/>
    <cellStyle name="Обычный 7 45 6" xfId="28579" xr:uid="{00000000-0005-0000-0000-00009A6E0000}"/>
    <cellStyle name="Обычный 7 45 7" xfId="33919" xr:uid="{00000000-0005-0000-0000-00009B6E0000}"/>
    <cellStyle name="Обычный 7 45 8" xfId="39259" xr:uid="{00000000-0005-0000-0000-00009C6E0000}"/>
    <cellStyle name="Обычный 7 45 9" xfId="44599" xr:uid="{00000000-0005-0000-0000-00009D6E0000}"/>
    <cellStyle name="Обычный 7 46" xfId="1902" xr:uid="{00000000-0005-0000-0000-00009E6E0000}"/>
    <cellStyle name="Обычный 7 46 10" xfId="49965" xr:uid="{00000000-0005-0000-0000-00009F6E0000}"/>
    <cellStyle name="Обычный 7 46 2" xfId="7244" xr:uid="{00000000-0005-0000-0000-0000A06E0000}"/>
    <cellStyle name="Обычный 7 46 2 2" xfId="55306" xr:uid="{00000000-0005-0000-0000-0000A16E0000}"/>
    <cellStyle name="Обычный 7 46 3" xfId="12585" xr:uid="{00000000-0005-0000-0000-0000A26E0000}"/>
    <cellStyle name="Обычный 7 46 4" xfId="17925" xr:uid="{00000000-0005-0000-0000-0000A36E0000}"/>
    <cellStyle name="Обычный 7 46 5" xfId="23265" xr:uid="{00000000-0005-0000-0000-0000A46E0000}"/>
    <cellStyle name="Обычный 7 46 6" xfId="28605" xr:uid="{00000000-0005-0000-0000-0000A56E0000}"/>
    <cellStyle name="Обычный 7 46 7" xfId="33945" xr:uid="{00000000-0005-0000-0000-0000A66E0000}"/>
    <cellStyle name="Обычный 7 46 8" xfId="39285" xr:uid="{00000000-0005-0000-0000-0000A76E0000}"/>
    <cellStyle name="Обычный 7 46 9" xfId="44625" xr:uid="{00000000-0005-0000-0000-0000A86E0000}"/>
    <cellStyle name="Обычный 7 47" xfId="1928" xr:uid="{00000000-0005-0000-0000-0000A96E0000}"/>
    <cellStyle name="Обычный 7 47 10" xfId="49991" xr:uid="{00000000-0005-0000-0000-0000AA6E0000}"/>
    <cellStyle name="Обычный 7 47 2" xfId="7270" xr:uid="{00000000-0005-0000-0000-0000AB6E0000}"/>
    <cellStyle name="Обычный 7 47 2 2" xfId="55332" xr:uid="{00000000-0005-0000-0000-0000AC6E0000}"/>
    <cellStyle name="Обычный 7 47 3" xfId="12611" xr:uid="{00000000-0005-0000-0000-0000AD6E0000}"/>
    <cellStyle name="Обычный 7 47 4" xfId="17951" xr:uid="{00000000-0005-0000-0000-0000AE6E0000}"/>
    <cellStyle name="Обычный 7 47 5" xfId="23291" xr:uid="{00000000-0005-0000-0000-0000AF6E0000}"/>
    <cellStyle name="Обычный 7 47 6" xfId="28631" xr:uid="{00000000-0005-0000-0000-0000B06E0000}"/>
    <cellStyle name="Обычный 7 47 7" xfId="33971" xr:uid="{00000000-0005-0000-0000-0000B16E0000}"/>
    <cellStyle name="Обычный 7 47 8" xfId="39311" xr:uid="{00000000-0005-0000-0000-0000B26E0000}"/>
    <cellStyle name="Обычный 7 47 9" xfId="44651" xr:uid="{00000000-0005-0000-0000-0000B36E0000}"/>
    <cellStyle name="Обычный 7 48" xfId="1956" xr:uid="{00000000-0005-0000-0000-0000B46E0000}"/>
    <cellStyle name="Обычный 7 48 10" xfId="50019" xr:uid="{00000000-0005-0000-0000-0000B56E0000}"/>
    <cellStyle name="Обычный 7 48 2" xfId="7298" xr:uid="{00000000-0005-0000-0000-0000B66E0000}"/>
    <cellStyle name="Обычный 7 48 2 2" xfId="55360" xr:uid="{00000000-0005-0000-0000-0000B76E0000}"/>
    <cellStyle name="Обычный 7 48 3" xfId="12639" xr:uid="{00000000-0005-0000-0000-0000B86E0000}"/>
    <cellStyle name="Обычный 7 48 4" xfId="17979" xr:uid="{00000000-0005-0000-0000-0000B96E0000}"/>
    <cellStyle name="Обычный 7 48 5" xfId="23319" xr:uid="{00000000-0005-0000-0000-0000BA6E0000}"/>
    <cellStyle name="Обычный 7 48 6" xfId="28659" xr:uid="{00000000-0005-0000-0000-0000BB6E0000}"/>
    <cellStyle name="Обычный 7 48 7" xfId="33999" xr:uid="{00000000-0005-0000-0000-0000BC6E0000}"/>
    <cellStyle name="Обычный 7 48 8" xfId="39339" xr:uid="{00000000-0005-0000-0000-0000BD6E0000}"/>
    <cellStyle name="Обычный 7 48 9" xfId="44679" xr:uid="{00000000-0005-0000-0000-0000BE6E0000}"/>
    <cellStyle name="Обычный 7 49" xfId="1983" xr:uid="{00000000-0005-0000-0000-0000BF6E0000}"/>
    <cellStyle name="Обычный 7 49 10" xfId="50047" xr:uid="{00000000-0005-0000-0000-0000C06E0000}"/>
    <cellStyle name="Обычный 7 49 2" xfId="7326" xr:uid="{00000000-0005-0000-0000-0000C16E0000}"/>
    <cellStyle name="Обычный 7 49 2 2" xfId="55388" xr:uid="{00000000-0005-0000-0000-0000C26E0000}"/>
    <cellStyle name="Обычный 7 49 3" xfId="12667" xr:uid="{00000000-0005-0000-0000-0000C36E0000}"/>
    <cellStyle name="Обычный 7 49 4" xfId="18007" xr:uid="{00000000-0005-0000-0000-0000C46E0000}"/>
    <cellStyle name="Обычный 7 49 5" xfId="23347" xr:uid="{00000000-0005-0000-0000-0000C56E0000}"/>
    <cellStyle name="Обычный 7 49 6" xfId="28687" xr:uid="{00000000-0005-0000-0000-0000C66E0000}"/>
    <cellStyle name="Обычный 7 49 7" xfId="34027" xr:uid="{00000000-0005-0000-0000-0000C76E0000}"/>
    <cellStyle name="Обычный 7 49 8" xfId="39367" xr:uid="{00000000-0005-0000-0000-0000C86E0000}"/>
    <cellStyle name="Обычный 7 49 9" xfId="44707" xr:uid="{00000000-0005-0000-0000-0000C96E0000}"/>
    <cellStyle name="Обычный 7 5" xfId="470" xr:uid="{00000000-0005-0000-0000-0000CA6E0000}"/>
    <cellStyle name="Обычный 7 5 10" xfId="43192" xr:uid="{00000000-0005-0000-0000-0000CB6E0000}"/>
    <cellStyle name="Обычный 7 5 11" xfId="48532" xr:uid="{00000000-0005-0000-0000-0000CC6E0000}"/>
    <cellStyle name="Обычный 7 5 2" xfId="937" xr:uid="{00000000-0005-0000-0000-0000CD6E0000}"/>
    <cellStyle name="Обычный 7 5 2 10" xfId="48999" xr:uid="{00000000-0005-0000-0000-0000CE6E0000}"/>
    <cellStyle name="Обычный 7 5 2 2" xfId="6278" xr:uid="{00000000-0005-0000-0000-0000CF6E0000}"/>
    <cellStyle name="Обычный 7 5 2 2 2" xfId="54340" xr:uid="{00000000-0005-0000-0000-0000D06E0000}"/>
    <cellStyle name="Обычный 7 5 2 3" xfId="11619" xr:uid="{00000000-0005-0000-0000-0000D16E0000}"/>
    <cellStyle name="Обычный 7 5 2 4" xfId="16959" xr:uid="{00000000-0005-0000-0000-0000D26E0000}"/>
    <cellStyle name="Обычный 7 5 2 5" xfId="22299" xr:uid="{00000000-0005-0000-0000-0000D36E0000}"/>
    <cellStyle name="Обычный 7 5 2 6" xfId="27639" xr:uid="{00000000-0005-0000-0000-0000D46E0000}"/>
    <cellStyle name="Обычный 7 5 2 7" xfId="32979" xr:uid="{00000000-0005-0000-0000-0000D56E0000}"/>
    <cellStyle name="Обычный 7 5 2 8" xfId="38319" xr:uid="{00000000-0005-0000-0000-0000D66E0000}"/>
    <cellStyle name="Обычный 7 5 2 9" xfId="43659" xr:uid="{00000000-0005-0000-0000-0000D76E0000}"/>
    <cellStyle name="Обычный 7 5 3" xfId="5811" xr:uid="{00000000-0005-0000-0000-0000D86E0000}"/>
    <cellStyle name="Обычный 7 5 3 2" xfId="53873" xr:uid="{00000000-0005-0000-0000-0000D96E0000}"/>
    <cellStyle name="Обычный 7 5 4" xfId="11152" xr:uid="{00000000-0005-0000-0000-0000DA6E0000}"/>
    <cellStyle name="Обычный 7 5 5" xfId="16492" xr:uid="{00000000-0005-0000-0000-0000DB6E0000}"/>
    <cellStyle name="Обычный 7 5 6" xfId="21832" xr:uid="{00000000-0005-0000-0000-0000DC6E0000}"/>
    <cellStyle name="Обычный 7 5 7" xfId="27172" xr:uid="{00000000-0005-0000-0000-0000DD6E0000}"/>
    <cellStyle name="Обычный 7 5 8" xfId="32512" xr:uid="{00000000-0005-0000-0000-0000DE6E0000}"/>
    <cellStyle name="Обычный 7 5 9" xfId="37852" xr:uid="{00000000-0005-0000-0000-0000DF6E0000}"/>
    <cellStyle name="Обычный 7 50" xfId="2011" xr:uid="{00000000-0005-0000-0000-0000E06E0000}"/>
    <cellStyle name="Обычный 7 50 10" xfId="50075" xr:uid="{00000000-0005-0000-0000-0000E16E0000}"/>
    <cellStyle name="Обычный 7 50 2" xfId="7354" xr:uid="{00000000-0005-0000-0000-0000E26E0000}"/>
    <cellStyle name="Обычный 7 50 2 2" xfId="55416" xr:uid="{00000000-0005-0000-0000-0000E36E0000}"/>
    <cellStyle name="Обычный 7 50 3" xfId="12695" xr:uid="{00000000-0005-0000-0000-0000E46E0000}"/>
    <cellStyle name="Обычный 7 50 4" xfId="18035" xr:uid="{00000000-0005-0000-0000-0000E56E0000}"/>
    <cellStyle name="Обычный 7 50 5" xfId="23375" xr:uid="{00000000-0005-0000-0000-0000E66E0000}"/>
    <cellStyle name="Обычный 7 50 6" xfId="28715" xr:uid="{00000000-0005-0000-0000-0000E76E0000}"/>
    <cellStyle name="Обычный 7 50 7" xfId="34055" xr:uid="{00000000-0005-0000-0000-0000E86E0000}"/>
    <cellStyle name="Обычный 7 50 8" xfId="39395" xr:uid="{00000000-0005-0000-0000-0000E96E0000}"/>
    <cellStyle name="Обычный 7 50 9" xfId="44735" xr:uid="{00000000-0005-0000-0000-0000EA6E0000}"/>
    <cellStyle name="Обычный 7 51" xfId="2039" xr:uid="{00000000-0005-0000-0000-0000EB6E0000}"/>
    <cellStyle name="Обычный 7 51 10" xfId="50103" xr:uid="{00000000-0005-0000-0000-0000EC6E0000}"/>
    <cellStyle name="Обычный 7 51 2" xfId="7382" xr:uid="{00000000-0005-0000-0000-0000ED6E0000}"/>
    <cellStyle name="Обычный 7 51 2 2" xfId="55444" xr:uid="{00000000-0005-0000-0000-0000EE6E0000}"/>
    <cellStyle name="Обычный 7 51 3" xfId="12723" xr:uid="{00000000-0005-0000-0000-0000EF6E0000}"/>
    <cellStyle name="Обычный 7 51 4" xfId="18063" xr:uid="{00000000-0005-0000-0000-0000F06E0000}"/>
    <cellStyle name="Обычный 7 51 5" xfId="23403" xr:uid="{00000000-0005-0000-0000-0000F16E0000}"/>
    <cellStyle name="Обычный 7 51 6" xfId="28743" xr:uid="{00000000-0005-0000-0000-0000F26E0000}"/>
    <cellStyle name="Обычный 7 51 7" xfId="34083" xr:uid="{00000000-0005-0000-0000-0000F36E0000}"/>
    <cellStyle name="Обычный 7 51 8" xfId="39423" xr:uid="{00000000-0005-0000-0000-0000F46E0000}"/>
    <cellStyle name="Обычный 7 51 9" xfId="44763" xr:uid="{00000000-0005-0000-0000-0000F56E0000}"/>
    <cellStyle name="Обычный 7 52" xfId="2067" xr:uid="{00000000-0005-0000-0000-0000F66E0000}"/>
    <cellStyle name="Обычный 7 52 10" xfId="50131" xr:uid="{00000000-0005-0000-0000-0000F76E0000}"/>
    <cellStyle name="Обычный 7 52 2" xfId="7410" xr:uid="{00000000-0005-0000-0000-0000F86E0000}"/>
    <cellStyle name="Обычный 7 52 2 2" xfId="55472" xr:uid="{00000000-0005-0000-0000-0000F96E0000}"/>
    <cellStyle name="Обычный 7 52 3" xfId="12751" xr:uid="{00000000-0005-0000-0000-0000FA6E0000}"/>
    <cellStyle name="Обычный 7 52 4" xfId="18091" xr:uid="{00000000-0005-0000-0000-0000FB6E0000}"/>
    <cellStyle name="Обычный 7 52 5" xfId="23431" xr:uid="{00000000-0005-0000-0000-0000FC6E0000}"/>
    <cellStyle name="Обычный 7 52 6" xfId="28771" xr:uid="{00000000-0005-0000-0000-0000FD6E0000}"/>
    <cellStyle name="Обычный 7 52 7" xfId="34111" xr:uid="{00000000-0005-0000-0000-0000FE6E0000}"/>
    <cellStyle name="Обычный 7 52 8" xfId="39451" xr:uid="{00000000-0005-0000-0000-0000FF6E0000}"/>
    <cellStyle name="Обычный 7 52 9" xfId="44791" xr:uid="{00000000-0005-0000-0000-0000006F0000}"/>
    <cellStyle name="Обычный 7 53" xfId="2095" xr:uid="{00000000-0005-0000-0000-0000016F0000}"/>
    <cellStyle name="Обычный 7 53 10" xfId="50159" xr:uid="{00000000-0005-0000-0000-0000026F0000}"/>
    <cellStyle name="Обычный 7 53 2" xfId="7438" xr:uid="{00000000-0005-0000-0000-0000036F0000}"/>
    <cellStyle name="Обычный 7 53 2 2" xfId="55500" xr:uid="{00000000-0005-0000-0000-0000046F0000}"/>
    <cellStyle name="Обычный 7 53 3" xfId="12779" xr:uid="{00000000-0005-0000-0000-0000056F0000}"/>
    <cellStyle name="Обычный 7 53 4" xfId="18119" xr:uid="{00000000-0005-0000-0000-0000066F0000}"/>
    <cellStyle name="Обычный 7 53 5" xfId="23459" xr:uid="{00000000-0005-0000-0000-0000076F0000}"/>
    <cellStyle name="Обычный 7 53 6" xfId="28799" xr:uid="{00000000-0005-0000-0000-0000086F0000}"/>
    <cellStyle name="Обычный 7 53 7" xfId="34139" xr:uid="{00000000-0005-0000-0000-0000096F0000}"/>
    <cellStyle name="Обычный 7 53 8" xfId="39479" xr:uid="{00000000-0005-0000-0000-00000A6F0000}"/>
    <cellStyle name="Обычный 7 53 9" xfId="44819" xr:uid="{00000000-0005-0000-0000-00000B6F0000}"/>
    <cellStyle name="Обычный 7 54" xfId="2123" xr:uid="{00000000-0005-0000-0000-00000C6F0000}"/>
    <cellStyle name="Обычный 7 54 10" xfId="50187" xr:uid="{00000000-0005-0000-0000-00000D6F0000}"/>
    <cellStyle name="Обычный 7 54 2" xfId="7466" xr:uid="{00000000-0005-0000-0000-00000E6F0000}"/>
    <cellStyle name="Обычный 7 54 2 2" xfId="55528" xr:uid="{00000000-0005-0000-0000-00000F6F0000}"/>
    <cellStyle name="Обычный 7 54 3" xfId="12807" xr:uid="{00000000-0005-0000-0000-0000106F0000}"/>
    <cellStyle name="Обычный 7 54 4" xfId="18147" xr:uid="{00000000-0005-0000-0000-0000116F0000}"/>
    <cellStyle name="Обычный 7 54 5" xfId="23487" xr:uid="{00000000-0005-0000-0000-0000126F0000}"/>
    <cellStyle name="Обычный 7 54 6" xfId="28827" xr:uid="{00000000-0005-0000-0000-0000136F0000}"/>
    <cellStyle name="Обычный 7 54 7" xfId="34167" xr:uid="{00000000-0005-0000-0000-0000146F0000}"/>
    <cellStyle name="Обычный 7 54 8" xfId="39507" xr:uid="{00000000-0005-0000-0000-0000156F0000}"/>
    <cellStyle name="Обычный 7 54 9" xfId="44847" xr:uid="{00000000-0005-0000-0000-0000166F0000}"/>
    <cellStyle name="Обычный 7 55" xfId="2153" xr:uid="{00000000-0005-0000-0000-0000176F0000}"/>
    <cellStyle name="Обычный 7 55 10" xfId="50217" xr:uid="{00000000-0005-0000-0000-0000186F0000}"/>
    <cellStyle name="Обычный 7 55 2" xfId="7496" xr:uid="{00000000-0005-0000-0000-0000196F0000}"/>
    <cellStyle name="Обычный 7 55 2 2" xfId="55558" xr:uid="{00000000-0005-0000-0000-00001A6F0000}"/>
    <cellStyle name="Обычный 7 55 3" xfId="12837" xr:uid="{00000000-0005-0000-0000-00001B6F0000}"/>
    <cellStyle name="Обычный 7 55 4" xfId="18177" xr:uid="{00000000-0005-0000-0000-00001C6F0000}"/>
    <cellStyle name="Обычный 7 55 5" xfId="23517" xr:uid="{00000000-0005-0000-0000-00001D6F0000}"/>
    <cellStyle name="Обычный 7 55 6" xfId="28857" xr:uid="{00000000-0005-0000-0000-00001E6F0000}"/>
    <cellStyle name="Обычный 7 55 7" xfId="34197" xr:uid="{00000000-0005-0000-0000-00001F6F0000}"/>
    <cellStyle name="Обычный 7 55 8" xfId="39537" xr:uid="{00000000-0005-0000-0000-0000206F0000}"/>
    <cellStyle name="Обычный 7 55 9" xfId="44877" xr:uid="{00000000-0005-0000-0000-0000216F0000}"/>
    <cellStyle name="Обычный 7 56" xfId="2183" xr:uid="{00000000-0005-0000-0000-0000226F0000}"/>
    <cellStyle name="Обычный 7 56 10" xfId="50247" xr:uid="{00000000-0005-0000-0000-0000236F0000}"/>
    <cellStyle name="Обычный 7 56 2" xfId="7526" xr:uid="{00000000-0005-0000-0000-0000246F0000}"/>
    <cellStyle name="Обычный 7 56 2 2" xfId="55588" xr:uid="{00000000-0005-0000-0000-0000256F0000}"/>
    <cellStyle name="Обычный 7 56 3" xfId="12867" xr:uid="{00000000-0005-0000-0000-0000266F0000}"/>
    <cellStyle name="Обычный 7 56 4" xfId="18207" xr:uid="{00000000-0005-0000-0000-0000276F0000}"/>
    <cellStyle name="Обычный 7 56 5" xfId="23547" xr:uid="{00000000-0005-0000-0000-0000286F0000}"/>
    <cellStyle name="Обычный 7 56 6" xfId="28887" xr:uid="{00000000-0005-0000-0000-0000296F0000}"/>
    <cellStyle name="Обычный 7 56 7" xfId="34227" xr:uid="{00000000-0005-0000-0000-00002A6F0000}"/>
    <cellStyle name="Обычный 7 56 8" xfId="39567" xr:uid="{00000000-0005-0000-0000-00002B6F0000}"/>
    <cellStyle name="Обычный 7 56 9" xfId="44907" xr:uid="{00000000-0005-0000-0000-00002C6F0000}"/>
    <cellStyle name="Обычный 7 57" xfId="2213" xr:uid="{00000000-0005-0000-0000-00002D6F0000}"/>
    <cellStyle name="Обычный 7 57 10" xfId="50277" xr:uid="{00000000-0005-0000-0000-00002E6F0000}"/>
    <cellStyle name="Обычный 7 57 2" xfId="7556" xr:uid="{00000000-0005-0000-0000-00002F6F0000}"/>
    <cellStyle name="Обычный 7 57 2 2" xfId="55618" xr:uid="{00000000-0005-0000-0000-0000306F0000}"/>
    <cellStyle name="Обычный 7 57 3" xfId="12897" xr:uid="{00000000-0005-0000-0000-0000316F0000}"/>
    <cellStyle name="Обычный 7 57 4" xfId="18237" xr:uid="{00000000-0005-0000-0000-0000326F0000}"/>
    <cellStyle name="Обычный 7 57 5" xfId="23577" xr:uid="{00000000-0005-0000-0000-0000336F0000}"/>
    <cellStyle name="Обычный 7 57 6" xfId="28917" xr:uid="{00000000-0005-0000-0000-0000346F0000}"/>
    <cellStyle name="Обычный 7 57 7" xfId="34257" xr:uid="{00000000-0005-0000-0000-0000356F0000}"/>
    <cellStyle name="Обычный 7 57 8" xfId="39597" xr:uid="{00000000-0005-0000-0000-0000366F0000}"/>
    <cellStyle name="Обычный 7 57 9" xfId="44937" xr:uid="{00000000-0005-0000-0000-0000376F0000}"/>
    <cellStyle name="Обычный 7 58" xfId="2243" xr:uid="{00000000-0005-0000-0000-0000386F0000}"/>
    <cellStyle name="Обычный 7 58 10" xfId="50307" xr:uid="{00000000-0005-0000-0000-0000396F0000}"/>
    <cellStyle name="Обычный 7 58 2" xfId="7586" xr:uid="{00000000-0005-0000-0000-00003A6F0000}"/>
    <cellStyle name="Обычный 7 58 2 2" xfId="55648" xr:uid="{00000000-0005-0000-0000-00003B6F0000}"/>
    <cellStyle name="Обычный 7 58 3" xfId="12927" xr:uid="{00000000-0005-0000-0000-00003C6F0000}"/>
    <cellStyle name="Обычный 7 58 4" xfId="18267" xr:uid="{00000000-0005-0000-0000-00003D6F0000}"/>
    <cellStyle name="Обычный 7 58 5" xfId="23607" xr:uid="{00000000-0005-0000-0000-00003E6F0000}"/>
    <cellStyle name="Обычный 7 58 6" xfId="28947" xr:uid="{00000000-0005-0000-0000-00003F6F0000}"/>
    <cellStyle name="Обычный 7 58 7" xfId="34287" xr:uid="{00000000-0005-0000-0000-0000406F0000}"/>
    <cellStyle name="Обычный 7 58 8" xfId="39627" xr:uid="{00000000-0005-0000-0000-0000416F0000}"/>
    <cellStyle name="Обычный 7 58 9" xfId="44967" xr:uid="{00000000-0005-0000-0000-0000426F0000}"/>
    <cellStyle name="Обычный 7 59" xfId="2273" xr:uid="{00000000-0005-0000-0000-0000436F0000}"/>
    <cellStyle name="Обычный 7 59 10" xfId="50337" xr:uid="{00000000-0005-0000-0000-0000446F0000}"/>
    <cellStyle name="Обычный 7 59 2" xfId="7616" xr:uid="{00000000-0005-0000-0000-0000456F0000}"/>
    <cellStyle name="Обычный 7 59 2 2" xfId="55678" xr:uid="{00000000-0005-0000-0000-0000466F0000}"/>
    <cellStyle name="Обычный 7 59 3" xfId="12957" xr:uid="{00000000-0005-0000-0000-0000476F0000}"/>
    <cellStyle name="Обычный 7 59 4" xfId="18297" xr:uid="{00000000-0005-0000-0000-0000486F0000}"/>
    <cellStyle name="Обычный 7 59 5" xfId="23637" xr:uid="{00000000-0005-0000-0000-0000496F0000}"/>
    <cellStyle name="Обычный 7 59 6" xfId="28977" xr:uid="{00000000-0005-0000-0000-00004A6F0000}"/>
    <cellStyle name="Обычный 7 59 7" xfId="34317" xr:uid="{00000000-0005-0000-0000-00004B6F0000}"/>
    <cellStyle name="Обычный 7 59 8" xfId="39657" xr:uid="{00000000-0005-0000-0000-00004C6F0000}"/>
    <cellStyle name="Обычный 7 59 9" xfId="44997" xr:uid="{00000000-0005-0000-0000-00004D6F0000}"/>
    <cellStyle name="Обычный 7 6" xfId="482" xr:uid="{00000000-0005-0000-0000-00004E6F0000}"/>
    <cellStyle name="Обычный 7 6 10" xfId="43204" xr:uid="{00000000-0005-0000-0000-00004F6F0000}"/>
    <cellStyle name="Обычный 7 6 11" xfId="48544" xr:uid="{00000000-0005-0000-0000-0000506F0000}"/>
    <cellStyle name="Обычный 7 6 2" xfId="949" xr:uid="{00000000-0005-0000-0000-0000516F0000}"/>
    <cellStyle name="Обычный 7 6 2 10" xfId="49011" xr:uid="{00000000-0005-0000-0000-0000526F0000}"/>
    <cellStyle name="Обычный 7 6 2 2" xfId="6290" xr:uid="{00000000-0005-0000-0000-0000536F0000}"/>
    <cellStyle name="Обычный 7 6 2 2 2" xfId="54352" xr:uid="{00000000-0005-0000-0000-0000546F0000}"/>
    <cellStyle name="Обычный 7 6 2 3" xfId="11631" xr:uid="{00000000-0005-0000-0000-0000556F0000}"/>
    <cellStyle name="Обычный 7 6 2 4" xfId="16971" xr:uid="{00000000-0005-0000-0000-0000566F0000}"/>
    <cellStyle name="Обычный 7 6 2 5" xfId="22311" xr:uid="{00000000-0005-0000-0000-0000576F0000}"/>
    <cellStyle name="Обычный 7 6 2 6" xfId="27651" xr:uid="{00000000-0005-0000-0000-0000586F0000}"/>
    <cellStyle name="Обычный 7 6 2 7" xfId="32991" xr:uid="{00000000-0005-0000-0000-0000596F0000}"/>
    <cellStyle name="Обычный 7 6 2 8" xfId="38331" xr:uid="{00000000-0005-0000-0000-00005A6F0000}"/>
    <cellStyle name="Обычный 7 6 2 9" xfId="43671" xr:uid="{00000000-0005-0000-0000-00005B6F0000}"/>
    <cellStyle name="Обычный 7 6 3" xfId="5823" xr:uid="{00000000-0005-0000-0000-00005C6F0000}"/>
    <cellStyle name="Обычный 7 6 3 2" xfId="53885" xr:uid="{00000000-0005-0000-0000-00005D6F0000}"/>
    <cellStyle name="Обычный 7 6 4" xfId="11164" xr:uid="{00000000-0005-0000-0000-00005E6F0000}"/>
    <cellStyle name="Обычный 7 6 5" xfId="16504" xr:uid="{00000000-0005-0000-0000-00005F6F0000}"/>
    <cellStyle name="Обычный 7 6 6" xfId="21844" xr:uid="{00000000-0005-0000-0000-0000606F0000}"/>
    <cellStyle name="Обычный 7 6 7" xfId="27184" xr:uid="{00000000-0005-0000-0000-0000616F0000}"/>
    <cellStyle name="Обычный 7 6 8" xfId="32524" xr:uid="{00000000-0005-0000-0000-0000626F0000}"/>
    <cellStyle name="Обычный 7 6 9" xfId="37864" xr:uid="{00000000-0005-0000-0000-0000636F0000}"/>
    <cellStyle name="Обычный 7 60" xfId="2303" xr:uid="{00000000-0005-0000-0000-0000646F0000}"/>
    <cellStyle name="Обычный 7 60 10" xfId="50367" xr:uid="{00000000-0005-0000-0000-0000656F0000}"/>
    <cellStyle name="Обычный 7 60 2" xfId="7646" xr:uid="{00000000-0005-0000-0000-0000666F0000}"/>
    <cellStyle name="Обычный 7 60 2 2" xfId="55708" xr:uid="{00000000-0005-0000-0000-0000676F0000}"/>
    <cellStyle name="Обычный 7 60 3" xfId="12987" xr:uid="{00000000-0005-0000-0000-0000686F0000}"/>
    <cellStyle name="Обычный 7 60 4" xfId="18327" xr:uid="{00000000-0005-0000-0000-0000696F0000}"/>
    <cellStyle name="Обычный 7 60 5" xfId="23667" xr:uid="{00000000-0005-0000-0000-00006A6F0000}"/>
    <cellStyle name="Обычный 7 60 6" xfId="29007" xr:uid="{00000000-0005-0000-0000-00006B6F0000}"/>
    <cellStyle name="Обычный 7 60 7" xfId="34347" xr:uid="{00000000-0005-0000-0000-00006C6F0000}"/>
    <cellStyle name="Обычный 7 60 8" xfId="39687" xr:uid="{00000000-0005-0000-0000-00006D6F0000}"/>
    <cellStyle name="Обычный 7 60 9" xfId="45027" xr:uid="{00000000-0005-0000-0000-00006E6F0000}"/>
    <cellStyle name="Обычный 7 61" xfId="2333" xr:uid="{00000000-0005-0000-0000-00006F6F0000}"/>
    <cellStyle name="Обычный 7 61 10" xfId="50397" xr:uid="{00000000-0005-0000-0000-0000706F0000}"/>
    <cellStyle name="Обычный 7 61 2" xfId="7676" xr:uid="{00000000-0005-0000-0000-0000716F0000}"/>
    <cellStyle name="Обычный 7 61 2 2" xfId="55738" xr:uid="{00000000-0005-0000-0000-0000726F0000}"/>
    <cellStyle name="Обычный 7 61 3" xfId="13017" xr:uid="{00000000-0005-0000-0000-0000736F0000}"/>
    <cellStyle name="Обычный 7 61 4" xfId="18357" xr:uid="{00000000-0005-0000-0000-0000746F0000}"/>
    <cellStyle name="Обычный 7 61 5" xfId="23697" xr:uid="{00000000-0005-0000-0000-0000756F0000}"/>
    <cellStyle name="Обычный 7 61 6" xfId="29037" xr:uid="{00000000-0005-0000-0000-0000766F0000}"/>
    <cellStyle name="Обычный 7 61 7" xfId="34377" xr:uid="{00000000-0005-0000-0000-0000776F0000}"/>
    <cellStyle name="Обычный 7 61 8" xfId="39717" xr:uid="{00000000-0005-0000-0000-0000786F0000}"/>
    <cellStyle name="Обычный 7 61 9" xfId="45057" xr:uid="{00000000-0005-0000-0000-0000796F0000}"/>
    <cellStyle name="Обычный 7 62" xfId="2363" xr:uid="{00000000-0005-0000-0000-00007A6F0000}"/>
    <cellStyle name="Обычный 7 62 10" xfId="50427" xr:uid="{00000000-0005-0000-0000-00007B6F0000}"/>
    <cellStyle name="Обычный 7 62 2" xfId="7706" xr:uid="{00000000-0005-0000-0000-00007C6F0000}"/>
    <cellStyle name="Обычный 7 62 2 2" xfId="55768" xr:uid="{00000000-0005-0000-0000-00007D6F0000}"/>
    <cellStyle name="Обычный 7 62 3" xfId="13047" xr:uid="{00000000-0005-0000-0000-00007E6F0000}"/>
    <cellStyle name="Обычный 7 62 4" xfId="18387" xr:uid="{00000000-0005-0000-0000-00007F6F0000}"/>
    <cellStyle name="Обычный 7 62 5" xfId="23727" xr:uid="{00000000-0005-0000-0000-0000806F0000}"/>
    <cellStyle name="Обычный 7 62 6" xfId="29067" xr:uid="{00000000-0005-0000-0000-0000816F0000}"/>
    <cellStyle name="Обычный 7 62 7" xfId="34407" xr:uid="{00000000-0005-0000-0000-0000826F0000}"/>
    <cellStyle name="Обычный 7 62 8" xfId="39747" xr:uid="{00000000-0005-0000-0000-0000836F0000}"/>
    <cellStyle name="Обычный 7 62 9" xfId="45087" xr:uid="{00000000-0005-0000-0000-0000846F0000}"/>
    <cellStyle name="Обычный 7 63" xfId="2393" xr:uid="{00000000-0005-0000-0000-0000856F0000}"/>
    <cellStyle name="Обычный 7 63 10" xfId="50457" xr:uid="{00000000-0005-0000-0000-0000866F0000}"/>
    <cellStyle name="Обычный 7 63 2" xfId="7736" xr:uid="{00000000-0005-0000-0000-0000876F0000}"/>
    <cellStyle name="Обычный 7 63 2 2" xfId="55798" xr:uid="{00000000-0005-0000-0000-0000886F0000}"/>
    <cellStyle name="Обычный 7 63 3" xfId="13077" xr:uid="{00000000-0005-0000-0000-0000896F0000}"/>
    <cellStyle name="Обычный 7 63 4" xfId="18417" xr:uid="{00000000-0005-0000-0000-00008A6F0000}"/>
    <cellStyle name="Обычный 7 63 5" xfId="23757" xr:uid="{00000000-0005-0000-0000-00008B6F0000}"/>
    <cellStyle name="Обычный 7 63 6" xfId="29097" xr:uid="{00000000-0005-0000-0000-00008C6F0000}"/>
    <cellStyle name="Обычный 7 63 7" xfId="34437" xr:uid="{00000000-0005-0000-0000-00008D6F0000}"/>
    <cellStyle name="Обычный 7 63 8" xfId="39777" xr:uid="{00000000-0005-0000-0000-00008E6F0000}"/>
    <cellStyle name="Обычный 7 63 9" xfId="45117" xr:uid="{00000000-0005-0000-0000-00008F6F0000}"/>
    <cellStyle name="Обычный 7 64" xfId="2423" xr:uid="{00000000-0005-0000-0000-0000906F0000}"/>
    <cellStyle name="Обычный 7 64 10" xfId="50487" xr:uid="{00000000-0005-0000-0000-0000916F0000}"/>
    <cellStyle name="Обычный 7 64 2" xfId="7766" xr:uid="{00000000-0005-0000-0000-0000926F0000}"/>
    <cellStyle name="Обычный 7 64 2 2" xfId="55828" xr:uid="{00000000-0005-0000-0000-0000936F0000}"/>
    <cellStyle name="Обычный 7 64 3" xfId="13107" xr:uid="{00000000-0005-0000-0000-0000946F0000}"/>
    <cellStyle name="Обычный 7 64 4" xfId="18447" xr:uid="{00000000-0005-0000-0000-0000956F0000}"/>
    <cellStyle name="Обычный 7 64 5" xfId="23787" xr:uid="{00000000-0005-0000-0000-0000966F0000}"/>
    <cellStyle name="Обычный 7 64 6" xfId="29127" xr:uid="{00000000-0005-0000-0000-0000976F0000}"/>
    <cellStyle name="Обычный 7 64 7" xfId="34467" xr:uid="{00000000-0005-0000-0000-0000986F0000}"/>
    <cellStyle name="Обычный 7 64 8" xfId="39807" xr:uid="{00000000-0005-0000-0000-0000996F0000}"/>
    <cellStyle name="Обычный 7 64 9" xfId="45147" xr:uid="{00000000-0005-0000-0000-00009A6F0000}"/>
    <cellStyle name="Обычный 7 65" xfId="2453" xr:uid="{00000000-0005-0000-0000-00009B6F0000}"/>
    <cellStyle name="Обычный 7 65 10" xfId="50517" xr:uid="{00000000-0005-0000-0000-00009C6F0000}"/>
    <cellStyle name="Обычный 7 65 2" xfId="7796" xr:uid="{00000000-0005-0000-0000-00009D6F0000}"/>
    <cellStyle name="Обычный 7 65 2 2" xfId="55858" xr:uid="{00000000-0005-0000-0000-00009E6F0000}"/>
    <cellStyle name="Обычный 7 65 3" xfId="13137" xr:uid="{00000000-0005-0000-0000-00009F6F0000}"/>
    <cellStyle name="Обычный 7 65 4" xfId="18477" xr:uid="{00000000-0005-0000-0000-0000A06F0000}"/>
    <cellStyle name="Обычный 7 65 5" xfId="23817" xr:uid="{00000000-0005-0000-0000-0000A16F0000}"/>
    <cellStyle name="Обычный 7 65 6" xfId="29157" xr:uid="{00000000-0005-0000-0000-0000A26F0000}"/>
    <cellStyle name="Обычный 7 65 7" xfId="34497" xr:uid="{00000000-0005-0000-0000-0000A36F0000}"/>
    <cellStyle name="Обычный 7 65 8" xfId="39837" xr:uid="{00000000-0005-0000-0000-0000A46F0000}"/>
    <cellStyle name="Обычный 7 65 9" xfId="45177" xr:uid="{00000000-0005-0000-0000-0000A56F0000}"/>
    <cellStyle name="Обычный 7 66" xfId="2483" xr:uid="{00000000-0005-0000-0000-0000A66F0000}"/>
    <cellStyle name="Обычный 7 66 10" xfId="50547" xr:uid="{00000000-0005-0000-0000-0000A76F0000}"/>
    <cellStyle name="Обычный 7 66 2" xfId="7826" xr:uid="{00000000-0005-0000-0000-0000A86F0000}"/>
    <cellStyle name="Обычный 7 66 2 2" xfId="55888" xr:uid="{00000000-0005-0000-0000-0000A96F0000}"/>
    <cellStyle name="Обычный 7 66 3" xfId="13167" xr:uid="{00000000-0005-0000-0000-0000AA6F0000}"/>
    <cellStyle name="Обычный 7 66 4" xfId="18507" xr:uid="{00000000-0005-0000-0000-0000AB6F0000}"/>
    <cellStyle name="Обычный 7 66 5" xfId="23847" xr:uid="{00000000-0005-0000-0000-0000AC6F0000}"/>
    <cellStyle name="Обычный 7 66 6" xfId="29187" xr:uid="{00000000-0005-0000-0000-0000AD6F0000}"/>
    <cellStyle name="Обычный 7 66 7" xfId="34527" xr:uid="{00000000-0005-0000-0000-0000AE6F0000}"/>
    <cellStyle name="Обычный 7 66 8" xfId="39867" xr:uid="{00000000-0005-0000-0000-0000AF6F0000}"/>
    <cellStyle name="Обычный 7 66 9" xfId="45207" xr:uid="{00000000-0005-0000-0000-0000B06F0000}"/>
    <cellStyle name="Обычный 7 67" xfId="2515" xr:uid="{00000000-0005-0000-0000-0000B16F0000}"/>
    <cellStyle name="Обычный 7 67 10" xfId="50579" xr:uid="{00000000-0005-0000-0000-0000B26F0000}"/>
    <cellStyle name="Обычный 7 67 2" xfId="7858" xr:uid="{00000000-0005-0000-0000-0000B36F0000}"/>
    <cellStyle name="Обычный 7 67 2 2" xfId="55920" xr:uid="{00000000-0005-0000-0000-0000B46F0000}"/>
    <cellStyle name="Обычный 7 67 3" xfId="13199" xr:uid="{00000000-0005-0000-0000-0000B56F0000}"/>
    <cellStyle name="Обычный 7 67 4" xfId="18539" xr:uid="{00000000-0005-0000-0000-0000B66F0000}"/>
    <cellStyle name="Обычный 7 67 5" xfId="23879" xr:uid="{00000000-0005-0000-0000-0000B76F0000}"/>
    <cellStyle name="Обычный 7 67 6" xfId="29219" xr:uid="{00000000-0005-0000-0000-0000B86F0000}"/>
    <cellStyle name="Обычный 7 67 7" xfId="34559" xr:uid="{00000000-0005-0000-0000-0000B96F0000}"/>
    <cellStyle name="Обычный 7 67 8" xfId="39899" xr:uid="{00000000-0005-0000-0000-0000BA6F0000}"/>
    <cellStyle name="Обычный 7 67 9" xfId="45239" xr:uid="{00000000-0005-0000-0000-0000BB6F0000}"/>
    <cellStyle name="Обычный 7 68" xfId="2549" xr:uid="{00000000-0005-0000-0000-0000BC6F0000}"/>
    <cellStyle name="Обычный 7 68 10" xfId="50613" xr:uid="{00000000-0005-0000-0000-0000BD6F0000}"/>
    <cellStyle name="Обычный 7 68 2" xfId="7892" xr:uid="{00000000-0005-0000-0000-0000BE6F0000}"/>
    <cellStyle name="Обычный 7 68 2 2" xfId="55954" xr:uid="{00000000-0005-0000-0000-0000BF6F0000}"/>
    <cellStyle name="Обычный 7 68 3" xfId="13233" xr:uid="{00000000-0005-0000-0000-0000C06F0000}"/>
    <cellStyle name="Обычный 7 68 4" xfId="18573" xr:uid="{00000000-0005-0000-0000-0000C16F0000}"/>
    <cellStyle name="Обычный 7 68 5" xfId="23913" xr:uid="{00000000-0005-0000-0000-0000C26F0000}"/>
    <cellStyle name="Обычный 7 68 6" xfId="29253" xr:uid="{00000000-0005-0000-0000-0000C36F0000}"/>
    <cellStyle name="Обычный 7 68 7" xfId="34593" xr:uid="{00000000-0005-0000-0000-0000C46F0000}"/>
    <cellStyle name="Обычный 7 68 8" xfId="39933" xr:uid="{00000000-0005-0000-0000-0000C56F0000}"/>
    <cellStyle name="Обычный 7 68 9" xfId="45273" xr:uid="{00000000-0005-0000-0000-0000C66F0000}"/>
    <cellStyle name="Обычный 7 69" xfId="2581" xr:uid="{00000000-0005-0000-0000-0000C76F0000}"/>
    <cellStyle name="Обычный 7 69 10" xfId="50645" xr:uid="{00000000-0005-0000-0000-0000C86F0000}"/>
    <cellStyle name="Обычный 7 69 2" xfId="7924" xr:uid="{00000000-0005-0000-0000-0000C96F0000}"/>
    <cellStyle name="Обычный 7 69 2 2" xfId="55986" xr:uid="{00000000-0005-0000-0000-0000CA6F0000}"/>
    <cellStyle name="Обычный 7 69 3" xfId="13265" xr:uid="{00000000-0005-0000-0000-0000CB6F0000}"/>
    <cellStyle name="Обычный 7 69 4" xfId="18605" xr:uid="{00000000-0005-0000-0000-0000CC6F0000}"/>
    <cellStyle name="Обычный 7 69 5" xfId="23945" xr:uid="{00000000-0005-0000-0000-0000CD6F0000}"/>
    <cellStyle name="Обычный 7 69 6" xfId="29285" xr:uid="{00000000-0005-0000-0000-0000CE6F0000}"/>
    <cellStyle name="Обычный 7 69 7" xfId="34625" xr:uid="{00000000-0005-0000-0000-0000CF6F0000}"/>
    <cellStyle name="Обычный 7 69 8" xfId="39965" xr:uid="{00000000-0005-0000-0000-0000D06F0000}"/>
    <cellStyle name="Обычный 7 69 9" xfId="45305" xr:uid="{00000000-0005-0000-0000-0000D16F0000}"/>
    <cellStyle name="Обычный 7 7" xfId="494" xr:uid="{00000000-0005-0000-0000-0000D26F0000}"/>
    <cellStyle name="Обычный 7 7 10" xfId="43216" xr:uid="{00000000-0005-0000-0000-0000D36F0000}"/>
    <cellStyle name="Обычный 7 7 11" xfId="48556" xr:uid="{00000000-0005-0000-0000-0000D46F0000}"/>
    <cellStyle name="Обычный 7 7 2" xfId="961" xr:uid="{00000000-0005-0000-0000-0000D56F0000}"/>
    <cellStyle name="Обычный 7 7 2 10" xfId="49023" xr:uid="{00000000-0005-0000-0000-0000D66F0000}"/>
    <cellStyle name="Обычный 7 7 2 2" xfId="6302" xr:uid="{00000000-0005-0000-0000-0000D76F0000}"/>
    <cellStyle name="Обычный 7 7 2 2 2" xfId="54364" xr:uid="{00000000-0005-0000-0000-0000D86F0000}"/>
    <cellStyle name="Обычный 7 7 2 3" xfId="11643" xr:uid="{00000000-0005-0000-0000-0000D96F0000}"/>
    <cellStyle name="Обычный 7 7 2 4" xfId="16983" xr:uid="{00000000-0005-0000-0000-0000DA6F0000}"/>
    <cellStyle name="Обычный 7 7 2 5" xfId="22323" xr:uid="{00000000-0005-0000-0000-0000DB6F0000}"/>
    <cellStyle name="Обычный 7 7 2 6" xfId="27663" xr:uid="{00000000-0005-0000-0000-0000DC6F0000}"/>
    <cellStyle name="Обычный 7 7 2 7" xfId="33003" xr:uid="{00000000-0005-0000-0000-0000DD6F0000}"/>
    <cellStyle name="Обычный 7 7 2 8" xfId="38343" xr:uid="{00000000-0005-0000-0000-0000DE6F0000}"/>
    <cellStyle name="Обычный 7 7 2 9" xfId="43683" xr:uid="{00000000-0005-0000-0000-0000DF6F0000}"/>
    <cellStyle name="Обычный 7 7 3" xfId="5835" xr:uid="{00000000-0005-0000-0000-0000E06F0000}"/>
    <cellStyle name="Обычный 7 7 3 2" xfId="53897" xr:uid="{00000000-0005-0000-0000-0000E16F0000}"/>
    <cellStyle name="Обычный 7 7 4" xfId="11176" xr:uid="{00000000-0005-0000-0000-0000E26F0000}"/>
    <cellStyle name="Обычный 7 7 5" xfId="16516" xr:uid="{00000000-0005-0000-0000-0000E36F0000}"/>
    <cellStyle name="Обычный 7 7 6" xfId="21856" xr:uid="{00000000-0005-0000-0000-0000E46F0000}"/>
    <cellStyle name="Обычный 7 7 7" xfId="27196" xr:uid="{00000000-0005-0000-0000-0000E56F0000}"/>
    <cellStyle name="Обычный 7 7 8" xfId="32536" xr:uid="{00000000-0005-0000-0000-0000E66F0000}"/>
    <cellStyle name="Обычный 7 7 9" xfId="37876" xr:uid="{00000000-0005-0000-0000-0000E76F0000}"/>
    <cellStyle name="Обычный 7 70" xfId="2613" xr:uid="{00000000-0005-0000-0000-0000E86F0000}"/>
    <cellStyle name="Обычный 7 70 10" xfId="50677" xr:uid="{00000000-0005-0000-0000-0000E96F0000}"/>
    <cellStyle name="Обычный 7 70 2" xfId="7956" xr:uid="{00000000-0005-0000-0000-0000EA6F0000}"/>
    <cellStyle name="Обычный 7 70 2 2" xfId="56018" xr:uid="{00000000-0005-0000-0000-0000EB6F0000}"/>
    <cellStyle name="Обычный 7 70 3" xfId="13297" xr:uid="{00000000-0005-0000-0000-0000EC6F0000}"/>
    <cellStyle name="Обычный 7 70 4" xfId="18637" xr:uid="{00000000-0005-0000-0000-0000ED6F0000}"/>
    <cellStyle name="Обычный 7 70 5" xfId="23977" xr:uid="{00000000-0005-0000-0000-0000EE6F0000}"/>
    <cellStyle name="Обычный 7 70 6" xfId="29317" xr:uid="{00000000-0005-0000-0000-0000EF6F0000}"/>
    <cellStyle name="Обычный 7 70 7" xfId="34657" xr:uid="{00000000-0005-0000-0000-0000F06F0000}"/>
    <cellStyle name="Обычный 7 70 8" xfId="39997" xr:uid="{00000000-0005-0000-0000-0000F16F0000}"/>
    <cellStyle name="Обычный 7 70 9" xfId="45337" xr:uid="{00000000-0005-0000-0000-0000F26F0000}"/>
    <cellStyle name="Обычный 7 71" xfId="2645" xr:uid="{00000000-0005-0000-0000-0000F36F0000}"/>
    <cellStyle name="Обычный 7 71 10" xfId="50709" xr:uid="{00000000-0005-0000-0000-0000F46F0000}"/>
    <cellStyle name="Обычный 7 71 2" xfId="7988" xr:uid="{00000000-0005-0000-0000-0000F56F0000}"/>
    <cellStyle name="Обычный 7 71 2 2" xfId="56050" xr:uid="{00000000-0005-0000-0000-0000F66F0000}"/>
    <cellStyle name="Обычный 7 71 3" xfId="13329" xr:uid="{00000000-0005-0000-0000-0000F76F0000}"/>
    <cellStyle name="Обычный 7 71 4" xfId="18669" xr:uid="{00000000-0005-0000-0000-0000F86F0000}"/>
    <cellStyle name="Обычный 7 71 5" xfId="24009" xr:uid="{00000000-0005-0000-0000-0000F96F0000}"/>
    <cellStyle name="Обычный 7 71 6" xfId="29349" xr:uid="{00000000-0005-0000-0000-0000FA6F0000}"/>
    <cellStyle name="Обычный 7 71 7" xfId="34689" xr:uid="{00000000-0005-0000-0000-0000FB6F0000}"/>
    <cellStyle name="Обычный 7 71 8" xfId="40029" xr:uid="{00000000-0005-0000-0000-0000FC6F0000}"/>
    <cellStyle name="Обычный 7 71 9" xfId="45369" xr:uid="{00000000-0005-0000-0000-0000FD6F0000}"/>
    <cellStyle name="Обычный 7 72" xfId="2677" xr:uid="{00000000-0005-0000-0000-0000FE6F0000}"/>
    <cellStyle name="Обычный 7 72 10" xfId="50741" xr:uid="{00000000-0005-0000-0000-0000FF6F0000}"/>
    <cellStyle name="Обычный 7 72 2" xfId="8020" xr:uid="{00000000-0005-0000-0000-000000700000}"/>
    <cellStyle name="Обычный 7 72 2 2" xfId="56082" xr:uid="{00000000-0005-0000-0000-000001700000}"/>
    <cellStyle name="Обычный 7 72 3" xfId="13361" xr:uid="{00000000-0005-0000-0000-000002700000}"/>
    <cellStyle name="Обычный 7 72 4" xfId="18701" xr:uid="{00000000-0005-0000-0000-000003700000}"/>
    <cellStyle name="Обычный 7 72 5" xfId="24041" xr:uid="{00000000-0005-0000-0000-000004700000}"/>
    <cellStyle name="Обычный 7 72 6" xfId="29381" xr:uid="{00000000-0005-0000-0000-000005700000}"/>
    <cellStyle name="Обычный 7 72 7" xfId="34721" xr:uid="{00000000-0005-0000-0000-000006700000}"/>
    <cellStyle name="Обычный 7 72 8" xfId="40061" xr:uid="{00000000-0005-0000-0000-000007700000}"/>
    <cellStyle name="Обычный 7 72 9" xfId="45401" xr:uid="{00000000-0005-0000-0000-000008700000}"/>
    <cellStyle name="Обычный 7 73" xfId="2709" xr:uid="{00000000-0005-0000-0000-000009700000}"/>
    <cellStyle name="Обычный 7 73 10" xfId="50773" xr:uid="{00000000-0005-0000-0000-00000A700000}"/>
    <cellStyle name="Обычный 7 73 2" xfId="8052" xr:uid="{00000000-0005-0000-0000-00000B700000}"/>
    <cellStyle name="Обычный 7 73 2 2" xfId="56114" xr:uid="{00000000-0005-0000-0000-00000C700000}"/>
    <cellStyle name="Обычный 7 73 3" xfId="13393" xr:uid="{00000000-0005-0000-0000-00000D700000}"/>
    <cellStyle name="Обычный 7 73 4" xfId="18733" xr:uid="{00000000-0005-0000-0000-00000E700000}"/>
    <cellStyle name="Обычный 7 73 5" xfId="24073" xr:uid="{00000000-0005-0000-0000-00000F700000}"/>
    <cellStyle name="Обычный 7 73 6" xfId="29413" xr:uid="{00000000-0005-0000-0000-000010700000}"/>
    <cellStyle name="Обычный 7 73 7" xfId="34753" xr:uid="{00000000-0005-0000-0000-000011700000}"/>
    <cellStyle name="Обычный 7 73 8" xfId="40093" xr:uid="{00000000-0005-0000-0000-000012700000}"/>
    <cellStyle name="Обычный 7 73 9" xfId="45433" xr:uid="{00000000-0005-0000-0000-000013700000}"/>
    <cellStyle name="Обычный 7 74" xfId="2741" xr:uid="{00000000-0005-0000-0000-000014700000}"/>
    <cellStyle name="Обычный 7 74 10" xfId="50805" xr:uid="{00000000-0005-0000-0000-000015700000}"/>
    <cellStyle name="Обычный 7 74 2" xfId="8084" xr:uid="{00000000-0005-0000-0000-000016700000}"/>
    <cellStyle name="Обычный 7 74 2 2" xfId="56146" xr:uid="{00000000-0005-0000-0000-000017700000}"/>
    <cellStyle name="Обычный 7 74 3" xfId="13425" xr:uid="{00000000-0005-0000-0000-000018700000}"/>
    <cellStyle name="Обычный 7 74 4" xfId="18765" xr:uid="{00000000-0005-0000-0000-000019700000}"/>
    <cellStyle name="Обычный 7 74 5" xfId="24105" xr:uid="{00000000-0005-0000-0000-00001A700000}"/>
    <cellStyle name="Обычный 7 74 6" xfId="29445" xr:uid="{00000000-0005-0000-0000-00001B700000}"/>
    <cellStyle name="Обычный 7 74 7" xfId="34785" xr:uid="{00000000-0005-0000-0000-00001C700000}"/>
    <cellStyle name="Обычный 7 74 8" xfId="40125" xr:uid="{00000000-0005-0000-0000-00001D700000}"/>
    <cellStyle name="Обычный 7 74 9" xfId="45465" xr:uid="{00000000-0005-0000-0000-00001E700000}"/>
    <cellStyle name="Обычный 7 75" xfId="2775" xr:uid="{00000000-0005-0000-0000-00001F700000}"/>
    <cellStyle name="Обычный 7 75 10" xfId="50839" xr:uid="{00000000-0005-0000-0000-000020700000}"/>
    <cellStyle name="Обычный 7 75 2" xfId="8118" xr:uid="{00000000-0005-0000-0000-000021700000}"/>
    <cellStyle name="Обычный 7 75 2 2" xfId="56180" xr:uid="{00000000-0005-0000-0000-000022700000}"/>
    <cellStyle name="Обычный 7 75 3" xfId="13459" xr:uid="{00000000-0005-0000-0000-000023700000}"/>
    <cellStyle name="Обычный 7 75 4" xfId="18799" xr:uid="{00000000-0005-0000-0000-000024700000}"/>
    <cellStyle name="Обычный 7 75 5" xfId="24139" xr:uid="{00000000-0005-0000-0000-000025700000}"/>
    <cellStyle name="Обычный 7 75 6" xfId="29479" xr:uid="{00000000-0005-0000-0000-000026700000}"/>
    <cellStyle name="Обычный 7 75 7" xfId="34819" xr:uid="{00000000-0005-0000-0000-000027700000}"/>
    <cellStyle name="Обычный 7 75 8" xfId="40159" xr:uid="{00000000-0005-0000-0000-000028700000}"/>
    <cellStyle name="Обычный 7 75 9" xfId="45499" xr:uid="{00000000-0005-0000-0000-000029700000}"/>
    <cellStyle name="Обычный 7 76" xfId="2807" xr:uid="{00000000-0005-0000-0000-00002A700000}"/>
    <cellStyle name="Обычный 7 76 10" xfId="50871" xr:uid="{00000000-0005-0000-0000-00002B700000}"/>
    <cellStyle name="Обычный 7 76 2" xfId="8150" xr:uid="{00000000-0005-0000-0000-00002C700000}"/>
    <cellStyle name="Обычный 7 76 2 2" xfId="56212" xr:uid="{00000000-0005-0000-0000-00002D700000}"/>
    <cellStyle name="Обычный 7 76 3" xfId="13491" xr:uid="{00000000-0005-0000-0000-00002E700000}"/>
    <cellStyle name="Обычный 7 76 4" xfId="18831" xr:uid="{00000000-0005-0000-0000-00002F700000}"/>
    <cellStyle name="Обычный 7 76 5" xfId="24171" xr:uid="{00000000-0005-0000-0000-000030700000}"/>
    <cellStyle name="Обычный 7 76 6" xfId="29511" xr:uid="{00000000-0005-0000-0000-000031700000}"/>
    <cellStyle name="Обычный 7 76 7" xfId="34851" xr:uid="{00000000-0005-0000-0000-000032700000}"/>
    <cellStyle name="Обычный 7 76 8" xfId="40191" xr:uid="{00000000-0005-0000-0000-000033700000}"/>
    <cellStyle name="Обычный 7 76 9" xfId="45531" xr:uid="{00000000-0005-0000-0000-000034700000}"/>
    <cellStyle name="Обычный 7 77" xfId="2839" xr:uid="{00000000-0005-0000-0000-000035700000}"/>
    <cellStyle name="Обычный 7 77 10" xfId="50903" xr:uid="{00000000-0005-0000-0000-000036700000}"/>
    <cellStyle name="Обычный 7 77 2" xfId="8182" xr:uid="{00000000-0005-0000-0000-000037700000}"/>
    <cellStyle name="Обычный 7 77 2 2" xfId="56244" xr:uid="{00000000-0005-0000-0000-000038700000}"/>
    <cellStyle name="Обычный 7 77 3" xfId="13523" xr:uid="{00000000-0005-0000-0000-000039700000}"/>
    <cellStyle name="Обычный 7 77 4" xfId="18863" xr:uid="{00000000-0005-0000-0000-00003A700000}"/>
    <cellStyle name="Обычный 7 77 5" xfId="24203" xr:uid="{00000000-0005-0000-0000-00003B700000}"/>
    <cellStyle name="Обычный 7 77 6" xfId="29543" xr:uid="{00000000-0005-0000-0000-00003C700000}"/>
    <cellStyle name="Обычный 7 77 7" xfId="34883" xr:uid="{00000000-0005-0000-0000-00003D700000}"/>
    <cellStyle name="Обычный 7 77 8" xfId="40223" xr:uid="{00000000-0005-0000-0000-00003E700000}"/>
    <cellStyle name="Обычный 7 77 9" xfId="45563" xr:uid="{00000000-0005-0000-0000-00003F700000}"/>
    <cellStyle name="Обычный 7 78" xfId="2871" xr:uid="{00000000-0005-0000-0000-000040700000}"/>
    <cellStyle name="Обычный 7 78 10" xfId="50935" xr:uid="{00000000-0005-0000-0000-000041700000}"/>
    <cellStyle name="Обычный 7 78 2" xfId="8214" xr:uid="{00000000-0005-0000-0000-000042700000}"/>
    <cellStyle name="Обычный 7 78 2 2" xfId="56276" xr:uid="{00000000-0005-0000-0000-000043700000}"/>
    <cellStyle name="Обычный 7 78 3" xfId="13555" xr:uid="{00000000-0005-0000-0000-000044700000}"/>
    <cellStyle name="Обычный 7 78 4" xfId="18895" xr:uid="{00000000-0005-0000-0000-000045700000}"/>
    <cellStyle name="Обычный 7 78 5" xfId="24235" xr:uid="{00000000-0005-0000-0000-000046700000}"/>
    <cellStyle name="Обычный 7 78 6" xfId="29575" xr:uid="{00000000-0005-0000-0000-000047700000}"/>
    <cellStyle name="Обычный 7 78 7" xfId="34915" xr:uid="{00000000-0005-0000-0000-000048700000}"/>
    <cellStyle name="Обычный 7 78 8" xfId="40255" xr:uid="{00000000-0005-0000-0000-000049700000}"/>
    <cellStyle name="Обычный 7 78 9" xfId="45595" xr:uid="{00000000-0005-0000-0000-00004A700000}"/>
    <cellStyle name="Обычный 7 79" xfId="2903" xr:uid="{00000000-0005-0000-0000-00004B700000}"/>
    <cellStyle name="Обычный 7 79 10" xfId="50967" xr:uid="{00000000-0005-0000-0000-00004C700000}"/>
    <cellStyle name="Обычный 7 79 2" xfId="8246" xr:uid="{00000000-0005-0000-0000-00004D700000}"/>
    <cellStyle name="Обычный 7 79 2 2" xfId="56308" xr:uid="{00000000-0005-0000-0000-00004E700000}"/>
    <cellStyle name="Обычный 7 79 3" xfId="13587" xr:uid="{00000000-0005-0000-0000-00004F700000}"/>
    <cellStyle name="Обычный 7 79 4" xfId="18927" xr:uid="{00000000-0005-0000-0000-000050700000}"/>
    <cellStyle name="Обычный 7 79 5" xfId="24267" xr:uid="{00000000-0005-0000-0000-000051700000}"/>
    <cellStyle name="Обычный 7 79 6" xfId="29607" xr:uid="{00000000-0005-0000-0000-000052700000}"/>
    <cellStyle name="Обычный 7 79 7" xfId="34947" xr:uid="{00000000-0005-0000-0000-000053700000}"/>
    <cellStyle name="Обычный 7 79 8" xfId="40287" xr:uid="{00000000-0005-0000-0000-000054700000}"/>
    <cellStyle name="Обычный 7 79 9" xfId="45627" xr:uid="{00000000-0005-0000-0000-000055700000}"/>
    <cellStyle name="Обычный 7 8" xfId="506" xr:uid="{00000000-0005-0000-0000-000056700000}"/>
    <cellStyle name="Обычный 7 8 10" xfId="43228" xr:uid="{00000000-0005-0000-0000-000057700000}"/>
    <cellStyle name="Обычный 7 8 11" xfId="48568" xr:uid="{00000000-0005-0000-0000-000058700000}"/>
    <cellStyle name="Обычный 7 8 2" xfId="973" xr:uid="{00000000-0005-0000-0000-000059700000}"/>
    <cellStyle name="Обычный 7 8 2 10" xfId="49035" xr:uid="{00000000-0005-0000-0000-00005A700000}"/>
    <cellStyle name="Обычный 7 8 2 2" xfId="6314" xr:uid="{00000000-0005-0000-0000-00005B700000}"/>
    <cellStyle name="Обычный 7 8 2 2 2" xfId="54376" xr:uid="{00000000-0005-0000-0000-00005C700000}"/>
    <cellStyle name="Обычный 7 8 2 3" xfId="11655" xr:uid="{00000000-0005-0000-0000-00005D700000}"/>
    <cellStyle name="Обычный 7 8 2 4" xfId="16995" xr:uid="{00000000-0005-0000-0000-00005E700000}"/>
    <cellStyle name="Обычный 7 8 2 5" xfId="22335" xr:uid="{00000000-0005-0000-0000-00005F700000}"/>
    <cellStyle name="Обычный 7 8 2 6" xfId="27675" xr:uid="{00000000-0005-0000-0000-000060700000}"/>
    <cellStyle name="Обычный 7 8 2 7" xfId="33015" xr:uid="{00000000-0005-0000-0000-000061700000}"/>
    <cellStyle name="Обычный 7 8 2 8" xfId="38355" xr:uid="{00000000-0005-0000-0000-000062700000}"/>
    <cellStyle name="Обычный 7 8 2 9" xfId="43695" xr:uid="{00000000-0005-0000-0000-000063700000}"/>
    <cellStyle name="Обычный 7 8 3" xfId="5847" xr:uid="{00000000-0005-0000-0000-000064700000}"/>
    <cellStyle name="Обычный 7 8 3 2" xfId="53909" xr:uid="{00000000-0005-0000-0000-000065700000}"/>
    <cellStyle name="Обычный 7 8 4" xfId="11188" xr:uid="{00000000-0005-0000-0000-000066700000}"/>
    <cellStyle name="Обычный 7 8 5" xfId="16528" xr:uid="{00000000-0005-0000-0000-000067700000}"/>
    <cellStyle name="Обычный 7 8 6" xfId="21868" xr:uid="{00000000-0005-0000-0000-000068700000}"/>
    <cellStyle name="Обычный 7 8 7" xfId="27208" xr:uid="{00000000-0005-0000-0000-000069700000}"/>
    <cellStyle name="Обычный 7 8 8" xfId="32548" xr:uid="{00000000-0005-0000-0000-00006A700000}"/>
    <cellStyle name="Обычный 7 8 9" xfId="37888" xr:uid="{00000000-0005-0000-0000-00006B700000}"/>
    <cellStyle name="Обычный 7 80" xfId="2935" xr:uid="{00000000-0005-0000-0000-00006C700000}"/>
    <cellStyle name="Обычный 7 80 10" xfId="50999" xr:uid="{00000000-0005-0000-0000-00006D700000}"/>
    <cellStyle name="Обычный 7 80 2" xfId="8278" xr:uid="{00000000-0005-0000-0000-00006E700000}"/>
    <cellStyle name="Обычный 7 80 2 2" xfId="56340" xr:uid="{00000000-0005-0000-0000-00006F700000}"/>
    <cellStyle name="Обычный 7 80 3" xfId="13619" xr:uid="{00000000-0005-0000-0000-000070700000}"/>
    <cellStyle name="Обычный 7 80 4" xfId="18959" xr:uid="{00000000-0005-0000-0000-000071700000}"/>
    <cellStyle name="Обычный 7 80 5" xfId="24299" xr:uid="{00000000-0005-0000-0000-000072700000}"/>
    <cellStyle name="Обычный 7 80 6" xfId="29639" xr:uid="{00000000-0005-0000-0000-000073700000}"/>
    <cellStyle name="Обычный 7 80 7" xfId="34979" xr:uid="{00000000-0005-0000-0000-000074700000}"/>
    <cellStyle name="Обычный 7 80 8" xfId="40319" xr:uid="{00000000-0005-0000-0000-000075700000}"/>
    <cellStyle name="Обычный 7 80 9" xfId="45659" xr:uid="{00000000-0005-0000-0000-000076700000}"/>
    <cellStyle name="Обычный 7 81" xfId="2967" xr:uid="{00000000-0005-0000-0000-000077700000}"/>
    <cellStyle name="Обычный 7 81 10" xfId="51031" xr:uid="{00000000-0005-0000-0000-000078700000}"/>
    <cellStyle name="Обычный 7 81 2" xfId="8310" xr:uid="{00000000-0005-0000-0000-000079700000}"/>
    <cellStyle name="Обычный 7 81 2 2" xfId="56372" xr:uid="{00000000-0005-0000-0000-00007A700000}"/>
    <cellStyle name="Обычный 7 81 3" xfId="13651" xr:uid="{00000000-0005-0000-0000-00007B700000}"/>
    <cellStyle name="Обычный 7 81 4" xfId="18991" xr:uid="{00000000-0005-0000-0000-00007C700000}"/>
    <cellStyle name="Обычный 7 81 5" xfId="24331" xr:uid="{00000000-0005-0000-0000-00007D700000}"/>
    <cellStyle name="Обычный 7 81 6" xfId="29671" xr:uid="{00000000-0005-0000-0000-00007E700000}"/>
    <cellStyle name="Обычный 7 81 7" xfId="35011" xr:uid="{00000000-0005-0000-0000-00007F700000}"/>
    <cellStyle name="Обычный 7 81 8" xfId="40351" xr:uid="{00000000-0005-0000-0000-000080700000}"/>
    <cellStyle name="Обычный 7 81 9" xfId="45691" xr:uid="{00000000-0005-0000-0000-000081700000}"/>
    <cellStyle name="Обычный 7 82" xfId="2999" xr:uid="{00000000-0005-0000-0000-000082700000}"/>
    <cellStyle name="Обычный 7 82 10" xfId="51063" xr:uid="{00000000-0005-0000-0000-000083700000}"/>
    <cellStyle name="Обычный 7 82 2" xfId="8342" xr:uid="{00000000-0005-0000-0000-000084700000}"/>
    <cellStyle name="Обычный 7 82 2 2" xfId="56404" xr:uid="{00000000-0005-0000-0000-000085700000}"/>
    <cellStyle name="Обычный 7 82 3" xfId="13683" xr:uid="{00000000-0005-0000-0000-000086700000}"/>
    <cellStyle name="Обычный 7 82 4" xfId="19023" xr:uid="{00000000-0005-0000-0000-000087700000}"/>
    <cellStyle name="Обычный 7 82 5" xfId="24363" xr:uid="{00000000-0005-0000-0000-000088700000}"/>
    <cellStyle name="Обычный 7 82 6" xfId="29703" xr:uid="{00000000-0005-0000-0000-000089700000}"/>
    <cellStyle name="Обычный 7 82 7" xfId="35043" xr:uid="{00000000-0005-0000-0000-00008A700000}"/>
    <cellStyle name="Обычный 7 82 8" xfId="40383" xr:uid="{00000000-0005-0000-0000-00008B700000}"/>
    <cellStyle name="Обычный 7 82 9" xfId="45723" xr:uid="{00000000-0005-0000-0000-00008C700000}"/>
    <cellStyle name="Обычный 7 83" xfId="3031" xr:uid="{00000000-0005-0000-0000-00008D700000}"/>
    <cellStyle name="Обычный 7 83 10" xfId="51095" xr:uid="{00000000-0005-0000-0000-00008E700000}"/>
    <cellStyle name="Обычный 7 83 2" xfId="8374" xr:uid="{00000000-0005-0000-0000-00008F700000}"/>
    <cellStyle name="Обычный 7 83 2 2" xfId="56436" xr:uid="{00000000-0005-0000-0000-000090700000}"/>
    <cellStyle name="Обычный 7 83 3" xfId="13715" xr:uid="{00000000-0005-0000-0000-000091700000}"/>
    <cellStyle name="Обычный 7 83 4" xfId="19055" xr:uid="{00000000-0005-0000-0000-000092700000}"/>
    <cellStyle name="Обычный 7 83 5" xfId="24395" xr:uid="{00000000-0005-0000-0000-000093700000}"/>
    <cellStyle name="Обычный 7 83 6" xfId="29735" xr:uid="{00000000-0005-0000-0000-000094700000}"/>
    <cellStyle name="Обычный 7 83 7" xfId="35075" xr:uid="{00000000-0005-0000-0000-000095700000}"/>
    <cellStyle name="Обычный 7 83 8" xfId="40415" xr:uid="{00000000-0005-0000-0000-000096700000}"/>
    <cellStyle name="Обычный 7 83 9" xfId="45755" xr:uid="{00000000-0005-0000-0000-000097700000}"/>
    <cellStyle name="Обычный 7 84" xfId="3063" xr:uid="{00000000-0005-0000-0000-000098700000}"/>
    <cellStyle name="Обычный 7 84 10" xfId="51127" xr:uid="{00000000-0005-0000-0000-000099700000}"/>
    <cellStyle name="Обычный 7 84 2" xfId="8406" xr:uid="{00000000-0005-0000-0000-00009A700000}"/>
    <cellStyle name="Обычный 7 84 2 2" xfId="56468" xr:uid="{00000000-0005-0000-0000-00009B700000}"/>
    <cellStyle name="Обычный 7 84 3" xfId="13747" xr:uid="{00000000-0005-0000-0000-00009C700000}"/>
    <cellStyle name="Обычный 7 84 4" xfId="19087" xr:uid="{00000000-0005-0000-0000-00009D700000}"/>
    <cellStyle name="Обычный 7 84 5" xfId="24427" xr:uid="{00000000-0005-0000-0000-00009E700000}"/>
    <cellStyle name="Обычный 7 84 6" xfId="29767" xr:uid="{00000000-0005-0000-0000-00009F700000}"/>
    <cellStyle name="Обычный 7 84 7" xfId="35107" xr:uid="{00000000-0005-0000-0000-0000A0700000}"/>
    <cellStyle name="Обычный 7 84 8" xfId="40447" xr:uid="{00000000-0005-0000-0000-0000A1700000}"/>
    <cellStyle name="Обычный 7 84 9" xfId="45787" xr:uid="{00000000-0005-0000-0000-0000A2700000}"/>
    <cellStyle name="Обычный 7 85" xfId="3095" xr:uid="{00000000-0005-0000-0000-0000A3700000}"/>
    <cellStyle name="Обычный 7 85 10" xfId="51159" xr:uid="{00000000-0005-0000-0000-0000A4700000}"/>
    <cellStyle name="Обычный 7 85 2" xfId="8438" xr:uid="{00000000-0005-0000-0000-0000A5700000}"/>
    <cellStyle name="Обычный 7 85 2 2" xfId="56500" xr:uid="{00000000-0005-0000-0000-0000A6700000}"/>
    <cellStyle name="Обычный 7 85 3" xfId="13779" xr:uid="{00000000-0005-0000-0000-0000A7700000}"/>
    <cellStyle name="Обычный 7 85 4" xfId="19119" xr:uid="{00000000-0005-0000-0000-0000A8700000}"/>
    <cellStyle name="Обычный 7 85 5" xfId="24459" xr:uid="{00000000-0005-0000-0000-0000A9700000}"/>
    <cellStyle name="Обычный 7 85 6" xfId="29799" xr:uid="{00000000-0005-0000-0000-0000AA700000}"/>
    <cellStyle name="Обычный 7 85 7" xfId="35139" xr:uid="{00000000-0005-0000-0000-0000AB700000}"/>
    <cellStyle name="Обычный 7 85 8" xfId="40479" xr:uid="{00000000-0005-0000-0000-0000AC700000}"/>
    <cellStyle name="Обычный 7 85 9" xfId="45819" xr:uid="{00000000-0005-0000-0000-0000AD700000}"/>
    <cellStyle name="Обычный 7 86" xfId="3128" xr:uid="{00000000-0005-0000-0000-0000AE700000}"/>
    <cellStyle name="Обычный 7 86 10" xfId="51191" xr:uid="{00000000-0005-0000-0000-0000AF700000}"/>
    <cellStyle name="Обычный 7 86 2" xfId="8471" xr:uid="{00000000-0005-0000-0000-0000B0700000}"/>
    <cellStyle name="Обычный 7 86 2 2" xfId="56532" xr:uid="{00000000-0005-0000-0000-0000B1700000}"/>
    <cellStyle name="Обычный 7 86 3" xfId="13811" xr:uid="{00000000-0005-0000-0000-0000B2700000}"/>
    <cellStyle name="Обычный 7 86 4" xfId="19151" xr:uid="{00000000-0005-0000-0000-0000B3700000}"/>
    <cellStyle name="Обычный 7 86 5" xfId="24491" xr:uid="{00000000-0005-0000-0000-0000B4700000}"/>
    <cellStyle name="Обычный 7 86 6" xfId="29831" xr:uid="{00000000-0005-0000-0000-0000B5700000}"/>
    <cellStyle name="Обычный 7 86 7" xfId="35171" xr:uid="{00000000-0005-0000-0000-0000B6700000}"/>
    <cellStyle name="Обычный 7 86 8" xfId="40511" xr:uid="{00000000-0005-0000-0000-0000B7700000}"/>
    <cellStyle name="Обычный 7 86 9" xfId="45851" xr:uid="{00000000-0005-0000-0000-0000B8700000}"/>
    <cellStyle name="Обычный 7 87" xfId="3160" xr:uid="{00000000-0005-0000-0000-0000B9700000}"/>
    <cellStyle name="Обычный 7 87 10" xfId="51223" xr:uid="{00000000-0005-0000-0000-0000BA700000}"/>
    <cellStyle name="Обычный 7 87 2" xfId="8503" xr:uid="{00000000-0005-0000-0000-0000BB700000}"/>
    <cellStyle name="Обычный 7 87 2 2" xfId="56564" xr:uid="{00000000-0005-0000-0000-0000BC700000}"/>
    <cellStyle name="Обычный 7 87 3" xfId="13843" xr:uid="{00000000-0005-0000-0000-0000BD700000}"/>
    <cellStyle name="Обычный 7 87 4" xfId="19183" xr:uid="{00000000-0005-0000-0000-0000BE700000}"/>
    <cellStyle name="Обычный 7 87 5" xfId="24523" xr:uid="{00000000-0005-0000-0000-0000BF700000}"/>
    <cellStyle name="Обычный 7 87 6" xfId="29863" xr:uid="{00000000-0005-0000-0000-0000C0700000}"/>
    <cellStyle name="Обычный 7 87 7" xfId="35203" xr:uid="{00000000-0005-0000-0000-0000C1700000}"/>
    <cellStyle name="Обычный 7 87 8" xfId="40543" xr:uid="{00000000-0005-0000-0000-0000C2700000}"/>
    <cellStyle name="Обычный 7 87 9" xfId="45883" xr:uid="{00000000-0005-0000-0000-0000C3700000}"/>
    <cellStyle name="Обычный 7 88" xfId="3192" xr:uid="{00000000-0005-0000-0000-0000C4700000}"/>
    <cellStyle name="Обычный 7 88 10" xfId="51255" xr:uid="{00000000-0005-0000-0000-0000C5700000}"/>
    <cellStyle name="Обычный 7 88 2" xfId="8535" xr:uid="{00000000-0005-0000-0000-0000C6700000}"/>
    <cellStyle name="Обычный 7 88 2 2" xfId="56596" xr:uid="{00000000-0005-0000-0000-0000C7700000}"/>
    <cellStyle name="Обычный 7 88 3" xfId="13875" xr:uid="{00000000-0005-0000-0000-0000C8700000}"/>
    <cellStyle name="Обычный 7 88 4" xfId="19215" xr:uid="{00000000-0005-0000-0000-0000C9700000}"/>
    <cellStyle name="Обычный 7 88 5" xfId="24555" xr:uid="{00000000-0005-0000-0000-0000CA700000}"/>
    <cellStyle name="Обычный 7 88 6" xfId="29895" xr:uid="{00000000-0005-0000-0000-0000CB700000}"/>
    <cellStyle name="Обычный 7 88 7" xfId="35235" xr:uid="{00000000-0005-0000-0000-0000CC700000}"/>
    <cellStyle name="Обычный 7 88 8" xfId="40575" xr:uid="{00000000-0005-0000-0000-0000CD700000}"/>
    <cellStyle name="Обычный 7 88 9" xfId="45915" xr:uid="{00000000-0005-0000-0000-0000CE700000}"/>
    <cellStyle name="Обычный 7 89" xfId="3224" xr:uid="{00000000-0005-0000-0000-0000CF700000}"/>
    <cellStyle name="Обычный 7 89 10" xfId="51287" xr:uid="{00000000-0005-0000-0000-0000D0700000}"/>
    <cellStyle name="Обычный 7 89 2" xfId="8567" xr:uid="{00000000-0005-0000-0000-0000D1700000}"/>
    <cellStyle name="Обычный 7 89 2 2" xfId="56628" xr:uid="{00000000-0005-0000-0000-0000D2700000}"/>
    <cellStyle name="Обычный 7 89 3" xfId="13907" xr:uid="{00000000-0005-0000-0000-0000D3700000}"/>
    <cellStyle name="Обычный 7 89 4" xfId="19247" xr:uid="{00000000-0005-0000-0000-0000D4700000}"/>
    <cellStyle name="Обычный 7 89 5" xfId="24587" xr:uid="{00000000-0005-0000-0000-0000D5700000}"/>
    <cellStyle name="Обычный 7 89 6" xfId="29927" xr:uid="{00000000-0005-0000-0000-0000D6700000}"/>
    <cellStyle name="Обычный 7 89 7" xfId="35267" xr:uid="{00000000-0005-0000-0000-0000D7700000}"/>
    <cellStyle name="Обычный 7 89 8" xfId="40607" xr:uid="{00000000-0005-0000-0000-0000D8700000}"/>
    <cellStyle name="Обычный 7 89 9" xfId="45947" xr:uid="{00000000-0005-0000-0000-0000D9700000}"/>
    <cellStyle name="Обычный 7 9" xfId="518" xr:uid="{00000000-0005-0000-0000-0000DA700000}"/>
    <cellStyle name="Обычный 7 9 10" xfId="43240" xr:uid="{00000000-0005-0000-0000-0000DB700000}"/>
    <cellStyle name="Обычный 7 9 11" xfId="48580" xr:uid="{00000000-0005-0000-0000-0000DC700000}"/>
    <cellStyle name="Обычный 7 9 2" xfId="985" xr:uid="{00000000-0005-0000-0000-0000DD700000}"/>
    <cellStyle name="Обычный 7 9 2 10" xfId="49047" xr:uid="{00000000-0005-0000-0000-0000DE700000}"/>
    <cellStyle name="Обычный 7 9 2 2" xfId="6326" xr:uid="{00000000-0005-0000-0000-0000DF700000}"/>
    <cellStyle name="Обычный 7 9 2 2 2" xfId="54388" xr:uid="{00000000-0005-0000-0000-0000E0700000}"/>
    <cellStyle name="Обычный 7 9 2 3" xfId="11667" xr:uid="{00000000-0005-0000-0000-0000E1700000}"/>
    <cellStyle name="Обычный 7 9 2 4" xfId="17007" xr:uid="{00000000-0005-0000-0000-0000E2700000}"/>
    <cellStyle name="Обычный 7 9 2 5" xfId="22347" xr:uid="{00000000-0005-0000-0000-0000E3700000}"/>
    <cellStyle name="Обычный 7 9 2 6" xfId="27687" xr:uid="{00000000-0005-0000-0000-0000E4700000}"/>
    <cellStyle name="Обычный 7 9 2 7" xfId="33027" xr:uid="{00000000-0005-0000-0000-0000E5700000}"/>
    <cellStyle name="Обычный 7 9 2 8" xfId="38367" xr:uid="{00000000-0005-0000-0000-0000E6700000}"/>
    <cellStyle name="Обычный 7 9 2 9" xfId="43707" xr:uid="{00000000-0005-0000-0000-0000E7700000}"/>
    <cellStyle name="Обычный 7 9 3" xfId="5859" xr:uid="{00000000-0005-0000-0000-0000E8700000}"/>
    <cellStyle name="Обычный 7 9 3 2" xfId="53921" xr:uid="{00000000-0005-0000-0000-0000E9700000}"/>
    <cellStyle name="Обычный 7 9 4" xfId="11200" xr:uid="{00000000-0005-0000-0000-0000EA700000}"/>
    <cellStyle name="Обычный 7 9 5" xfId="16540" xr:uid="{00000000-0005-0000-0000-0000EB700000}"/>
    <cellStyle name="Обычный 7 9 6" xfId="21880" xr:uid="{00000000-0005-0000-0000-0000EC700000}"/>
    <cellStyle name="Обычный 7 9 7" xfId="27220" xr:uid="{00000000-0005-0000-0000-0000ED700000}"/>
    <cellStyle name="Обычный 7 9 8" xfId="32560" xr:uid="{00000000-0005-0000-0000-0000EE700000}"/>
    <cellStyle name="Обычный 7 9 9" xfId="37900" xr:uid="{00000000-0005-0000-0000-0000EF700000}"/>
    <cellStyle name="Обычный 7 90" xfId="3256" xr:uid="{00000000-0005-0000-0000-0000F0700000}"/>
    <cellStyle name="Обычный 7 90 10" xfId="51319" xr:uid="{00000000-0005-0000-0000-0000F1700000}"/>
    <cellStyle name="Обычный 7 90 2" xfId="8599" xr:uid="{00000000-0005-0000-0000-0000F2700000}"/>
    <cellStyle name="Обычный 7 90 2 2" xfId="56660" xr:uid="{00000000-0005-0000-0000-0000F3700000}"/>
    <cellStyle name="Обычный 7 90 3" xfId="13939" xr:uid="{00000000-0005-0000-0000-0000F4700000}"/>
    <cellStyle name="Обычный 7 90 4" xfId="19279" xr:uid="{00000000-0005-0000-0000-0000F5700000}"/>
    <cellStyle name="Обычный 7 90 5" xfId="24619" xr:uid="{00000000-0005-0000-0000-0000F6700000}"/>
    <cellStyle name="Обычный 7 90 6" xfId="29959" xr:uid="{00000000-0005-0000-0000-0000F7700000}"/>
    <cellStyle name="Обычный 7 90 7" xfId="35299" xr:uid="{00000000-0005-0000-0000-0000F8700000}"/>
    <cellStyle name="Обычный 7 90 8" xfId="40639" xr:uid="{00000000-0005-0000-0000-0000F9700000}"/>
    <cellStyle name="Обычный 7 90 9" xfId="45979" xr:uid="{00000000-0005-0000-0000-0000FA700000}"/>
    <cellStyle name="Обычный 7 91" xfId="3288" xr:uid="{00000000-0005-0000-0000-0000FB700000}"/>
    <cellStyle name="Обычный 7 91 10" xfId="51351" xr:uid="{00000000-0005-0000-0000-0000FC700000}"/>
    <cellStyle name="Обычный 7 91 2" xfId="8631" xr:uid="{00000000-0005-0000-0000-0000FD700000}"/>
    <cellStyle name="Обычный 7 91 2 2" xfId="56692" xr:uid="{00000000-0005-0000-0000-0000FE700000}"/>
    <cellStyle name="Обычный 7 91 3" xfId="13971" xr:uid="{00000000-0005-0000-0000-0000FF700000}"/>
    <cellStyle name="Обычный 7 91 4" xfId="19311" xr:uid="{00000000-0005-0000-0000-000000710000}"/>
    <cellStyle name="Обычный 7 91 5" xfId="24651" xr:uid="{00000000-0005-0000-0000-000001710000}"/>
    <cellStyle name="Обычный 7 91 6" xfId="29991" xr:uid="{00000000-0005-0000-0000-000002710000}"/>
    <cellStyle name="Обычный 7 91 7" xfId="35331" xr:uid="{00000000-0005-0000-0000-000003710000}"/>
    <cellStyle name="Обычный 7 91 8" xfId="40671" xr:uid="{00000000-0005-0000-0000-000004710000}"/>
    <cellStyle name="Обычный 7 91 9" xfId="46011" xr:uid="{00000000-0005-0000-0000-000005710000}"/>
    <cellStyle name="Обычный 7 92" xfId="3320" xr:uid="{00000000-0005-0000-0000-000006710000}"/>
    <cellStyle name="Обычный 7 92 10" xfId="51383" xr:uid="{00000000-0005-0000-0000-000007710000}"/>
    <cellStyle name="Обычный 7 92 2" xfId="8663" xr:uid="{00000000-0005-0000-0000-000008710000}"/>
    <cellStyle name="Обычный 7 92 2 2" xfId="56724" xr:uid="{00000000-0005-0000-0000-000009710000}"/>
    <cellStyle name="Обычный 7 92 3" xfId="14003" xr:uid="{00000000-0005-0000-0000-00000A710000}"/>
    <cellStyle name="Обычный 7 92 4" xfId="19343" xr:uid="{00000000-0005-0000-0000-00000B710000}"/>
    <cellStyle name="Обычный 7 92 5" xfId="24683" xr:uid="{00000000-0005-0000-0000-00000C710000}"/>
    <cellStyle name="Обычный 7 92 6" xfId="30023" xr:uid="{00000000-0005-0000-0000-00000D710000}"/>
    <cellStyle name="Обычный 7 92 7" xfId="35363" xr:uid="{00000000-0005-0000-0000-00000E710000}"/>
    <cellStyle name="Обычный 7 92 8" xfId="40703" xr:uid="{00000000-0005-0000-0000-00000F710000}"/>
    <cellStyle name="Обычный 7 92 9" xfId="46043" xr:uid="{00000000-0005-0000-0000-000010710000}"/>
    <cellStyle name="Обычный 7 93" xfId="3352" xr:uid="{00000000-0005-0000-0000-000011710000}"/>
    <cellStyle name="Обычный 7 93 10" xfId="51415" xr:uid="{00000000-0005-0000-0000-000012710000}"/>
    <cellStyle name="Обычный 7 93 2" xfId="8695" xr:uid="{00000000-0005-0000-0000-000013710000}"/>
    <cellStyle name="Обычный 7 93 2 2" xfId="56756" xr:uid="{00000000-0005-0000-0000-000014710000}"/>
    <cellStyle name="Обычный 7 93 3" xfId="14035" xr:uid="{00000000-0005-0000-0000-000015710000}"/>
    <cellStyle name="Обычный 7 93 4" xfId="19375" xr:uid="{00000000-0005-0000-0000-000016710000}"/>
    <cellStyle name="Обычный 7 93 5" xfId="24715" xr:uid="{00000000-0005-0000-0000-000017710000}"/>
    <cellStyle name="Обычный 7 93 6" xfId="30055" xr:uid="{00000000-0005-0000-0000-000018710000}"/>
    <cellStyle name="Обычный 7 93 7" xfId="35395" xr:uid="{00000000-0005-0000-0000-000019710000}"/>
    <cellStyle name="Обычный 7 93 8" xfId="40735" xr:uid="{00000000-0005-0000-0000-00001A710000}"/>
    <cellStyle name="Обычный 7 93 9" xfId="46075" xr:uid="{00000000-0005-0000-0000-00001B710000}"/>
    <cellStyle name="Обычный 7 94" xfId="3384" xr:uid="{00000000-0005-0000-0000-00001C710000}"/>
    <cellStyle name="Обычный 7 94 10" xfId="51447" xr:uid="{00000000-0005-0000-0000-00001D710000}"/>
    <cellStyle name="Обычный 7 94 2" xfId="8727" xr:uid="{00000000-0005-0000-0000-00001E710000}"/>
    <cellStyle name="Обычный 7 94 2 2" xfId="56788" xr:uid="{00000000-0005-0000-0000-00001F710000}"/>
    <cellStyle name="Обычный 7 94 3" xfId="14067" xr:uid="{00000000-0005-0000-0000-000020710000}"/>
    <cellStyle name="Обычный 7 94 4" xfId="19407" xr:uid="{00000000-0005-0000-0000-000021710000}"/>
    <cellStyle name="Обычный 7 94 5" xfId="24747" xr:uid="{00000000-0005-0000-0000-000022710000}"/>
    <cellStyle name="Обычный 7 94 6" xfId="30087" xr:uid="{00000000-0005-0000-0000-000023710000}"/>
    <cellStyle name="Обычный 7 94 7" xfId="35427" xr:uid="{00000000-0005-0000-0000-000024710000}"/>
    <cellStyle name="Обычный 7 94 8" xfId="40767" xr:uid="{00000000-0005-0000-0000-000025710000}"/>
    <cellStyle name="Обычный 7 94 9" xfId="46107" xr:uid="{00000000-0005-0000-0000-000026710000}"/>
    <cellStyle name="Обычный 7 95" xfId="3416" xr:uid="{00000000-0005-0000-0000-000027710000}"/>
    <cellStyle name="Обычный 7 95 10" xfId="51479" xr:uid="{00000000-0005-0000-0000-000028710000}"/>
    <cellStyle name="Обычный 7 95 2" xfId="8759" xr:uid="{00000000-0005-0000-0000-000029710000}"/>
    <cellStyle name="Обычный 7 95 2 2" xfId="56820" xr:uid="{00000000-0005-0000-0000-00002A710000}"/>
    <cellStyle name="Обычный 7 95 3" xfId="14099" xr:uid="{00000000-0005-0000-0000-00002B710000}"/>
    <cellStyle name="Обычный 7 95 4" xfId="19439" xr:uid="{00000000-0005-0000-0000-00002C710000}"/>
    <cellStyle name="Обычный 7 95 5" xfId="24779" xr:uid="{00000000-0005-0000-0000-00002D710000}"/>
    <cellStyle name="Обычный 7 95 6" xfId="30119" xr:uid="{00000000-0005-0000-0000-00002E710000}"/>
    <cellStyle name="Обычный 7 95 7" xfId="35459" xr:uid="{00000000-0005-0000-0000-00002F710000}"/>
    <cellStyle name="Обычный 7 95 8" xfId="40799" xr:uid="{00000000-0005-0000-0000-000030710000}"/>
    <cellStyle name="Обычный 7 95 9" xfId="46139" xr:uid="{00000000-0005-0000-0000-000031710000}"/>
    <cellStyle name="Обычный 7 96" xfId="3448" xr:uid="{00000000-0005-0000-0000-000032710000}"/>
    <cellStyle name="Обычный 7 96 10" xfId="51511" xr:uid="{00000000-0005-0000-0000-000033710000}"/>
    <cellStyle name="Обычный 7 96 2" xfId="8791" xr:uid="{00000000-0005-0000-0000-000034710000}"/>
    <cellStyle name="Обычный 7 96 2 2" xfId="56852" xr:uid="{00000000-0005-0000-0000-000035710000}"/>
    <cellStyle name="Обычный 7 96 3" xfId="14131" xr:uid="{00000000-0005-0000-0000-000036710000}"/>
    <cellStyle name="Обычный 7 96 4" xfId="19471" xr:uid="{00000000-0005-0000-0000-000037710000}"/>
    <cellStyle name="Обычный 7 96 5" xfId="24811" xr:uid="{00000000-0005-0000-0000-000038710000}"/>
    <cellStyle name="Обычный 7 96 6" xfId="30151" xr:uid="{00000000-0005-0000-0000-000039710000}"/>
    <cellStyle name="Обычный 7 96 7" xfId="35491" xr:uid="{00000000-0005-0000-0000-00003A710000}"/>
    <cellStyle name="Обычный 7 96 8" xfId="40831" xr:uid="{00000000-0005-0000-0000-00003B710000}"/>
    <cellStyle name="Обычный 7 96 9" xfId="46171" xr:uid="{00000000-0005-0000-0000-00003C710000}"/>
    <cellStyle name="Обычный 7 97" xfId="3480" xr:uid="{00000000-0005-0000-0000-00003D710000}"/>
    <cellStyle name="Обычный 7 97 10" xfId="51543" xr:uid="{00000000-0005-0000-0000-00003E710000}"/>
    <cellStyle name="Обычный 7 97 2" xfId="8823" xr:uid="{00000000-0005-0000-0000-00003F710000}"/>
    <cellStyle name="Обычный 7 97 2 2" xfId="56884" xr:uid="{00000000-0005-0000-0000-000040710000}"/>
    <cellStyle name="Обычный 7 97 3" xfId="14163" xr:uid="{00000000-0005-0000-0000-000041710000}"/>
    <cellStyle name="Обычный 7 97 4" xfId="19503" xr:uid="{00000000-0005-0000-0000-000042710000}"/>
    <cellStyle name="Обычный 7 97 5" xfId="24843" xr:uid="{00000000-0005-0000-0000-000043710000}"/>
    <cellStyle name="Обычный 7 97 6" xfId="30183" xr:uid="{00000000-0005-0000-0000-000044710000}"/>
    <cellStyle name="Обычный 7 97 7" xfId="35523" xr:uid="{00000000-0005-0000-0000-000045710000}"/>
    <cellStyle name="Обычный 7 97 8" xfId="40863" xr:uid="{00000000-0005-0000-0000-000046710000}"/>
    <cellStyle name="Обычный 7 97 9" xfId="46203" xr:uid="{00000000-0005-0000-0000-000047710000}"/>
    <cellStyle name="Обычный 7 98" xfId="3512" xr:uid="{00000000-0005-0000-0000-000048710000}"/>
    <cellStyle name="Обычный 7 98 10" xfId="51575" xr:uid="{00000000-0005-0000-0000-000049710000}"/>
    <cellStyle name="Обычный 7 98 2" xfId="8855" xr:uid="{00000000-0005-0000-0000-00004A710000}"/>
    <cellStyle name="Обычный 7 98 2 2" xfId="56916" xr:uid="{00000000-0005-0000-0000-00004B710000}"/>
    <cellStyle name="Обычный 7 98 3" xfId="14195" xr:uid="{00000000-0005-0000-0000-00004C710000}"/>
    <cellStyle name="Обычный 7 98 4" xfId="19535" xr:uid="{00000000-0005-0000-0000-00004D710000}"/>
    <cellStyle name="Обычный 7 98 5" xfId="24875" xr:uid="{00000000-0005-0000-0000-00004E710000}"/>
    <cellStyle name="Обычный 7 98 6" xfId="30215" xr:uid="{00000000-0005-0000-0000-00004F710000}"/>
    <cellStyle name="Обычный 7 98 7" xfId="35555" xr:uid="{00000000-0005-0000-0000-000050710000}"/>
    <cellStyle name="Обычный 7 98 8" xfId="40895" xr:uid="{00000000-0005-0000-0000-000051710000}"/>
    <cellStyle name="Обычный 7 98 9" xfId="46235" xr:uid="{00000000-0005-0000-0000-000052710000}"/>
    <cellStyle name="Обычный 7 99" xfId="3544" xr:uid="{00000000-0005-0000-0000-000053710000}"/>
    <cellStyle name="Обычный 7 99 10" xfId="51607" xr:uid="{00000000-0005-0000-0000-000054710000}"/>
    <cellStyle name="Обычный 7 99 2" xfId="8887" xr:uid="{00000000-0005-0000-0000-000055710000}"/>
    <cellStyle name="Обычный 7 99 2 2" xfId="56948" xr:uid="{00000000-0005-0000-0000-000056710000}"/>
    <cellStyle name="Обычный 7 99 3" xfId="14227" xr:uid="{00000000-0005-0000-0000-000057710000}"/>
    <cellStyle name="Обычный 7 99 4" xfId="19567" xr:uid="{00000000-0005-0000-0000-000058710000}"/>
    <cellStyle name="Обычный 7 99 5" xfId="24907" xr:uid="{00000000-0005-0000-0000-000059710000}"/>
    <cellStyle name="Обычный 7 99 6" xfId="30247" xr:uid="{00000000-0005-0000-0000-00005A710000}"/>
    <cellStyle name="Обычный 7 99 7" xfId="35587" xr:uid="{00000000-0005-0000-0000-00005B710000}"/>
    <cellStyle name="Обычный 7 99 8" xfId="40927" xr:uid="{00000000-0005-0000-0000-00005C710000}"/>
    <cellStyle name="Обычный 7 99 9" xfId="46267" xr:uid="{00000000-0005-0000-0000-00005D710000}"/>
    <cellStyle name="Обычный 8" xfId="17" xr:uid="{00000000-0005-0000-0000-00005E710000}"/>
    <cellStyle name="Обычный 8 10" xfId="1292" xr:uid="{00000000-0005-0000-0000-00005F710000}"/>
    <cellStyle name="Обычный 8 10 10" xfId="49355" xr:uid="{00000000-0005-0000-0000-000060710000}"/>
    <cellStyle name="Обычный 8 10 2" xfId="6634" xr:uid="{00000000-0005-0000-0000-000061710000}"/>
    <cellStyle name="Обычный 8 10 2 2" xfId="54696" xr:uid="{00000000-0005-0000-0000-000062710000}"/>
    <cellStyle name="Обычный 8 10 3" xfId="11975" xr:uid="{00000000-0005-0000-0000-000063710000}"/>
    <cellStyle name="Обычный 8 10 4" xfId="17315" xr:uid="{00000000-0005-0000-0000-000064710000}"/>
    <cellStyle name="Обычный 8 10 5" xfId="22655" xr:uid="{00000000-0005-0000-0000-000065710000}"/>
    <cellStyle name="Обычный 8 10 6" xfId="27995" xr:uid="{00000000-0005-0000-0000-000066710000}"/>
    <cellStyle name="Обычный 8 10 7" xfId="33335" xr:uid="{00000000-0005-0000-0000-000067710000}"/>
    <cellStyle name="Обычный 8 10 8" xfId="38675" xr:uid="{00000000-0005-0000-0000-000068710000}"/>
    <cellStyle name="Обычный 8 10 9" xfId="44015" xr:uid="{00000000-0005-0000-0000-000069710000}"/>
    <cellStyle name="Обычный 8 100" xfId="3974" xr:uid="{00000000-0005-0000-0000-00006A710000}"/>
    <cellStyle name="Обычный 8 100 10" xfId="52037" xr:uid="{00000000-0005-0000-0000-00006B710000}"/>
    <cellStyle name="Обычный 8 100 2" xfId="9317" xr:uid="{00000000-0005-0000-0000-00006C710000}"/>
    <cellStyle name="Обычный 8 100 2 2" xfId="57378" xr:uid="{00000000-0005-0000-0000-00006D710000}"/>
    <cellStyle name="Обычный 8 100 3" xfId="14657" xr:uid="{00000000-0005-0000-0000-00006E710000}"/>
    <cellStyle name="Обычный 8 100 4" xfId="19997" xr:uid="{00000000-0005-0000-0000-00006F710000}"/>
    <cellStyle name="Обычный 8 100 5" xfId="25337" xr:uid="{00000000-0005-0000-0000-000070710000}"/>
    <cellStyle name="Обычный 8 100 6" xfId="30677" xr:uid="{00000000-0005-0000-0000-000071710000}"/>
    <cellStyle name="Обычный 8 100 7" xfId="36017" xr:uid="{00000000-0005-0000-0000-000072710000}"/>
    <cellStyle name="Обычный 8 100 8" xfId="41357" xr:uid="{00000000-0005-0000-0000-000073710000}"/>
    <cellStyle name="Обычный 8 100 9" xfId="46697" xr:uid="{00000000-0005-0000-0000-000074710000}"/>
    <cellStyle name="Обычный 8 101" xfId="4006" xr:uid="{00000000-0005-0000-0000-000075710000}"/>
    <cellStyle name="Обычный 8 101 10" xfId="52069" xr:uid="{00000000-0005-0000-0000-000076710000}"/>
    <cellStyle name="Обычный 8 101 2" xfId="9349" xr:uid="{00000000-0005-0000-0000-000077710000}"/>
    <cellStyle name="Обычный 8 101 2 2" xfId="57410" xr:uid="{00000000-0005-0000-0000-000078710000}"/>
    <cellStyle name="Обычный 8 101 3" xfId="14689" xr:uid="{00000000-0005-0000-0000-000079710000}"/>
    <cellStyle name="Обычный 8 101 4" xfId="20029" xr:uid="{00000000-0005-0000-0000-00007A710000}"/>
    <cellStyle name="Обычный 8 101 5" xfId="25369" xr:uid="{00000000-0005-0000-0000-00007B710000}"/>
    <cellStyle name="Обычный 8 101 6" xfId="30709" xr:uid="{00000000-0005-0000-0000-00007C710000}"/>
    <cellStyle name="Обычный 8 101 7" xfId="36049" xr:uid="{00000000-0005-0000-0000-00007D710000}"/>
    <cellStyle name="Обычный 8 101 8" xfId="41389" xr:uid="{00000000-0005-0000-0000-00007E710000}"/>
    <cellStyle name="Обычный 8 101 9" xfId="46729" xr:uid="{00000000-0005-0000-0000-00007F710000}"/>
    <cellStyle name="Обычный 8 102" xfId="4038" xr:uid="{00000000-0005-0000-0000-000080710000}"/>
    <cellStyle name="Обычный 8 102 10" xfId="52101" xr:uid="{00000000-0005-0000-0000-000081710000}"/>
    <cellStyle name="Обычный 8 102 2" xfId="9381" xr:uid="{00000000-0005-0000-0000-000082710000}"/>
    <cellStyle name="Обычный 8 102 2 2" xfId="57442" xr:uid="{00000000-0005-0000-0000-000083710000}"/>
    <cellStyle name="Обычный 8 102 3" xfId="14721" xr:uid="{00000000-0005-0000-0000-000084710000}"/>
    <cellStyle name="Обычный 8 102 4" xfId="20061" xr:uid="{00000000-0005-0000-0000-000085710000}"/>
    <cellStyle name="Обычный 8 102 5" xfId="25401" xr:uid="{00000000-0005-0000-0000-000086710000}"/>
    <cellStyle name="Обычный 8 102 6" xfId="30741" xr:uid="{00000000-0005-0000-0000-000087710000}"/>
    <cellStyle name="Обычный 8 102 7" xfId="36081" xr:uid="{00000000-0005-0000-0000-000088710000}"/>
    <cellStyle name="Обычный 8 102 8" xfId="41421" xr:uid="{00000000-0005-0000-0000-000089710000}"/>
    <cellStyle name="Обычный 8 102 9" xfId="46761" xr:uid="{00000000-0005-0000-0000-00008A710000}"/>
    <cellStyle name="Обычный 8 103" xfId="4070" xr:uid="{00000000-0005-0000-0000-00008B710000}"/>
    <cellStyle name="Обычный 8 103 10" xfId="52133" xr:uid="{00000000-0005-0000-0000-00008C710000}"/>
    <cellStyle name="Обычный 8 103 2" xfId="9413" xr:uid="{00000000-0005-0000-0000-00008D710000}"/>
    <cellStyle name="Обычный 8 103 2 2" xfId="57474" xr:uid="{00000000-0005-0000-0000-00008E710000}"/>
    <cellStyle name="Обычный 8 103 3" xfId="14753" xr:uid="{00000000-0005-0000-0000-00008F710000}"/>
    <cellStyle name="Обычный 8 103 4" xfId="20093" xr:uid="{00000000-0005-0000-0000-000090710000}"/>
    <cellStyle name="Обычный 8 103 5" xfId="25433" xr:uid="{00000000-0005-0000-0000-000091710000}"/>
    <cellStyle name="Обычный 8 103 6" xfId="30773" xr:uid="{00000000-0005-0000-0000-000092710000}"/>
    <cellStyle name="Обычный 8 103 7" xfId="36113" xr:uid="{00000000-0005-0000-0000-000093710000}"/>
    <cellStyle name="Обычный 8 103 8" xfId="41453" xr:uid="{00000000-0005-0000-0000-000094710000}"/>
    <cellStyle name="Обычный 8 103 9" xfId="46793" xr:uid="{00000000-0005-0000-0000-000095710000}"/>
    <cellStyle name="Обычный 8 104" xfId="4102" xr:uid="{00000000-0005-0000-0000-000096710000}"/>
    <cellStyle name="Обычный 8 104 10" xfId="52165" xr:uid="{00000000-0005-0000-0000-000097710000}"/>
    <cellStyle name="Обычный 8 104 2" xfId="9445" xr:uid="{00000000-0005-0000-0000-000098710000}"/>
    <cellStyle name="Обычный 8 104 2 2" xfId="57506" xr:uid="{00000000-0005-0000-0000-000099710000}"/>
    <cellStyle name="Обычный 8 104 3" xfId="14785" xr:uid="{00000000-0005-0000-0000-00009A710000}"/>
    <cellStyle name="Обычный 8 104 4" xfId="20125" xr:uid="{00000000-0005-0000-0000-00009B710000}"/>
    <cellStyle name="Обычный 8 104 5" xfId="25465" xr:uid="{00000000-0005-0000-0000-00009C710000}"/>
    <cellStyle name="Обычный 8 104 6" xfId="30805" xr:uid="{00000000-0005-0000-0000-00009D710000}"/>
    <cellStyle name="Обычный 8 104 7" xfId="36145" xr:uid="{00000000-0005-0000-0000-00009E710000}"/>
    <cellStyle name="Обычный 8 104 8" xfId="41485" xr:uid="{00000000-0005-0000-0000-00009F710000}"/>
    <cellStyle name="Обычный 8 104 9" xfId="46825" xr:uid="{00000000-0005-0000-0000-0000A0710000}"/>
    <cellStyle name="Обычный 8 105" xfId="4134" xr:uid="{00000000-0005-0000-0000-0000A1710000}"/>
    <cellStyle name="Обычный 8 105 10" xfId="52197" xr:uid="{00000000-0005-0000-0000-0000A2710000}"/>
    <cellStyle name="Обычный 8 105 2" xfId="9477" xr:uid="{00000000-0005-0000-0000-0000A3710000}"/>
    <cellStyle name="Обычный 8 105 2 2" xfId="57538" xr:uid="{00000000-0005-0000-0000-0000A4710000}"/>
    <cellStyle name="Обычный 8 105 3" xfId="14817" xr:uid="{00000000-0005-0000-0000-0000A5710000}"/>
    <cellStyle name="Обычный 8 105 4" xfId="20157" xr:uid="{00000000-0005-0000-0000-0000A6710000}"/>
    <cellStyle name="Обычный 8 105 5" xfId="25497" xr:uid="{00000000-0005-0000-0000-0000A7710000}"/>
    <cellStyle name="Обычный 8 105 6" xfId="30837" xr:uid="{00000000-0005-0000-0000-0000A8710000}"/>
    <cellStyle name="Обычный 8 105 7" xfId="36177" xr:uid="{00000000-0005-0000-0000-0000A9710000}"/>
    <cellStyle name="Обычный 8 105 8" xfId="41517" xr:uid="{00000000-0005-0000-0000-0000AA710000}"/>
    <cellStyle name="Обычный 8 105 9" xfId="46857" xr:uid="{00000000-0005-0000-0000-0000AB710000}"/>
    <cellStyle name="Обычный 8 106" xfId="4166" xr:uid="{00000000-0005-0000-0000-0000AC710000}"/>
    <cellStyle name="Обычный 8 106 10" xfId="52229" xr:uid="{00000000-0005-0000-0000-0000AD710000}"/>
    <cellStyle name="Обычный 8 106 2" xfId="9509" xr:uid="{00000000-0005-0000-0000-0000AE710000}"/>
    <cellStyle name="Обычный 8 106 2 2" xfId="57570" xr:uid="{00000000-0005-0000-0000-0000AF710000}"/>
    <cellStyle name="Обычный 8 106 3" xfId="14849" xr:uid="{00000000-0005-0000-0000-0000B0710000}"/>
    <cellStyle name="Обычный 8 106 4" xfId="20189" xr:uid="{00000000-0005-0000-0000-0000B1710000}"/>
    <cellStyle name="Обычный 8 106 5" xfId="25529" xr:uid="{00000000-0005-0000-0000-0000B2710000}"/>
    <cellStyle name="Обычный 8 106 6" xfId="30869" xr:uid="{00000000-0005-0000-0000-0000B3710000}"/>
    <cellStyle name="Обычный 8 106 7" xfId="36209" xr:uid="{00000000-0005-0000-0000-0000B4710000}"/>
    <cellStyle name="Обычный 8 106 8" xfId="41549" xr:uid="{00000000-0005-0000-0000-0000B5710000}"/>
    <cellStyle name="Обычный 8 106 9" xfId="46889" xr:uid="{00000000-0005-0000-0000-0000B6710000}"/>
    <cellStyle name="Обычный 8 107" xfId="4198" xr:uid="{00000000-0005-0000-0000-0000B7710000}"/>
    <cellStyle name="Обычный 8 107 10" xfId="52261" xr:uid="{00000000-0005-0000-0000-0000B8710000}"/>
    <cellStyle name="Обычный 8 107 2" xfId="9541" xr:uid="{00000000-0005-0000-0000-0000B9710000}"/>
    <cellStyle name="Обычный 8 107 2 2" xfId="57602" xr:uid="{00000000-0005-0000-0000-0000BA710000}"/>
    <cellStyle name="Обычный 8 107 3" xfId="14881" xr:uid="{00000000-0005-0000-0000-0000BB710000}"/>
    <cellStyle name="Обычный 8 107 4" xfId="20221" xr:uid="{00000000-0005-0000-0000-0000BC710000}"/>
    <cellStyle name="Обычный 8 107 5" xfId="25561" xr:uid="{00000000-0005-0000-0000-0000BD710000}"/>
    <cellStyle name="Обычный 8 107 6" xfId="30901" xr:uid="{00000000-0005-0000-0000-0000BE710000}"/>
    <cellStyle name="Обычный 8 107 7" xfId="36241" xr:uid="{00000000-0005-0000-0000-0000BF710000}"/>
    <cellStyle name="Обычный 8 107 8" xfId="41581" xr:uid="{00000000-0005-0000-0000-0000C0710000}"/>
    <cellStyle name="Обычный 8 107 9" xfId="46921" xr:uid="{00000000-0005-0000-0000-0000C1710000}"/>
    <cellStyle name="Обычный 8 108" xfId="4230" xr:uid="{00000000-0005-0000-0000-0000C2710000}"/>
    <cellStyle name="Обычный 8 108 10" xfId="52293" xr:uid="{00000000-0005-0000-0000-0000C3710000}"/>
    <cellStyle name="Обычный 8 108 2" xfId="9573" xr:uid="{00000000-0005-0000-0000-0000C4710000}"/>
    <cellStyle name="Обычный 8 108 2 2" xfId="57634" xr:uid="{00000000-0005-0000-0000-0000C5710000}"/>
    <cellStyle name="Обычный 8 108 3" xfId="14913" xr:uid="{00000000-0005-0000-0000-0000C6710000}"/>
    <cellStyle name="Обычный 8 108 4" xfId="20253" xr:uid="{00000000-0005-0000-0000-0000C7710000}"/>
    <cellStyle name="Обычный 8 108 5" xfId="25593" xr:uid="{00000000-0005-0000-0000-0000C8710000}"/>
    <cellStyle name="Обычный 8 108 6" xfId="30933" xr:uid="{00000000-0005-0000-0000-0000C9710000}"/>
    <cellStyle name="Обычный 8 108 7" xfId="36273" xr:uid="{00000000-0005-0000-0000-0000CA710000}"/>
    <cellStyle name="Обычный 8 108 8" xfId="41613" xr:uid="{00000000-0005-0000-0000-0000CB710000}"/>
    <cellStyle name="Обычный 8 108 9" xfId="46953" xr:uid="{00000000-0005-0000-0000-0000CC710000}"/>
    <cellStyle name="Обычный 8 109" xfId="4262" xr:uid="{00000000-0005-0000-0000-0000CD710000}"/>
    <cellStyle name="Обычный 8 109 10" xfId="52325" xr:uid="{00000000-0005-0000-0000-0000CE710000}"/>
    <cellStyle name="Обычный 8 109 2" xfId="9605" xr:uid="{00000000-0005-0000-0000-0000CF710000}"/>
    <cellStyle name="Обычный 8 109 2 2" xfId="57666" xr:uid="{00000000-0005-0000-0000-0000D0710000}"/>
    <cellStyle name="Обычный 8 109 3" xfId="14945" xr:uid="{00000000-0005-0000-0000-0000D1710000}"/>
    <cellStyle name="Обычный 8 109 4" xfId="20285" xr:uid="{00000000-0005-0000-0000-0000D2710000}"/>
    <cellStyle name="Обычный 8 109 5" xfId="25625" xr:uid="{00000000-0005-0000-0000-0000D3710000}"/>
    <cellStyle name="Обычный 8 109 6" xfId="30965" xr:uid="{00000000-0005-0000-0000-0000D4710000}"/>
    <cellStyle name="Обычный 8 109 7" xfId="36305" xr:uid="{00000000-0005-0000-0000-0000D5710000}"/>
    <cellStyle name="Обычный 8 109 8" xfId="41645" xr:uid="{00000000-0005-0000-0000-0000D6710000}"/>
    <cellStyle name="Обычный 8 109 9" xfId="46985" xr:uid="{00000000-0005-0000-0000-0000D7710000}"/>
    <cellStyle name="Обычный 8 11" xfId="1318" xr:uid="{00000000-0005-0000-0000-0000D8710000}"/>
    <cellStyle name="Обычный 8 11 10" xfId="49381" xr:uid="{00000000-0005-0000-0000-0000D9710000}"/>
    <cellStyle name="Обычный 8 11 2" xfId="6660" xr:uid="{00000000-0005-0000-0000-0000DA710000}"/>
    <cellStyle name="Обычный 8 11 2 2" xfId="54722" xr:uid="{00000000-0005-0000-0000-0000DB710000}"/>
    <cellStyle name="Обычный 8 11 3" xfId="12001" xr:uid="{00000000-0005-0000-0000-0000DC710000}"/>
    <cellStyle name="Обычный 8 11 4" xfId="17341" xr:uid="{00000000-0005-0000-0000-0000DD710000}"/>
    <cellStyle name="Обычный 8 11 5" xfId="22681" xr:uid="{00000000-0005-0000-0000-0000DE710000}"/>
    <cellStyle name="Обычный 8 11 6" xfId="28021" xr:uid="{00000000-0005-0000-0000-0000DF710000}"/>
    <cellStyle name="Обычный 8 11 7" xfId="33361" xr:uid="{00000000-0005-0000-0000-0000E0710000}"/>
    <cellStyle name="Обычный 8 11 8" xfId="38701" xr:uid="{00000000-0005-0000-0000-0000E1710000}"/>
    <cellStyle name="Обычный 8 11 9" xfId="44041" xr:uid="{00000000-0005-0000-0000-0000E2710000}"/>
    <cellStyle name="Обычный 8 110" xfId="4294" xr:uid="{00000000-0005-0000-0000-0000E3710000}"/>
    <cellStyle name="Обычный 8 110 10" xfId="52357" xr:uid="{00000000-0005-0000-0000-0000E4710000}"/>
    <cellStyle name="Обычный 8 110 2" xfId="9637" xr:uid="{00000000-0005-0000-0000-0000E5710000}"/>
    <cellStyle name="Обычный 8 110 2 2" xfId="57698" xr:uid="{00000000-0005-0000-0000-0000E6710000}"/>
    <cellStyle name="Обычный 8 110 3" xfId="14977" xr:uid="{00000000-0005-0000-0000-0000E7710000}"/>
    <cellStyle name="Обычный 8 110 4" xfId="20317" xr:uid="{00000000-0005-0000-0000-0000E8710000}"/>
    <cellStyle name="Обычный 8 110 5" xfId="25657" xr:uid="{00000000-0005-0000-0000-0000E9710000}"/>
    <cellStyle name="Обычный 8 110 6" xfId="30997" xr:uid="{00000000-0005-0000-0000-0000EA710000}"/>
    <cellStyle name="Обычный 8 110 7" xfId="36337" xr:uid="{00000000-0005-0000-0000-0000EB710000}"/>
    <cellStyle name="Обычный 8 110 8" xfId="41677" xr:uid="{00000000-0005-0000-0000-0000EC710000}"/>
    <cellStyle name="Обычный 8 110 9" xfId="47017" xr:uid="{00000000-0005-0000-0000-0000ED710000}"/>
    <cellStyle name="Обычный 8 111" xfId="4326" xr:uid="{00000000-0005-0000-0000-0000EE710000}"/>
    <cellStyle name="Обычный 8 111 10" xfId="52389" xr:uid="{00000000-0005-0000-0000-0000EF710000}"/>
    <cellStyle name="Обычный 8 111 2" xfId="9669" xr:uid="{00000000-0005-0000-0000-0000F0710000}"/>
    <cellStyle name="Обычный 8 111 2 2" xfId="57730" xr:uid="{00000000-0005-0000-0000-0000F1710000}"/>
    <cellStyle name="Обычный 8 111 3" xfId="15009" xr:uid="{00000000-0005-0000-0000-0000F2710000}"/>
    <cellStyle name="Обычный 8 111 4" xfId="20349" xr:uid="{00000000-0005-0000-0000-0000F3710000}"/>
    <cellStyle name="Обычный 8 111 5" xfId="25689" xr:uid="{00000000-0005-0000-0000-0000F4710000}"/>
    <cellStyle name="Обычный 8 111 6" xfId="31029" xr:uid="{00000000-0005-0000-0000-0000F5710000}"/>
    <cellStyle name="Обычный 8 111 7" xfId="36369" xr:uid="{00000000-0005-0000-0000-0000F6710000}"/>
    <cellStyle name="Обычный 8 111 8" xfId="41709" xr:uid="{00000000-0005-0000-0000-0000F7710000}"/>
    <cellStyle name="Обычный 8 111 9" xfId="47049" xr:uid="{00000000-0005-0000-0000-0000F8710000}"/>
    <cellStyle name="Обычный 8 112" xfId="4358" xr:uid="{00000000-0005-0000-0000-0000F9710000}"/>
    <cellStyle name="Обычный 8 112 10" xfId="52421" xr:uid="{00000000-0005-0000-0000-0000FA710000}"/>
    <cellStyle name="Обычный 8 112 2" xfId="9701" xr:uid="{00000000-0005-0000-0000-0000FB710000}"/>
    <cellStyle name="Обычный 8 112 2 2" xfId="57762" xr:uid="{00000000-0005-0000-0000-0000FC710000}"/>
    <cellStyle name="Обычный 8 112 3" xfId="15041" xr:uid="{00000000-0005-0000-0000-0000FD710000}"/>
    <cellStyle name="Обычный 8 112 4" xfId="20381" xr:uid="{00000000-0005-0000-0000-0000FE710000}"/>
    <cellStyle name="Обычный 8 112 5" xfId="25721" xr:uid="{00000000-0005-0000-0000-0000FF710000}"/>
    <cellStyle name="Обычный 8 112 6" xfId="31061" xr:uid="{00000000-0005-0000-0000-000000720000}"/>
    <cellStyle name="Обычный 8 112 7" xfId="36401" xr:uid="{00000000-0005-0000-0000-000001720000}"/>
    <cellStyle name="Обычный 8 112 8" xfId="41741" xr:uid="{00000000-0005-0000-0000-000002720000}"/>
    <cellStyle name="Обычный 8 112 9" xfId="47081" xr:uid="{00000000-0005-0000-0000-000003720000}"/>
    <cellStyle name="Обычный 8 113" xfId="4390" xr:uid="{00000000-0005-0000-0000-000004720000}"/>
    <cellStyle name="Обычный 8 113 10" xfId="52453" xr:uid="{00000000-0005-0000-0000-000005720000}"/>
    <cellStyle name="Обычный 8 113 2" xfId="9733" xr:uid="{00000000-0005-0000-0000-000006720000}"/>
    <cellStyle name="Обычный 8 113 2 2" xfId="57794" xr:uid="{00000000-0005-0000-0000-000007720000}"/>
    <cellStyle name="Обычный 8 113 3" xfId="15073" xr:uid="{00000000-0005-0000-0000-000008720000}"/>
    <cellStyle name="Обычный 8 113 4" xfId="20413" xr:uid="{00000000-0005-0000-0000-000009720000}"/>
    <cellStyle name="Обычный 8 113 5" xfId="25753" xr:uid="{00000000-0005-0000-0000-00000A720000}"/>
    <cellStyle name="Обычный 8 113 6" xfId="31093" xr:uid="{00000000-0005-0000-0000-00000B720000}"/>
    <cellStyle name="Обычный 8 113 7" xfId="36433" xr:uid="{00000000-0005-0000-0000-00000C720000}"/>
    <cellStyle name="Обычный 8 113 8" xfId="41773" xr:uid="{00000000-0005-0000-0000-00000D720000}"/>
    <cellStyle name="Обычный 8 113 9" xfId="47113" xr:uid="{00000000-0005-0000-0000-00000E720000}"/>
    <cellStyle name="Обычный 8 114" xfId="4422" xr:uid="{00000000-0005-0000-0000-00000F720000}"/>
    <cellStyle name="Обычный 8 114 10" xfId="52485" xr:uid="{00000000-0005-0000-0000-000010720000}"/>
    <cellStyle name="Обычный 8 114 2" xfId="9765" xr:uid="{00000000-0005-0000-0000-000011720000}"/>
    <cellStyle name="Обычный 8 114 2 2" xfId="57826" xr:uid="{00000000-0005-0000-0000-000012720000}"/>
    <cellStyle name="Обычный 8 114 3" xfId="15105" xr:uid="{00000000-0005-0000-0000-000013720000}"/>
    <cellStyle name="Обычный 8 114 4" xfId="20445" xr:uid="{00000000-0005-0000-0000-000014720000}"/>
    <cellStyle name="Обычный 8 114 5" xfId="25785" xr:uid="{00000000-0005-0000-0000-000015720000}"/>
    <cellStyle name="Обычный 8 114 6" xfId="31125" xr:uid="{00000000-0005-0000-0000-000016720000}"/>
    <cellStyle name="Обычный 8 114 7" xfId="36465" xr:uid="{00000000-0005-0000-0000-000017720000}"/>
    <cellStyle name="Обычный 8 114 8" xfId="41805" xr:uid="{00000000-0005-0000-0000-000018720000}"/>
    <cellStyle name="Обычный 8 114 9" xfId="47145" xr:uid="{00000000-0005-0000-0000-000019720000}"/>
    <cellStyle name="Обычный 8 115" xfId="4454" xr:uid="{00000000-0005-0000-0000-00001A720000}"/>
    <cellStyle name="Обычный 8 115 10" xfId="52517" xr:uid="{00000000-0005-0000-0000-00001B720000}"/>
    <cellStyle name="Обычный 8 115 2" xfId="9797" xr:uid="{00000000-0005-0000-0000-00001C720000}"/>
    <cellStyle name="Обычный 8 115 2 2" xfId="57858" xr:uid="{00000000-0005-0000-0000-00001D720000}"/>
    <cellStyle name="Обычный 8 115 3" xfId="15137" xr:uid="{00000000-0005-0000-0000-00001E720000}"/>
    <cellStyle name="Обычный 8 115 4" xfId="20477" xr:uid="{00000000-0005-0000-0000-00001F720000}"/>
    <cellStyle name="Обычный 8 115 5" xfId="25817" xr:uid="{00000000-0005-0000-0000-000020720000}"/>
    <cellStyle name="Обычный 8 115 6" xfId="31157" xr:uid="{00000000-0005-0000-0000-000021720000}"/>
    <cellStyle name="Обычный 8 115 7" xfId="36497" xr:uid="{00000000-0005-0000-0000-000022720000}"/>
    <cellStyle name="Обычный 8 115 8" xfId="41837" xr:uid="{00000000-0005-0000-0000-000023720000}"/>
    <cellStyle name="Обычный 8 115 9" xfId="47177" xr:uid="{00000000-0005-0000-0000-000024720000}"/>
    <cellStyle name="Обычный 8 116" xfId="4486" xr:uid="{00000000-0005-0000-0000-000025720000}"/>
    <cellStyle name="Обычный 8 116 10" xfId="52549" xr:uid="{00000000-0005-0000-0000-000026720000}"/>
    <cellStyle name="Обычный 8 116 2" xfId="9829" xr:uid="{00000000-0005-0000-0000-000027720000}"/>
    <cellStyle name="Обычный 8 116 2 2" xfId="57890" xr:uid="{00000000-0005-0000-0000-000028720000}"/>
    <cellStyle name="Обычный 8 116 3" xfId="15169" xr:uid="{00000000-0005-0000-0000-000029720000}"/>
    <cellStyle name="Обычный 8 116 4" xfId="20509" xr:uid="{00000000-0005-0000-0000-00002A720000}"/>
    <cellStyle name="Обычный 8 116 5" xfId="25849" xr:uid="{00000000-0005-0000-0000-00002B720000}"/>
    <cellStyle name="Обычный 8 116 6" xfId="31189" xr:uid="{00000000-0005-0000-0000-00002C720000}"/>
    <cellStyle name="Обычный 8 116 7" xfId="36529" xr:uid="{00000000-0005-0000-0000-00002D720000}"/>
    <cellStyle name="Обычный 8 116 8" xfId="41869" xr:uid="{00000000-0005-0000-0000-00002E720000}"/>
    <cellStyle name="Обычный 8 116 9" xfId="47209" xr:uid="{00000000-0005-0000-0000-00002F720000}"/>
    <cellStyle name="Обычный 8 117" xfId="4518" xr:uid="{00000000-0005-0000-0000-000030720000}"/>
    <cellStyle name="Обычный 8 117 10" xfId="52581" xr:uid="{00000000-0005-0000-0000-000031720000}"/>
    <cellStyle name="Обычный 8 117 2" xfId="9861" xr:uid="{00000000-0005-0000-0000-000032720000}"/>
    <cellStyle name="Обычный 8 117 2 2" xfId="57922" xr:uid="{00000000-0005-0000-0000-000033720000}"/>
    <cellStyle name="Обычный 8 117 3" xfId="15201" xr:uid="{00000000-0005-0000-0000-000034720000}"/>
    <cellStyle name="Обычный 8 117 4" xfId="20541" xr:uid="{00000000-0005-0000-0000-000035720000}"/>
    <cellStyle name="Обычный 8 117 5" xfId="25881" xr:uid="{00000000-0005-0000-0000-000036720000}"/>
    <cellStyle name="Обычный 8 117 6" xfId="31221" xr:uid="{00000000-0005-0000-0000-000037720000}"/>
    <cellStyle name="Обычный 8 117 7" xfId="36561" xr:uid="{00000000-0005-0000-0000-000038720000}"/>
    <cellStyle name="Обычный 8 117 8" xfId="41901" xr:uid="{00000000-0005-0000-0000-000039720000}"/>
    <cellStyle name="Обычный 8 117 9" xfId="47241" xr:uid="{00000000-0005-0000-0000-00003A720000}"/>
    <cellStyle name="Обычный 8 118" xfId="4550" xr:uid="{00000000-0005-0000-0000-00003B720000}"/>
    <cellStyle name="Обычный 8 118 10" xfId="52613" xr:uid="{00000000-0005-0000-0000-00003C720000}"/>
    <cellStyle name="Обычный 8 118 2" xfId="9893" xr:uid="{00000000-0005-0000-0000-00003D720000}"/>
    <cellStyle name="Обычный 8 118 2 2" xfId="57954" xr:uid="{00000000-0005-0000-0000-00003E720000}"/>
    <cellStyle name="Обычный 8 118 3" xfId="15233" xr:uid="{00000000-0005-0000-0000-00003F720000}"/>
    <cellStyle name="Обычный 8 118 4" xfId="20573" xr:uid="{00000000-0005-0000-0000-000040720000}"/>
    <cellStyle name="Обычный 8 118 5" xfId="25913" xr:uid="{00000000-0005-0000-0000-000041720000}"/>
    <cellStyle name="Обычный 8 118 6" xfId="31253" xr:uid="{00000000-0005-0000-0000-000042720000}"/>
    <cellStyle name="Обычный 8 118 7" xfId="36593" xr:uid="{00000000-0005-0000-0000-000043720000}"/>
    <cellStyle name="Обычный 8 118 8" xfId="41933" xr:uid="{00000000-0005-0000-0000-000044720000}"/>
    <cellStyle name="Обычный 8 118 9" xfId="47273" xr:uid="{00000000-0005-0000-0000-000045720000}"/>
    <cellStyle name="Обычный 8 119" xfId="4582" xr:uid="{00000000-0005-0000-0000-000046720000}"/>
    <cellStyle name="Обычный 8 119 10" xfId="52645" xr:uid="{00000000-0005-0000-0000-000047720000}"/>
    <cellStyle name="Обычный 8 119 2" xfId="9925" xr:uid="{00000000-0005-0000-0000-000048720000}"/>
    <cellStyle name="Обычный 8 119 2 2" xfId="57986" xr:uid="{00000000-0005-0000-0000-000049720000}"/>
    <cellStyle name="Обычный 8 119 3" xfId="15265" xr:uid="{00000000-0005-0000-0000-00004A720000}"/>
    <cellStyle name="Обычный 8 119 4" xfId="20605" xr:uid="{00000000-0005-0000-0000-00004B720000}"/>
    <cellStyle name="Обычный 8 119 5" xfId="25945" xr:uid="{00000000-0005-0000-0000-00004C720000}"/>
    <cellStyle name="Обычный 8 119 6" xfId="31285" xr:uid="{00000000-0005-0000-0000-00004D720000}"/>
    <cellStyle name="Обычный 8 119 7" xfId="36625" xr:uid="{00000000-0005-0000-0000-00004E720000}"/>
    <cellStyle name="Обычный 8 119 8" xfId="41965" xr:uid="{00000000-0005-0000-0000-00004F720000}"/>
    <cellStyle name="Обычный 8 119 9" xfId="47305" xr:uid="{00000000-0005-0000-0000-000050720000}"/>
    <cellStyle name="Обычный 8 12" xfId="1344" xr:uid="{00000000-0005-0000-0000-000051720000}"/>
    <cellStyle name="Обычный 8 12 10" xfId="49407" xr:uid="{00000000-0005-0000-0000-000052720000}"/>
    <cellStyle name="Обычный 8 12 2" xfId="6686" xr:uid="{00000000-0005-0000-0000-000053720000}"/>
    <cellStyle name="Обычный 8 12 2 2" xfId="54748" xr:uid="{00000000-0005-0000-0000-000054720000}"/>
    <cellStyle name="Обычный 8 12 3" xfId="12027" xr:uid="{00000000-0005-0000-0000-000055720000}"/>
    <cellStyle name="Обычный 8 12 4" xfId="17367" xr:uid="{00000000-0005-0000-0000-000056720000}"/>
    <cellStyle name="Обычный 8 12 5" xfId="22707" xr:uid="{00000000-0005-0000-0000-000057720000}"/>
    <cellStyle name="Обычный 8 12 6" xfId="28047" xr:uid="{00000000-0005-0000-0000-000058720000}"/>
    <cellStyle name="Обычный 8 12 7" xfId="33387" xr:uid="{00000000-0005-0000-0000-000059720000}"/>
    <cellStyle name="Обычный 8 12 8" xfId="38727" xr:uid="{00000000-0005-0000-0000-00005A720000}"/>
    <cellStyle name="Обычный 8 12 9" xfId="44067" xr:uid="{00000000-0005-0000-0000-00005B720000}"/>
    <cellStyle name="Обычный 8 120" xfId="4614" xr:uid="{00000000-0005-0000-0000-00005C720000}"/>
    <cellStyle name="Обычный 8 120 10" xfId="52677" xr:uid="{00000000-0005-0000-0000-00005D720000}"/>
    <cellStyle name="Обычный 8 120 2" xfId="9957" xr:uid="{00000000-0005-0000-0000-00005E720000}"/>
    <cellStyle name="Обычный 8 120 2 2" xfId="58018" xr:uid="{00000000-0005-0000-0000-00005F720000}"/>
    <cellStyle name="Обычный 8 120 3" xfId="15297" xr:uid="{00000000-0005-0000-0000-000060720000}"/>
    <cellStyle name="Обычный 8 120 4" xfId="20637" xr:uid="{00000000-0005-0000-0000-000061720000}"/>
    <cellStyle name="Обычный 8 120 5" xfId="25977" xr:uid="{00000000-0005-0000-0000-000062720000}"/>
    <cellStyle name="Обычный 8 120 6" xfId="31317" xr:uid="{00000000-0005-0000-0000-000063720000}"/>
    <cellStyle name="Обычный 8 120 7" xfId="36657" xr:uid="{00000000-0005-0000-0000-000064720000}"/>
    <cellStyle name="Обычный 8 120 8" xfId="41997" xr:uid="{00000000-0005-0000-0000-000065720000}"/>
    <cellStyle name="Обычный 8 120 9" xfId="47337" xr:uid="{00000000-0005-0000-0000-000066720000}"/>
    <cellStyle name="Обычный 8 121" xfId="4646" xr:uid="{00000000-0005-0000-0000-000067720000}"/>
    <cellStyle name="Обычный 8 121 10" xfId="52709" xr:uid="{00000000-0005-0000-0000-000068720000}"/>
    <cellStyle name="Обычный 8 121 2" xfId="9989" xr:uid="{00000000-0005-0000-0000-000069720000}"/>
    <cellStyle name="Обычный 8 121 2 2" xfId="58050" xr:uid="{00000000-0005-0000-0000-00006A720000}"/>
    <cellStyle name="Обычный 8 121 3" xfId="15329" xr:uid="{00000000-0005-0000-0000-00006B720000}"/>
    <cellStyle name="Обычный 8 121 4" xfId="20669" xr:uid="{00000000-0005-0000-0000-00006C720000}"/>
    <cellStyle name="Обычный 8 121 5" xfId="26009" xr:uid="{00000000-0005-0000-0000-00006D720000}"/>
    <cellStyle name="Обычный 8 121 6" xfId="31349" xr:uid="{00000000-0005-0000-0000-00006E720000}"/>
    <cellStyle name="Обычный 8 121 7" xfId="36689" xr:uid="{00000000-0005-0000-0000-00006F720000}"/>
    <cellStyle name="Обычный 8 121 8" xfId="42029" xr:uid="{00000000-0005-0000-0000-000070720000}"/>
    <cellStyle name="Обычный 8 121 9" xfId="47369" xr:uid="{00000000-0005-0000-0000-000071720000}"/>
    <cellStyle name="Обычный 8 122" xfId="4678" xr:uid="{00000000-0005-0000-0000-000072720000}"/>
    <cellStyle name="Обычный 8 122 10" xfId="52741" xr:uid="{00000000-0005-0000-0000-000073720000}"/>
    <cellStyle name="Обычный 8 122 2" xfId="10021" xr:uid="{00000000-0005-0000-0000-000074720000}"/>
    <cellStyle name="Обычный 8 122 2 2" xfId="58082" xr:uid="{00000000-0005-0000-0000-000075720000}"/>
    <cellStyle name="Обычный 8 122 3" xfId="15361" xr:uid="{00000000-0005-0000-0000-000076720000}"/>
    <cellStyle name="Обычный 8 122 4" xfId="20701" xr:uid="{00000000-0005-0000-0000-000077720000}"/>
    <cellStyle name="Обычный 8 122 5" xfId="26041" xr:uid="{00000000-0005-0000-0000-000078720000}"/>
    <cellStyle name="Обычный 8 122 6" xfId="31381" xr:uid="{00000000-0005-0000-0000-000079720000}"/>
    <cellStyle name="Обычный 8 122 7" xfId="36721" xr:uid="{00000000-0005-0000-0000-00007A720000}"/>
    <cellStyle name="Обычный 8 122 8" xfId="42061" xr:uid="{00000000-0005-0000-0000-00007B720000}"/>
    <cellStyle name="Обычный 8 122 9" xfId="47401" xr:uid="{00000000-0005-0000-0000-00007C720000}"/>
    <cellStyle name="Обычный 8 123" xfId="4710" xr:uid="{00000000-0005-0000-0000-00007D720000}"/>
    <cellStyle name="Обычный 8 123 10" xfId="52773" xr:uid="{00000000-0005-0000-0000-00007E720000}"/>
    <cellStyle name="Обычный 8 123 2" xfId="10053" xr:uid="{00000000-0005-0000-0000-00007F720000}"/>
    <cellStyle name="Обычный 8 123 2 2" xfId="58114" xr:uid="{00000000-0005-0000-0000-000080720000}"/>
    <cellStyle name="Обычный 8 123 3" xfId="15393" xr:uid="{00000000-0005-0000-0000-000081720000}"/>
    <cellStyle name="Обычный 8 123 4" xfId="20733" xr:uid="{00000000-0005-0000-0000-000082720000}"/>
    <cellStyle name="Обычный 8 123 5" xfId="26073" xr:uid="{00000000-0005-0000-0000-000083720000}"/>
    <cellStyle name="Обычный 8 123 6" xfId="31413" xr:uid="{00000000-0005-0000-0000-000084720000}"/>
    <cellStyle name="Обычный 8 123 7" xfId="36753" xr:uid="{00000000-0005-0000-0000-000085720000}"/>
    <cellStyle name="Обычный 8 123 8" xfId="42093" xr:uid="{00000000-0005-0000-0000-000086720000}"/>
    <cellStyle name="Обычный 8 123 9" xfId="47433" xr:uid="{00000000-0005-0000-0000-000087720000}"/>
    <cellStyle name="Обычный 8 124" xfId="4744" xr:uid="{00000000-0005-0000-0000-000088720000}"/>
    <cellStyle name="Обычный 8 124 10" xfId="52807" xr:uid="{00000000-0005-0000-0000-000089720000}"/>
    <cellStyle name="Обычный 8 124 2" xfId="10087" xr:uid="{00000000-0005-0000-0000-00008A720000}"/>
    <cellStyle name="Обычный 8 124 2 2" xfId="58148" xr:uid="{00000000-0005-0000-0000-00008B720000}"/>
    <cellStyle name="Обычный 8 124 3" xfId="15427" xr:uid="{00000000-0005-0000-0000-00008C720000}"/>
    <cellStyle name="Обычный 8 124 4" xfId="20767" xr:uid="{00000000-0005-0000-0000-00008D720000}"/>
    <cellStyle name="Обычный 8 124 5" xfId="26107" xr:uid="{00000000-0005-0000-0000-00008E720000}"/>
    <cellStyle name="Обычный 8 124 6" xfId="31447" xr:uid="{00000000-0005-0000-0000-00008F720000}"/>
    <cellStyle name="Обычный 8 124 7" xfId="36787" xr:uid="{00000000-0005-0000-0000-000090720000}"/>
    <cellStyle name="Обычный 8 124 8" xfId="42127" xr:uid="{00000000-0005-0000-0000-000091720000}"/>
    <cellStyle name="Обычный 8 124 9" xfId="47467" xr:uid="{00000000-0005-0000-0000-000092720000}"/>
    <cellStyle name="Обычный 8 125" xfId="4776" xr:uid="{00000000-0005-0000-0000-000093720000}"/>
    <cellStyle name="Обычный 8 125 10" xfId="52839" xr:uid="{00000000-0005-0000-0000-000094720000}"/>
    <cellStyle name="Обычный 8 125 2" xfId="10119" xr:uid="{00000000-0005-0000-0000-000095720000}"/>
    <cellStyle name="Обычный 8 125 2 2" xfId="58180" xr:uid="{00000000-0005-0000-0000-000096720000}"/>
    <cellStyle name="Обычный 8 125 3" xfId="15459" xr:uid="{00000000-0005-0000-0000-000097720000}"/>
    <cellStyle name="Обычный 8 125 4" xfId="20799" xr:uid="{00000000-0005-0000-0000-000098720000}"/>
    <cellStyle name="Обычный 8 125 5" xfId="26139" xr:uid="{00000000-0005-0000-0000-000099720000}"/>
    <cellStyle name="Обычный 8 125 6" xfId="31479" xr:uid="{00000000-0005-0000-0000-00009A720000}"/>
    <cellStyle name="Обычный 8 125 7" xfId="36819" xr:uid="{00000000-0005-0000-0000-00009B720000}"/>
    <cellStyle name="Обычный 8 125 8" xfId="42159" xr:uid="{00000000-0005-0000-0000-00009C720000}"/>
    <cellStyle name="Обычный 8 125 9" xfId="47499" xr:uid="{00000000-0005-0000-0000-00009D720000}"/>
    <cellStyle name="Обычный 8 126" xfId="4808" xr:uid="{00000000-0005-0000-0000-00009E720000}"/>
    <cellStyle name="Обычный 8 126 10" xfId="52871" xr:uid="{00000000-0005-0000-0000-00009F720000}"/>
    <cellStyle name="Обычный 8 126 2" xfId="10151" xr:uid="{00000000-0005-0000-0000-0000A0720000}"/>
    <cellStyle name="Обычный 8 126 2 2" xfId="58212" xr:uid="{00000000-0005-0000-0000-0000A1720000}"/>
    <cellStyle name="Обычный 8 126 3" xfId="15491" xr:uid="{00000000-0005-0000-0000-0000A2720000}"/>
    <cellStyle name="Обычный 8 126 4" xfId="20831" xr:uid="{00000000-0005-0000-0000-0000A3720000}"/>
    <cellStyle name="Обычный 8 126 5" xfId="26171" xr:uid="{00000000-0005-0000-0000-0000A4720000}"/>
    <cellStyle name="Обычный 8 126 6" xfId="31511" xr:uid="{00000000-0005-0000-0000-0000A5720000}"/>
    <cellStyle name="Обычный 8 126 7" xfId="36851" xr:uid="{00000000-0005-0000-0000-0000A6720000}"/>
    <cellStyle name="Обычный 8 126 8" xfId="42191" xr:uid="{00000000-0005-0000-0000-0000A7720000}"/>
    <cellStyle name="Обычный 8 126 9" xfId="47531" xr:uid="{00000000-0005-0000-0000-0000A8720000}"/>
    <cellStyle name="Обычный 8 127" xfId="4840" xr:uid="{00000000-0005-0000-0000-0000A9720000}"/>
    <cellStyle name="Обычный 8 127 10" xfId="52903" xr:uid="{00000000-0005-0000-0000-0000AA720000}"/>
    <cellStyle name="Обычный 8 127 2" xfId="10183" xr:uid="{00000000-0005-0000-0000-0000AB720000}"/>
    <cellStyle name="Обычный 8 127 2 2" xfId="58244" xr:uid="{00000000-0005-0000-0000-0000AC720000}"/>
    <cellStyle name="Обычный 8 127 3" xfId="15523" xr:uid="{00000000-0005-0000-0000-0000AD720000}"/>
    <cellStyle name="Обычный 8 127 4" xfId="20863" xr:uid="{00000000-0005-0000-0000-0000AE720000}"/>
    <cellStyle name="Обычный 8 127 5" xfId="26203" xr:uid="{00000000-0005-0000-0000-0000AF720000}"/>
    <cellStyle name="Обычный 8 127 6" xfId="31543" xr:uid="{00000000-0005-0000-0000-0000B0720000}"/>
    <cellStyle name="Обычный 8 127 7" xfId="36883" xr:uid="{00000000-0005-0000-0000-0000B1720000}"/>
    <cellStyle name="Обычный 8 127 8" xfId="42223" xr:uid="{00000000-0005-0000-0000-0000B2720000}"/>
    <cellStyle name="Обычный 8 127 9" xfId="47563" xr:uid="{00000000-0005-0000-0000-0000B3720000}"/>
    <cellStyle name="Обычный 8 128" xfId="4872" xr:uid="{00000000-0005-0000-0000-0000B4720000}"/>
    <cellStyle name="Обычный 8 128 10" xfId="52935" xr:uid="{00000000-0005-0000-0000-0000B5720000}"/>
    <cellStyle name="Обычный 8 128 2" xfId="10215" xr:uid="{00000000-0005-0000-0000-0000B6720000}"/>
    <cellStyle name="Обычный 8 128 2 2" xfId="58276" xr:uid="{00000000-0005-0000-0000-0000B7720000}"/>
    <cellStyle name="Обычный 8 128 3" xfId="15555" xr:uid="{00000000-0005-0000-0000-0000B8720000}"/>
    <cellStyle name="Обычный 8 128 4" xfId="20895" xr:uid="{00000000-0005-0000-0000-0000B9720000}"/>
    <cellStyle name="Обычный 8 128 5" xfId="26235" xr:uid="{00000000-0005-0000-0000-0000BA720000}"/>
    <cellStyle name="Обычный 8 128 6" xfId="31575" xr:uid="{00000000-0005-0000-0000-0000BB720000}"/>
    <cellStyle name="Обычный 8 128 7" xfId="36915" xr:uid="{00000000-0005-0000-0000-0000BC720000}"/>
    <cellStyle name="Обычный 8 128 8" xfId="42255" xr:uid="{00000000-0005-0000-0000-0000BD720000}"/>
    <cellStyle name="Обычный 8 128 9" xfId="47595" xr:uid="{00000000-0005-0000-0000-0000BE720000}"/>
    <cellStyle name="Обычный 8 129" xfId="4904" xr:uid="{00000000-0005-0000-0000-0000BF720000}"/>
    <cellStyle name="Обычный 8 129 10" xfId="52967" xr:uid="{00000000-0005-0000-0000-0000C0720000}"/>
    <cellStyle name="Обычный 8 129 2" xfId="10247" xr:uid="{00000000-0005-0000-0000-0000C1720000}"/>
    <cellStyle name="Обычный 8 129 2 2" xfId="58308" xr:uid="{00000000-0005-0000-0000-0000C2720000}"/>
    <cellStyle name="Обычный 8 129 3" xfId="15587" xr:uid="{00000000-0005-0000-0000-0000C3720000}"/>
    <cellStyle name="Обычный 8 129 4" xfId="20927" xr:uid="{00000000-0005-0000-0000-0000C4720000}"/>
    <cellStyle name="Обычный 8 129 5" xfId="26267" xr:uid="{00000000-0005-0000-0000-0000C5720000}"/>
    <cellStyle name="Обычный 8 129 6" xfId="31607" xr:uid="{00000000-0005-0000-0000-0000C6720000}"/>
    <cellStyle name="Обычный 8 129 7" xfId="36947" xr:uid="{00000000-0005-0000-0000-0000C7720000}"/>
    <cellStyle name="Обычный 8 129 8" xfId="42287" xr:uid="{00000000-0005-0000-0000-0000C8720000}"/>
    <cellStyle name="Обычный 8 129 9" xfId="47627" xr:uid="{00000000-0005-0000-0000-0000C9720000}"/>
    <cellStyle name="Обычный 8 13" xfId="1370" xr:uid="{00000000-0005-0000-0000-0000CA720000}"/>
    <cellStyle name="Обычный 8 13 10" xfId="49433" xr:uid="{00000000-0005-0000-0000-0000CB720000}"/>
    <cellStyle name="Обычный 8 13 2" xfId="6712" xr:uid="{00000000-0005-0000-0000-0000CC720000}"/>
    <cellStyle name="Обычный 8 13 2 2" xfId="54774" xr:uid="{00000000-0005-0000-0000-0000CD720000}"/>
    <cellStyle name="Обычный 8 13 3" xfId="12053" xr:uid="{00000000-0005-0000-0000-0000CE720000}"/>
    <cellStyle name="Обычный 8 13 4" xfId="17393" xr:uid="{00000000-0005-0000-0000-0000CF720000}"/>
    <cellStyle name="Обычный 8 13 5" xfId="22733" xr:uid="{00000000-0005-0000-0000-0000D0720000}"/>
    <cellStyle name="Обычный 8 13 6" xfId="28073" xr:uid="{00000000-0005-0000-0000-0000D1720000}"/>
    <cellStyle name="Обычный 8 13 7" xfId="33413" xr:uid="{00000000-0005-0000-0000-0000D2720000}"/>
    <cellStyle name="Обычный 8 13 8" xfId="38753" xr:uid="{00000000-0005-0000-0000-0000D3720000}"/>
    <cellStyle name="Обычный 8 13 9" xfId="44093" xr:uid="{00000000-0005-0000-0000-0000D4720000}"/>
    <cellStyle name="Обычный 8 130" xfId="4936" xr:uid="{00000000-0005-0000-0000-0000D5720000}"/>
    <cellStyle name="Обычный 8 130 10" xfId="52999" xr:uid="{00000000-0005-0000-0000-0000D6720000}"/>
    <cellStyle name="Обычный 8 130 2" xfId="10279" xr:uid="{00000000-0005-0000-0000-0000D7720000}"/>
    <cellStyle name="Обычный 8 130 2 2" xfId="58340" xr:uid="{00000000-0005-0000-0000-0000D8720000}"/>
    <cellStyle name="Обычный 8 130 3" xfId="15619" xr:uid="{00000000-0005-0000-0000-0000D9720000}"/>
    <cellStyle name="Обычный 8 130 4" xfId="20959" xr:uid="{00000000-0005-0000-0000-0000DA720000}"/>
    <cellStyle name="Обычный 8 130 5" xfId="26299" xr:uid="{00000000-0005-0000-0000-0000DB720000}"/>
    <cellStyle name="Обычный 8 130 6" xfId="31639" xr:uid="{00000000-0005-0000-0000-0000DC720000}"/>
    <cellStyle name="Обычный 8 130 7" xfId="36979" xr:uid="{00000000-0005-0000-0000-0000DD720000}"/>
    <cellStyle name="Обычный 8 130 8" xfId="42319" xr:uid="{00000000-0005-0000-0000-0000DE720000}"/>
    <cellStyle name="Обычный 8 130 9" xfId="47659" xr:uid="{00000000-0005-0000-0000-0000DF720000}"/>
    <cellStyle name="Обычный 8 131" xfId="4968" xr:uid="{00000000-0005-0000-0000-0000E0720000}"/>
    <cellStyle name="Обычный 8 131 10" xfId="53031" xr:uid="{00000000-0005-0000-0000-0000E1720000}"/>
    <cellStyle name="Обычный 8 131 2" xfId="10311" xr:uid="{00000000-0005-0000-0000-0000E2720000}"/>
    <cellStyle name="Обычный 8 131 2 2" xfId="58372" xr:uid="{00000000-0005-0000-0000-0000E3720000}"/>
    <cellStyle name="Обычный 8 131 3" xfId="15651" xr:uid="{00000000-0005-0000-0000-0000E4720000}"/>
    <cellStyle name="Обычный 8 131 4" xfId="20991" xr:uid="{00000000-0005-0000-0000-0000E5720000}"/>
    <cellStyle name="Обычный 8 131 5" xfId="26331" xr:uid="{00000000-0005-0000-0000-0000E6720000}"/>
    <cellStyle name="Обычный 8 131 6" xfId="31671" xr:uid="{00000000-0005-0000-0000-0000E7720000}"/>
    <cellStyle name="Обычный 8 131 7" xfId="37011" xr:uid="{00000000-0005-0000-0000-0000E8720000}"/>
    <cellStyle name="Обычный 8 131 8" xfId="42351" xr:uid="{00000000-0005-0000-0000-0000E9720000}"/>
    <cellStyle name="Обычный 8 131 9" xfId="47691" xr:uid="{00000000-0005-0000-0000-0000EA720000}"/>
    <cellStyle name="Обычный 8 132" xfId="5000" xr:uid="{00000000-0005-0000-0000-0000EB720000}"/>
    <cellStyle name="Обычный 8 132 10" xfId="53063" xr:uid="{00000000-0005-0000-0000-0000EC720000}"/>
    <cellStyle name="Обычный 8 132 2" xfId="10343" xr:uid="{00000000-0005-0000-0000-0000ED720000}"/>
    <cellStyle name="Обычный 8 132 2 2" xfId="58404" xr:uid="{00000000-0005-0000-0000-0000EE720000}"/>
    <cellStyle name="Обычный 8 132 3" xfId="15683" xr:uid="{00000000-0005-0000-0000-0000EF720000}"/>
    <cellStyle name="Обычный 8 132 4" xfId="21023" xr:uid="{00000000-0005-0000-0000-0000F0720000}"/>
    <cellStyle name="Обычный 8 132 5" xfId="26363" xr:uid="{00000000-0005-0000-0000-0000F1720000}"/>
    <cellStyle name="Обычный 8 132 6" xfId="31703" xr:uid="{00000000-0005-0000-0000-0000F2720000}"/>
    <cellStyle name="Обычный 8 132 7" xfId="37043" xr:uid="{00000000-0005-0000-0000-0000F3720000}"/>
    <cellStyle name="Обычный 8 132 8" xfId="42383" xr:uid="{00000000-0005-0000-0000-0000F4720000}"/>
    <cellStyle name="Обычный 8 132 9" xfId="47723" xr:uid="{00000000-0005-0000-0000-0000F5720000}"/>
    <cellStyle name="Обычный 8 133" xfId="5032" xr:uid="{00000000-0005-0000-0000-0000F6720000}"/>
    <cellStyle name="Обычный 8 133 10" xfId="53095" xr:uid="{00000000-0005-0000-0000-0000F7720000}"/>
    <cellStyle name="Обычный 8 133 2" xfId="10375" xr:uid="{00000000-0005-0000-0000-0000F8720000}"/>
    <cellStyle name="Обычный 8 133 2 2" xfId="58436" xr:uid="{00000000-0005-0000-0000-0000F9720000}"/>
    <cellStyle name="Обычный 8 133 3" xfId="15715" xr:uid="{00000000-0005-0000-0000-0000FA720000}"/>
    <cellStyle name="Обычный 8 133 4" xfId="21055" xr:uid="{00000000-0005-0000-0000-0000FB720000}"/>
    <cellStyle name="Обычный 8 133 5" xfId="26395" xr:uid="{00000000-0005-0000-0000-0000FC720000}"/>
    <cellStyle name="Обычный 8 133 6" xfId="31735" xr:uid="{00000000-0005-0000-0000-0000FD720000}"/>
    <cellStyle name="Обычный 8 133 7" xfId="37075" xr:uid="{00000000-0005-0000-0000-0000FE720000}"/>
    <cellStyle name="Обычный 8 133 8" xfId="42415" xr:uid="{00000000-0005-0000-0000-0000FF720000}"/>
    <cellStyle name="Обычный 8 133 9" xfId="47755" xr:uid="{00000000-0005-0000-0000-000000730000}"/>
    <cellStyle name="Обычный 8 134" xfId="5064" xr:uid="{00000000-0005-0000-0000-000001730000}"/>
    <cellStyle name="Обычный 8 134 10" xfId="53127" xr:uid="{00000000-0005-0000-0000-000002730000}"/>
    <cellStyle name="Обычный 8 134 2" xfId="10407" xr:uid="{00000000-0005-0000-0000-000003730000}"/>
    <cellStyle name="Обычный 8 134 2 2" xfId="58468" xr:uid="{00000000-0005-0000-0000-000004730000}"/>
    <cellStyle name="Обычный 8 134 3" xfId="15747" xr:uid="{00000000-0005-0000-0000-000005730000}"/>
    <cellStyle name="Обычный 8 134 4" xfId="21087" xr:uid="{00000000-0005-0000-0000-000006730000}"/>
    <cellStyle name="Обычный 8 134 5" xfId="26427" xr:uid="{00000000-0005-0000-0000-000007730000}"/>
    <cellStyle name="Обычный 8 134 6" xfId="31767" xr:uid="{00000000-0005-0000-0000-000008730000}"/>
    <cellStyle name="Обычный 8 134 7" xfId="37107" xr:uid="{00000000-0005-0000-0000-000009730000}"/>
    <cellStyle name="Обычный 8 134 8" xfId="42447" xr:uid="{00000000-0005-0000-0000-00000A730000}"/>
    <cellStyle name="Обычный 8 134 9" xfId="47787" xr:uid="{00000000-0005-0000-0000-00000B730000}"/>
    <cellStyle name="Обычный 8 135" xfId="5096" xr:uid="{00000000-0005-0000-0000-00000C730000}"/>
    <cellStyle name="Обычный 8 135 10" xfId="53159" xr:uid="{00000000-0005-0000-0000-00000D730000}"/>
    <cellStyle name="Обычный 8 135 2" xfId="10439" xr:uid="{00000000-0005-0000-0000-00000E730000}"/>
    <cellStyle name="Обычный 8 135 2 2" xfId="58500" xr:uid="{00000000-0005-0000-0000-00000F730000}"/>
    <cellStyle name="Обычный 8 135 3" xfId="15779" xr:uid="{00000000-0005-0000-0000-000010730000}"/>
    <cellStyle name="Обычный 8 135 4" xfId="21119" xr:uid="{00000000-0005-0000-0000-000011730000}"/>
    <cellStyle name="Обычный 8 135 5" xfId="26459" xr:uid="{00000000-0005-0000-0000-000012730000}"/>
    <cellStyle name="Обычный 8 135 6" xfId="31799" xr:uid="{00000000-0005-0000-0000-000013730000}"/>
    <cellStyle name="Обычный 8 135 7" xfId="37139" xr:uid="{00000000-0005-0000-0000-000014730000}"/>
    <cellStyle name="Обычный 8 135 8" xfId="42479" xr:uid="{00000000-0005-0000-0000-000015730000}"/>
    <cellStyle name="Обычный 8 135 9" xfId="47819" xr:uid="{00000000-0005-0000-0000-000016730000}"/>
    <cellStyle name="Обычный 8 136" xfId="5128" xr:uid="{00000000-0005-0000-0000-000017730000}"/>
    <cellStyle name="Обычный 8 136 10" xfId="53191" xr:uid="{00000000-0005-0000-0000-000018730000}"/>
    <cellStyle name="Обычный 8 136 2" xfId="10471" xr:uid="{00000000-0005-0000-0000-000019730000}"/>
    <cellStyle name="Обычный 8 136 2 2" xfId="58532" xr:uid="{00000000-0005-0000-0000-00001A730000}"/>
    <cellStyle name="Обычный 8 136 3" xfId="15811" xr:uid="{00000000-0005-0000-0000-00001B730000}"/>
    <cellStyle name="Обычный 8 136 4" xfId="21151" xr:uid="{00000000-0005-0000-0000-00001C730000}"/>
    <cellStyle name="Обычный 8 136 5" xfId="26491" xr:uid="{00000000-0005-0000-0000-00001D730000}"/>
    <cellStyle name="Обычный 8 136 6" xfId="31831" xr:uid="{00000000-0005-0000-0000-00001E730000}"/>
    <cellStyle name="Обычный 8 136 7" xfId="37171" xr:uid="{00000000-0005-0000-0000-00001F730000}"/>
    <cellStyle name="Обычный 8 136 8" xfId="42511" xr:uid="{00000000-0005-0000-0000-000020730000}"/>
    <cellStyle name="Обычный 8 136 9" xfId="47851" xr:uid="{00000000-0005-0000-0000-000021730000}"/>
    <cellStyle name="Обычный 8 137" xfId="5160" xr:uid="{00000000-0005-0000-0000-000022730000}"/>
    <cellStyle name="Обычный 8 137 10" xfId="53223" xr:uid="{00000000-0005-0000-0000-000023730000}"/>
    <cellStyle name="Обычный 8 137 2" xfId="10503" xr:uid="{00000000-0005-0000-0000-000024730000}"/>
    <cellStyle name="Обычный 8 137 2 2" xfId="58564" xr:uid="{00000000-0005-0000-0000-000025730000}"/>
    <cellStyle name="Обычный 8 137 3" xfId="15843" xr:uid="{00000000-0005-0000-0000-000026730000}"/>
    <cellStyle name="Обычный 8 137 4" xfId="21183" xr:uid="{00000000-0005-0000-0000-000027730000}"/>
    <cellStyle name="Обычный 8 137 5" xfId="26523" xr:uid="{00000000-0005-0000-0000-000028730000}"/>
    <cellStyle name="Обычный 8 137 6" xfId="31863" xr:uid="{00000000-0005-0000-0000-000029730000}"/>
    <cellStyle name="Обычный 8 137 7" xfId="37203" xr:uid="{00000000-0005-0000-0000-00002A730000}"/>
    <cellStyle name="Обычный 8 137 8" xfId="42543" xr:uid="{00000000-0005-0000-0000-00002B730000}"/>
    <cellStyle name="Обычный 8 137 9" xfId="47883" xr:uid="{00000000-0005-0000-0000-00002C730000}"/>
    <cellStyle name="Обычный 8 138" xfId="5192" xr:uid="{00000000-0005-0000-0000-00002D730000}"/>
    <cellStyle name="Обычный 8 138 10" xfId="53255" xr:uid="{00000000-0005-0000-0000-00002E730000}"/>
    <cellStyle name="Обычный 8 138 2" xfId="10535" xr:uid="{00000000-0005-0000-0000-00002F730000}"/>
    <cellStyle name="Обычный 8 138 2 2" xfId="58596" xr:uid="{00000000-0005-0000-0000-000030730000}"/>
    <cellStyle name="Обычный 8 138 3" xfId="15875" xr:uid="{00000000-0005-0000-0000-000031730000}"/>
    <cellStyle name="Обычный 8 138 4" xfId="21215" xr:uid="{00000000-0005-0000-0000-000032730000}"/>
    <cellStyle name="Обычный 8 138 5" xfId="26555" xr:uid="{00000000-0005-0000-0000-000033730000}"/>
    <cellStyle name="Обычный 8 138 6" xfId="31895" xr:uid="{00000000-0005-0000-0000-000034730000}"/>
    <cellStyle name="Обычный 8 138 7" xfId="37235" xr:uid="{00000000-0005-0000-0000-000035730000}"/>
    <cellStyle name="Обычный 8 138 8" xfId="42575" xr:uid="{00000000-0005-0000-0000-000036730000}"/>
    <cellStyle name="Обычный 8 138 9" xfId="47915" xr:uid="{00000000-0005-0000-0000-000037730000}"/>
    <cellStyle name="Обычный 8 139" xfId="5224" xr:uid="{00000000-0005-0000-0000-000038730000}"/>
    <cellStyle name="Обычный 8 139 10" xfId="53287" xr:uid="{00000000-0005-0000-0000-000039730000}"/>
    <cellStyle name="Обычный 8 139 2" xfId="10567" xr:uid="{00000000-0005-0000-0000-00003A730000}"/>
    <cellStyle name="Обычный 8 139 2 2" xfId="58628" xr:uid="{00000000-0005-0000-0000-00003B730000}"/>
    <cellStyle name="Обычный 8 139 3" xfId="15907" xr:uid="{00000000-0005-0000-0000-00003C730000}"/>
    <cellStyle name="Обычный 8 139 4" xfId="21247" xr:uid="{00000000-0005-0000-0000-00003D730000}"/>
    <cellStyle name="Обычный 8 139 5" xfId="26587" xr:uid="{00000000-0005-0000-0000-00003E730000}"/>
    <cellStyle name="Обычный 8 139 6" xfId="31927" xr:uid="{00000000-0005-0000-0000-00003F730000}"/>
    <cellStyle name="Обычный 8 139 7" xfId="37267" xr:uid="{00000000-0005-0000-0000-000040730000}"/>
    <cellStyle name="Обычный 8 139 8" xfId="42607" xr:uid="{00000000-0005-0000-0000-000041730000}"/>
    <cellStyle name="Обычный 8 139 9" xfId="47947" xr:uid="{00000000-0005-0000-0000-000042730000}"/>
    <cellStyle name="Обычный 8 14" xfId="1396" xr:uid="{00000000-0005-0000-0000-000043730000}"/>
    <cellStyle name="Обычный 8 14 10" xfId="49459" xr:uid="{00000000-0005-0000-0000-000044730000}"/>
    <cellStyle name="Обычный 8 14 2" xfId="6738" xr:uid="{00000000-0005-0000-0000-000045730000}"/>
    <cellStyle name="Обычный 8 14 2 2" xfId="54800" xr:uid="{00000000-0005-0000-0000-000046730000}"/>
    <cellStyle name="Обычный 8 14 3" xfId="12079" xr:uid="{00000000-0005-0000-0000-000047730000}"/>
    <cellStyle name="Обычный 8 14 4" xfId="17419" xr:uid="{00000000-0005-0000-0000-000048730000}"/>
    <cellStyle name="Обычный 8 14 5" xfId="22759" xr:uid="{00000000-0005-0000-0000-000049730000}"/>
    <cellStyle name="Обычный 8 14 6" xfId="28099" xr:uid="{00000000-0005-0000-0000-00004A730000}"/>
    <cellStyle name="Обычный 8 14 7" xfId="33439" xr:uid="{00000000-0005-0000-0000-00004B730000}"/>
    <cellStyle name="Обычный 8 14 8" xfId="38779" xr:uid="{00000000-0005-0000-0000-00004C730000}"/>
    <cellStyle name="Обычный 8 14 9" xfId="44119" xr:uid="{00000000-0005-0000-0000-00004D730000}"/>
    <cellStyle name="Обычный 8 140" xfId="5256" xr:uid="{00000000-0005-0000-0000-00004E730000}"/>
    <cellStyle name="Обычный 8 140 10" xfId="53319" xr:uid="{00000000-0005-0000-0000-00004F730000}"/>
    <cellStyle name="Обычный 8 140 2" xfId="10599" xr:uid="{00000000-0005-0000-0000-000050730000}"/>
    <cellStyle name="Обычный 8 140 2 2" xfId="58660" xr:uid="{00000000-0005-0000-0000-000051730000}"/>
    <cellStyle name="Обычный 8 140 3" xfId="15939" xr:uid="{00000000-0005-0000-0000-000052730000}"/>
    <cellStyle name="Обычный 8 140 4" xfId="21279" xr:uid="{00000000-0005-0000-0000-000053730000}"/>
    <cellStyle name="Обычный 8 140 5" xfId="26619" xr:uid="{00000000-0005-0000-0000-000054730000}"/>
    <cellStyle name="Обычный 8 140 6" xfId="31959" xr:uid="{00000000-0005-0000-0000-000055730000}"/>
    <cellStyle name="Обычный 8 140 7" xfId="37299" xr:uid="{00000000-0005-0000-0000-000056730000}"/>
    <cellStyle name="Обычный 8 140 8" xfId="42639" xr:uid="{00000000-0005-0000-0000-000057730000}"/>
    <cellStyle name="Обычный 8 140 9" xfId="47979" xr:uid="{00000000-0005-0000-0000-000058730000}"/>
    <cellStyle name="Обычный 8 141" xfId="5288" xr:uid="{00000000-0005-0000-0000-000059730000}"/>
    <cellStyle name="Обычный 8 141 10" xfId="53351" xr:uid="{00000000-0005-0000-0000-00005A730000}"/>
    <cellStyle name="Обычный 8 141 2" xfId="10631" xr:uid="{00000000-0005-0000-0000-00005B730000}"/>
    <cellStyle name="Обычный 8 141 2 2" xfId="58692" xr:uid="{00000000-0005-0000-0000-00005C730000}"/>
    <cellStyle name="Обычный 8 141 3" xfId="15971" xr:uid="{00000000-0005-0000-0000-00005D730000}"/>
    <cellStyle name="Обычный 8 141 4" xfId="21311" xr:uid="{00000000-0005-0000-0000-00005E730000}"/>
    <cellStyle name="Обычный 8 141 5" xfId="26651" xr:uid="{00000000-0005-0000-0000-00005F730000}"/>
    <cellStyle name="Обычный 8 141 6" xfId="31991" xr:uid="{00000000-0005-0000-0000-000060730000}"/>
    <cellStyle name="Обычный 8 141 7" xfId="37331" xr:uid="{00000000-0005-0000-0000-000061730000}"/>
    <cellStyle name="Обычный 8 141 8" xfId="42671" xr:uid="{00000000-0005-0000-0000-000062730000}"/>
    <cellStyle name="Обычный 8 141 9" xfId="48011" xr:uid="{00000000-0005-0000-0000-000063730000}"/>
    <cellStyle name="Обычный 8 142" xfId="5320" xr:uid="{00000000-0005-0000-0000-000064730000}"/>
    <cellStyle name="Обычный 8 142 10" xfId="53383" xr:uid="{00000000-0005-0000-0000-000065730000}"/>
    <cellStyle name="Обычный 8 142 2" xfId="10663" xr:uid="{00000000-0005-0000-0000-000066730000}"/>
    <cellStyle name="Обычный 8 142 2 2" xfId="58724" xr:uid="{00000000-0005-0000-0000-000067730000}"/>
    <cellStyle name="Обычный 8 142 3" xfId="16003" xr:uid="{00000000-0005-0000-0000-000068730000}"/>
    <cellStyle name="Обычный 8 142 4" xfId="21343" xr:uid="{00000000-0005-0000-0000-000069730000}"/>
    <cellStyle name="Обычный 8 142 5" xfId="26683" xr:uid="{00000000-0005-0000-0000-00006A730000}"/>
    <cellStyle name="Обычный 8 142 6" xfId="32023" xr:uid="{00000000-0005-0000-0000-00006B730000}"/>
    <cellStyle name="Обычный 8 142 7" xfId="37363" xr:uid="{00000000-0005-0000-0000-00006C730000}"/>
    <cellStyle name="Обычный 8 142 8" xfId="42703" xr:uid="{00000000-0005-0000-0000-00006D730000}"/>
    <cellStyle name="Обычный 8 142 9" xfId="48043" xr:uid="{00000000-0005-0000-0000-00006E730000}"/>
    <cellStyle name="Обычный 8 143" xfId="5352" xr:uid="{00000000-0005-0000-0000-00006F730000}"/>
    <cellStyle name="Обычный 8 143 10" xfId="53415" xr:uid="{00000000-0005-0000-0000-000070730000}"/>
    <cellStyle name="Обычный 8 143 2" xfId="10695" xr:uid="{00000000-0005-0000-0000-000071730000}"/>
    <cellStyle name="Обычный 8 143 2 2" xfId="58756" xr:uid="{00000000-0005-0000-0000-000072730000}"/>
    <cellStyle name="Обычный 8 143 3" xfId="16035" xr:uid="{00000000-0005-0000-0000-000073730000}"/>
    <cellStyle name="Обычный 8 143 4" xfId="21375" xr:uid="{00000000-0005-0000-0000-000074730000}"/>
    <cellStyle name="Обычный 8 143 5" xfId="26715" xr:uid="{00000000-0005-0000-0000-000075730000}"/>
    <cellStyle name="Обычный 8 143 6" xfId="32055" xr:uid="{00000000-0005-0000-0000-000076730000}"/>
    <cellStyle name="Обычный 8 143 7" xfId="37395" xr:uid="{00000000-0005-0000-0000-000077730000}"/>
    <cellStyle name="Обычный 8 143 8" xfId="42735" xr:uid="{00000000-0005-0000-0000-000078730000}"/>
    <cellStyle name="Обычный 8 143 9" xfId="48075" xr:uid="{00000000-0005-0000-0000-000079730000}"/>
    <cellStyle name="Обычный 8 144" xfId="5384" xr:uid="{00000000-0005-0000-0000-00007A730000}"/>
    <cellStyle name="Обычный 8 144 10" xfId="53447" xr:uid="{00000000-0005-0000-0000-00007B730000}"/>
    <cellStyle name="Обычный 8 144 2" xfId="10727" xr:uid="{00000000-0005-0000-0000-00007C730000}"/>
    <cellStyle name="Обычный 8 144 2 2" xfId="58788" xr:uid="{00000000-0005-0000-0000-00007D730000}"/>
    <cellStyle name="Обычный 8 144 3" xfId="16067" xr:uid="{00000000-0005-0000-0000-00007E730000}"/>
    <cellStyle name="Обычный 8 144 4" xfId="21407" xr:uid="{00000000-0005-0000-0000-00007F730000}"/>
    <cellStyle name="Обычный 8 144 5" xfId="26747" xr:uid="{00000000-0005-0000-0000-000080730000}"/>
    <cellStyle name="Обычный 8 144 6" xfId="32087" xr:uid="{00000000-0005-0000-0000-000081730000}"/>
    <cellStyle name="Обычный 8 144 7" xfId="37427" xr:uid="{00000000-0005-0000-0000-000082730000}"/>
    <cellStyle name="Обычный 8 144 8" xfId="42767" xr:uid="{00000000-0005-0000-0000-000083730000}"/>
    <cellStyle name="Обычный 8 144 9" xfId="48107" xr:uid="{00000000-0005-0000-0000-000084730000}"/>
    <cellStyle name="Обычный 8 145" xfId="6400" xr:uid="{00000000-0005-0000-0000-000085730000}"/>
    <cellStyle name="Обычный 8 145 2" xfId="54462" xr:uid="{00000000-0005-0000-0000-000086730000}"/>
    <cellStyle name="Обычный 8 146" xfId="11741" xr:uid="{00000000-0005-0000-0000-000087730000}"/>
    <cellStyle name="Обычный 8 147" xfId="17081" xr:uid="{00000000-0005-0000-0000-000088730000}"/>
    <cellStyle name="Обычный 8 148" xfId="22421" xr:uid="{00000000-0005-0000-0000-000089730000}"/>
    <cellStyle name="Обычный 8 149" xfId="27761" xr:uid="{00000000-0005-0000-0000-00008A730000}"/>
    <cellStyle name="Обычный 8 15" xfId="1422" xr:uid="{00000000-0005-0000-0000-00008B730000}"/>
    <cellStyle name="Обычный 8 15 10" xfId="49485" xr:uid="{00000000-0005-0000-0000-00008C730000}"/>
    <cellStyle name="Обычный 8 15 2" xfId="6764" xr:uid="{00000000-0005-0000-0000-00008D730000}"/>
    <cellStyle name="Обычный 8 15 2 2" xfId="54826" xr:uid="{00000000-0005-0000-0000-00008E730000}"/>
    <cellStyle name="Обычный 8 15 3" xfId="12105" xr:uid="{00000000-0005-0000-0000-00008F730000}"/>
    <cellStyle name="Обычный 8 15 4" xfId="17445" xr:uid="{00000000-0005-0000-0000-000090730000}"/>
    <cellStyle name="Обычный 8 15 5" xfId="22785" xr:uid="{00000000-0005-0000-0000-000091730000}"/>
    <cellStyle name="Обычный 8 15 6" xfId="28125" xr:uid="{00000000-0005-0000-0000-000092730000}"/>
    <cellStyle name="Обычный 8 15 7" xfId="33465" xr:uid="{00000000-0005-0000-0000-000093730000}"/>
    <cellStyle name="Обычный 8 15 8" xfId="38805" xr:uid="{00000000-0005-0000-0000-000094730000}"/>
    <cellStyle name="Обычный 8 15 9" xfId="44145" xr:uid="{00000000-0005-0000-0000-000095730000}"/>
    <cellStyle name="Обычный 8 150" xfId="33101" xr:uid="{00000000-0005-0000-0000-000096730000}"/>
    <cellStyle name="Обычный 8 151" xfId="38441" xr:uid="{00000000-0005-0000-0000-000097730000}"/>
    <cellStyle name="Обычный 8 152" xfId="43781" xr:uid="{00000000-0005-0000-0000-000098730000}"/>
    <cellStyle name="Обычный 8 153" xfId="49121" xr:uid="{00000000-0005-0000-0000-000099730000}"/>
    <cellStyle name="Обычный 8 16" xfId="1448" xr:uid="{00000000-0005-0000-0000-00009A730000}"/>
    <cellStyle name="Обычный 8 16 10" xfId="49511" xr:uid="{00000000-0005-0000-0000-00009B730000}"/>
    <cellStyle name="Обычный 8 16 2" xfId="6790" xr:uid="{00000000-0005-0000-0000-00009C730000}"/>
    <cellStyle name="Обычный 8 16 2 2" xfId="54852" xr:uid="{00000000-0005-0000-0000-00009D730000}"/>
    <cellStyle name="Обычный 8 16 3" xfId="12131" xr:uid="{00000000-0005-0000-0000-00009E730000}"/>
    <cellStyle name="Обычный 8 16 4" xfId="17471" xr:uid="{00000000-0005-0000-0000-00009F730000}"/>
    <cellStyle name="Обычный 8 16 5" xfId="22811" xr:uid="{00000000-0005-0000-0000-0000A0730000}"/>
    <cellStyle name="Обычный 8 16 6" xfId="28151" xr:uid="{00000000-0005-0000-0000-0000A1730000}"/>
    <cellStyle name="Обычный 8 16 7" xfId="33491" xr:uid="{00000000-0005-0000-0000-0000A2730000}"/>
    <cellStyle name="Обычный 8 16 8" xfId="38831" xr:uid="{00000000-0005-0000-0000-0000A3730000}"/>
    <cellStyle name="Обычный 8 16 9" xfId="44171" xr:uid="{00000000-0005-0000-0000-0000A4730000}"/>
    <cellStyle name="Обычный 8 17" xfId="1474" xr:uid="{00000000-0005-0000-0000-0000A5730000}"/>
    <cellStyle name="Обычный 8 17 10" xfId="49537" xr:uid="{00000000-0005-0000-0000-0000A6730000}"/>
    <cellStyle name="Обычный 8 17 2" xfId="6816" xr:uid="{00000000-0005-0000-0000-0000A7730000}"/>
    <cellStyle name="Обычный 8 17 2 2" xfId="54878" xr:uid="{00000000-0005-0000-0000-0000A8730000}"/>
    <cellStyle name="Обычный 8 17 3" xfId="12157" xr:uid="{00000000-0005-0000-0000-0000A9730000}"/>
    <cellStyle name="Обычный 8 17 4" xfId="17497" xr:uid="{00000000-0005-0000-0000-0000AA730000}"/>
    <cellStyle name="Обычный 8 17 5" xfId="22837" xr:uid="{00000000-0005-0000-0000-0000AB730000}"/>
    <cellStyle name="Обычный 8 17 6" xfId="28177" xr:uid="{00000000-0005-0000-0000-0000AC730000}"/>
    <cellStyle name="Обычный 8 17 7" xfId="33517" xr:uid="{00000000-0005-0000-0000-0000AD730000}"/>
    <cellStyle name="Обычный 8 17 8" xfId="38857" xr:uid="{00000000-0005-0000-0000-0000AE730000}"/>
    <cellStyle name="Обычный 8 17 9" xfId="44197" xr:uid="{00000000-0005-0000-0000-0000AF730000}"/>
    <cellStyle name="Обычный 8 18" xfId="1500" xr:uid="{00000000-0005-0000-0000-0000B0730000}"/>
    <cellStyle name="Обычный 8 18 10" xfId="49563" xr:uid="{00000000-0005-0000-0000-0000B1730000}"/>
    <cellStyle name="Обычный 8 18 2" xfId="6842" xr:uid="{00000000-0005-0000-0000-0000B2730000}"/>
    <cellStyle name="Обычный 8 18 2 2" xfId="54904" xr:uid="{00000000-0005-0000-0000-0000B3730000}"/>
    <cellStyle name="Обычный 8 18 3" xfId="12183" xr:uid="{00000000-0005-0000-0000-0000B4730000}"/>
    <cellStyle name="Обычный 8 18 4" xfId="17523" xr:uid="{00000000-0005-0000-0000-0000B5730000}"/>
    <cellStyle name="Обычный 8 18 5" xfId="22863" xr:uid="{00000000-0005-0000-0000-0000B6730000}"/>
    <cellStyle name="Обычный 8 18 6" xfId="28203" xr:uid="{00000000-0005-0000-0000-0000B7730000}"/>
    <cellStyle name="Обычный 8 18 7" xfId="33543" xr:uid="{00000000-0005-0000-0000-0000B8730000}"/>
    <cellStyle name="Обычный 8 18 8" xfId="38883" xr:uid="{00000000-0005-0000-0000-0000B9730000}"/>
    <cellStyle name="Обычный 8 18 9" xfId="44223" xr:uid="{00000000-0005-0000-0000-0000BA730000}"/>
    <cellStyle name="Обычный 8 19" xfId="1526" xr:uid="{00000000-0005-0000-0000-0000BB730000}"/>
    <cellStyle name="Обычный 8 19 10" xfId="49589" xr:uid="{00000000-0005-0000-0000-0000BC730000}"/>
    <cellStyle name="Обычный 8 19 2" xfId="6868" xr:uid="{00000000-0005-0000-0000-0000BD730000}"/>
    <cellStyle name="Обычный 8 19 2 2" xfId="54930" xr:uid="{00000000-0005-0000-0000-0000BE730000}"/>
    <cellStyle name="Обычный 8 19 3" xfId="12209" xr:uid="{00000000-0005-0000-0000-0000BF730000}"/>
    <cellStyle name="Обычный 8 19 4" xfId="17549" xr:uid="{00000000-0005-0000-0000-0000C0730000}"/>
    <cellStyle name="Обычный 8 19 5" xfId="22889" xr:uid="{00000000-0005-0000-0000-0000C1730000}"/>
    <cellStyle name="Обычный 8 19 6" xfId="28229" xr:uid="{00000000-0005-0000-0000-0000C2730000}"/>
    <cellStyle name="Обычный 8 19 7" xfId="33569" xr:uid="{00000000-0005-0000-0000-0000C3730000}"/>
    <cellStyle name="Обычный 8 19 8" xfId="38909" xr:uid="{00000000-0005-0000-0000-0000C4730000}"/>
    <cellStyle name="Обычный 8 19 9" xfId="44249" xr:uid="{00000000-0005-0000-0000-0000C5730000}"/>
    <cellStyle name="Обычный 8 2" xfId="1084" xr:uid="{00000000-0005-0000-0000-0000C6730000}"/>
    <cellStyle name="Обычный 8 2 10" xfId="49147" xr:uid="{00000000-0005-0000-0000-0000C7730000}"/>
    <cellStyle name="Обычный 8 2 2" xfId="6426" xr:uid="{00000000-0005-0000-0000-0000C8730000}"/>
    <cellStyle name="Обычный 8 2 2 2" xfId="54488" xr:uid="{00000000-0005-0000-0000-0000C9730000}"/>
    <cellStyle name="Обычный 8 2 3" xfId="11767" xr:uid="{00000000-0005-0000-0000-0000CA730000}"/>
    <cellStyle name="Обычный 8 2 4" xfId="17107" xr:uid="{00000000-0005-0000-0000-0000CB730000}"/>
    <cellStyle name="Обычный 8 2 5" xfId="22447" xr:uid="{00000000-0005-0000-0000-0000CC730000}"/>
    <cellStyle name="Обычный 8 2 6" xfId="27787" xr:uid="{00000000-0005-0000-0000-0000CD730000}"/>
    <cellStyle name="Обычный 8 2 7" xfId="33127" xr:uid="{00000000-0005-0000-0000-0000CE730000}"/>
    <cellStyle name="Обычный 8 2 8" xfId="38467" xr:uid="{00000000-0005-0000-0000-0000CF730000}"/>
    <cellStyle name="Обычный 8 2 9" xfId="43807" xr:uid="{00000000-0005-0000-0000-0000D0730000}"/>
    <cellStyle name="Обычный 8 20" xfId="1552" xr:uid="{00000000-0005-0000-0000-0000D1730000}"/>
    <cellStyle name="Обычный 8 20 10" xfId="49615" xr:uid="{00000000-0005-0000-0000-0000D2730000}"/>
    <cellStyle name="Обычный 8 20 2" xfId="6894" xr:uid="{00000000-0005-0000-0000-0000D3730000}"/>
    <cellStyle name="Обычный 8 20 2 2" xfId="54956" xr:uid="{00000000-0005-0000-0000-0000D4730000}"/>
    <cellStyle name="Обычный 8 20 3" xfId="12235" xr:uid="{00000000-0005-0000-0000-0000D5730000}"/>
    <cellStyle name="Обычный 8 20 4" xfId="17575" xr:uid="{00000000-0005-0000-0000-0000D6730000}"/>
    <cellStyle name="Обычный 8 20 5" xfId="22915" xr:uid="{00000000-0005-0000-0000-0000D7730000}"/>
    <cellStyle name="Обычный 8 20 6" xfId="28255" xr:uid="{00000000-0005-0000-0000-0000D8730000}"/>
    <cellStyle name="Обычный 8 20 7" xfId="33595" xr:uid="{00000000-0005-0000-0000-0000D9730000}"/>
    <cellStyle name="Обычный 8 20 8" xfId="38935" xr:uid="{00000000-0005-0000-0000-0000DA730000}"/>
    <cellStyle name="Обычный 8 20 9" xfId="44275" xr:uid="{00000000-0005-0000-0000-0000DB730000}"/>
    <cellStyle name="Обычный 8 21" xfId="1578" xr:uid="{00000000-0005-0000-0000-0000DC730000}"/>
    <cellStyle name="Обычный 8 21 10" xfId="49641" xr:uid="{00000000-0005-0000-0000-0000DD730000}"/>
    <cellStyle name="Обычный 8 21 2" xfId="6920" xr:uid="{00000000-0005-0000-0000-0000DE730000}"/>
    <cellStyle name="Обычный 8 21 2 2" xfId="54982" xr:uid="{00000000-0005-0000-0000-0000DF730000}"/>
    <cellStyle name="Обычный 8 21 3" xfId="12261" xr:uid="{00000000-0005-0000-0000-0000E0730000}"/>
    <cellStyle name="Обычный 8 21 4" xfId="17601" xr:uid="{00000000-0005-0000-0000-0000E1730000}"/>
    <cellStyle name="Обычный 8 21 5" xfId="22941" xr:uid="{00000000-0005-0000-0000-0000E2730000}"/>
    <cellStyle name="Обычный 8 21 6" xfId="28281" xr:uid="{00000000-0005-0000-0000-0000E3730000}"/>
    <cellStyle name="Обычный 8 21 7" xfId="33621" xr:uid="{00000000-0005-0000-0000-0000E4730000}"/>
    <cellStyle name="Обычный 8 21 8" xfId="38961" xr:uid="{00000000-0005-0000-0000-0000E5730000}"/>
    <cellStyle name="Обычный 8 21 9" xfId="44301" xr:uid="{00000000-0005-0000-0000-0000E6730000}"/>
    <cellStyle name="Обычный 8 22" xfId="1604" xr:uid="{00000000-0005-0000-0000-0000E7730000}"/>
    <cellStyle name="Обычный 8 22 10" xfId="49667" xr:uid="{00000000-0005-0000-0000-0000E8730000}"/>
    <cellStyle name="Обычный 8 22 2" xfId="6946" xr:uid="{00000000-0005-0000-0000-0000E9730000}"/>
    <cellStyle name="Обычный 8 22 2 2" xfId="55008" xr:uid="{00000000-0005-0000-0000-0000EA730000}"/>
    <cellStyle name="Обычный 8 22 3" xfId="12287" xr:uid="{00000000-0005-0000-0000-0000EB730000}"/>
    <cellStyle name="Обычный 8 22 4" xfId="17627" xr:uid="{00000000-0005-0000-0000-0000EC730000}"/>
    <cellStyle name="Обычный 8 22 5" xfId="22967" xr:uid="{00000000-0005-0000-0000-0000ED730000}"/>
    <cellStyle name="Обычный 8 22 6" xfId="28307" xr:uid="{00000000-0005-0000-0000-0000EE730000}"/>
    <cellStyle name="Обычный 8 22 7" xfId="33647" xr:uid="{00000000-0005-0000-0000-0000EF730000}"/>
    <cellStyle name="Обычный 8 22 8" xfId="38987" xr:uid="{00000000-0005-0000-0000-0000F0730000}"/>
    <cellStyle name="Обычный 8 22 9" xfId="44327" xr:uid="{00000000-0005-0000-0000-0000F1730000}"/>
    <cellStyle name="Обычный 8 23" xfId="1630" xr:uid="{00000000-0005-0000-0000-0000F2730000}"/>
    <cellStyle name="Обычный 8 23 10" xfId="49693" xr:uid="{00000000-0005-0000-0000-0000F3730000}"/>
    <cellStyle name="Обычный 8 23 2" xfId="6972" xr:uid="{00000000-0005-0000-0000-0000F4730000}"/>
    <cellStyle name="Обычный 8 23 2 2" xfId="55034" xr:uid="{00000000-0005-0000-0000-0000F5730000}"/>
    <cellStyle name="Обычный 8 23 3" xfId="12313" xr:uid="{00000000-0005-0000-0000-0000F6730000}"/>
    <cellStyle name="Обычный 8 23 4" xfId="17653" xr:uid="{00000000-0005-0000-0000-0000F7730000}"/>
    <cellStyle name="Обычный 8 23 5" xfId="22993" xr:uid="{00000000-0005-0000-0000-0000F8730000}"/>
    <cellStyle name="Обычный 8 23 6" xfId="28333" xr:uid="{00000000-0005-0000-0000-0000F9730000}"/>
    <cellStyle name="Обычный 8 23 7" xfId="33673" xr:uid="{00000000-0005-0000-0000-0000FA730000}"/>
    <cellStyle name="Обычный 8 23 8" xfId="39013" xr:uid="{00000000-0005-0000-0000-0000FB730000}"/>
    <cellStyle name="Обычный 8 23 9" xfId="44353" xr:uid="{00000000-0005-0000-0000-0000FC730000}"/>
    <cellStyle name="Обычный 8 24" xfId="1656" xr:uid="{00000000-0005-0000-0000-0000FD730000}"/>
    <cellStyle name="Обычный 8 24 10" xfId="49719" xr:uid="{00000000-0005-0000-0000-0000FE730000}"/>
    <cellStyle name="Обычный 8 24 2" xfId="6998" xr:uid="{00000000-0005-0000-0000-0000FF730000}"/>
    <cellStyle name="Обычный 8 24 2 2" xfId="55060" xr:uid="{00000000-0005-0000-0000-000000740000}"/>
    <cellStyle name="Обычный 8 24 3" xfId="12339" xr:uid="{00000000-0005-0000-0000-000001740000}"/>
    <cellStyle name="Обычный 8 24 4" xfId="17679" xr:uid="{00000000-0005-0000-0000-000002740000}"/>
    <cellStyle name="Обычный 8 24 5" xfId="23019" xr:uid="{00000000-0005-0000-0000-000003740000}"/>
    <cellStyle name="Обычный 8 24 6" xfId="28359" xr:uid="{00000000-0005-0000-0000-000004740000}"/>
    <cellStyle name="Обычный 8 24 7" xfId="33699" xr:uid="{00000000-0005-0000-0000-000005740000}"/>
    <cellStyle name="Обычный 8 24 8" xfId="39039" xr:uid="{00000000-0005-0000-0000-000006740000}"/>
    <cellStyle name="Обычный 8 24 9" xfId="44379" xr:uid="{00000000-0005-0000-0000-000007740000}"/>
    <cellStyle name="Обычный 8 25" xfId="1682" xr:uid="{00000000-0005-0000-0000-000008740000}"/>
    <cellStyle name="Обычный 8 25 10" xfId="49745" xr:uid="{00000000-0005-0000-0000-000009740000}"/>
    <cellStyle name="Обычный 8 25 2" xfId="7024" xr:uid="{00000000-0005-0000-0000-00000A740000}"/>
    <cellStyle name="Обычный 8 25 2 2" xfId="55086" xr:uid="{00000000-0005-0000-0000-00000B740000}"/>
    <cellStyle name="Обычный 8 25 3" xfId="12365" xr:uid="{00000000-0005-0000-0000-00000C740000}"/>
    <cellStyle name="Обычный 8 25 4" xfId="17705" xr:uid="{00000000-0005-0000-0000-00000D740000}"/>
    <cellStyle name="Обычный 8 25 5" xfId="23045" xr:uid="{00000000-0005-0000-0000-00000E740000}"/>
    <cellStyle name="Обычный 8 25 6" xfId="28385" xr:uid="{00000000-0005-0000-0000-00000F740000}"/>
    <cellStyle name="Обычный 8 25 7" xfId="33725" xr:uid="{00000000-0005-0000-0000-000010740000}"/>
    <cellStyle name="Обычный 8 25 8" xfId="39065" xr:uid="{00000000-0005-0000-0000-000011740000}"/>
    <cellStyle name="Обычный 8 25 9" xfId="44405" xr:uid="{00000000-0005-0000-0000-000012740000}"/>
    <cellStyle name="Обычный 8 26" xfId="1708" xr:uid="{00000000-0005-0000-0000-000013740000}"/>
    <cellStyle name="Обычный 8 26 10" xfId="49771" xr:uid="{00000000-0005-0000-0000-000014740000}"/>
    <cellStyle name="Обычный 8 26 2" xfId="7050" xr:uid="{00000000-0005-0000-0000-000015740000}"/>
    <cellStyle name="Обычный 8 26 2 2" xfId="55112" xr:uid="{00000000-0005-0000-0000-000016740000}"/>
    <cellStyle name="Обычный 8 26 3" xfId="12391" xr:uid="{00000000-0005-0000-0000-000017740000}"/>
    <cellStyle name="Обычный 8 26 4" xfId="17731" xr:uid="{00000000-0005-0000-0000-000018740000}"/>
    <cellStyle name="Обычный 8 26 5" xfId="23071" xr:uid="{00000000-0005-0000-0000-000019740000}"/>
    <cellStyle name="Обычный 8 26 6" xfId="28411" xr:uid="{00000000-0005-0000-0000-00001A740000}"/>
    <cellStyle name="Обычный 8 26 7" xfId="33751" xr:uid="{00000000-0005-0000-0000-00001B740000}"/>
    <cellStyle name="Обычный 8 26 8" xfId="39091" xr:uid="{00000000-0005-0000-0000-00001C740000}"/>
    <cellStyle name="Обычный 8 26 9" xfId="44431" xr:uid="{00000000-0005-0000-0000-00001D740000}"/>
    <cellStyle name="Обычный 8 27" xfId="1734" xr:uid="{00000000-0005-0000-0000-00001E740000}"/>
    <cellStyle name="Обычный 8 27 10" xfId="49797" xr:uid="{00000000-0005-0000-0000-00001F740000}"/>
    <cellStyle name="Обычный 8 27 2" xfId="7076" xr:uid="{00000000-0005-0000-0000-000020740000}"/>
    <cellStyle name="Обычный 8 27 2 2" xfId="55138" xr:uid="{00000000-0005-0000-0000-000021740000}"/>
    <cellStyle name="Обычный 8 27 3" xfId="12417" xr:uid="{00000000-0005-0000-0000-000022740000}"/>
    <cellStyle name="Обычный 8 27 4" xfId="17757" xr:uid="{00000000-0005-0000-0000-000023740000}"/>
    <cellStyle name="Обычный 8 27 5" xfId="23097" xr:uid="{00000000-0005-0000-0000-000024740000}"/>
    <cellStyle name="Обычный 8 27 6" xfId="28437" xr:uid="{00000000-0005-0000-0000-000025740000}"/>
    <cellStyle name="Обычный 8 27 7" xfId="33777" xr:uid="{00000000-0005-0000-0000-000026740000}"/>
    <cellStyle name="Обычный 8 27 8" xfId="39117" xr:uid="{00000000-0005-0000-0000-000027740000}"/>
    <cellStyle name="Обычный 8 27 9" xfId="44457" xr:uid="{00000000-0005-0000-0000-000028740000}"/>
    <cellStyle name="Обычный 8 28" xfId="1760" xr:uid="{00000000-0005-0000-0000-000029740000}"/>
    <cellStyle name="Обычный 8 28 10" xfId="49823" xr:uid="{00000000-0005-0000-0000-00002A740000}"/>
    <cellStyle name="Обычный 8 28 2" xfId="7102" xr:uid="{00000000-0005-0000-0000-00002B740000}"/>
    <cellStyle name="Обычный 8 28 2 2" xfId="55164" xr:uid="{00000000-0005-0000-0000-00002C740000}"/>
    <cellStyle name="Обычный 8 28 3" xfId="12443" xr:uid="{00000000-0005-0000-0000-00002D740000}"/>
    <cellStyle name="Обычный 8 28 4" xfId="17783" xr:uid="{00000000-0005-0000-0000-00002E740000}"/>
    <cellStyle name="Обычный 8 28 5" xfId="23123" xr:uid="{00000000-0005-0000-0000-00002F740000}"/>
    <cellStyle name="Обычный 8 28 6" xfId="28463" xr:uid="{00000000-0005-0000-0000-000030740000}"/>
    <cellStyle name="Обычный 8 28 7" xfId="33803" xr:uid="{00000000-0005-0000-0000-000031740000}"/>
    <cellStyle name="Обычный 8 28 8" xfId="39143" xr:uid="{00000000-0005-0000-0000-000032740000}"/>
    <cellStyle name="Обычный 8 28 9" xfId="44483" xr:uid="{00000000-0005-0000-0000-000033740000}"/>
    <cellStyle name="Обычный 8 29" xfId="1786" xr:uid="{00000000-0005-0000-0000-000034740000}"/>
    <cellStyle name="Обычный 8 29 10" xfId="49849" xr:uid="{00000000-0005-0000-0000-000035740000}"/>
    <cellStyle name="Обычный 8 29 2" xfId="7128" xr:uid="{00000000-0005-0000-0000-000036740000}"/>
    <cellStyle name="Обычный 8 29 2 2" xfId="55190" xr:uid="{00000000-0005-0000-0000-000037740000}"/>
    <cellStyle name="Обычный 8 29 3" xfId="12469" xr:uid="{00000000-0005-0000-0000-000038740000}"/>
    <cellStyle name="Обычный 8 29 4" xfId="17809" xr:uid="{00000000-0005-0000-0000-000039740000}"/>
    <cellStyle name="Обычный 8 29 5" xfId="23149" xr:uid="{00000000-0005-0000-0000-00003A740000}"/>
    <cellStyle name="Обычный 8 29 6" xfId="28489" xr:uid="{00000000-0005-0000-0000-00003B740000}"/>
    <cellStyle name="Обычный 8 29 7" xfId="33829" xr:uid="{00000000-0005-0000-0000-00003C740000}"/>
    <cellStyle name="Обычный 8 29 8" xfId="39169" xr:uid="{00000000-0005-0000-0000-00003D740000}"/>
    <cellStyle name="Обычный 8 29 9" xfId="44509" xr:uid="{00000000-0005-0000-0000-00003E740000}"/>
    <cellStyle name="Обычный 8 3" xfId="1110" xr:uid="{00000000-0005-0000-0000-00003F740000}"/>
    <cellStyle name="Обычный 8 3 10" xfId="49173" xr:uid="{00000000-0005-0000-0000-000040740000}"/>
    <cellStyle name="Обычный 8 3 2" xfId="6452" xr:uid="{00000000-0005-0000-0000-000041740000}"/>
    <cellStyle name="Обычный 8 3 2 2" xfId="54514" xr:uid="{00000000-0005-0000-0000-000042740000}"/>
    <cellStyle name="Обычный 8 3 3" xfId="11793" xr:uid="{00000000-0005-0000-0000-000043740000}"/>
    <cellStyle name="Обычный 8 3 4" xfId="17133" xr:uid="{00000000-0005-0000-0000-000044740000}"/>
    <cellStyle name="Обычный 8 3 5" xfId="22473" xr:uid="{00000000-0005-0000-0000-000045740000}"/>
    <cellStyle name="Обычный 8 3 6" xfId="27813" xr:uid="{00000000-0005-0000-0000-000046740000}"/>
    <cellStyle name="Обычный 8 3 7" xfId="33153" xr:uid="{00000000-0005-0000-0000-000047740000}"/>
    <cellStyle name="Обычный 8 3 8" xfId="38493" xr:uid="{00000000-0005-0000-0000-000048740000}"/>
    <cellStyle name="Обычный 8 3 9" xfId="43833" xr:uid="{00000000-0005-0000-0000-000049740000}"/>
    <cellStyle name="Обычный 8 30" xfId="1812" xr:uid="{00000000-0005-0000-0000-00004A740000}"/>
    <cellStyle name="Обычный 8 30 10" xfId="49875" xr:uid="{00000000-0005-0000-0000-00004B740000}"/>
    <cellStyle name="Обычный 8 30 2" xfId="7154" xr:uid="{00000000-0005-0000-0000-00004C740000}"/>
    <cellStyle name="Обычный 8 30 2 2" xfId="55216" xr:uid="{00000000-0005-0000-0000-00004D740000}"/>
    <cellStyle name="Обычный 8 30 3" xfId="12495" xr:uid="{00000000-0005-0000-0000-00004E740000}"/>
    <cellStyle name="Обычный 8 30 4" xfId="17835" xr:uid="{00000000-0005-0000-0000-00004F740000}"/>
    <cellStyle name="Обычный 8 30 5" xfId="23175" xr:uid="{00000000-0005-0000-0000-000050740000}"/>
    <cellStyle name="Обычный 8 30 6" xfId="28515" xr:uid="{00000000-0005-0000-0000-000051740000}"/>
    <cellStyle name="Обычный 8 30 7" xfId="33855" xr:uid="{00000000-0005-0000-0000-000052740000}"/>
    <cellStyle name="Обычный 8 30 8" xfId="39195" xr:uid="{00000000-0005-0000-0000-000053740000}"/>
    <cellStyle name="Обычный 8 30 9" xfId="44535" xr:uid="{00000000-0005-0000-0000-000054740000}"/>
    <cellStyle name="Обычный 8 31" xfId="1838" xr:uid="{00000000-0005-0000-0000-000055740000}"/>
    <cellStyle name="Обычный 8 31 10" xfId="49901" xr:uid="{00000000-0005-0000-0000-000056740000}"/>
    <cellStyle name="Обычный 8 31 2" xfId="7180" xr:uid="{00000000-0005-0000-0000-000057740000}"/>
    <cellStyle name="Обычный 8 31 2 2" xfId="55242" xr:uid="{00000000-0005-0000-0000-000058740000}"/>
    <cellStyle name="Обычный 8 31 3" xfId="12521" xr:uid="{00000000-0005-0000-0000-000059740000}"/>
    <cellStyle name="Обычный 8 31 4" xfId="17861" xr:uid="{00000000-0005-0000-0000-00005A740000}"/>
    <cellStyle name="Обычный 8 31 5" xfId="23201" xr:uid="{00000000-0005-0000-0000-00005B740000}"/>
    <cellStyle name="Обычный 8 31 6" xfId="28541" xr:uid="{00000000-0005-0000-0000-00005C740000}"/>
    <cellStyle name="Обычный 8 31 7" xfId="33881" xr:uid="{00000000-0005-0000-0000-00005D740000}"/>
    <cellStyle name="Обычный 8 31 8" xfId="39221" xr:uid="{00000000-0005-0000-0000-00005E740000}"/>
    <cellStyle name="Обычный 8 31 9" xfId="44561" xr:uid="{00000000-0005-0000-0000-00005F740000}"/>
    <cellStyle name="Обычный 8 32" xfId="1864" xr:uid="{00000000-0005-0000-0000-000060740000}"/>
    <cellStyle name="Обычный 8 32 10" xfId="49927" xr:uid="{00000000-0005-0000-0000-000061740000}"/>
    <cellStyle name="Обычный 8 32 2" xfId="7206" xr:uid="{00000000-0005-0000-0000-000062740000}"/>
    <cellStyle name="Обычный 8 32 2 2" xfId="55268" xr:uid="{00000000-0005-0000-0000-000063740000}"/>
    <cellStyle name="Обычный 8 32 3" xfId="12547" xr:uid="{00000000-0005-0000-0000-000064740000}"/>
    <cellStyle name="Обычный 8 32 4" xfId="17887" xr:uid="{00000000-0005-0000-0000-000065740000}"/>
    <cellStyle name="Обычный 8 32 5" xfId="23227" xr:uid="{00000000-0005-0000-0000-000066740000}"/>
    <cellStyle name="Обычный 8 32 6" xfId="28567" xr:uid="{00000000-0005-0000-0000-000067740000}"/>
    <cellStyle name="Обычный 8 32 7" xfId="33907" xr:uid="{00000000-0005-0000-0000-000068740000}"/>
    <cellStyle name="Обычный 8 32 8" xfId="39247" xr:uid="{00000000-0005-0000-0000-000069740000}"/>
    <cellStyle name="Обычный 8 32 9" xfId="44587" xr:uid="{00000000-0005-0000-0000-00006A740000}"/>
    <cellStyle name="Обычный 8 33" xfId="1890" xr:uid="{00000000-0005-0000-0000-00006B740000}"/>
    <cellStyle name="Обычный 8 33 10" xfId="49953" xr:uid="{00000000-0005-0000-0000-00006C740000}"/>
    <cellStyle name="Обычный 8 33 2" xfId="7232" xr:uid="{00000000-0005-0000-0000-00006D740000}"/>
    <cellStyle name="Обычный 8 33 2 2" xfId="55294" xr:uid="{00000000-0005-0000-0000-00006E740000}"/>
    <cellStyle name="Обычный 8 33 3" xfId="12573" xr:uid="{00000000-0005-0000-0000-00006F740000}"/>
    <cellStyle name="Обычный 8 33 4" xfId="17913" xr:uid="{00000000-0005-0000-0000-000070740000}"/>
    <cellStyle name="Обычный 8 33 5" xfId="23253" xr:uid="{00000000-0005-0000-0000-000071740000}"/>
    <cellStyle name="Обычный 8 33 6" xfId="28593" xr:uid="{00000000-0005-0000-0000-000072740000}"/>
    <cellStyle name="Обычный 8 33 7" xfId="33933" xr:uid="{00000000-0005-0000-0000-000073740000}"/>
    <cellStyle name="Обычный 8 33 8" xfId="39273" xr:uid="{00000000-0005-0000-0000-000074740000}"/>
    <cellStyle name="Обычный 8 33 9" xfId="44613" xr:uid="{00000000-0005-0000-0000-000075740000}"/>
    <cellStyle name="Обычный 8 34" xfId="1916" xr:uid="{00000000-0005-0000-0000-000076740000}"/>
    <cellStyle name="Обычный 8 34 10" xfId="49979" xr:uid="{00000000-0005-0000-0000-000077740000}"/>
    <cellStyle name="Обычный 8 34 2" xfId="7258" xr:uid="{00000000-0005-0000-0000-000078740000}"/>
    <cellStyle name="Обычный 8 34 2 2" xfId="55320" xr:uid="{00000000-0005-0000-0000-000079740000}"/>
    <cellStyle name="Обычный 8 34 3" xfId="12599" xr:uid="{00000000-0005-0000-0000-00007A740000}"/>
    <cellStyle name="Обычный 8 34 4" xfId="17939" xr:uid="{00000000-0005-0000-0000-00007B740000}"/>
    <cellStyle name="Обычный 8 34 5" xfId="23279" xr:uid="{00000000-0005-0000-0000-00007C740000}"/>
    <cellStyle name="Обычный 8 34 6" xfId="28619" xr:uid="{00000000-0005-0000-0000-00007D740000}"/>
    <cellStyle name="Обычный 8 34 7" xfId="33959" xr:uid="{00000000-0005-0000-0000-00007E740000}"/>
    <cellStyle name="Обычный 8 34 8" xfId="39299" xr:uid="{00000000-0005-0000-0000-00007F740000}"/>
    <cellStyle name="Обычный 8 34 9" xfId="44639" xr:uid="{00000000-0005-0000-0000-000080740000}"/>
    <cellStyle name="Обычный 8 35" xfId="1942" xr:uid="{00000000-0005-0000-0000-000081740000}"/>
    <cellStyle name="Обычный 8 35 10" xfId="50005" xr:uid="{00000000-0005-0000-0000-000082740000}"/>
    <cellStyle name="Обычный 8 35 2" xfId="7284" xr:uid="{00000000-0005-0000-0000-000083740000}"/>
    <cellStyle name="Обычный 8 35 2 2" xfId="55346" xr:uid="{00000000-0005-0000-0000-000084740000}"/>
    <cellStyle name="Обычный 8 35 3" xfId="12625" xr:uid="{00000000-0005-0000-0000-000085740000}"/>
    <cellStyle name="Обычный 8 35 4" xfId="17965" xr:uid="{00000000-0005-0000-0000-000086740000}"/>
    <cellStyle name="Обычный 8 35 5" xfId="23305" xr:uid="{00000000-0005-0000-0000-000087740000}"/>
    <cellStyle name="Обычный 8 35 6" xfId="28645" xr:uid="{00000000-0005-0000-0000-000088740000}"/>
    <cellStyle name="Обычный 8 35 7" xfId="33985" xr:uid="{00000000-0005-0000-0000-000089740000}"/>
    <cellStyle name="Обычный 8 35 8" xfId="39325" xr:uid="{00000000-0005-0000-0000-00008A740000}"/>
    <cellStyle name="Обычный 8 35 9" xfId="44665" xr:uid="{00000000-0005-0000-0000-00008B740000}"/>
    <cellStyle name="Обычный 8 36" xfId="1970" xr:uid="{00000000-0005-0000-0000-00008C740000}"/>
    <cellStyle name="Обычный 8 36 10" xfId="50033" xr:uid="{00000000-0005-0000-0000-00008D740000}"/>
    <cellStyle name="Обычный 8 36 2" xfId="7312" xr:uid="{00000000-0005-0000-0000-00008E740000}"/>
    <cellStyle name="Обычный 8 36 2 2" xfId="55374" xr:uid="{00000000-0005-0000-0000-00008F740000}"/>
    <cellStyle name="Обычный 8 36 3" xfId="12653" xr:uid="{00000000-0005-0000-0000-000090740000}"/>
    <cellStyle name="Обычный 8 36 4" xfId="17993" xr:uid="{00000000-0005-0000-0000-000091740000}"/>
    <cellStyle name="Обычный 8 36 5" xfId="23333" xr:uid="{00000000-0005-0000-0000-000092740000}"/>
    <cellStyle name="Обычный 8 36 6" xfId="28673" xr:uid="{00000000-0005-0000-0000-000093740000}"/>
    <cellStyle name="Обычный 8 36 7" xfId="34013" xr:uid="{00000000-0005-0000-0000-000094740000}"/>
    <cellStyle name="Обычный 8 36 8" xfId="39353" xr:uid="{00000000-0005-0000-0000-000095740000}"/>
    <cellStyle name="Обычный 8 36 9" xfId="44693" xr:uid="{00000000-0005-0000-0000-000096740000}"/>
    <cellStyle name="Обычный 8 37" xfId="1997" xr:uid="{00000000-0005-0000-0000-000097740000}"/>
    <cellStyle name="Обычный 8 37 10" xfId="50061" xr:uid="{00000000-0005-0000-0000-000098740000}"/>
    <cellStyle name="Обычный 8 37 2" xfId="7340" xr:uid="{00000000-0005-0000-0000-000099740000}"/>
    <cellStyle name="Обычный 8 37 2 2" xfId="55402" xr:uid="{00000000-0005-0000-0000-00009A740000}"/>
    <cellStyle name="Обычный 8 37 3" xfId="12681" xr:uid="{00000000-0005-0000-0000-00009B740000}"/>
    <cellStyle name="Обычный 8 37 4" xfId="18021" xr:uid="{00000000-0005-0000-0000-00009C740000}"/>
    <cellStyle name="Обычный 8 37 5" xfId="23361" xr:uid="{00000000-0005-0000-0000-00009D740000}"/>
    <cellStyle name="Обычный 8 37 6" xfId="28701" xr:uid="{00000000-0005-0000-0000-00009E740000}"/>
    <cellStyle name="Обычный 8 37 7" xfId="34041" xr:uid="{00000000-0005-0000-0000-00009F740000}"/>
    <cellStyle name="Обычный 8 37 8" xfId="39381" xr:uid="{00000000-0005-0000-0000-0000A0740000}"/>
    <cellStyle name="Обычный 8 37 9" xfId="44721" xr:uid="{00000000-0005-0000-0000-0000A1740000}"/>
    <cellStyle name="Обычный 8 38" xfId="2025" xr:uid="{00000000-0005-0000-0000-0000A2740000}"/>
    <cellStyle name="Обычный 8 38 10" xfId="50089" xr:uid="{00000000-0005-0000-0000-0000A3740000}"/>
    <cellStyle name="Обычный 8 38 2" xfId="7368" xr:uid="{00000000-0005-0000-0000-0000A4740000}"/>
    <cellStyle name="Обычный 8 38 2 2" xfId="55430" xr:uid="{00000000-0005-0000-0000-0000A5740000}"/>
    <cellStyle name="Обычный 8 38 3" xfId="12709" xr:uid="{00000000-0005-0000-0000-0000A6740000}"/>
    <cellStyle name="Обычный 8 38 4" xfId="18049" xr:uid="{00000000-0005-0000-0000-0000A7740000}"/>
    <cellStyle name="Обычный 8 38 5" xfId="23389" xr:uid="{00000000-0005-0000-0000-0000A8740000}"/>
    <cellStyle name="Обычный 8 38 6" xfId="28729" xr:uid="{00000000-0005-0000-0000-0000A9740000}"/>
    <cellStyle name="Обычный 8 38 7" xfId="34069" xr:uid="{00000000-0005-0000-0000-0000AA740000}"/>
    <cellStyle name="Обычный 8 38 8" xfId="39409" xr:uid="{00000000-0005-0000-0000-0000AB740000}"/>
    <cellStyle name="Обычный 8 38 9" xfId="44749" xr:uid="{00000000-0005-0000-0000-0000AC740000}"/>
    <cellStyle name="Обычный 8 39" xfId="2053" xr:uid="{00000000-0005-0000-0000-0000AD740000}"/>
    <cellStyle name="Обычный 8 39 10" xfId="50117" xr:uid="{00000000-0005-0000-0000-0000AE740000}"/>
    <cellStyle name="Обычный 8 39 2" xfId="7396" xr:uid="{00000000-0005-0000-0000-0000AF740000}"/>
    <cellStyle name="Обычный 8 39 2 2" xfId="55458" xr:uid="{00000000-0005-0000-0000-0000B0740000}"/>
    <cellStyle name="Обычный 8 39 3" xfId="12737" xr:uid="{00000000-0005-0000-0000-0000B1740000}"/>
    <cellStyle name="Обычный 8 39 4" xfId="18077" xr:uid="{00000000-0005-0000-0000-0000B2740000}"/>
    <cellStyle name="Обычный 8 39 5" xfId="23417" xr:uid="{00000000-0005-0000-0000-0000B3740000}"/>
    <cellStyle name="Обычный 8 39 6" xfId="28757" xr:uid="{00000000-0005-0000-0000-0000B4740000}"/>
    <cellStyle name="Обычный 8 39 7" xfId="34097" xr:uid="{00000000-0005-0000-0000-0000B5740000}"/>
    <cellStyle name="Обычный 8 39 8" xfId="39437" xr:uid="{00000000-0005-0000-0000-0000B6740000}"/>
    <cellStyle name="Обычный 8 39 9" xfId="44777" xr:uid="{00000000-0005-0000-0000-0000B7740000}"/>
    <cellStyle name="Обычный 8 4" xfId="1136" xr:uid="{00000000-0005-0000-0000-0000B8740000}"/>
    <cellStyle name="Обычный 8 4 10" xfId="49199" xr:uid="{00000000-0005-0000-0000-0000B9740000}"/>
    <cellStyle name="Обычный 8 4 2" xfId="6478" xr:uid="{00000000-0005-0000-0000-0000BA740000}"/>
    <cellStyle name="Обычный 8 4 2 2" xfId="54540" xr:uid="{00000000-0005-0000-0000-0000BB740000}"/>
    <cellStyle name="Обычный 8 4 3" xfId="11819" xr:uid="{00000000-0005-0000-0000-0000BC740000}"/>
    <cellStyle name="Обычный 8 4 4" xfId="17159" xr:uid="{00000000-0005-0000-0000-0000BD740000}"/>
    <cellStyle name="Обычный 8 4 5" xfId="22499" xr:uid="{00000000-0005-0000-0000-0000BE740000}"/>
    <cellStyle name="Обычный 8 4 6" xfId="27839" xr:uid="{00000000-0005-0000-0000-0000BF740000}"/>
    <cellStyle name="Обычный 8 4 7" xfId="33179" xr:uid="{00000000-0005-0000-0000-0000C0740000}"/>
    <cellStyle name="Обычный 8 4 8" xfId="38519" xr:uid="{00000000-0005-0000-0000-0000C1740000}"/>
    <cellStyle name="Обычный 8 4 9" xfId="43859" xr:uid="{00000000-0005-0000-0000-0000C2740000}"/>
    <cellStyle name="Обычный 8 40" xfId="2081" xr:uid="{00000000-0005-0000-0000-0000C3740000}"/>
    <cellStyle name="Обычный 8 40 10" xfId="50145" xr:uid="{00000000-0005-0000-0000-0000C4740000}"/>
    <cellStyle name="Обычный 8 40 2" xfId="7424" xr:uid="{00000000-0005-0000-0000-0000C5740000}"/>
    <cellStyle name="Обычный 8 40 2 2" xfId="55486" xr:uid="{00000000-0005-0000-0000-0000C6740000}"/>
    <cellStyle name="Обычный 8 40 3" xfId="12765" xr:uid="{00000000-0005-0000-0000-0000C7740000}"/>
    <cellStyle name="Обычный 8 40 4" xfId="18105" xr:uid="{00000000-0005-0000-0000-0000C8740000}"/>
    <cellStyle name="Обычный 8 40 5" xfId="23445" xr:uid="{00000000-0005-0000-0000-0000C9740000}"/>
    <cellStyle name="Обычный 8 40 6" xfId="28785" xr:uid="{00000000-0005-0000-0000-0000CA740000}"/>
    <cellStyle name="Обычный 8 40 7" xfId="34125" xr:uid="{00000000-0005-0000-0000-0000CB740000}"/>
    <cellStyle name="Обычный 8 40 8" xfId="39465" xr:uid="{00000000-0005-0000-0000-0000CC740000}"/>
    <cellStyle name="Обычный 8 40 9" xfId="44805" xr:uid="{00000000-0005-0000-0000-0000CD740000}"/>
    <cellStyle name="Обычный 8 41" xfId="2109" xr:uid="{00000000-0005-0000-0000-0000CE740000}"/>
    <cellStyle name="Обычный 8 41 10" xfId="50173" xr:uid="{00000000-0005-0000-0000-0000CF740000}"/>
    <cellStyle name="Обычный 8 41 2" xfId="7452" xr:uid="{00000000-0005-0000-0000-0000D0740000}"/>
    <cellStyle name="Обычный 8 41 2 2" xfId="55514" xr:uid="{00000000-0005-0000-0000-0000D1740000}"/>
    <cellStyle name="Обычный 8 41 3" xfId="12793" xr:uid="{00000000-0005-0000-0000-0000D2740000}"/>
    <cellStyle name="Обычный 8 41 4" xfId="18133" xr:uid="{00000000-0005-0000-0000-0000D3740000}"/>
    <cellStyle name="Обычный 8 41 5" xfId="23473" xr:uid="{00000000-0005-0000-0000-0000D4740000}"/>
    <cellStyle name="Обычный 8 41 6" xfId="28813" xr:uid="{00000000-0005-0000-0000-0000D5740000}"/>
    <cellStyle name="Обычный 8 41 7" xfId="34153" xr:uid="{00000000-0005-0000-0000-0000D6740000}"/>
    <cellStyle name="Обычный 8 41 8" xfId="39493" xr:uid="{00000000-0005-0000-0000-0000D7740000}"/>
    <cellStyle name="Обычный 8 41 9" xfId="44833" xr:uid="{00000000-0005-0000-0000-0000D8740000}"/>
    <cellStyle name="Обычный 8 42" xfId="2137" xr:uid="{00000000-0005-0000-0000-0000D9740000}"/>
    <cellStyle name="Обычный 8 42 10" xfId="50201" xr:uid="{00000000-0005-0000-0000-0000DA740000}"/>
    <cellStyle name="Обычный 8 42 2" xfId="7480" xr:uid="{00000000-0005-0000-0000-0000DB740000}"/>
    <cellStyle name="Обычный 8 42 2 2" xfId="55542" xr:uid="{00000000-0005-0000-0000-0000DC740000}"/>
    <cellStyle name="Обычный 8 42 3" xfId="12821" xr:uid="{00000000-0005-0000-0000-0000DD740000}"/>
    <cellStyle name="Обычный 8 42 4" xfId="18161" xr:uid="{00000000-0005-0000-0000-0000DE740000}"/>
    <cellStyle name="Обычный 8 42 5" xfId="23501" xr:uid="{00000000-0005-0000-0000-0000DF740000}"/>
    <cellStyle name="Обычный 8 42 6" xfId="28841" xr:uid="{00000000-0005-0000-0000-0000E0740000}"/>
    <cellStyle name="Обычный 8 42 7" xfId="34181" xr:uid="{00000000-0005-0000-0000-0000E1740000}"/>
    <cellStyle name="Обычный 8 42 8" xfId="39521" xr:uid="{00000000-0005-0000-0000-0000E2740000}"/>
    <cellStyle name="Обычный 8 42 9" xfId="44861" xr:uid="{00000000-0005-0000-0000-0000E3740000}"/>
    <cellStyle name="Обычный 8 43" xfId="2167" xr:uid="{00000000-0005-0000-0000-0000E4740000}"/>
    <cellStyle name="Обычный 8 43 10" xfId="50231" xr:uid="{00000000-0005-0000-0000-0000E5740000}"/>
    <cellStyle name="Обычный 8 43 2" xfId="7510" xr:uid="{00000000-0005-0000-0000-0000E6740000}"/>
    <cellStyle name="Обычный 8 43 2 2" xfId="55572" xr:uid="{00000000-0005-0000-0000-0000E7740000}"/>
    <cellStyle name="Обычный 8 43 3" xfId="12851" xr:uid="{00000000-0005-0000-0000-0000E8740000}"/>
    <cellStyle name="Обычный 8 43 4" xfId="18191" xr:uid="{00000000-0005-0000-0000-0000E9740000}"/>
    <cellStyle name="Обычный 8 43 5" xfId="23531" xr:uid="{00000000-0005-0000-0000-0000EA740000}"/>
    <cellStyle name="Обычный 8 43 6" xfId="28871" xr:uid="{00000000-0005-0000-0000-0000EB740000}"/>
    <cellStyle name="Обычный 8 43 7" xfId="34211" xr:uid="{00000000-0005-0000-0000-0000EC740000}"/>
    <cellStyle name="Обычный 8 43 8" xfId="39551" xr:uid="{00000000-0005-0000-0000-0000ED740000}"/>
    <cellStyle name="Обычный 8 43 9" xfId="44891" xr:uid="{00000000-0005-0000-0000-0000EE740000}"/>
    <cellStyle name="Обычный 8 44" xfId="2197" xr:uid="{00000000-0005-0000-0000-0000EF740000}"/>
    <cellStyle name="Обычный 8 44 10" xfId="50261" xr:uid="{00000000-0005-0000-0000-0000F0740000}"/>
    <cellStyle name="Обычный 8 44 2" xfId="7540" xr:uid="{00000000-0005-0000-0000-0000F1740000}"/>
    <cellStyle name="Обычный 8 44 2 2" xfId="55602" xr:uid="{00000000-0005-0000-0000-0000F2740000}"/>
    <cellStyle name="Обычный 8 44 3" xfId="12881" xr:uid="{00000000-0005-0000-0000-0000F3740000}"/>
    <cellStyle name="Обычный 8 44 4" xfId="18221" xr:uid="{00000000-0005-0000-0000-0000F4740000}"/>
    <cellStyle name="Обычный 8 44 5" xfId="23561" xr:uid="{00000000-0005-0000-0000-0000F5740000}"/>
    <cellStyle name="Обычный 8 44 6" xfId="28901" xr:uid="{00000000-0005-0000-0000-0000F6740000}"/>
    <cellStyle name="Обычный 8 44 7" xfId="34241" xr:uid="{00000000-0005-0000-0000-0000F7740000}"/>
    <cellStyle name="Обычный 8 44 8" xfId="39581" xr:uid="{00000000-0005-0000-0000-0000F8740000}"/>
    <cellStyle name="Обычный 8 44 9" xfId="44921" xr:uid="{00000000-0005-0000-0000-0000F9740000}"/>
    <cellStyle name="Обычный 8 45" xfId="2227" xr:uid="{00000000-0005-0000-0000-0000FA740000}"/>
    <cellStyle name="Обычный 8 45 10" xfId="50291" xr:uid="{00000000-0005-0000-0000-0000FB740000}"/>
    <cellStyle name="Обычный 8 45 2" xfId="7570" xr:uid="{00000000-0005-0000-0000-0000FC740000}"/>
    <cellStyle name="Обычный 8 45 2 2" xfId="55632" xr:uid="{00000000-0005-0000-0000-0000FD740000}"/>
    <cellStyle name="Обычный 8 45 3" xfId="12911" xr:uid="{00000000-0005-0000-0000-0000FE740000}"/>
    <cellStyle name="Обычный 8 45 4" xfId="18251" xr:uid="{00000000-0005-0000-0000-0000FF740000}"/>
    <cellStyle name="Обычный 8 45 5" xfId="23591" xr:uid="{00000000-0005-0000-0000-000000750000}"/>
    <cellStyle name="Обычный 8 45 6" xfId="28931" xr:uid="{00000000-0005-0000-0000-000001750000}"/>
    <cellStyle name="Обычный 8 45 7" xfId="34271" xr:uid="{00000000-0005-0000-0000-000002750000}"/>
    <cellStyle name="Обычный 8 45 8" xfId="39611" xr:uid="{00000000-0005-0000-0000-000003750000}"/>
    <cellStyle name="Обычный 8 45 9" xfId="44951" xr:uid="{00000000-0005-0000-0000-000004750000}"/>
    <cellStyle name="Обычный 8 46" xfId="2257" xr:uid="{00000000-0005-0000-0000-000005750000}"/>
    <cellStyle name="Обычный 8 46 10" xfId="50321" xr:uid="{00000000-0005-0000-0000-000006750000}"/>
    <cellStyle name="Обычный 8 46 2" xfId="7600" xr:uid="{00000000-0005-0000-0000-000007750000}"/>
    <cellStyle name="Обычный 8 46 2 2" xfId="55662" xr:uid="{00000000-0005-0000-0000-000008750000}"/>
    <cellStyle name="Обычный 8 46 3" xfId="12941" xr:uid="{00000000-0005-0000-0000-000009750000}"/>
    <cellStyle name="Обычный 8 46 4" xfId="18281" xr:uid="{00000000-0005-0000-0000-00000A750000}"/>
    <cellStyle name="Обычный 8 46 5" xfId="23621" xr:uid="{00000000-0005-0000-0000-00000B750000}"/>
    <cellStyle name="Обычный 8 46 6" xfId="28961" xr:uid="{00000000-0005-0000-0000-00000C750000}"/>
    <cellStyle name="Обычный 8 46 7" xfId="34301" xr:uid="{00000000-0005-0000-0000-00000D750000}"/>
    <cellStyle name="Обычный 8 46 8" xfId="39641" xr:uid="{00000000-0005-0000-0000-00000E750000}"/>
    <cellStyle name="Обычный 8 46 9" xfId="44981" xr:uid="{00000000-0005-0000-0000-00000F750000}"/>
    <cellStyle name="Обычный 8 47" xfId="2287" xr:uid="{00000000-0005-0000-0000-000010750000}"/>
    <cellStyle name="Обычный 8 47 10" xfId="50351" xr:uid="{00000000-0005-0000-0000-000011750000}"/>
    <cellStyle name="Обычный 8 47 2" xfId="7630" xr:uid="{00000000-0005-0000-0000-000012750000}"/>
    <cellStyle name="Обычный 8 47 2 2" xfId="55692" xr:uid="{00000000-0005-0000-0000-000013750000}"/>
    <cellStyle name="Обычный 8 47 3" xfId="12971" xr:uid="{00000000-0005-0000-0000-000014750000}"/>
    <cellStyle name="Обычный 8 47 4" xfId="18311" xr:uid="{00000000-0005-0000-0000-000015750000}"/>
    <cellStyle name="Обычный 8 47 5" xfId="23651" xr:uid="{00000000-0005-0000-0000-000016750000}"/>
    <cellStyle name="Обычный 8 47 6" xfId="28991" xr:uid="{00000000-0005-0000-0000-000017750000}"/>
    <cellStyle name="Обычный 8 47 7" xfId="34331" xr:uid="{00000000-0005-0000-0000-000018750000}"/>
    <cellStyle name="Обычный 8 47 8" xfId="39671" xr:uid="{00000000-0005-0000-0000-000019750000}"/>
    <cellStyle name="Обычный 8 47 9" xfId="45011" xr:uid="{00000000-0005-0000-0000-00001A750000}"/>
    <cellStyle name="Обычный 8 48" xfId="2317" xr:uid="{00000000-0005-0000-0000-00001B750000}"/>
    <cellStyle name="Обычный 8 48 10" xfId="50381" xr:uid="{00000000-0005-0000-0000-00001C750000}"/>
    <cellStyle name="Обычный 8 48 2" xfId="7660" xr:uid="{00000000-0005-0000-0000-00001D750000}"/>
    <cellStyle name="Обычный 8 48 2 2" xfId="55722" xr:uid="{00000000-0005-0000-0000-00001E750000}"/>
    <cellStyle name="Обычный 8 48 3" xfId="13001" xr:uid="{00000000-0005-0000-0000-00001F750000}"/>
    <cellStyle name="Обычный 8 48 4" xfId="18341" xr:uid="{00000000-0005-0000-0000-000020750000}"/>
    <cellStyle name="Обычный 8 48 5" xfId="23681" xr:uid="{00000000-0005-0000-0000-000021750000}"/>
    <cellStyle name="Обычный 8 48 6" xfId="29021" xr:uid="{00000000-0005-0000-0000-000022750000}"/>
    <cellStyle name="Обычный 8 48 7" xfId="34361" xr:uid="{00000000-0005-0000-0000-000023750000}"/>
    <cellStyle name="Обычный 8 48 8" xfId="39701" xr:uid="{00000000-0005-0000-0000-000024750000}"/>
    <cellStyle name="Обычный 8 48 9" xfId="45041" xr:uid="{00000000-0005-0000-0000-000025750000}"/>
    <cellStyle name="Обычный 8 49" xfId="2347" xr:uid="{00000000-0005-0000-0000-000026750000}"/>
    <cellStyle name="Обычный 8 49 10" xfId="50411" xr:uid="{00000000-0005-0000-0000-000027750000}"/>
    <cellStyle name="Обычный 8 49 2" xfId="7690" xr:uid="{00000000-0005-0000-0000-000028750000}"/>
    <cellStyle name="Обычный 8 49 2 2" xfId="55752" xr:uid="{00000000-0005-0000-0000-000029750000}"/>
    <cellStyle name="Обычный 8 49 3" xfId="13031" xr:uid="{00000000-0005-0000-0000-00002A750000}"/>
    <cellStyle name="Обычный 8 49 4" xfId="18371" xr:uid="{00000000-0005-0000-0000-00002B750000}"/>
    <cellStyle name="Обычный 8 49 5" xfId="23711" xr:uid="{00000000-0005-0000-0000-00002C750000}"/>
    <cellStyle name="Обычный 8 49 6" xfId="29051" xr:uid="{00000000-0005-0000-0000-00002D750000}"/>
    <cellStyle name="Обычный 8 49 7" xfId="34391" xr:uid="{00000000-0005-0000-0000-00002E750000}"/>
    <cellStyle name="Обычный 8 49 8" xfId="39731" xr:uid="{00000000-0005-0000-0000-00002F750000}"/>
    <cellStyle name="Обычный 8 49 9" xfId="45071" xr:uid="{00000000-0005-0000-0000-000030750000}"/>
    <cellStyle name="Обычный 8 5" xfId="1162" xr:uid="{00000000-0005-0000-0000-000031750000}"/>
    <cellStyle name="Обычный 8 5 10" xfId="49225" xr:uid="{00000000-0005-0000-0000-000032750000}"/>
    <cellStyle name="Обычный 8 5 2" xfId="6504" xr:uid="{00000000-0005-0000-0000-000033750000}"/>
    <cellStyle name="Обычный 8 5 2 2" xfId="54566" xr:uid="{00000000-0005-0000-0000-000034750000}"/>
    <cellStyle name="Обычный 8 5 3" xfId="11845" xr:uid="{00000000-0005-0000-0000-000035750000}"/>
    <cellStyle name="Обычный 8 5 4" xfId="17185" xr:uid="{00000000-0005-0000-0000-000036750000}"/>
    <cellStyle name="Обычный 8 5 5" xfId="22525" xr:uid="{00000000-0005-0000-0000-000037750000}"/>
    <cellStyle name="Обычный 8 5 6" xfId="27865" xr:uid="{00000000-0005-0000-0000-000038750000}"/>
    <cellStyle name="Обычный 8 5 7" xfId="33205" xr:uid="{00000000-0005-0000-0000-000039750000}"/>
    <cellStyle name="Обычный 8 5 8" xfId="38545" xr:uid="{00000000-0005-0000-0000-00003A750000}"/>
    <cellStyle name="Обычный 8 5 9" xfId="43885" xr:uid="{00000000-0005-0000-0000-00003B750000}"/>
    <cellStyle name="Обычный 8 50" xfId="2377" xr:uid="{00000000-0005-0000-0000-00003C750000}"/>
    <cellStyle name="Обычный 8 50 10" xfId="50441" xr:uid="{00000000-0005-0000-0000-00003D750000}"/>
    <cellStyle name="Обычный 8 50 2" xfId="7720" xr:uid="{00000000-0005-0000-0000-00003E750000}"/>
    <cellStyle name="Обычный 8 50 2 2" xfId="55782" xr:uid="{00000000-0005-0000-0000-00003F750000}"/>
    <cellStyle name="Обычный 8 50 3" xfId="13061" xr:uid="{00000000-0005-0000-0000-000040750000}"/>
    <cellStyle name="Обычный 8 50 4" xfId="18401" xr:uid="{00000000-0005-0000-0000-000041750000}"/>
    <cellStyle name="Обычный 8 50 5" xfId="23741" xr:uid="{00000000-0005-0000-0000-000042750000}"/>
    <cellStyle name="Обычный 8 50 6" xfId="29081" xr:uid="{00000000-0005-0000-0000-000043750000}"/>
    <cellStyle name="Обычный 8 50 7" xfId="34421" xr:uid="{00000000-0005-0000-0000-000044750000}"/>
    <cellStyle name="Обычный 8 50 8" xfId="39761" xr:uid="{00000000-0005-0000-0000-000045750000}"/>
    <cellStyle name="Обычный 8 50 9" xfId="45101" xr:uid="{00000000-0005-0000-0000-000046750000}"/>
    <cellStyle name="Обычный 8 51" xfId="2407" xr:uid="{00000000-0005-0000-0000-000047750000}"/>
    <cellStyle name="Обычный 8 51 10" xfId="50471" xr:uid="{00000000-0005-0000-0000-000048750000}"/>
    <cellStyle name="Обычный 8 51 2" xfId="7750" xr:uid="{00000000-0005-0000-0000-000049750000}"/>
    <cellStyle name="Обычный 8 51 2 2" xfId="55812" xr:uid="{00000000-0005-0000-0000-00004A750000}"/>
    <cellStyle name="Обычный 8 51 3" xfId="13091" xr:uid="{00000000-0005-0000-0000-00004B750000}"/>
    <cellStyle name="Обычный 8 51 4" xfId="18431" xr:uid="{00000000-0005-0000-0000-00004C750000}"/>
    <cellStyle name="Обычный 8 51 5" xfId="23771" xr:uid="{00000000-0005-0000-0000-00004D750000}"/>
    <cellStyle name="Обычный 8 51 6" xfId="29111" xr:uid="{00000000-0005-0000-0000-00004E750000}"/>
    <cellStyle name="Обычный 8 51 7" xfId="34451" xr:uid="{00000000-0005-0000-0000-00004F750000}"/>
    <cellStyle name="Обычный 8 51 8" xfId="39791" xr:uid="{00000000-0005-0000-0000-000050750000}"/>
    <cellStyle name="Обычный 8 51 9" xfId="45131" xr:uid="{00000000-0005-0000-0000-000051750000}"/>
    <cellStyle name="Обычный 8 52" xfId="2437" xr:uid="{00000000-0005-0000-0000-000052750000}"/>
    <cellStyle name="Обычный 8 52 10" xfId="50501" xr:uid="{00000000-0005-0000-0000-000053750000}"/>
    <cellStyle name="Обычный 8 52 2" xfId="7780" xr:uid="{00000000-0005-0000-0000-000054750000}"/>
    <cellStyle name="Обычный 8 52 2 2" xfId="55842" xr:uid="{00000000-0005-0000-0000-000055750000}"/>
    <cellStyle name="Обычный 8 52 3" xfId="13121" xr:uid="{00000000-0005-0000-0000-000056750000}"/>
    <cellStyle name="Обычный 8 52 4" xfId="18461" xr:uid="{00000000-0005-0000-0000-000057750000}"/>
    <cellStyle name="Обычный 8 52 5" xfId="23801" xr:uid="{00000000-0005-0000-0000-000058750000}"/>
    <cellStyle name="Обычный 8 52 6" xfId="29141" xr:uid="{00000000-0005-0000-0000-000059750000}"/>
    <cellStyle name="Обычный 8 52 7" xfId="34481" xr:uid="{00000000-0005-0000-0000-00005A750000}"/>
    <cellStyle name="Обычный 8 52 8" xfId="39821" xr:uid="{00000000-0005-0000-0000-00005B750000}"/>
    <cellStyle name="Обычный 8 52 9" xfId="45161" xr:uid="{00000000-0005-0000-0000-00005C750000}"/>
    <cellStyle name="Обычный 8 53" xfId="2467" xr:uid="{00000000-0005-0000-0000-00005D750000}"/>
    <cellStyle name="Обычный 8 53 10" xfId="50531" xr:uid="{00000000-0005-0000-0000-00005E750000}"/>
    <cellStyle name="Обычный 8 53 2" xfId="7810" xr:uid="{00000000-0005-0000-0000-00005F750000}"/>
    <cellStyle name="Обычный 8 53 2 2" xfId="55872" xr:uid="{00000000-0005-0000-0000-000060750000}"/>
    <cellStyle name="Обычный 8 53 3" xfId="13151" xr:uid="{00000000-0005-0000-0000-000061750000}"/>
    <cellStyle name="Обычный 8 53 4" xfId="18491" xr:uid="{00000000-0005-0000-0000-000062750000}"/>
    <cellStyle name="Обычный 8 53 5" xfId="23831" xr:uid="{00000000-0005-0000-0000-000063750000}"/>
    <cellStyle name="Обычный 8 53 6" xfId="29171" xr:uid="{00000000-0005-0000-0000-000064750000}"/>
    <cellStyle name="Обычный 8 53 7" xfId="34511" xr:uid="{00000000-0005-0000-0000-000065750000}"/>
    <cellStyle name="Обычный 8 53 8" xfId="39851" xr:uid="{00000000-0005-0000-0000-000066750000}"/>
    <cellStyle name="Обычный 8 53 9" xfId="45191" xr:uid="{00000000-0005-0000-0000-000067750000}"/>
    <cellStyle name="Обычный 8 54" xfId="2497" xr:uid="{00000000-0005-0000-0000-000068750000}"/>
    <cellStyle name="Обычный 8 54 10" xfId="50561" xr:uid="{00000000-0005-0000-0000-000069750000}"/>
    <cellStyle name="Обычный 8 54 2" xfId="7840" xr:uid="{00000000-0005-0000-0000-00006A750000}"/>
    <cellStyle name="Обычный 8 54 2 2" xfId="55902" xr:uid="{00000000-0005-0000-0000-00006B750000}"/>
    <cellStyle name="Обычный 8 54 3" xfId="13181" xr:uid="{00000000-0005-0000-0000-00006C750000}"/>
    <cellStyle name="Обычный 8 54 4" xfId="18521" xr:uid="{00000000-0005-0000-0000-00006D750000}"/>
    <cellStyle name="Обычный 8 54 5" xfId="23861" xr:uid="{00000000-0005-0000-0000-00006E750000}"/>
    <cellStyle name="Обычный 8 54 6" xfId="29201" xr:uid="{00000000-0005-0000-0000-00006F750000}"/>
    <cellStyle name="Обычный 8 54 7" xfId="34541" xr:uid="{00000000-0005-0000-0000-000070750000}"/>
    <cellStyle name="Обычный 8 54 8" xfId="39881" xr:uid="{00000000-0005-0000-0000-000071750000}"/>
    <cellStyle name="Обычный 8 54 9" xfId="45221" xr:uid="{00000000-0005-0000-0000-000072750000}"/>
    <cellStyle name="Обычный 8 55" xfId="2529" xr:uid="{00000000-0005-0000-0000-000073750000}"/>
    <cellStyle name="Обычный 8 55 10" xfId="50593" xr:uid="{00000000-0005-0000-0000-000074750000}"/>
    <cellStyle name="Обычный 8 55 2" xfId="7872" xr:uid="{00000000-0005-0000-0000-000075750000}"/>
    <cellStyle name="Обычный 8 55 2 2" xfId="55934" xr:uid="{00000000-0005-0000-0000-000076750000}"/>
    <cellStyle name="Обычный 8 55 3" xfId="13213" xr:uid="{00000000-0005-0000-0000-000077750000}"/>
    <cellStyle name="Обычный 8 55 4" xfId="18553" xr:uid="{00000000-0005-0000-0000-000078750000}"/>
    <cellStyle name="Обычный 8 55 5" xfId="23893" xr:uid="{00000000-0005-0000-0000-000079750000}"/>
    <cellStyle name="Обычный 8 55 6" xfId="29233" xr:uid="{00000000-0005-0000-0000-00007A750000}"/>
    <cellStyle name="Обычный 8 55 7" xfId="34573" xr:uid="{00000000-0005-0000-0000-00007B750000}"/>
    <cellStyle name="Обычный 8 55 8" xfId="39913" xr:uid="{00000000-0005-0000-0000-00007C750000}"/>
    <cellStyle name="Обычный 8 55 9" xfId="45253" xr:uid="{00000000-0005-0000-0000-00007D750000}"/>
    <cellStyle name="Обычный 8 56" xfId="2563" xr:uid="{00000000-0005-0000-0000-00007E750000}"/>
    <cellStyle name="Обычный 8 56 10" xfId="50627" xr:uid="{00000000-0005-0000-0000-00007F750000}"/>
    <cellStyle name="Обычный 8 56 2" xfId="7906" xr:uid="{00000000-0005-0000-0000-000080750000}"/>
    <cellStyle name="Обычный 8 56 2 2" xfId="55968" xr:uid="{00000000-0005-0000-0000-000081750000}"/>
    <cellStyle name="Обычный 8 56 3" xfId="13247" xr:uid="{00000000-0005-0000-0000-000082750000}"/>
    <cellStyle name="Обычный 8 56 4" xfId="18587" xr:uid="{00000000-0005-0000-0000-000083750000}"/>
    <cellStyle name="Обычный 8 56 5" xfId="23927" xr:uid="{00000000-0005-0000-0000-000084750000}"/>
    <cellStyle name="Обычный 8 56 6" xfId="29267" xr:uid="{00000000-0005-0000-0000-000085750000}"/>
    <cellStyle name="Обычный 8 56 7" xfId="34607" xr:uid="{00000000-0005-0000-0000-000086750000}"/>
    <cellStyle name="Обычный 8 56 8" xfId="39947" xr:uid="{00000000-0005-0000-0000-000087750000}"/>
    <cellStyle name="Обычный 8 56 9" xfId="45287" xr:uid="{00000000-0005-0000-0000-000088750000}"/>
    <cellStyle name="Обычный 8 57" xfId="2595" xr:uid="{00000000-0005-0000-0000-000089750000}"/>
    <cellStyle name="Обычный 8 57 10" xfId="50659" xr:uid="{00000000-0005-0000-0000-00008A750000}"/>
    <cellStyle name="Обычный 8 57 2" xfId="7938" xr:uid="{00000000-0005-0000-0000-00008B750000}"/>
    <cellStyle name="Обычный 8 57 2 2" xfId="56000" xr:uid="{00000000-0005-0000-0000-00008C750000}"/>
    <cellStyle name="Обычный 8 57 3" xfId="13279" xr:uid="{00000000-0005-0000-0000-00008D750000}"/>
    <cellStyle name="Обычный 8 57 4" xfId="18619" xr:uid="{00000000-0005-0000-0000-00008E750000}"/>
    <cellStyle name="Обычный 8 57 5" xfId="23959" xr:uid="{00000000-0005-0000-0000-00008F750000}"/>
    <cellStyle name="Обычный 8 57 6" xfId="29299" xr:uid="{00000000-0005-0000-0000-000090750000}"/>
    <cellStyle name="Обычный 8 57 7" xfId="34639" xr:uid="{00000000-0005-0000-0000-000091750000}"/>
    <cellStyle name="Обычный 8 57 8" xfId="39979" xr:uid="{00000000-0005-0000-0000-000092750000}"/>
    <cellStyle name="Обычный 8 57 9" xfId="45319" xr:uid="{00000000-0005-0000-0000-000093750000}"/>
    <cellStyle name="Обычный 8 58" xfId="2627" xr:uid="{00000000-0005-0000-0000-000094750000}"/>
    <cellStyle name="Обычный 8 58 10" xfId="50691" xr:uid="{00000000-0005-0000-0000-000095750000}"/>
    <cellStyle name="Обычный 8 58 2" xfId="7970" xr:uid="{00000000-0005-0000-0000-000096750000}"/>
    <cellStyle name="Обычный 8 58 2 2" xfId="56032" xr:uid="{00000000-0005-0000-0000-000097750000}"/>
    <cellStyle name="Обычный 8 58 3" xfId="13311" xr:uid="{00000000-0005-0000-0000-000098750000}"/>
    <cellStyle name="Обычный 8 58 4" xfId="18651" xr:uid="{00000000-0005-0000-0000-000099750000}"/>
    <cellStyle name="Обычный 8 58 5" xfId="23991" xr:uid="{00000000-0005-0000-0000-00009A750000}"/>
    <cellStyle name="Обычный 8 58 6" xfId="29331" xr:uid="{00000000-0005-0000-0000-00009B750000}"/>
    <cellStyle name="Обычный 8 58 7" xfId="34671" xr:uid="{00000000-0005-0000-0000-00009C750000}"/>
    <cellStyle name="Обычный 8 58 8" xfId="40011" xr:uid="{00000000-0005-0000-0000-00009D750000}"/>
    <cellStyle name="Обычный 8 58 9" xfId="45351" xr:uid="{00000000-0005-0000-0000-00009E750000}"/>
    <cellStyle name="Обычный 8 59" xfId="2659" xr:uid="{00000000-0005-0000-0000-00009F750000}"/>
    <cellStyle name="Обычный 8 59 10" xfId="50723" xr:uid="{00000000-0005-0000-0000-0000A0750000}"/>
    <cellStyle name="Обычный 8 59 2" xfId="8002" xr:uid="{00000000-0005-0000-0000-0000A1750000}"/>
    <cellStyle name="Обычный 8 59 2 2" xfId="56064" xr:uid="{00000000-0005-0000-0000-0000A2750000}"/>
    <cellStyle name="Обычный 8 59 3" xfId="13343" xr:uid="{00000000-0005-0000-0000-0000A3750000}"/>
    <cellStyle name="Обычный 8 59 4" xfId="18683" xr:uid="{00000000-0005-0000-0000-0000A4750000}"/>
    <cellStyle name="Обычный 8 59 5" xfId="24023" xr:uid="{00000000-0005-0000-0000-0000A5750000}"/>
    <cellStyle name="Обычный 8 59 6" xfId="29363" xr:uid="{00000000-0005-0000-0000-0000A6750000}"/>
    <cellStyle name="Обычный 8 59 7" xfId="34703" xr:uid="{00000000-0005-0000-0000-0000A7750000}"/>
    <cellStyle name="Обычный 8 59 8" xfId="40043" xr:uid="{00000000-0005-0000-0000-0000A8750000}"/>
    <cellStyle name="Обычный 8 59 9" xfId="45383" xr:uid="{00000000-0005-0000-0000-0000A9750000}"/>
    <cellStyle name="Обычный 8 6" xfId="1188" xr:uid="{00000000-0005-0000-0000-0000AA750000}"/>
    <cellStyle name="Обычный 8 6 10" xfId="49251" xr:uid="{00000000-0005-0000-0000-0000AB750000}"/>
    <cellStyle name="Обычный 8 6 2" xfId="6530" xr:uid="{00000000-0005-0000-0000-0000AC750000}"/>
    <cellStyle name="Обычный 8 6 2 2" xfId="54592" xr:uid="{00000000-0005-0000-0000-0000AD750000}"/>
    <cellStyle name="Обычный 8 6 3" xfId="11871" xr:uid="{00000000-0005-0000-0000-0000AE750000}"/>
    <cellStyle name="Обычный 8 6 4" xfId="17211" xr:uid="{00000000-0005-0000-0000-0000AF750000}"/>
    <cellStyle name="Обычный 8 6 5" xfId="22551" xr:uid="{00000000-0005-0000-0000-0000B0750000}"/>
    <cellStyle name="Обычный 8 6 6" xfId="27891" xr:uid="{00000000-0005-0000-0000-0000B1750000}"/>
    <cellStyle name="Обычный 8 6 7" xfId="33231" xr:uid="{00000000-0005-0000-0000-0000B2750000}"/>
    <cellStyle name="Обычный 8 6 8" xfId="38571" xr:uid="{00000000-0005-0000-0000-0000B3750000}"/>
    <cellStyle name="Обычный 8 6 9" xfId="43911" xr:uid="{00000000-0005-0000-0000-0000B4750000}"/>
    <cellStyle name="Обычный 8 60" xfId="2691" xr:uid="{00000000-0005-0000-0000-0000B5750000}"/>
    <cellStyle name="Обычный 8 60 10" xfId="50755" xr:uid="{00000000-0005-0000-0000-0000B6750000}"/>
    <cellStyle name="Обычный 8 60 2" xfId="8034" xr:uid="{00000000-0005-0000-0000-0000B7750000}"/>
    <cellStyle name="Обычный 8 60 2 2" xfId="56096" xr:uid="{00000000-0005-0000-0000-0000B8750000}"/>
    <cellStyle name="Обычный 8 60 3" xfId="13375" xr:uid="{00000000-0005-0000-0000-0000B9750000}"/>
    <cellStyle name="Обычный 8 60 4" xfId="18715" xr:uid="{00000000-0005-0000-0000-0000BA750000}"/>
    <cellStyle name="Обычный 8 60 5" xfId="24055" xr:uid="{00000000-0005-0000-0000-0000BB750000}"/>
    <cellStyle name="Обычный 8 60 6" xfId="29395" xr:uid="{00000000-0005-0000-0000-0000BC750000}"/>
    <cellStyle name="Обычный 8 60 7" xfId="34735" xr:uid="{00000000-0005-0000-0000-0000BD750000}"/>
    <cellStyle name="Обычный 8 60 8" xfId="40075" xr:uid="{00000000-0005-0000-0000-0000BE750000}"/>
    <cellStyle name="Обычный 8 60 9" xfId="45415" xr:uid="{00000000-0005-0000-0000-0000BF750000}"/>
    <cellStyle name="Обычный 8 61" xfId="2723" xr:uid="{00000000-0005-0000-0000-0000C0750000}"/>
    <cellStyle name="Обычный 8 61 10" xfId="50787" xr:uid="{00000000-0005-0000-0000-0000C1750000}"/>
    <cellStyle name="Обычный 8 61 2" xfId="8066" xr:uid="{00000000-0005-0000-0000-0000C2750000}"/>
    <cellStyle name="Обычный 8 61 2 2" xfId="56128" xr:uid="{00000000-0005-0000-0000-0000C3750000}"/>
    <cellStyle name="Обычный 8 61 3" xfId="13407" xr:uid="{00000000-0005-0000-0000-0000C4750000}"/>
    <cellStyle name="Обычный 8 61 4" xfId="18747" xr:uid="{00000000-0005-0000-0000-0000C5750000}"/>
    <cellStyle name="Обычный 8 61 5" xfId="24087" xr:uid="{00000000-0005-0000-0000-0000C6750000}"/>
    <cellStyle name="Обычный 8 61 6" xfId="29427" xr:uid="{00000000-0005-0000-0000-0000C7750000}"/>
    <cellStyle name="Обычный 8 61 7" xfId="34767" xr:uid="{00000000-0005-0000-0000-0000C8750000}"/>
    <cellStyle name="Обычный 8 61 8" xfId="40107" xr:uid="{00000000-0005-0000-0000-0000C9750000}"/>
    <cellStyle name="Обычный 8 61 9" xfId="45447" xr:uid="{00000000-0005-0000-0000-0000CA750000}"/>
    <cellStyle name="Обычный 8 62" xfId="2755" xr:uid="{00000000-0005-0000-0000-0000CB750000}"/>
    <cellStyle name="Обычный 8 62 10" xfId="50819" xr:uid="{00000000-0005-0000-0000-0000CC750000}"/>
    <cellStyle name="Обычный 8 62 2" xfId="8098" xr:uid="{00000000-0005-0000-0000-0000CD750000}"/>
    <cellStyle name="Обычный 8 62 2 2" xfId="56160" xr:uid="{00000000-0005-0000-0000-0000CE750000}"/>
    <cellStyle name="Обычный 8 62 3" xfId="13439" xr:uid="{00000000-0005-0000-0000-0000CF750000}"/>
    <cellStyle name="Обычный 8 62 4" xfId="18779" xr:uid="{00000000-0005-0000-0000-0000D0750000}"/>
    <cellStyle name="Обычный 8 62 5" xfId="24119" xr:uid="{00000000-0005-0000-0000-0000D1750000}"/>
    <cellStyle name="Обычный 8 62 6" xfId="29459" xr:uid="{00000000-0005-0000-0000-0000D2750000}"/>
    <cellStyle name="Обычный 8 62 7" xfId="34799" xr:uid="{00000000-0005-0000-0000-0000D3750000}"/>
    <cellStyle name="Обычный 8 62 8" xfId="40139" xr:uid="{00000000-0005-0000-0000-0000D4750000}"/>
    <cellStyle name="Обычный 8 62 9" xfId="45479" xr:uid="{00000000-0005-0000-0000-0000D5750000}"/>
    <cellStyle name="Обычный 8 63" xfId="2789" xr:uid="{00000000-0005-0000-0000-0000D6750000}"/>
    <cellStyle name="Обычный 8 63 10" xfId="50853" xr:uid="{00000000-0005-0000-0000-0000D7750000}"/>
    <cellStyle name="Обычный 8 63 2" xfId="8132" xr:uid="{00000000-0005-0000-0000-0000D8750000}"/>
    <cellStyle name="Обычный 8 63 2 2" xfId="56194" xr:uid="{00000000-0005-0000-0000-0000D9750000}"/>
    <cellStyle name="Обычный 8 63 3" xfId="13473" xr:uid="{00000000-0005-0000-0000-0000DA750000}"/>
    <cellStyle name="Обычный 8 63 4" xfId="18813" xr:uid="{00000000-0005-0000-0000-0000DB750000}"/>
    <cellStyle name="Обычный 8 63 5" xfId="24153" xr:uid="{00000000-0005-0000-0000-0000DC750000}"/>
    <cellStyle name="Обычный 8 63 6" xfId="29493" xr:uid="{00000000-0005-0000-0000-0000DD750000}"/>
    <cellStyle name="Обычный 8 63 7" xfId="34833" xr:uid="{00000000-0005-0000-0000-0000DE750000}"/>
    <cellStyle name="Обычный 8 63 8" xfId="40173" xr:uid="{00000000-0005-0000-0000-0000DF750000}"/>
    <cellStyle name="Обычный 8 63 9" xfId="45513" xr:uid="{00000000-0005-0000-0000-0000E0750000}"/>
    <cellStyle name="Обычный 8 64" xfId="2821" xr:uid="{00000000-0005-0000-0000-0000E1750000}"/>
    <cellStyle name="Обычный 8 64 10" xfId="50885" xr:uid="{00000000-0005-0000-0000-0000E2750000}"/>
    <cellStyle name="Обычный 8 64 2" xfId="8164" xr:uid="{00000000-0005-0000-0000-0000E3750000}"/>
    <cellStyle name="Обычный 8 64 2 2" xfId="56226" xr:uid="{00000000-0005-0000-0000-0000E4750000}"/>
    <cellStyle name="Обычный 8 64 3" xfId="13505" xr:uid="{00000000-0005-0000-0000-0000E5750000}"/>
    <cellStyle name="Обычный 8 64 4" xfId="18845" xr:uid="{00000000-0005-0000-0000-0000E6750000}"/>
    <cellStyle name="Обычный 8 64 5" xfId="24185" xr:uid="{00000000-0005-0000-0000-0000E7750000}"/>
    <cellStyle name="Обычный 8 64 6" xfId="29525" xr:uid="{00000000-0005-0000-0000-0000E8750000}"/>
    <cellStyle name="Обычный 8 64 7" xfId="34865" xr:uid="{00000000-0005-0000-0000-0000E9750000}"/>
    <cellStyle name="Обычный 8 64 8" xfId="40205" xr:uid="{00000000-0005-0000-0000-0000EA750000}"/>
    <cellStyle name="Обычный 8 64 9" xfId="45545" xr:uid="{00000000-0005-0000-0000-0000EB750000}"/>
    <cellStyle name="Обычный 8 65" xfId="2853" xr:uid="{00000000-0005-0000-0000-0000EC750000}"/>
    <cellStyle name="Обычный 8 65 10" xfId="50917" xr:uid="{00000000-0005-0000-0000-0000ED750000}"/>
    <cellStyle name="Обычный 8 65 2" xfId="8196" xr:uid="{00000000-0005-0000-0000-0000EE750000}"/>
    <cellStyle name="Обычный 8 65 2 2" xfId="56258" xr:uid="{00000000-0005-0000-0000-0000EF750000}"/>
    <cellStyle name="Обычный 8 65 3" xfId="13537" xr:uid="{00000000-0005-0000-0000-0000F0750000}"/>
    <cellStyle name="Обычный 8 65 4" xfId="18877" xr:uid="{00000000-0005-0000-0000-0000F1750000}"/>
    <cellStyle name="Обычный 8 65 5" xfId="24217" xr:uid="{00000000-0005-0000-0000-0000F2750000}"/>
    <cellStyle name="Обычный 8 65 6" xfId="29557" xr:uid="{00000000-0005-0000-0000-0000F3750000}"/>
    <cellStyle name="Обычный 8 65 7" xfId="34897" xr:uid="{00000000-0005-0000-0000-0000F4750000}"/>
    <cellStyle name="Обычный 8 65 8" xfId="40237" xr:uid="{00000000-0005-0000-0000-0000F5750000}"/>
    <cellStyle name="Обычный 8 65 9" xfId="45577" xr:uid="{00000000-0005-0000-0000-0000F6750000}"/>
    <cellStyle name="Обычный 8 66" xfId="2885" xr:uid="{00000000-0005-0000-0000-0000F7750000}"/>
    <cellStyle name="Обычный 8 66 10" xfId="50949" xr:uid="{00000000-0005-0000-0000-0000F8750000}"/>
    <cellStyle name="Обычный 8 66 2" xfId="8228" xr:uid="{00000000-0005-0000-0000-0000F9750000}"/>
    <cellStyle name="Обычный 8 66 2 2" xfId="56290" xr:uid="{00000000-0005-0000-0000-0000FA750000}"/>
    <cellStyle name="Обычный 8 66 3" xfId="13569" xr:uid="{00000000-0005-0000-0000-0000FB750000}"/>
    <cellStyle name="Обычный 8 66 4" xfId="18909" xr:uid="{00000000-0005-0000-0000-0000FC750000}"/>
    <cellStyle name="Обычный 8 66 5" xfId="24249" xr:uid="{00000000-0005-0000-0000-0000FD750000}"/>
    <cellStyle name="Обычный 8 66 6" xfId="29589" xr:uid="{00000000-0005-0000-0000-0000FE750000}"/>
    <cellStyle name="Обычный 8 66 7" xfId="34929" xr:uid="{00000000-0005-0000-0000-0000FF750000}"/>
    <cellStyle name="Обычный 8 66 8" xfId="40269" xr:uid="{00000000-0005-0000-0000-000000760000}"/>
    <cellStyle name="Обычный 8 66 9" xfId="45609" xr:uid="{00000000-0005-0000-0000-000001760000}"/>
    <cellStyle name="Обычный 8 67" xfId="2917" xr:uid="{00000000-0005-0000-0000-000002760000}"/>
    <cellStyle name="Обычный 8 67 10" xfId="50981" xr:uid="{00000000-0005-0000-0000-000003760000}"/>
    <cellStyle name="Обычный 8 67 2" xfId="8260" xr:uid="{00000000-0005-0000-0000-000004760000}"/>
    <cellStyle name="Обычный 8 67 2 2" xfId="56322" xr:uid="{00000000-0005-0000-0000-000005760000}"/>
    <cellStyle name="Обычный 8 67 3" xfId="13601" xr:uid="{00000000-0005-0000-0000-000006760000}"/>
    <cellStyle name="Обычный 8 67 4" xfId="18941" xr:uid="{00000000-0005-0000-0000-000007760000}"/>
    <cellStyle name="Обычный 8 67 5" xfId="24281" xr:uid="{00000000-0005-0000-0000-000008760000}"/>
    <cellStyle name="Обычный 8 67 6" xfId="29621" xr:uid="{00000000-0005-0000-0000-000009760000}"/>
    <cellStyle name="Обычный 8 67 7" xfId="34961" xr:uid="{00000000-0005-0000-0000-00000A760000}"/>
    <cellStyle name="Обычный 8 67 8" xfId="40301" xr:uid="{00000000-0005-0000-0000-00000B760000}"/>
    <cellStyle name="Обычный 8 67 9" xfId="45641" xr:uid="{00000000-0005-0000-0000-00000C760000}"/>
    <cellStyle name="Обычный 8 68" xfId="2949" xr:uid="{00000000-0005-0000-0000-00000D760000}"/>
    <cellStyle name="Обычный 8 68 10" xfId="51013" xr:uid="{00000000-0005-0000-0000-00000E760000}"/>
    <cellStyle name="Обычный 8 68 2" xfId="8292" xr:uid="{00000000-0005-0000-0000-00000F760000}"/>
    <cellStyle name="Обычный 8 68 2 2" xfId="56354" xr:uid="{00000000-0005-0000-0000-000010760000}"/>
    <cellStyle name="Обычный 8 68 3" xfId="13633" xr:uid="{00000000-0005-0000-0000-000011760000}"/>
    <cellStyle name="Обычный 8 68 4" xfId="18973" xr:uid="{00000000-0005-0000-0000-000012760000}"/>
    <cellStyle name="Обычный 8 68 5" xfId="24313" xr:uid="{00000000-0005-0000-0000-000013760000}"/>
    <cellStyle name="Обычный 8 68 6" xfId="29653" xr:uid="{00000000-0005-0000-0000-000014760000}"/>
    <cellStyle name="Обычный 8 68 7" xfId="34993" xr:uid="{00000000-0005-0000-0000-000015760000}"/>
    <cellStyle name="Обычный 8 68 8" xfId="40333" xr:uid="{00000000-0005-0000-0000-000016760000}"/>
    <cellStyle name="Обычный 8 68 9" xfId="45673" xr:uid="{00000000-0005-0000-0000-000017760000}"/>
    <cellStyle name="Обычный 8 69" xfId="2981" xr:uid="{00000000-0005-0000-0000-000018760000}"/>
    <cellStyle name="Обычный 8 69 10" xfId="51045" xr:uid="{00000000-0005-0000-0000-000019760000}"/>
    <cellStyle name="Обычный 8 69 2" xfId="8324" xr:uid="{00000000-0005-0000-0000-00001A760000}"/>
    <cellStyle name="Обычный 8 69 2 2" xfId="56386" xr:uid="{00000000-0005-0000-0000-00001B760000}"/>
    <cellStyle name="Обычный 8 69 3" xfId="13665" xr:uid="{00000000-0005-0000-0000-00001C760000}"/>
    <cellStyle name="Обычный 8 69 4" xfId="19005" xr:uid="{00000000-0005-0000-0000-00001D760000}"/>
    <cellStyle name="Обычный 8 69 5" xfId="24345" xr:uid="{00000000-0005-0000-0000-00001E760000}"/>
    <cellStyle name="Обычный 8 69 6" xfId="29685" xr:uid="{00000000-0005-0000-0000-00001F760000}"/>
    <cellStyle name="Обычный 8 69 7" xfId="35025" xr:uid="{00000000-0005-0000-0000-000020760000}"/>
    <cellStyle name="Обычный 8 69 8" xfId="40365" xr:uid="{00000000-0005-0000-0000-000021760000}"/>
    <cellStyle name="Обычный 8 69 9" xfId="45705" xr:uid="{00000000-0005-0000-0000-000022760000}"/>
    <cellStyle name="Обычный 8 7" xfId="1214" xr:uid="{00000000-0005-0000-0000-000023760000}"/>
    <cellStyle name="Обычный 8 7 10" xfId="49277" xr:uid="{00000000-0005-0000-0000-000024760000}"/>
    <cellStyle name="Обычный 8 7 2" xfId="6556" xr:uid="{00000000-0005-0000-0000-000025760000}"/>
    <cellStyle name="Обычный 8 7 2 2" xfId="54618" xr:uid="{00000000-0005-0000-0000-000026760000}"/>
    <cellStyle name="Обычный 8 7 3" xfId="11897" xr:uid="{00000000-0005-0000-0000-000027760000}"/>
    <cellStyle name="Обычный 8 7 4" xfId="17237" xr:uid="{00000000-0005-0000-0000-000028760000}"/>
    <cellStyle name="Обычный 8 7 5" xfId="22577" xr:uid="{00000000-0005-0000-0000-000029760000}"/>
    <cellStyle name="Обычный 8 7 6" xfId="27917" xr:uid="{00000000-0005-0000-0000-00002A760000}"/>
    <cellStyle name="Обычный 8 7 7" xfId="33257" xr:uid="{00000000-0005-0000-0000-00002B760000}"/>
    <cellStyle name="Обычный 8 7 8" xfId="38597" xr:uid="{00000000-0005-0000-0000-00002C760000}"/>
    <cellStyle name="Обычный 8 7 9" xfId="43937" xr:uid="{00000000-0005-0000-0000-00002D760000}"/>
    <cellStyle name="Обычный 8 70" xfId="3013" xr:uid="{00000000-0005-0000-0000-00002E760000}"/>
    <cellStyle name="Обычный 8 70 10" xfId="51077" xr:uid="{00000000-0005-0000-0000-00002F760000}"/>
    <cellStyle name="Обычный 8 70 2" xfId="8356" xr:uid="{00000000-0005-0000-0000-000030760000}"/>
    <cellStyle name="Обычный 8 70 2 2" xfId="56418" xr:uid="{00000000-0005-0000-0000-000031760000}"/>
    <cellStyle name="Обычный 8 70 3" xfId="13697" xr:uid="{00000000-0005-0000-0000-000032760000}"/>
    <cellStyle name="Обычный 8 70 4" xfId="19037" xr:uid="{00000000-0005-0000-0000-000033760000}"/>
    <cellStyle name="Обычный 8 70 5" xfId="24377" xr:uid="{00000000-0005-0000-0000-000034760000}"/>
    <cellStyle name="Обычный 8 70 6" xfId="29717" xr:uid="{00000000-0005-0000-0000-000035760000}"/>
    <cellStyle name="Обычный 8 70 7" xfId="35057" xr:uid="{00000000-0005-0000-0000-000036760000}"/>
    <cellStyle name="Обычный 8 70 8" xfId="40397" xr:uid="{00000000-0005-0000-0000-000037760000}"/>
    <cellStyle name="Обычный 8 70 9" xfId="45737" xr:uid="{00000000-0005-0000-0000-000038760000}"/>
    <cellStyle name="Обычный 8 71" xfId="3045" xr:uid="{00000000-0005-0000-0000-000039760000}"/>
    <cellStyle name="Обычный 8 71 10" xfId="51109" xr:uid="{00000000-0005-0000-0000-00003A760000}"/>
    <cellStyle name="Обычный 8 71 2" xfId="8388" xr:uid="{00000000-0005-0000-0000-00003B760000}"/>
    <cellStyle name="Обычный 8 71 2 2" xfId="56450" xr:uid="{00000000-0005-0000-0000-00003C760000}"/>
    <cellStyle name="Обычный 8 71 3" xfId="13729" xr:uid="{00000000-0005-0000-0000-00003D760000}"/>
    <cellStyle name="Обычный 8 71 4" xfId="19069" xr:uid="{00000000-0005-0000-0000-00003E760000}"/>
    <cellStyle name="Обычный 8 71 5" xfId="24409" xr:uid="{00000000-0005-0000-0000-00003F760000}"/>
    <cellStyle name="Обычный 8 71 6" xfId="29749" xr:uid="{00000000-0005-0000-0000-000040760000}"/>
    <cellStyle name="Обычный 8 71 7" xfId="35089" xr:uid="{00000000-0005-0000-0000-000041760000}"/>
    <cellStyle name="Обычный 8 71 8" xfId="40429" xr:uid="{00000000-0005-0000-0000-000042760000}"/>
    <cellStyle name="Обычный 8 71 9" xfId="45769" xr:uid="{00000000-0005-0000-0000-000043760000}"/>
    <cellStyle name="Обычный 8 72" xfId="3077" xr:uid="{00000000-0005-0000-0000-000044760000}"/>
    <cellStyle name="Обычный 8 72 10" xfId="51141" xr:uid="{00000000-0005-0000-0000-000045760000}"/>
    <cellStyle name="Обычный 8 72 2" xfId="8420" xr:uid="{00000000-0005-0000-0000-000046760000}"/>
    <cellStyle name="Обычный 8 72 2 2" xfId="56482" xr:uid="{00000000-0005-0000-0000-000047760000}"/>
    <cellStyle name="Обычный 8 72 3" xfId="13761" xr:uid="{00000000-0005-0000-0000-000048760000}"/>
    <cellStyle name="Обычный 8 72 4" xfId="19101" xr:uid="{00000000-0005-0000-0000-000049760000}"/>
    <cellStyle name="Обычный 8 72 5" xfId="24441" xr:uid="{00000000-0005-0000-0000-00004A760000}"/>
    <cellStyle name="Обычный 8 72 6" xfId="29781" xr:uid="{00000000-0005-0000-0000-00004B760000}"/>
    <cellStyle name="Обычный 8 72 7" xfId="35121" xr:uid="{00000000-0005-0000-0000-00004C760000}"/>
    <cellStyle name="Обычный 8 72 8" xfId="40461" xr:uid="{00000000-0005-0000-0000-00004D760000}"/>
    <cellStyle name="Обычный 8 72 9" xfId="45801" xr:uid="{00000000-0005-0000-0000-00004E760000}"/>
    <cellStyle name="Обычный 8 73" xfId="3109" xr:uid="{00000000-0005-0000-0000-00004F760000}"/>
    <cellStyle name="Обычный 8 73 10" xfId="51173" xr:uid="{00000000-0005-0000-0000-000050760000}"/>
    <cellStyle name="Обычный 8 73 2" xfId="8452" xr:uid="{00000000-0005-0000-0000-000051760000}"/>
    <cellStyle name="Обычный 8 73 2 2" xfId="56514" xr:uid="{00000000-0005-0000-0000-000052760000}"/>
    <cellStyle name="Обычный 8 73 3" xfId="13793" xr:uid="{00000000-0005-0000-0000-000053760000}"/>
    <cellStyle name="Обычный 8 73 4" xfId="19133" xr:uid="{00000000-0005-0000-0000-000054760000}"/>
    <cellStyle name="Обычный 8 73 5" xfId="24473" xr:uid="{00000000-0005-0000-0000-000055760000}"/>
    <cellStyle name="Обычный 8 73 6" xfId="29813" xr:uid="{00000000-0005-0000-0000-000056760000}"/>
    <cellStyle name="Обычный 8 73 7" xfId="35153" xr:uid="{00000000-0005-0000-0000-000057760000}"/>
    <cellStyle name="Обычный 8 73 8" xfId="40493" xr:uid="{00000000-0005-0000-0000-000058760000}"/>
    <cellStyle name="Обычный 8 73 9" xfId="45833" xr:uid="{00000000-0005-0000-0000-000059760000}"/>
    <cellStyle name="Обычный 8 74" xfId="3142" xr:uid="{00000000-0005-0000-0000-00005A760000}"/>
    <cellStyle name="Обычный 8 74 10" xfId="51205" xr:uid="{00000000-0005-0000-0000-00005B760000}"/>
    <cellStyle name="Обычный 8 74 2" xfId="8485" xr:uid="{00000000-0005-0000-0000-00005C760000}"/>
    <cellStyle name="Обычный 8 74 2 2" xfId="56546" xr:uid="{00000000-0005-0000-0000-00005D760000}"/>
    <cellStyle name="Обычный 8 74 3" xfId="13825" xr:uid="{00000000-0005-0000-0000-00005E760000}"/>
    <cellStyle name="Обычный 8 74 4" xfId="19165" xr:uid="{00000000-0005-0000-0000-00005F760000}"/>
    <cellStyle name="Обычный 8 74 5" xfId="24505" xr:uid="{00000000-0005-0000-0000-000060760000}"/>
    <cellStyle name="Обычный 8 74 6" xfId="29845" xr:uid="{00000000-0005-0000-0000-000061760000}"/>
    <cellStyle name="Обычный 8 74 7" xfId="35185" xr:uid="{00000000-0005-0000-0000-000062760000}"/>
    <cellStyle name="Обычный 8 74 8" xfId="40525" xr:uid="{00000000-0005-0000-0000-000063760000}"/>
    <cellStyle name="Обычный 8 74 9" xfId="45865" xr:uid="{00000000-0005-0000-0000-000064760000}"/>
    <cellStyle name="Обычный 8 75" xfId="3174" xr:uid="{00000000-0005-0000-0000-000065760000}"/>
    <cellStyle name="Обычный 8 75 10" xfId="51237" xr:uid="{00000000-0005-0000-0000-000066760000}"/>
    <cellStyle name="Обычный 8 75 2" xfId="8517" xr:uid="{00000000-0005-0000-0000-000067760000}"/>
    <cellStyle name="Обычный 8 75 2 2" xfId="56578" xr:uid="{00000000-0005-0000-0000-000068760000}"/>
    <cellStyle name="Обычный 8 75 3" xfId="13857" xr:uid="{00000000-0005-0000-0000-000069760000}"/>
    <cellStyle name="Обычный 8 75 4" xfId="19197" xr:uid="{00000000-0005-0000-0000-00006A760000}"/>
    <cellStyle name="Обычный 8 75 5" xfId="24537" xr:uid="{00000000-0005-0000-0000-00006B760000}"/>
    <cellStyle name="Обычный 8 75 6" xfId="29877" xr:uid="{00000000-0005-0000-0000-00006C760000}"/>
    <cellStyle name="Обычный 8 75 7" xfId="35217" xr:uid="{00000000-0005-0000-0000-00006D760000}"/>
    <cellStyle name="Обычный 8 75 8" xfId="40557" xr:uid="{00000000-0005-0000-0000-00006E760000}"/>
    <cellStyle name="Обычный 8 75 9" xfId="45897" xr:uid="{00000000-0005-0000-0000-00006F760000}"/>
    <cellStyle name="Обычный 8 76" xfId="3206" xr:uid="{00000000-0005-0000-0000-000070760000}"/>
    <cellStyle name="Обычный 8 76 10" xfId="51269" xr:uid="{00000000-0005-0000-0000-000071760000}"/>
    <cellStyle name="Обычный 8 76 2" xfId="8549" xr:uid="{00000000-0005-0000-0000-000072760000}"/>
    <cellStyle name="Обычный 8 76 2 2" xfId="56610" xr:uid="{00000000-0005-0000-0000-000073760000}"/>
    <cellStyle name="Обычный 8 76 3" xfId="13889" xr:uid="{00000000-0005-0000-0000-000074760000}"/>
    <cellStyle name="Обычный 8 76 4" xfId="19229" xr:uid="{00000000-0005-0000-0000-000075760000}"/>
    <cellStyle name="Обычный 8 76 5" xfId="24569" xr:uid="{00000000-0005-0000-0000-000076760000}"/>
    <cellStyle name="Обычный 8 76 6" xfId="29909" xr:uid="{00000000-0005-0000-0000-000077760000}"/>
    <cellStyle name="Обычный 8 76 7" xfId="35249" xr:uid="{00000000-0005-0000-0000-000078760000}"/>
    <cellStyle name="Обычный 8 76 8" xfId="40589" xr:uid="{00000000-0005-0000-0000-000079760000}"/>
    <cellStyle name="Обычный 8 76 9" xfId="45929" xr:uid="{00000000-0005-0000-0000-00007A760000}"/>
    <cellStyle name="Обычный 8 77" xfId="3238" xr:uid="{00000000-0005-0000-0000-00007B760000}"/>
    <cellStyle name="Обычный 8 77 10" xfId="51301" xr:uid="{00000000-0005-0000-0000-00007C760000}"/>
    <cellStyle name="Обычный 8 77 2" xfId="8581" xr:uid="{00000000-0005-0000-0000-00007D760000}"/>
    <cellStyle name="Обычный 8 77 2 2" xfId="56642" xr:uid="{00000000-0005-0000-0000-00007E760000}"/>
    <cellStyle name="Обычный 8 77 3" xfId="13921" xr:uid="{00000000-0005-0000-0000-00007F760000}"/>
    <cellStyle name="Обычный 8 77 4" xfId="19261" xr:uid="{00000000-0005-0000-0000-000080760000}"/>
    <cellStyle name="Обычный 8 77 5" xfId="24601" xr:uid="{00000000-0005-0000-0000-000081760000}"/>
    <cellStyle name="Обычный 8 77 6" xfId="29941" xr:uid="{00000000-0005-0000-0000-000082760000}"/>
    <cellStyle name="Обычный 8 77 7" xfId="35281" xr:uid="{00000000-0005-0000-0000-000083760000}"/>
    <cellStyle name="Обычный 8 77 8" xfId="40621" xr:uid="{00000000-0005-0000-0000-000084760000}"/>
    <cellStyle name="Обычный 8 77 9" xfId="45961" xr:uid="{00000000-0005-0000-0000-000085760000}"/>
    <cellStyle name="Обычный 8 78" xfId="3270" xr:uid="{00000000-0005-0000-0000-000086760000}"/>
    <cellStyle name="Обычный 8 78 10" xfId="51333" xr:uid="{00000000-0005-0000-0000-000087760000}"/>
    <cellStyle name="Обычный 8 78 2" xfId="8613" xr:uid="{00000000-0005-0000-0000-000088760000}"/>
    <cellStyle name="Обычный 8 78 2 2" xfId="56674" xr:uid="{00000000-0005-0000-0000-000089760000}"/>
    <cellStyle name="Обычный 8 78 3" xfId="13953" xr:uid="{00000000-0005-0000-0000-00008A760000}"/>
    <cellStyle name="Обычный 8 78 4" xfId="19293" xr:uid="{00000000-0005-0000-0000-00008B760000}"/>
    <cellStyle name="Обычный 8 78 5" xfId="24633" xr:uid="{00000000-0005-0000-0000-00008C760000}"/>
    <cellStyle name="Обычный 8 78 6" xfId="29973" xr:uid="{00000000-0005-0000-0000-00008D760000}"/>
    <cellStyle name="Обычный 8 78 7" xfId="35313" xr:uid="{00000000-0005-0000-0000-00008E760000}"/>
    <cellStyle name="Обычный 8 78 8" xfId="40653" xr:uid="{00000000-0005-0000-0000-00008F760000}"/>
    <cellStyle name="Обычный 8 78 9" xfId="45993" xr:uid="{00000000-0005-0000-0000-000090760000}"/>
    <cellStyle name="Обычный 8 79" xfId="3302" xr:uid="{00000000-0005-0000-0000-000091760000}"/>
    <cellStyle name="Обычный 8 79 10" xfId="51365" xr:uid="{00000000-0005-0000-0000-000092760000}"/>
    <cellStyle name="Обычный 8 79 2" xfId="8645" xr:uid="{00000000-0005-0000-0000-000093760000}"/>
    <cellStyle name="Обычный 8 79 2 2" xfId="56706" xr:uid="{00000000-0005-0000-0000-000094760000}"/>
    <cellStyle name="Обычный 8 79 3" xfId="13985" xr:uid="{00000000-0005-0000-0000-000095760000}"/>
    <cellStyle name="Обычный 8 79 4" xfId="19325" xr:uid="{00000000-0005-0000-0000-000096760000}"/>
    <cellStyle name="Обычный 8 79 5" xfId="24665" xr:uid="{00000000-0005-0000-0000-000097760000}"/>
    <cellStyle name="Обычный 8 79 6" xfId="30005" xr:uid="{00000000-0005-0000-0000-000098760000}"/>
    <cellStyle name="Обычный 8 79 7" xfId="35345" xr:uid="{00000000-0005-0000-0000-000099760000}"/>
    <cellStyle name="Обычный 8 79 8" xfId="40685" xr:uid="{00000000-0005-0000-0000-00009A760000}"/>
    <cellStyle name="Обычный 8 79 9" xfId="46025" xr:uid="{00000000-0005-0000-0000-00009B760000}"/>
    <cellStyle name="Обычный 8 8" xfId="1240" xr:uid="{00000000-0005-0000-0000-00009C760000}"/>
    <cellStyle name="Обычный 8 8 10" xfId="49303" xr:uid="{00000000-0005-0000-0000-00009D760000}"/>
    <cellStyle name="Обычный 8 8 2" xfId="6582" xr:uid="{00000000-0005-0000-0000-00009E760000}"/>
    <cellStyle name="Обычный 8 8 2 2" xfId="54644" xr:uid="{00000000-0005-0000-0000-00009F760000}"/>
    <cellStyle name="Обычный 8 8 3" xfId="11923" xr:uid="{00000000-0005-0000-0000-0000A0760000}"/>
    <cellStyle name="Обычный 8 8 4" xfId="17263" xr:uid="{00000000-0005-0000-0000-0000A1760000}"/>
    <cellStyle name="Обычный 8 8 5" xfId="22603" xr:uid="{00000000-0005-0000-0000-0000A2760000}"/>
    <cellStyle name="Обычный 8 8 6" xfId="27943" xr:uid="{00000000-0005-0000-0000-0000A3760000}"/>
    <cellStyle name="Обычный 8 8 7" xfId="33283" xr:uid="{00000000-0005-0000-0000-0000A4760000}"/>
    <cellStyle name="Обычный 8 8 8" xfId="38623" xr:uid="{00000000-0005-0000-0000-0000A5760000}"/>
    <cellStyle name="Обычный 8 8 9" xfId="43963" xr:uid="{00000000-0005-0000-0000-0000A6760000}"/>
    <cellStyle name="Обычный 8 80" xfId="3334" xr:uid="{00000000-0005-0000-0000-0000A7760000}"/>
    <cellStyle name="Обычный 8 80 10" xfId="51397" xr:uid="{00000000-0005-0000-0000-0000A8760000}"/>
    <cellStyle name="Обычный 8 80 2" xfId="8677" xr:uid="{00000000-0005-0000-0000-0000A9760000}"/>
    <cellStyle name="Обычный 8 80 2 2" xfId="56738" xr:uid="{00000000-0005-0000-0000-0000AA760000}"/>
    <cellStyle name="Обычный 8 80 3" xfId="14017" xr:uid="{00000000-0005-0000-0000-0000AB760000}"/>
    <cellStyle name="Обычный 8 80 4" xfId="19357" xr:uid="{00000000-0005-0000-0000-0000AC760000}"/>
    <cellStyle name="Обычный 8 80 5" xfId="24697" xr:uid="{00000000-0005-0000-0000-0000AD760000}"/>
    <cellStyle name="Обычный 8 80 6" xfId="30037" xr:uid="{00000000-0005-0000-0000-0000AE760000}"/>
    <cellStyle name="Обычный 8 80 7" xfId="35377" xr:uid="{00000000-0005-0000-0000-0000AF760000}"/>
    <cellStyle name="Обычный 8 80 8" xfId="40717" xr:uid="{00000000-0005-0000-0000-0000B0760000}"/>
    <cellStyle name="Обычный 8 80 9" xfId="46057" xr:uid="{00000000-0005-0000-0000-0000B1760000}"/>
    <cellStyle name="Обычный 8 81" xfId="3366" xr:uid="{00000000-0005-0000-0000-0000B2760000}"/>
    <cellStyle name="Обычный 8 81 10" xfId="51429" xr:uid="{00000000-0005-0000-0000-0000B3760000}"/>
    <cellStyle name="Обычный 8 81 2" xfId="8709" xr:uid="{00000000-0005-0000-0000-0000B4760000}"/>
    <cellStyle name="Обычный 8 81 2 2" xfId="56770" xr:uid="{00000000-0005-0000-0000-0000B5760000}"/>
    <cellStyle name="Обычный 8 81 3" xfId="14049" xr:uid="{00000000-0005-0000-0000-0000B6760000}"/>
    <cellStyle name="Обычный 8 81 4" xfId="19389" xr:uid="{00000000-0005-0000-0000-0000B7760000}"/>
    <cellStyle name="Обычный 8 81 5" xfId="24729" xr:uid="{00000000-0005-0000-0000-0000B8760000}"/>
    <cellStyle name="Обычный 8 81 6" xfId="30069" xr:uid="{00000000-0005-0000-0000-0000B9760000}"/>
    <cellStyle name="Обычный 8 81 7" xfId="35409" xr:uid="{00000000-0005-0000-0000-0000BA760000}"/>
    <cellStyle name="Обычный 8 81 8" xfId="40749" xr:uid="{00000000-0005-0000-0000-0000BB760000}"/>
    <cellStyle name="Обычный 8 81 9" xfId="46089" xr:uid="{00000000-0005-0000-0000-0000BC760000}"/>
    <cellStyle name="Обычный 8 82" xfId="3398" xr:uid="{00000000-0005-0000-0000-0000BD760000}"/>
    <cellStyle name="Обычный 8 82 10" xfId="51461" xr:uid="{00000000-0005-0000-0000-0000BE760000}"/>
    <cellStyle name="Обычный 8 82 2" xfId="8741" xr:uid="{00000000-0005-0000-0000-0000BF760000}"/>
    <cellStyle name="Обычный 8 82 2 2" xfId="56802" xr:uid="{00000000-0005-0000-0000-0000C0760000}"/>
    <cellStyle name="Обычный 8 82 3" xfId="14081" xr:uid="{00000000-0005-0000-0000-0000C1760000}"/>
    <cellStyle name="Обычный 8 82 4" xfId="19421" xr:uid="{00000000-0005-0000-0000-0000C2760000}"/>
    <cellStyle name="Обычный 8 82 5" xfId="24761" xr:uid="{00000000-0005-0000-0000-0000C3760000}"/>
    <cellStyle name="Обычный 8 82 6" xfId="30101" xr:uid="{00000000-0005-0000-0000-0000C4760000}"/>
    <cellStyle name="Обычный 8 82 7" xfId="35441" xr:uid="{00000000-0005-0000-0000-0000C5760000}"/>
    <cellStyle name="Обычный 8 82 8" xfId="40781" xr:uid="{00000000-0005-0000-0000-0000C6760000}"/>
    <cellStyle name="Обычный 8 82 9" xfId="46121" xr:uid="{00000000-0005-0000-0000-0000C7760000}"/>
    <cellStyle name="Обычный 8 83" xfId="3430" xr:uid="{00000000-0005-0000-0000-0000C8760000}"/>
    <cellStyle name="Обычный 8 83 10" xfId="51493" xr:uid="{00000000-0005-0000-0000-0000C9760000}"/>
    <cellStyle name="Обычный 8 83 2" xfId="8773" xr:uid="{00000000-0005-0000-0000-0000CA760000}"/>
    <cellStyle name="Обычный 8 83 2 2" xfId="56834" xr:uid="{00000000-0005-0000-0000-0000CB760000}"/>
    <cellStyle name="Обычный 8 83 3" xfId="14113" xr:uid="{00000000-0005-0000-0000-0000CC760000}"/>
    <cellStyle name="Обычный 8 83 4" xfId="19453" xr:uid="{00000000-0005-0000-0000-0000CD760000}"/>
    <cellStyle name="Обычный 8 83 5" xfId="24793" xr:uid="{00000000-0005-0000-0000-0000CE760000}"/>
    <cellStyle name="Обычный 8 83 6" xfId="30133" xr:uid="{00000000-0005-0000-0000-0000CF760000}"/>
    <cellStyle name="Обычный 8 83 7" xfId="35473" xr:uid="{00000000-0005-0000-0000-0000D0760000}"/>
    <cellStyle name="Обычный 8 83 8" xfId="40813" xr:uid="{00000000-0005-0000-0000-0000D1760000}"/>
    <cellStyle name="Обычный 8 83 9" xfId="46153" xr:uid="{00000000-0005-0000-0000-0000D2760000}"/>
    <cellStyle name="Обычный 8 84" xfId="3462" xr:uid="{00000000-0005-0000-0000-0000D3760000}"/>
    <cellStyle name="Обычный 8 84 10" xfId="51525" xr:uid="{00000000-0005-0000-0000-0000D4760000}"/>
    <cellStyle name="Обычный 8 84 2" xfId="8805" xr:uid="{00000000-0005-0000-0000-0000D5760000}"/>
    <cellStyle name="Обычный 8 84 2 2" xfId="56866" xr:uid="{00000000-0005-0000-0000-0000D6760000}"/>
    <cellStyle name="Обычный 8 84 3" xfId="14145" xr:uid="{00000000-0005-0000-0000-0000D7760000}"/>
    <cellStyle name="Обычный 8 84 4" xfId="19485" xr:uid="{00000000-0005-0000-0000-0000D8760000}"/>
    <cellStyle name="Обычный 8 84 5" xfId="24825" xr:uid="{00000000-0005-0000-0000-0000D9760000}"/>
    <cellStyle name="Обычный 8 84 6" xfId="30165" xr:uid="{00000000-0005-0000-0000-0000DA760000}"/>
    <cellStyle name="Обычный 8 84 7" xfId="35505" xr:uid="{00000000-0005-0000-0000-0000DB760000}"/>
    <cellStyle name="Обычный 8 84 8" xfId="40845" xr:uid="{00000000-0005-0000-0000-0000DC760000}"/>
    <cellStyle name="Обычный 8 84 9" xfId="46185" xr:uid="{00000000-0005-0000-0000-0000DD760000}"/>
    <cellStyle name="Обычный 8 85" xfId="3494" xr:uid="{00000000-0005-0000-0000-0000DE760000}"/>
    <cellStyle name="Обычный 8 85 10" xfId="51557" xr:uid="{00000000-0005-0000-0000-0000DF760000}"/>
    <cellStyle name="Обычный 8 85 2" xfId="8837" xr:uid="{00000000-0005-0000-0000-0000E0760000}"/>
    <cellStyle name="Обычный 8 85 2 2" xfId="56898" xr:uid="{00000000-0005-0000-0000-0000E1760000}"/>
    <cellStyle name="Обычный 8 85 3" xfId="14177" xr:uid="{00000000-0005-0000-0000-0000E2760000}"/>
    <cellStyle name="Обычный 8 85 4" xfId="19517" xr:uid="{00000000-0005-0000-0000-0000E3760000}"/>
    <cellStyle name="Обычный 8 85 5" xfId="24857" xr:uid="{00000000-0005-0000-0000-0000E4760000}"/>
    <cellStyle name="Обычный 8 85 6" xfId="30197" xr:uid="{00000000-0005-0000-0000-0000E5760000}"/>
    <cellStyle name="Обычный 8 85 7" xfId="35537" xr:uid="{00000000-0005-0000-0000-0000E6760000}"/>
    <cellStyle name="Обычный 8 85 8" xfId="40877" xr:uid="{00000000-0005-0000-0000-0000E7760000}"/>
    <cellStyle name="Обычный 8 85 9" xfId="46217" xr:uid="{00000000-0005-0000-0000-0000E8760000}"/>
    <cellStyle name="Обычный 8 86" xfId="3526" xr:uid="{00000000-0005-0000-0000-0000E9760000}"/>
    <cellStyle name="Обычный 8 86 10" xfId="51589" xr:uid="{00000000-0005-0000-0000-0000EA760000}"/>
    <cellStyle name="Обычный 8 86 2" xfId="8869" xr:uid="{00000000-0005-0000-0000-0000EB760000}"/>
    <cellStyle name="Обычный 8 86 2 2" xfId="56930" xr:uid="{00000000-0005-0000-0000-0000EC760000}"/>
    <cellStyle name="Обычный 8 86 3" xfId="14209" xr:uid="{00000000-0005-0000-0000-0000ED760000}"/>
    <cellStyle name="Обычный 8 86 4" xfId="19549" xr:uid="{00000000-0005-0000-0000-0000EE760000}"/>
    <cellStyle name="Обычный 8 86 5" xfId="24889" xr:uid="{00000000-0005-0000-0000-0000EF760000}"/>
    <cellStyle name="Обычный 8 86 6" xfId="30229" xr:uid="{00000000-0005-0000-0000-0000F0760000}"/>
    <cellStyle name="Обычный 8 86 7" xfId="35569" xr:uid="{00000000-0005-0000-0000-0000F1760000}"/>
    <cellStyle name="Обычный 8 86 8" xfId="40909" xr:uid="{00000000-0005-0000-0000-0000F2760000}"/>
    <cellStyle name="Обычный 8 86 9" xfId="46249" xr:uid="{00000000-0005-0000-0000-0000F3760000}"/>
    <cellStyle name="Обычный 8 87" xfId="3558" xr:uid="{00000000-0005-0000-0000-0000F4760000}"/>
    <cellStyle name="Обычный 8 87 10" xfId="51621" xr:uid="{00000000-0005-0000-0000-0000F5760000}"/>
    <cellStyle name="Обычный 8 87 2" xfId="8901" xr:uid="{00000000-0005-0000-0000-0000F6760000}"/>
    <cellStyle name="Обычный 8 87 2 2" xfId="56962" xr:uid="{00000000-0005-0000-0000-0000F7760000}"/>
    <cellStyle name="Обычный 8 87 3" xfId="14241" xr:uid="{00000000-0005-0000-0000-0000F8760000}"/>
    <cellStyle name="Обычный 8 87 4" xfId="19581" xr:uid="{00000000-0005-0000-0000-0000F9760000}"/>
    <cellStyle name="Обычный 8 87 5" xfId="24921" xr:uid="{00000000-0005-0000-0000-0000FA760000}"/>
    <cellStyle name="Обычный 8 87 6" xfId="30261" xr:uid="{00000000-0005-0000-0000-0000FB760000}"/>
    <cellStyle name="Обычный 8 87 7" xfId="35601" xr:uid="{00000000-0005-0000-0000-0000FC760000}"/>
    <cellStyle name="Обычный 8 87 8" xfId="40941" xr:uid="{00000000-0005-0000-0000-0000FD760000}"/>
    <cellStyle name="Обычный 8 87 9" xfId="46281" xr:uid="{00000000-0005-0000-0000-0000FE760000}"/>
    <cellStyle name="Обычный 8 88" xfId="3590" xr:uid="{00000000-0005-0000-0000-0000FF760000}"/>
    <cellStyle name="Обычный 8 88 10" xfId="51653" xr:uid="{00000000-0005-0000-0000-000000770000}"/>
    <cellStyle name="Обычный 8 88 2" xfId="8933" xr:uid="{00000000-0005-0000-0000-000001770000}"/>
    <cellStyle name="Обычный 8 88 2 2" xfId="56994" xr:uid="{00000000-0005-0000-0000-000002770000}"/>
    <cellStyle name="Обычный 8 88 3" xfId="14273" xr:uid="{00000000-0005-0000-0000-000003770000}"/>
    <cellStyle name="Обычный 8 88 4" xfId="19613" xr:uid="{00000000-0005-0000-0000-000004770000}"/>
    <cellStyle name="Обычный 8 88 5" xfId="24953" xr:uid="{00000000-0005-0000-0000-000005770000}"/>
    <cellStyle name="Обычный 8 88 6" xfId="30293" xr:uid="{00000000-0005-0000-0000-000006770000}"/>
    <cellStyle name="Обычный 8 88 7" xfId="35633" xr:uid="{00000000-0005-0000-0000-000007770000}"/>
    <cellStyle name="Обычный 8 88 8" xfId="40973" xr:uid="{00000000-0005-0000-0000-000008770000}"/>
    <cellStyle name="Обычный 8 88 9" xfId="46313" xr:uid="{00000000-0005-0000-0000-000009770000}"/>
    <cellStyle name="Обычный 8 89" xfId="3622" xr:uid="{00000000-0005-0000-0000-00000A770000}"/>
    <cellStyle name="Обычный 8 89 10" xfId="51685" xr:uid="{00000000-0005-0000-0000-00000B770000}"/>
    <cellStyle name="Обычный 8 89 2" xfId="8965" xr:uid="{00000000-0005-0000-0000-00000C770000}"/>
    <cellStyle name="Обычный 8 89 2 2" xfId="57026" xr:uid="{00000000-0005-0000-0000-00000D770000}"/>
    <cellStyle name="Обычный 8 89 3" xfId="14305" xr:uid="{00000000-0005-0000-0000-00000E770000}"/>
    <cellStyle name="Обычный 8 89 4" xfId="19645" xr:uid="{00000000-0005-0000-0000-00000F770000}"/>
    <cellStyle name="Обычный 8 89 5" xfId="24985" xr:uid="{00000000-0005-0000-0000-000010770000}"/>
    <cellStyle name="Обычный 8 89 6" xfId="30325" xr:uid="{00000000-0005-0000-0000-000011770000}"/>
    <cellStyle name="Обычный 8 89 7" xfId="35665" xr:uid="{00000000-0005-0000-0000-000012770000}"/>
    <cellStyle name="Обычный 8 89 8" xfId="41005" xr:uid="{00000000-0005-0000-0000-000013770000}"/>
    <cellStyle name="Обычный 8 89 9" xfId="46345" xr:uid="{00000000-0005-0000-0000-000014770000}"/>
    <cellStyle name="Обычный 8 9" xfId="1266" xr:uid="{00000000-0005-0000-0000-000015770000}"/>
    <cellStyle name="Обычный 8 9 10" xfId="49329" xr:uid="{00000000-0005-0000-0000-000016770000}"/>
    <cellStyle name="Обычный 8 9 2" xfId="6608" xr:uid="{00000000-0005-0000-0000-000017770000}"/>
    <cellStyle name="Обычный 8 9 2 2" xfId="54670" xr:uid="{00000000-0005-0000-0000-000018770000}"/>
    <cellStyle name="Обычный 8 9 3" xfId="11949" xr:uid="{00000000-0005-0000-0000-000019770000}"/>
    <cellStyle name="Обычный 8 9 4" xfId="17289" xr:uid="{00000000-0005-0000-0000-00001A770000}"/>
    <cellStyle name="Обычный 8 9 5" xfId="22629" xr:uid="{00000000-0005-0000-0000-00001B770000}"/>
    <cellStyle name="Обычный 8 9 6" xfId="27969" xr:uid="{00000000-0005-0000-0000-00001C770000}"/>
    <cellStyle name="Обычный 8 9 7" xfId="33309" xr:uid="{00000000-0005-0000-0000-00001D770000}"/>
    <cellStyle name="Обычный 8 9 8" xfId="38649" xr:uid="{00000000-0005-0000-0000-00001E770000}"/>
    <cellStyle name="Обычный 8 9 9" xfId="43989" xr:uid="{00000000-0005-0000-0000-00001F770000}"/>
    <cellStyle name="Обычный 8 90" xfId="3654" xr:uid="{00000000-0005-0000-0000-000020770000}"/>
    <cellStyle name="Обычный 8 90 10" xfId="51717" xr:uid="{00000000-0005-0000-0000-000021770000}"/>
    <cellStyle name="Обычный 8 90 2" xfId="8997" xr:uid="{00000000-0005-0000-0000-000022770000}"/>
    <cellStyle name="Обычный 8 90 2 2" xfId="57058" xr:uid="{00000000-0005-0000-0000-000023770000}"/>
    <cellStyle name="Обычный 8 90 3" xfId="14337" xr:uid="{00000000-0005-0000-0000-000024770000}"/>
    <cellStyle name="Обычный 8 90 4" xfId="19677" xr:uid="{00000000-0005-0000-0000-000025770000}"/>
    <cellStyle name="Обычный 8 90 5" xfId="25017" xr:uid="{00000000-0005-0000-0000-000026770000}"/>
    <cellStyle name="Обычный 8 90 6" xfId="30357" xr:uid="{00000000-0005-0000-0000-000027770000}"/>
    <cellStyle name="Обычный 8 90 7" xfId="35697" xr:uid="{00000000-0005-0000-0000-000028770000}"/>
    <cellStyle name="Обычный 8 90 8" xfId="41037" xr:uid="{00000000-0005-0000-0000-000029770000}"/>
    <cellStyle name="Обычный 8 90 9" xfId="46377" xr:uid="{00000000-0005-0000-0000-00002A770000}"/>
    <cellStyle name="Обычный 8 91" xfId="3686" xr:uid="{00000000-0005-0000-0000-00002B770000}"/>
    <cellStyle name="Обычный 8 91 10" xfId="51749" xr:uid="{00000000-0005-0000-0000-00002C770000}"/>
    <cellStyle name="Обычный 8 91 2" xfId="9029" xr:uid="{00000000-0005-0000-0000-00002D770000}"/>
    <cellStyle name="Обычный 8 91 2 2" xfId="57090" xr:uid="{00000000-0005-0000-0000-00002E770000}"/>
    <cellStyle name="Обычный 8 91 3" xfId="14369" xr:uid="{00000000-0005-0000-0000-00002F770000}"/>
    <cellStyle name="Обычный 8 91 4" xfId="19709" xr:uid="{00000000-0005-0000-0000-000030770000}"/>
    <cellStyle name="Обычный 8 91 5" xfId="25049" xr:uid="{00000000-0005-0000-0000-000031770000}"/>
    <cellStyle name="Обычный 8 91 6" xfId="30389" xr:uid="{00000000-0005-0000-0000-000032770000}"/>
    <cellStyle name="Обычный 8 91 7" xfId="35729" xr:uid="{00000000-0005-0000-0000-000033770000}"/>
    <cellStyle name="Обычный 8 91 8" xfId="41069" xr:uid="{00000000-0005-0000-0000-000034770000}"/>
    <cellStyle name="Обычный 8 91 9" xfId="46409" xr:uid="{00000000-0005-0000-0000-000035770000}"/>
    <cellStyle name="Обычный 8 92" xfId="3718" xr:uid="{00000000-0005-0000-0000-000036770000}"/>
    <cellStyle name="Обычный 8 92 10" xfId="51781" xr:uid="{00000000-0005-0000-0000-000037770000}"/>
    <cellStyle name="Обычный 8 92 2" xfId="9061" xr:uid="{00000000-0005-0000-0000-000038770000}"/>
    <cellStyle name="Обычный 8 92 2 2" xfId="57122" xr:uid="{00000000-0005-0000-0000-000039770000}"/>
    <cellStyle name="Обычный 8 92 3" xfId="14401" xr:uid="{00000000-0005-0000-0000-00003A770000}"/>
    <cellStyle name="Обычный 8 92 4" xfId="19741" xr:uid="{00000000-0005-0000-0000-00003B770000}"/>
    <cellStyle name="Обычный 8 92 5" xfId="25081" xr:uid="{00000000-0005-0000-0000-00003C770000}"/>
    <cellStyle name="Обычный 8 92 6" xfId="30421" xr:uid="{00000000-0005-0000-0000-00003D770000}"/>
    <cellStyle name="Обычный 8 92 7" xfId="35761" xr:uid="{00000000-0005-0000-0000-00003E770000}"/>
    <cellStyle name="Обычный 8 92 8" xfId="41101" xr:uid="{00000000-0005-0000-0000-00003F770000}"/>
    <cellStyle name="Обычный 8 92 9" xfId="46441" xr:uid="{00000000-0005-0000-0000-000040770000}"/>
    <cellStyle name="Обычный 8 93" xfId="3750" xr:uid="{00000000-0005-0000-0000-000041770000}"/>
    <cellStyle name="Обычный 8 93 10" xfId="51813" xr:uid="{00000000-0005-0000-0000-000042770000}"/>
    <cellStyle name="Обычный 8 93 2" xfId="9093" xr:uid="{00000000-0005-0000-0000-000043770000}"/>
    <cellStyle name="Обычный 8 93 2 2" xfId="57154" xr:uid="{00000000-0005-0000-0000-000044770000}"/>
    <cellStyle name="Обычный 8 93 3" xfId="14433" xr:uid="{00000000-0005-0000-0000-000045770000}"/>
    <cellStyle name="Обычный 8 93 4" xfId="19773" xr:uid="{00000000-0005-0000-0000-000046770000}"/>
    <cellStyle name="Обычный 8 93 5" xfId="25113" xr:uid="{00000000-0005-0000-0000-000047770000}"/>
    <cellStyle name="Обычный 8 93 6" xfId="30453" xr:uid="{00000000-0005-0000-0000-000048770000}"/>
    <cellStyle name="Обычный 8 93 7" xfId="35793" xr:uid="{00000000-0005-0000-0000-000049770000}"/>
    <cellStyle name="Обычный 8 93 8" xfId="41133" xr:uid="{00000000-0005-0000-0000-00004A770000}"/>
    <cellStyle name="Обычный 8 93 9" xfId="46473" xr:uid="{00000000-0005-0000-0000-00004B770000}"/>
    <cellStyle name="Обычный 8 94" xfId="3782" xr:uid="{00000000-0005-0000-0000-00004C770000}"/>
    <cellStyle name="Обычный 8 94 10" xfId="51845" xr:uid="{00000000-0005-0000-0000-00004D770000}"/>
    <cellStyle name="Обычный 8 94 2" xfId="9125" xr:uid="{00000000-0005-0000-0000-00004E770000}"/>
    <cellStyle name="Обычный 8 94 2 2" xfId="57186" xr:uid="{00000000-0005-0000-0000-00004F770000}"/>
    <cellStyle name="Обычный 8 94 3" xfId="14465" xr:uid="{00000000-0005-0000-0000-000050770000}"/>
    <cellStyle name="Обычный 8 94 4" xfId="19805" xr:uid="{00000000-0005-0000-0000-000051770000}"/>
    <cellStyle name="Обычный 8 94 5" xfId="25145" xr:uid="{00000000-0005-0000-0000-000052770000}"/>
    <cellStyle name="Обычный 8 94 6" xfId="30485" xr:uid="{00000000-0005-0000-0000-000053770000}"/>
    <cellStyle name="Обычный 8 94 7" xfId="35825" xr:uid="{00000000-0005-0000-0000-000054770000}"/>
    <cellStyle name="Обычный 8 94 8" xfId="41165" xr:uid="{00000000-0005-0000-0000-000055770000}"/>
    <cellStyle name="Обычный 8 94 9" xfId="46505" xr:uid="{00000000-0005-0000-0000-000056770000}"/>
    <cellStyle name="Обычный 8 95" xfId="3814" xr:uid="{00000000-0005-0000-0000-000057770000}"/>
    <cellStyle name="Обычный 8 95 10" xfId="51877" xr:uid="{00000000-0005-0000-0000-000058770000}"/>
    <cellStyle name="Обычный 8 95 2" xfId="9157" xr:uid="{00000000-0005-0000-0000-000059770000}"/>
    <cellStyle name="Обычный 8 95 2 2" xfId="57218" xr:uid="{00000000-0005-0000-0000-00005A770000}"/>
    <cellStyle name="Обычный 8 95 3" xfId="14497" xr:uid="{00000000-0005-0000-0000-00005B770000}"/>
    <cellStyle name="Обычный 8 95 4" xfId="19837" xr:uid="{00000000-0005-0000-0000-00005C770000}"/>
    <cellStyle name="Обычный 8 95 5" xfId="25177" xr:uid="{00000000-0005-0000-0000-00005D770000}"/>
    <cellStyle name="Обычный 8 95 6" xfId="30517" xr:uid="{00000000-0005-0000-0000-00005E770000}"/>
    <cellStyle name="Обычный 8 95 7" xfId="35857" xr:uid="{00000000-0005-0000-0000-00005F770000}"/>
    <cellStyle name="Обычный 8 95 8" xfId="41197" xr:uid="{00000000-0005-0000-0000-000060770000}"/>
    <cellStyle name="Обычный 8 95 9" xfId="46537" xr:uid="{00000000-0005-0000-0000-000061770000}"/>
    <cellStyle name="Обычный 8 96" xfId="3846" xr:uid="{00000000-0005-0000-0000-000062770000}"/>
    <cellStyle name="Обычный 8 96 10" xfId="51909" xr:uid="{00000000-0005-0000-0000-000063770000}"/>
    <cellStyle name="Обычный 8 96 2" xfId="9189" xr:uid="{00000000-0005-0000-0000-000064770000}"/>
    <cellStyle name="Обычный 8 96 2 2" xfId="57250" xr:uid="{00000000-0005-0000-0000-000065770000}"/>
    <cellStyle name="Обычный 8 96 3" xfId="14529" xr:uid="{00000000-0005-0000-0000-000066770000}"/>
    <cellStyle name="Обычный 8 96 4" xfId="19869" xr:uid="{00000000-0005-0000-0000-000067770000}"/>
    <cellStyle name="Обычный 8 96 5" xfId="25209" xr:uid="{00000000-0005-0000-0000-000068770000}"/>
    <cellStyle name="Обычный 8 96 6" xfId="30549" xr:uid="{00000000-0005-0000-0000-000069770000}"/>
    <cellStyle name="Обычный 8 96 7" xfId="35889" xr:uid="{00000000-0005-0000-0000-00006A770000}"/>
    <cellStyle name="Обычный 8 96 8" xfId="41229" xr:uid="{00000000-0005-0000-0000-00006B770000}"/>
    <cellStyle name="Обычный 8 96 9" xfId="46569" xr:uid="{00000000-0005-0000-0000-00006C770000}"/>
    <cellStyle name="Обычный 8 97" xfId="3878" xr:uid="{00000000-0005-0000-0000-00006D770000}"/>
    <cellStyle name="Обычный 8 97 10" xfId="51941" xr:uid="{00000000-0005-0000-0000-00006E770000}"/>
    <cellStyle name="Обычный 8 97 2" xfId="9221" xr:uid="{00000000-0005-0000-0000-00006F770000}"/>
    <cellStyle name="Обычный 8 97 2 2" xfId="57282" xr:uid="{00000000-0005-0000-0000-000070770000}"/>
    <cellStyle name="Обычный 8 97 3" xfId="14561" xr:uid="{00000000-0005-0000-0000-000071770000}"/>
    <cellStyle name="Обычный 8 97 4" xfId="19901" xr:uid="{00000000-0005-0000-0000-000072770000}"/>
    <cellStyle name="Обычный 8 97 5" xfId="25241" xr:uid="{00000000-0005-0000-0000-000073770000}"/>
    <cellStyle name="Обычный 8 97 6" xfId="30581" xr:uid="{00000000-0005-0000-0000-000074770000}"/>
    <cellStyle name="Обычный 8 97 7" xfId="35921" xr:uid="{00000000-0005-0000-0000-000075770000}"/>
    <cellStyle name="Обычный 8 97 8" xfId="41261" xr:uid="{00000000-0005-0000-0000-000076770000}"/>
    <cellStyle name="Обычный 8 97 9" xfId="46601" xr:uid="{00000000-0005-0000-0000-000077770000}"/>
    <cellStyle name="Обычный 8 98" xfId="3910" xr:uid="{00000000-0005-0000-0000-000078770000}"/>
    <cellStyle name="Обычный 8 98 10" xfId="51973" xr:uid="{00000000-0005-0000-0000-000079770000}"/>
    <cellStyle name="Обычный 8 98 2" xfId="9253" xr:uid="{00000000-0005-0000-0000-00007A770000}"/>
    <cellStyle name="Обычный 8 98 2 2" xfId="57314" xr:uid="{00000000-0005-0000-0000-00007B770000}"/>
    <cellStyle name="Обычный 8 98 3" xfId="14593" xr:uid="{00000000-0005-0000-0000-00007C770000}"/>
    <cellStyle name="Обычный 8 98 4" xfId="19933" xr:uid="{00000000-0005-0000-0000-00007D770000}"/>
    <cellStyle name="Обычный 8 98 5" xfId="25273" xr:uid="{00000000-0005-0000-0000-00007E770000}"/>
    <cellStyle name="Обычный 8 98 6" xfId="30613" xr:uid="{00000000-0005-0000-0000-00007F770000}"/>
    <cellStyle name="Обычный 8 98 7" xfId="35953" xr:uid="{00000000-0005-0000-0000-000080770000}"/>
    <cellStyle name="Обычный 8 98 8" xfId="41293" xr:uid="{00000000-0005-0000-0000-000081770000}"/>
    <cellStyle name="Обычный 8 98 9" xfId="46633" xr:uid="{00000000-0005-0000-0000-000082770000}"/>
    <cellStyle name="Обычный 8 99" xfId="3942" xr:uid="{00000000-0005-0000-0000-000083770000}"/>
    <cellStyle name="Обычный 8 99 10" xfId="52005" xr:uid="{00000000-0005-0000-0000-000084770000}"/>
    <cellStyle name="Обычный 8 99 2" xfId="9285" xr:uid="{00000000-0005-0000-0000-000085770000}"/>
    <cellStyle name="Обычный 8 99 2 2" xfId="57346" xr:uid="{00000000-0005-0000-0000-000086770000}"/>
    <cellStyle name="Обычный 8 99 3" xfId="14625" xr:uid="{00000000-0005-0000-0000-000087770000}"/>
    <cellStyle name="Обычный 8 99 4" xfId="19965" xr:uid="{00000000-0005-0000-0000-000088770000}"/>
    <cellStyle name="Обычный 8 99 5" xfId="25305" xr:uid="{00000000-0005-0000-0000-000089770000}"/>
    <cellStyle name="Обычный 8 99 6" xfId="30645" xr:uid="{00000000-0005-0000-0000-00008A770000}"/>
    <cellStyle name="Обычный 8 99 7" xfId="35985" xr:uid="{00000000-0005-0000-0000-00008B770000}"/>
    <cellStyle name="Обычный 8 99 8" xfId="41325" xr:uid="{00000000-0005-0000-0000-00008C770000}"/>
    <cellStyle name="Обычный 8 99 9" xfId="46665" xr:uid="{00000000-0005-0000-0000-00008D770000}"/>
    <cellStyle name="Обычный 9" xfId="1944" xr:uid="{00000000-0005-0000-0000-00008E770000}"/>
    <cellStyle name="Обычный 9 10" xfId="2199" xr:uid="{00000000-0005-0000-0000-00008F770000}"/>
    <cellStyle name="Обычный 9 10 10" xfId="50263" xr:uid="{00000000-0005-0000-0000-000090770000}"/>
    <cellStyle name="Обычный 9 10 2" xfId="7542" xr:uid="{00000000-0005-0000-0000-000091770000}"/>
    <cellStyle name="Обычный 9 10 2 2" xfId="55604" xr:uid="{00000000-0005-0000-0000-000092770000}"/>
    <cellStyle name="Обычный 9 10 3" xfId="12883" xr:uid="{00000000-0005-0000-0000-000093770000}"/>
    <cellStyle name="Обычный 9 10 4" xfId="18223" xr:uid="{00000000-0005-0000-0000-000094770000}"/>
    <cellStyle name="Обычный 9 10 5" xfId="23563" xr:uid="{00000000-0005-0000-0000-000095770000}"/>
    <cellStyle name="Обычный 9 10 6" xfId="28903" xr:uid="{00000000-0005-0000-0000-000096770000}"/>
    <cellStyle name="Обычный 9 10 7" xfId="34243" xr:uid="{00000000-0005-0000-0000-000097770000}"/>
    <cellStyle name="Обычный 9 10 8" xfId="39583" xr:uid="{00000000-0005-0000-0000-000098770000}"/>
    <cellStyle name="Обычный 9 10 9" xfId="44923" xr:uid="{00000000-0005-0000-0000-000099770000}"/>
    <cellStyle name="Обычный 9 100" xfId="5066" xr:uid="{00000000-0005-0000-0000-00009A770000}"/>
    <cellStyle name="Обычный 9 100 10" xfId="53129" xr:uid="{00000000-0005-0000-0000-00009B770000}"/>
    <cellStyle name="Обычный 9 100 2" xfId="10409" xr:uid="{00000000-0005-0000-0000-00009C770000}"/>
    <cellStyle name="Обычный 9 100 2 2" xfId="58470" xr:uid="{00000000-0005-0000-0000-00009D770000}"/>
    <cellStyle name="Обычный 9 100 3" xfId="15749" xr:uid="{00000000-0005-0000-0000-00009E770000}"/>
    <cellStyle name="Обычный 9 100 4" xfId="21089" xr:uid="{00000000-0005-0000-0000-00009F770000}"/>
    <cellStyle name="Обычный 9 100 5" xfId="26429" xr:uid="{00000000-0005-0000-0000-0000A0770000}"/>
    <cellStyle name="Обычный 9 100 6" xfId="31769" xr:uid="{00000000-0005-0000-0000-0000A1770000}"/>
    <cellStyle name="Обычный 9 100 7" xfId="37109" xr:uid="{00000000-0005-0000-0000-0000A2770000}"/>
    <cellStyle name="Обычный 9 100 8" xfId="42449" xr:uid="{00000000-0005-0000-0000-0000A3770000}"/>
    <cellStyle name="Обычный 9 100 9" xfId="47789" xr:uid="{00000000-0005-0000-0000-0000A4770000}"/>
    <cellStyle name="Обычный 9 101" xfId="5098" xr:uid="{00000000-0005-0000-0000-0000A5770000}"/>
    <cellStyle name="Обычный 9 101 10" xfId="53161" xr:uid="{00000000-0005-0000-0000-0000A6770000}"/>
    <cellStyle name="Обычный 9 101 2" xfId="10441" xr:uid="{00000000-0005-0000-0000-0000A7770000}"/>
    <cellStyle name="Обычный 9 101 2 2" xfId="58502" xr:uid="{00000000-0005-0000-0000-0000A8770000}"/>
    <cellStyle name="Обычный 9 101 3" xfId="15781" xr:uid="{00000000-0005-0000-0000-0000A9770000}"/>
    <cellStyle name="Обычный 9 101 4" xfId="21121" xr:uid="{00000000-0005-0000-0000-0000AA770000}"/>
    <cellStyle name="Обычный 9 101 5" xfId="26461" xr:uid="{00000000-0005-0000-0000-0000AB770000}"/>
    <cellStyle name="Обычный 9 101 6" xfId="31801" xr:uid="{00000000-0005-0000-0000-0000AC770000}"/>
    <cellStyle name="Обычный 9 101 7" xfId="37141" xr:uid="{00000000-0005-0000-0000-0000AD770000}"/>
    <cellStyle name="Обычный 9 101 8" xfId="42481" xr:uid="{00000000-0005-0000-0000-0000AE770000}"/>
    <cellStyle name="Обычный 9 101 9" xfId="47821" xr:uid="{00000000-0005-0000-0000-0000AF770000}"/>
    <cellStyle name="Обычный 9 102" xfId="5130" xr:uid="{00000000-0005-0000-0000-0000B0770000}"/>
    <cellStyle name="Обычный 9 102 10" xfId="53193" xr:uid="{00000000-0005-0000-0000-0000B1770000}"/>
    <cellStyle name="Обычный 9 102 2" xfId="10473" xr:uid="{00000000-0005-0000-0000-0000B2770000}"/>
    <cellStyle name="Обычный 9 102 2 2" xfId="58534" xr:uid="{00000000-0005-0000-0000-0000B3770000}"/>
    <cellStyle name="Обычный 9 102 3" xfId="15813" xr:uid="{00000000-0005-0000-0000-0000B4770000}"/>
    <cellStyle name="Обычный 9 102 4" xfId="21153" xr:uid="{00000000-0005-0000-0000-0000B5770000}"/>
    <cellStyle name="Обычный 9 102 5" xfId="26493" xr:uid="{00000000-0005-0000-0000-0000B6770000}"/>
    <cellStyle name="Обычный 9 102 6" xfId="31833" xr:uid="{00000000-0005-0000-0000-0000B7770000}"/>
    <cellStyle name="Обычный 9 102 7" xfId="37173" xr:uid="{00000000-0005-0000-0000-0000B8770000}"/>
    <cellStyle name="Обычный 9 102 8" xfId="42513" xr:uid="{00000000-0005-0000-0000-0000B9770000}"/>
    <cellStyle name="Обычный 9 102 9" xfId="47853" xr:uid="{00000000-0005-0000-0000-0000BA770000}"/>
    <cellStyle name="Обычный 9 103" xfId="5162" xr:uid="{00000000-0005-0000-0000-0000BB770000}"/>
    <cellStyle name="Обычный 9 103 10" xfId="53225" xr:uid="{00000000-0005-0000-0000-0000BC770000}"/>
    <cellStyle name="Обычный 9 103 2" xfId="10505" xr:uid="{00000000-0005-0000-0000-0000BD770000}"/>
    <cellStyle name="Обычный 9 103 2 2" xfId="58566" xr:uid="{00000000-0005-0000-0000-0000BE770000}"/>
    <cellStyle name="Обычный 9 103 3" xfId="15845" xr:uid="{00000000-0005-0000-0000-0000BF770000}"/>
    <cellStyle name="Обычный 9 103 4" xfId="21185" xr:uid="{00000000-0005-0000-0000-0000C0770000}"/>
    <cellStyle name="Обычный 9 103 5" xfId="26525" xr:uid="{00000000-0005-0000-0000-0000C1770000}"/>
    <cellStyle name="Обычный 9 103 6" xfId="31865" xr:uid="{00000000-0005-0000-0000-0000C2770000}"/>
    <cellStyle name="Обычный 9 103 7" xfId="37205" xr:uid="{00000000-0005-0000-0000-0000C3770000}"/>
    <cellStyle name="Обычный 9 103 8" xfId="42545" xr:uid="{00000000-0005-0000-0000-0000C4770000}"/>
    <cellStyle name="Обычный 9 103 9" xfId="47885" xr:uid="{00000000-0005-0000-0000-0000C5770000}"/>
    <cellStyle name="Обычный 9 104" xfId="5194" xr:uid="{00000000-0005-0000-0000-0000C6770000}"/>
    <cellStyle name="Обычный 9 104 10" xfId="53257" xr:uid="{00000000-0005-0000-0000-0000C7770000}"/>
    <cellStyle name="Обычный 9 104 2" xfId="10537" xr:uid="{00000000-0005-0000-0000-0000C8770000}"/>
    <cellStyle name="Обычный 9 104 2 2" xfId="58598" xr:uid="{00000000-0005-0000-0000-0000C9770000}"/>
    <cellStyle name="Обычный 9 104 3" xfId="15877" xr:uid="{00000000-0005-0000-0000-0000CA770000}"/>
    <cellStyle name="Обычный 9 104 4" xfId="21217" xr:uid="{00000000-0005-0000-0000-0000CB770000}"/>
    <cellStyle name="Обычный 9 104 5" xfId="26557" xr:uid="{00000000-0005-0000-0000-0000CC770000}"/>
    <cellStyle name="Обычный 9 104 6" xfId="31897" xr:uid="{00000000-0005-0000-0000-0000CD770000}"/>
    <cellStyle name="Обычный 9 104 7" xfId="37237" xr:uid="{00000000-0005-0000-0000-0000CE770000}"/>
    <cellStyle name="Обычный 9 104 8" xfId="42577" xr:uid="{00000000-0005-0000-0000-0000CF770000}"/>
    <cellStyle name="Обычный 9 104 9" xfId="47917" xr:uid="{00000000-0005-0000-0000-0000D0770000}"/>
    <cellStyle name="Обычный 9 105" xfId="5226" xr:uid="{00000000-0005-0000-0000-0000D1770000}"/>
    <cellStyle name="Обычный 9 105 10" xfId="53289" xr:uid="{00000000-0005-0000-0000-0000D2770000}"/>
    <cellStyle name="Обычный 9 105 2" xfId="10569" xr:uid="{00000000-0005-0000-0000-0000D3770000}"/>
    <cellStyle name="Обычный 9 105 2 2" xfId="58630" xr:uid="{00000000-0005-0000-0000-0000D4770000}"/>
    <cellStyle name="Обычный 9 105 3" xfId="15909" xr:uid="{00000000-0005-0000-0000-0000D5770000}"/>
    <cellStyle name="Обычный 9 105 4" xfId="21249" xr:uid="{00000000-0005-0000-0000-0000D6770000}"/>
    <cellStyle name="Обычный 9 105 5" xfId="26589" xr:uid="{00000000-0005-0000-0000-0000D7770000}"/>
    <cellStyle name="Обычный 9 105 6" xfId="31929" xr:uid="{00000000-0005-0000-0000-0000D8770000}"/>
    <cellStyle name="Обычный 9 105 7" xfId="37269" xr:uid="{00000000-0005-0000-0000-0000D9770000}"/>
    <cellStyle name="Обычный 9 105 8" xfId="42609" xr:uid="{00000000-0005-0000-0000-0000DA770000}"/>
    <cellStyle name="Обычный 9 105 9" xfId="47949" xr:uid="{00000000-0005-0000-0000-0000DB770000}"/>
    <cellStyle name="Обычный 9 106" xfId="5258" xr:uid="{00000000-0005-0000-0000-0000DC770000}"/>
    <cellStyle name="Обычный 9 106 10" xfId="53321" xr:uid="{00000000-0005-0000-0000-0000DD770000}"/>
    <cellStyle name="Обычный 9 106 2" xfId="10601" xr:uid="{00000000-0005-0000-0000-0000DE770000}"/>
    <cellStyle name="Обычный 9 106 2 2" xfId="58662" xr:uid="{00000000-0005-0000-0000-0000DF770000}"/>
    <cellStyle name="Обычный 9 106 3" xfId="15941" xr:uid="{00000000-0005-0000-0000-0000E0770000}"/>
    <cellStyle name="Обычный 9 106 4" xfId="21281" xr:uid="{00000000-0005-0000-0000-0000E1770000}"/>
    <cellStyle name="Обычный 9 106 5" xfId="26621" xr:uid="{00000000-0005-0000-0000-0000E2770000}"/>
    <cellStyle name="Обычный 9 106 6" xfId="31961" xr:uid="{00000000-0005-0000-0000-0000E3770000}"/>
    <cellStyle name="Обычный 9 106 7" xfId="37301" xr:uid="{00000000-0005-0000-0000-0000E4770000}"/>
    <cellStyle name="Обычный 9 106 8" xfId="42641" xr:uid="{00000000-0005-0000-0000-0000E5770000}"/>
    <cellStyle name="Обычный 9 106 9" xfId="47981" xr:uid="{00000000-0005-0000-0000-0000E6770000}"/>
    <cellStyle name="Обычный 9 107" xfId="5290" xr:uid="{00000000-0005-0000-0000-0000E7770000}"/>
    <cellStyle name="Обычный 9 107 10" xfId="53353" xr:uid="{00000000-0005-0000-0000-0000E8770000}"/>
    <cellStyle name="Обычный 9 107 2" xfId="10633" xr:uid="{00000000-0005-0000-0000-0000E9770000}"/>
    <cellStyle name="Обычный 9 107 2 2" xfId="58694" xr:uid="{00000000-0005-0000-0000-0000EA770000}"/>
    <cellStyle name="Обычный 9 107 3" xfId="15973" xr:uid="{00000000-0005-0000-0000-0000EB770000}"/>
    <cellStyle name="Обычный 9 107 4" xfId="21313" xr:uid="{00000000-0005-0000-0000-0000EC770000}"/>
    <cellStyle name="Обычный 9 107 5" xfId="26653" xr:uid="{00000000-0005-0000-0000-0000ED770000}"/>
    <cellStyle name="Обычный 9 107 6" xfId="31993" xr:uid="{00000000-0005-0000-0000-0000EE770000}"/>
    <cellStyle name="Обычный 9 107 7" xfId="37333" xr:uid="{00000000-0005-0000-0000-0000EF770000}"/>
    <cellStyle name="Обычный 9 107 8" xfId="42673" xr:uid="{00000000-0005-0000-0000-0000F0770000}"/>
    <cellStyle name="Обычный 9 107 9" xfId="48013" xr:uid="{00000000-0005-0000-0000-0000F1770000}"/>
    <cellStyle name="Обычный 9 108" xfId="5322" xr:uid="{00000000-0005-0000-0000-0000F2770000}"/>
    <cellStyle name="Обычный 9 108 10" xfId="53385" xr:uid="{00000000-0005-0000-0000-0000F3770000}"/>
    <cellStyle name="Обычный 9 108 2" xfId="10665" xr:uid="{00000000-0005-0000-0000-0000F4770000}"/>
    <cellStyle name="Обычный 9 108 2 2" xfId="58726" xr:uid="{00000000-0005-0000-0000-0000F5770000}"/>
    <cellStyle name="Обычный 9 108 3" xfId="16005" xr:uid="{00000000-0005-0000-0000-0000F6770000}"/>
    <cellStyle name="Обычный 9 108 4" xfId="21345" xr:uid="{00000000-0005-0000-0000-0000F7770000}"/>
    <cellStyle name="Обычный 9 108 5" xfId="26685" xr:uid="{00000000-0005-0000-0000-0000F8770000}"/>
    <cellStyle name="Обычный 9 108 6" xfId="32025" xr:uid="{00000000-0005-0000-0000-0000F9770000}"/>
    <cellStyle name="Обычный 9 108 7" xfId="37365" xr:uid="{00000000-0005-0000-0000-0000FA770000}"/>
    <cellStyle name="Обычный 9 108 8" xfId="42705" xr:uid="{00000000-0005-0000-0000-0000FB770000}"/>
    <cellStyle name="Обычный 9 108 9" xfId="48045" xr:uid="{00000000-0005-0000-0000-0000FC770000}"/>
    <cellStyle name="Обычный 9 109" xfId="5354" xr:uid="{00000000-0005-0000-0000-0000FD770000}"/>
    <cellStyle name="Обычный 9 109 10" xfId="53417" xr:uid="{00000000-0005-0000-0000-0000FE770000}"/>
    <cellStyle name="Обычный 9 109 2" xfId="10697" xr:uid="{00000000-0005-0000-0000-0000FF770000}"/>
    <cellStyle name="Обычный 9 109 2 2" xfId="58758" xr:uid="{00000000-0005-0000-0000-000000780000}"/>
    <cellStyle name="Обычный 9 109 3" xfId="16037" xr:uid="{00000000-0005-0000-0000-000001780000}"/>
    <cellStyle name="Обычный 9 109 4" xfId="21377" xr:uid="{00000000-0005-0000-0000-000002780000}"/>
    <cellStyle name="Обычный 9 109 5" xfId="26717" xr:uid="{00000000-0005-0000-0000-000003780000}"/>
    <cellStyle name="Обычный 9 109 6" xfId="32057" xr:uid="{00000000-0005-0000-0000-000004780000}"/>
    <cellStyle name="Обычный 9 109 7" xfId="37397" xr:uid="{00000000-0005-0000-0000-000005780000}"/>
    <cellStyle name="Обычный 9 109 8" xfId="42737" xr:uid="{00000000-0005-0000-0000-000006780000}"/>
    <cellStyle name="Обычный 9 109 9" xfId="48077" xr:uid="{00000000-0005-0000-0000-000007780000}"/>
    <cellStyle name="Обычный 9 11" xfId="2229" xr:uid="{00000000-0005-0000-0000-000008780000}"/>
    <cellStyle name="Обычный 9 11 10" xfId="50293" xr:uid="{00000000-0005-0000-0000-000009780000}"/>
    <cellStyle name="Обычный 9 11 2" xfId="7572" xr:uid="{00000000-0005-0000-0000-00000A780000}"/>
    <cellStyle name="Обычный 9 11 2 2" xfId="55634" xr:uid="{00000000-0005-0000-0000-00000B780000}"/>
    <cellStyle name="Обычный 9 11 3" xfId="12913" xr:uid="{00000000-0005-0000-0000-00000C780000}"/>
    <cellStyle name="Обычный 9 11 4" xfId="18253" xr:uid="{00000000-0005-0000-0000-00000D780000}"/>
    <cellStyle name="Обычный 9 11 5" xfId="23593" xr:uid="{00000000-0005-0000-0000-00000E780000}"/>
    <cellStyle name="Обычный 9 11 6" xfId="28933" xr:uid="{00000000-0005-0000-0000-00000F780000}"/>
    <cellStyle name="Обычный 9 11 7" xfId="34273" xr:uid="{00000000-0005-0000-0000-000010780000}"/>
    <cellStyle name="Обычный 9 11 8" xfId="39613" xr:uid="{00000000-0005-0000-0000-000011780000}"/>
    <cellStyle name="Обычный 9 11 9" xfId="44953" xr:uid="{00000000-0005-0000-0000-000012780000}"/>
    <cellStyle name="Обычный 9 110" xfId="5386" xr:uid="{00000000-0005-0000-0000-000013780000}"/>
    <cellStyle name="Обычный 9 110 10" xfId="53449" xr:uid="{00000000-0005-0000-0000-000014780000}"/>
    <cellStyle name="Обычный 9 110 2" xfId="10729" xr:uid="{00000000-0005-0000-0000-000015780000}"/>
    <cellStyle name="Обычный 9 110 2 2" xfId="58790" xr:uid="{00000000-0005-0000-0000-000016780000}"/>
    <cellStyle name="Обычный 9 110 3" xfId="16069" xr:uid="{00000000-0005-0000-0000-000017780000}"/>
    <cellStyle name="Обычный 9 110 4" xfId="21409" xr:uid="{00000000-0005-0000-0000-000018780000}"/>
    <cellStyle name="Обычный 9 110 5" xfId="26749" xr:uid="{00000000-0005-0000-0000-000019780000}"/>
    <cellStyle name="Обычный 9 110 6" xfId="32089" xr:uid="{00000000-0005-0000-0000-00001A780000}"/>
    <cellStyle name="Обычный 9 110 7" xfId="37429" xr:uid="{00000000-0005-0000-0000-00001B780000}"/>
    <cellStyle name="Обычный 9 110 8" xfId="42769" xr:uid="{00000000-0005-0000-0000-00001C780000}"/>
    <cellStyle name="Обычный 9 110 9" xfId="48109" xr:uid="{00000000-0005-0000-0000-00001D780000}"/>
    <cellStyle name="Обычный 9 111" xfId="7286" xr:uid="{00000000-0005-0000-0000-00001E780000}"/>
    <cellStyle name="Обычный 9 111 2" xfId="55348" xr:uid="{00000000-0005-0000-0000-00001F780000}"/>
    <cellStyle name="Обычный 9 112" xfId="12627" xr:uid="{00000000-0005-0000-0000-000020780000}"/>
    <cellStyle name="Обычный 9 113" xfId="17967" xr:uid="{00000000-0005-0000-0000-000021780000}"/>
    <cellStyle name="Обычный 9 114" xfId="23307" xr:uid="{00000000-0005-0000-0000-000022780000}"/>
    <cellStyle name="Обычный 9 115" xfId="28647" xr:uid="{00000000-0005-0000-0000-000023780000}"/>
    <cellStyle name="Обычный 9 116" xfId="33987" xr:uid="{00000000-0005-0000-0000-000024780000}"/>
    <cellStyle name="Обычный 9 117" xfId="39327" xr:uid="{00000000-0005-0000-0000-000025780000}"/>
    <cellStyle name="Обычный 9 118" xfId="44667" xr:uid="{00000000-0005-0000-0000-000026780000}"/>
    <cellStyle name="Обычный 9 119" xfId="50007" xr:uid="{00000000-0005-0000-0000-000027780000}"/>
    <cellStyle name="Обычный 9 12" xfId="2259" xr:uid="{00000000-0005-0000-0000-000028780000}"/>
    <cellStyle name="Обычный 9 12 10" xfId="50323" xr:uid="{00000000-0005-0000-0000-000029780000}"/>
    <cellStyle name="Обычный 9 12 2" xfId="7602" xr:uid="{00000000-0005-0000-0000-00002A780000}"/>
    <cellStyle name="Обычный 9 12 2 2" xfId="55664" xr:uid="{00000000-0005-0000-0000-00002B780000}"/>
    <cellStyle name="Обычный 9 12 3" xfId="12943" xr:uid="{00000000-0005-0000-0000-00002C780000}"/>
    <cellStyle name="Обычный 9 12 4" xfId="18283" xr:uid="{00000000-0005-0000-0000-00002D780000}"/>
    <cellStyle name="Обычный 9 12 5" xfId="23623" xr:uid="{00000000-0005-0000-0000-00002E780000}"/>
    <cellStyle name="Обычный 9 12 6" xfId="28963" xr:uid="{00000000-0005-0000-0000-00002F780000}"/>
    <cellStyle name="Обычный 9 12 7" xfId="34303" xr:uid="{00000000-0005-0000-0000-000030780000}"/>
    <cellStyle name="Обычный 9 12 8" xfId="39643" xr:uid="{00000000-0005-0000-0000-000031780000}"/>
    <cellStyle name="Обычный 9 12 9" xfId="44983" xr:uid="{00000000-0005-0000-0000-000032780000}"/>
    <cellStyle name="Обычный 9 13" xfId="2289" xr:uid="{00000000-0005-0000-0000-000033780000}"/>
    <cellStyle name="Обычный 9 13 10" xfId="50353" xr:uid="{00000000-0005-0000-0000-000034780000}"/>
    <cellStyle name="Обычный 9 13 2" xfId="7632" xr:uid="{00000000-0005-0000-0000-000035780000}"/>
    <cellStyle name="Обычный 9 13 2 2" xfId="55694" xr:uid="{00000000-0005-0000-0000-000036780000}"/>
    <cellStyle name="Обычный 9 13 3" xfId="12973" xr:uid="{00000000-0005-0000-0000-000037780000}"/>
    <cellStyle name="Обычный 9 13 4" xfId="18313" xr:uid="{00000000-0005-0000-0000-000038780000}"/>
    <cellStyle name="Обычный 9 13 5" xfId="23653" xr:uid="{00000000-0005-0000-0000-000039780000}"/>
    <cellStyle name="Обычный 9 13 6" xfId="28993" xr:uid="{00000000-0005-0000-0000-00003A780000}"/>
    <cellStyle name="Обычный 9 13 7" xfId="34333" xr:uid="{00000000-0005-0000-0000-00003B780000}"/>
    <cellStyle name="Обычный 9 13 8" xfId="39673" xr:uid="{00000000-0005-0000-0000-00003C780000}"/>
    <cellStyle name="Обычный 9 13 9" xfId="45013" xr:uid="{00000000-0005-0000-0000-00003D780000}"/>
    <cellStyle name="Обычный 9 14" xfId="2319" xr:uid="{00000000-0005-0000-0000-00003E780000}"/>
    <cellStyle name="Обычный 9 14 10" xfId="50383" xr:uid="{00000000-0005-0000-0000-00003F780000}"/>
    <cellStyle name="Обычный 9 14 2" xfId="7662" xr:uid="{00000000-0005-0000-0000-000040780000}"/>
    <cellStyle name="Обычный 9 14 2 2" xfId="55724" xr:uid="{00000000-0005-0000-0000-000041780000}"/>
    <cellStyle name="Обычный 9 14 3" xfId="13003" xr:uid="{00000000-0005-0000-0000-000042780000}"/>
    <cellStyle name="Обычный 9 14 4" xfId="18343" xr:uid="{00000000-0005-0000-0000-000043780000}"/>
    <cellStyle name="Обычный 9 14 5" xfId="23683" xr:uid="{00000000-0005-0000-0000-000044780000}"/>
    <cellStyle name="Обычный 9 14 6" xfId="29023" xr:uid="{00000000-0005-0000-0000-000045780000}"/>
    <cellStyle name="Обычный 9 14 7" xfId="34363" xr:uid="{00000000-0005-0000-0000-000046780000}"/>
    <cellStyle name="Обычный 9 14 8" xfId="39703" xr:uid="{00000000-0005-0000-0000-000047780000}"/>
    <cellStyle name="Обычный 9 14 9" xfId="45043" xr:uid="{00000000-0005-0000-0000-000048780000}"/>
    <cellStyle name="Обычный 9 15" xfId="2349" xr:uid="{00000000-0005-0000-0000-000049780000}"/>
    <cellStyle name="Обычный 9 15 10" xfId="50413" xr:uid="{00000000-0005-0000-0000-00004A780000}"/>
    <cellStyle name="Обычный 9 15 2" xfId="7692" xr:uid="{00000000-0005-0000-0000-00004B780000}"/>
    <cellStyle name="Обычный 9 15 2 2" xfId="55754" xr:uid="{00000000-0005-0000-0000-00004C780000}"/>
    <cellStyle name="Обычный 9 15 3" xfId="13033" xr:uid="{00000000-0005-0000-0000-00004D780000}"/>
    <cellStyle name="Обычный 9 15 4" xfId="18373" xr:uid="{00000000-0005-0000-0000-00004E780000}"/>
    <cellStyle name="Обычный 9 15 5" xfId="23713" xr:uid="{00000000-0005-0000-0000-00004F780000}"/>
    <cellStyle name="Обычный 9 15 6" xfId="29053" xr:uid="{00000000-0005-0000-0000-000050780000}"/>
    <cellStyle name="Обычный 9 15 7" xfId="34393" xr:uid="{00000000-0005-0000-0000-000051780000}"/>
    <cellStyle name="Обычный 9 15 8" xfId="39733" xr:uid="{00000000-0005-0000-0000-000052780000}"/>
    <cellStyle name="Обычный 9 15 9" xfId="45073" xr:uid="{00000000-0005-0000-0000-000053780000}"/>
    <cellStyle name="Обычный 9 16" xfId="2379" xr:uid="{00000000-0005-0000-0000-000054780000}"/>
    <cellStyle name="Обычный 9 16 10" xfId="50443" xr:uid="{00000000-0005-0000-0000-000055780000}"/>
    <cellStyle name="Обычный 9 16 2" xfId="7722" xr:uid="{00000000-0005-0000-0000-000056780000}"/>
    <cellStyle name="Обычный 9 16 2 2" xfId="55784" xr:uid="{00000000-0005-0000-0000-000057780000}"/>
    <cellStyle name="Обычный 9 16 3" xfId="13063" xr:uid="{00000000-0005-0000-0000-000058780000}"/>
    <cellStyle name="Обычный 9 16 4" xfId="18403" xr:uid="{00000000-0005-0000-0000-000059780000}"/>
    <cellStyle name="Обычный 9 16 5" xfId="23743" xr:uid="{00000000-0005-0000-0000-00005A780000}"/>
    <cellStyle name="Обычный 9 16 6" xfId="29083" xr:uid="{00000000-0005-0000-0000-00005B780000}"/>
    <cellStyle name="Обычный 9 16 7" xfId="34423" xr:uid="{00000000-0005-0000-0000-00005C780000}"/>
    <cellStyle name="Обычный 9 16 8" xfId="39763" xr:uid="{00000000-0005-0000-0000-00005D780000}"/>
    <cellStyle name="Обычный 9 16 9" xfId="45103" xr:uid="{00000000-0005-0000-0000-00005E780000}"/>
    <cellStyle name="Обычный 9 17" xfId="2409" xr:uid="{00000000-0005-0000-0000-00005F780000}"/>
    <cellStyle name="Обычный 9 17 10" xfId="50473" xr:uid="{00000000-0005-0000-0000-000060780000}"/>
    <cellStyle name="Обычный 9 17 2" xfId="7752" xr:uid="{00000000-0005-0000-0000-000061780000}"/>
    <cellStyle name="Обычный 9 17 2 2" xfId="55814" xr:uid="{00000000-0005-0000-0000-000062780000}"/>
    <cellStyle name="Обычный 9 17 3" xfId="13093" xr:uid="{00000000-0005-0000-0000-000063780000}"/>
    <cellStyle name="Обычный 9 17 4" xfId="18433" xr:uid="{00000000-0005-0000-0000-000064780000}"/>
    <cellStyle name="Обычный 9 17 5" xfId="23773" xr:uid="{00000000-0005-0000-0000-000065780000}"/>
    <cellStyle name="Обычный 9 17 6" xfId="29113" xr:uid="{00000000-0005-0000-0000-000066780000}"/>
    <cellStyle name="Обычный 9 17 7" xfId="34453" xr:uid="{00000000-0005-0000-0000-000067780000}"/>
    <cellStyle name="Обычный 9 17 8" xfId="39793" xr:uid="{00000000-0005-0000-0000-000068780000}"/>
    <cellStyle name="Обычный 9 17 9" xfId="45133" xr:uid="{00000000-0005-0000-0000-000069780000}"/>
    <cellStyle name="Обычный 9 18" xfId="2439" xr:uid="{00000000-0005-0000-0000-00006A780000}"/>
    <cellStyle name="Обычный 9 18 10" xfId="50503" xr:uid="{00000000-0005-0000-0000-00006B780000}"/>
    <cellStyle name="Обычный 9 18 2" xfId="7782" xr:uid="{00000000-0005-0000-0000-00006C780000}"/>
    <cellStyle name="Обычный 9 18 2 2" xfId="55844" xr:uid="{00000000-0005-0000-0000-00006D780000}"/>
    <cellStyle name="Обычный 9 18 3" xfId="13123" xr:uid="{00000000-0005-0000-0000-00006E780000}"/>
    <cellStyle name="Обычный 9 18 4" xfId="18463" xr:uid="{00000000-0005-0000-0000-00006F780000}"/>
    <cellStyle name="Обычный 9 18 5" xfId="23803" xr:uid="{00000000-0005-0000-0000-000070780000}"/>
    <cellStyle name="Обычный 9 18 6" xfId="29143" xr:uid="{00000000-0005-0000-0000-000071780000}"/>
    <cellStyle name="Обычный 9 18 7" xfId="34483" xr:uid="{00000000-0005-0000-0000-000072780000}"/>
    <cellStyle name="Обычный 9 18 8" xfId="39823" xr:uid="{00000000-0005-0000-0000-000073780000}"/>
    <cellStyle name="Обычный 9 18 9" xfId="45163" xr:uid="{00000000-0005-0000-0000-000074780000}"/>
    <cellStyle name="Обычный 9 19" xfId="2469" xr:uid="{00000000-0005-0000-0000-000075780000}"/>
    <cellStyle name="Обычный 9 19 10" xfId="50533" xr:uid="{00000000-0005-0000-0000-000076780000}"/>
    <cellStyle name="Обычный 9 19 2" xfId="7812" xr:uid="{00000000-0005-0000-0000-000077780000}"/>
    <cellStyle name="Обычный 9 19 2 2" xfId="55874" xr:uid="{00000000-0005-0000-0000-000078780000}"/>
    <cellStyle name="Обычный 9 19 3" xfId="13153" xr:uid="{00000000-0005-0000-0000-000079780000}"/>
    <cellStyle name="Обычный 9 19 4" xfId="18493" xr:uid="{00000000-0005-0000-0000-00007A780000}"/>
    <cellStyle name="Обычный 9 19 5" xfId="23833" xr:uid="{00000000-0005-0000-0000-00007B780000}"/>
    <cellStyle name="Обычный 9 19 6" xfId="29173" xr:uid="{00000000-0005-0000-0000-00007C780000}"/>
    <cellStyle name="Обычный 9 19 7" xfId="34513" xr:uid="{00000000-0005-0000-0000-00007D780000}"/>
    <cellStyle name="Обычный 9 19 8" xfId="39853" xr:uid="{00000000-0005-0000-0000-00007E780000}"/>
    <cellStyle name="Обычный 9 19 9" xfId="45193" xr:uid="{00000000-0005-0000-0000-00007F780000}"/>
    <cellStyle name="Обычный 9 2" xfId="19" xr:uid="{00000000-0005-0000-0000-000080780000}"/>
    <cellStyle name="Обычный 9 2 10" xfId="50035" xr:uid="{00000000-0005-0000-0000-000081780000}"/>
    <cellStyle name="Обычный 9 2 2" xfId="7314" xr:uid="{00000000-0005-0000-0000-000082780000}"/>
    <cellStyle name="Обычный 9 2 2 2" xfId="55376" xr:uid="{00000000-0005-0000-0000-000083780000}"/>
    <cellStyle name="Обычный 9 2 3" xfId="12655" xr:uid="{00000000-0005-0000-0000-000084780000}"/>
    <cellStyle name="Обычный 9 2 4" xfId="17995" xr:uid="{00000000-0005-0000-0000-000085780000}"/>
    <cellStyle name="Обычный 9 2 5" xfId="23335" xr:uid="{00000000-0005-0000-0000-000086780000}"/>
    <cellStyle name="Обычный 9 2 6" xfId="28675" xr:uid="{00000000-0005-0000-0000-000087780000}"/>
    <cellStyle name="Обычный 9 2 7" xfId="34015" xr:uid="{00000000-0005-0000-0000-000088780000}"/>
    <cellStyle name="Обычный 9 2 8" xfId="39355" xr:uid="{00000000-0005-0000-0000-000089780000}"/>
    <cellStyle name="Обычный 9 2 9" xfId="44695" xr:uid="{00000000-0005-0000-0000-00008A780000}"/>
    <cellStyle name="Обычный 9 20" xfId="2499" xr:uid="{00000000-0005-0000-0000-00008B780000}"/>
    <cellStyle name="Обычный 9 20 10" xfId="50563" xr:uid="{00000000-0005-0000-0000-00008C780000}"/>
    <cellStyle name="Обычный 9 20 2" xfId="7842" xr:uid="{00000000-0005-0000-0000-00008D780000}"/>
    <cellStyle name="Обычный 9 20 2 2" xfId="55904" xr:uid="{00000000-0005-0000-0000-00008E780000}"/>
    <cellStyle name="Обычный 9 20 3" xfId="13183" xr:uid="{00000000-0005-0000-0000-00008F780000}"/>
    <cellStyle name="Обычный 9 20 4" xfId="18523" xr:uid="{00000000-0005-0000-0000-000090780000}"/>
    <cellStyle name="Обычный 9 20 5" xfId="23863" xr:uid="{00000000-0005-0000-0000-000091780000}"/>
    <cellStyle name="Обычный 9 20 6" xfId="29203" xr:uid="{00000000-0005-0000-0000-000092780000}"/>
    <cellStyle name="Обычный 9 20 7" xfId="34543" xr:uid="{00000000-0005-0000-0000-000093780000}"/>
    <cellStyle name="Обычный 9 20 8" xfId="39883" xr:uid="{00000000-0005-0000-0000-000094780000}"/>
    <cellStyle name="Обычный 9 20 9" xfId="45223" xr:uid="{00000000-0005-0000-0000-000095780000}"/>
    <cellStyle name="Обычный 9 21" xfId="2531" xr:uid="{00000000-0005-0000-0000-000096780000}"/>
    <cellStyle name="Обычный 9 21 10" xfId="50595" xr:uid="{00000000-0005-0000-0000-000097780000}"/>
    <cellStyle name="Обычный 9 21 2" xfId="7874" xr:uid="{00000000-0005-0000-0000-000098780000}"/>
    <cellStyle name="Обычный 9 21 2 2" xfId="55936" xr:uid="{00000000-0005-0000-0000-000099780000}"/>
    <cellStyle name="Обычный 9 21 3" xfId="13215" xr:uid="{00000000-0005-0000-0000-00009A780000}"/>
    <cellStyle name="Обычный 9 21 4" xfId="18555" xr:uid="{00000000-0005-0000-0000-00009B780000}"/>
    <cellStyle name="Обычный 9 21 5" xfId="23895" xr:uid="{00000000-0005-0000-0000-00009C780000}"/>
    <cellStyle name="Обычный 9 21 6" xfId="29235" xr:uid="{00000000-0005-0000-0000-00009D780000}"/>
    <cellStyle name="Обычный 9 21 7" xfId="34575" xr:uid="{00000000-0005-0000-0000-00009E780000}"/>
    <cellStyle name="Обычный 9 21 8" xfId="39915" xr:uid="{00000000-0005-0000-0000-00009F780000}"/>
    <cellStyle name="Обычный 9 21 9" xfId="45255" xr:uid="{00000000-0005-0000-0000-0000A0780000}"/>
    <cellStyle name="Обычный 9 22" xfId="2565" xr:uid="{00000000-0005-0000-0000-0000A1780000}"/>
    <cellStyle name="Обычный 9 22 10" xfId="50629" xr:uid="{00000000-0005-0000-0000-0000A2780000}"/>
    <cellStyle name="Обычный 9 22 2" xfId="7908" xr:uid="{00000000-0005-0000-0000-0000A3780000}"/>
    <cellStyle name="Обычный 9 22 2 2" xfId="55970" xr:uid="{00000000-0005-0000-0000-0000A4780000}"/>
    <cellStyle name="Обычный 9 22 3" xfId="13249" xr:uid="{00000000-0005-0000-0000-0000A5780000}"/>
    <cellStyle name="Обычный 9 22 4" xfId="18589" xr:uid="{00000000-0005-0000-0000-0000A6780000}"/>
    <cellStyle name="Обычный 9 22 5" xfId="23929" xr:uid="{00000000-0005-0000-0000-0000A7780000}"/>
    <cellStyle name="Обычный 9 22 6" xfId="29269" xr:uid="{00000000-0005-0000-0000-0000A8780000}"/>
    <cellStyle name="Обычный 9 22 7" xfId="34609" xr:uid="{00000000-0005-0000-0000-0000A9780000}"/>
    <cellStyle name="Обычный 9 22 8" xfId="39949" xr:uid="{00000000-0005-0000-0000-0000AA780000}"/>
    <cellStyle name="Обычный 9 22 9" xfId="45289" xr:uid="{00000000-0005-0000-0000-0000AB780000}"/>
    <cellStyle name="Обычный 9 23" xfId="2597" xr:uid="{00000000-0005-0000-0000-0000AC780000}"/>
    <cellStyle name="Обычный 9 23 10" xfId="50661" xr:uid="{00000000-0005-0000-0000-0000AD780000}"/>
    <cellStyle name="Обычный 9 23 2" xfId="7940" xr:uid="{00000000-0005-0000-0000-0000AE780000}"/>
    <cellStyle name="Обычный 9 23 2 2" xfId="56002" xr:uid="{00000000-0005-0000-0000-0000AF780000}"/>
    <cellStyle name="Обычный 9 23 3" xfId="13281" xr:uid="{00000000-0005-0000-0000-0000B0780000}"/>
    <cellStyle name="Обычный 9 23 4" xfId="18621" xr:uid="{00000000-0005-0000-0000-0000B1780000}"/>
    <cellStyle name="Обычный 9 23 5" xfId="23961" xr:uid="{00000000-0005-0000-0000-0000B2780000}"/>
    <cellStyle name="Обычный 9 23 6" xfId="29301" xr:uid="{00000000-0005-0000-0000-0000B3780000}"/>
    <cellStyle name="Обычный 9 23 7" xfId="34641" xr:uid="{00000000-0005-0000-0000-0000B4780000}"/>
    <cellStyle name="Обычный 9 23 8" xfId="39981" xr:uid="{00000000-0005-0000-0000-0000B5780000}"/>
    <cellStyle name="Обычный 9 23 9" xfId="45321" xr:uid="{00000000-0005-0000-0000-0000B6780000}"/>
    <cellStyle name="Обычный 9 24" xfId="2629" xr:uid="{00000000-0005-0000-0000-0000B7780000}"/>
    <cellStyle name="Обычный 9 24 10" xfId="50693" xr:uid="{00000000-0005-0000-0000-0000B8780000}"/>
    <cellStyle name="Обычный 9 24 2" xfId="7972" xr:uid="{00000000-0005-0000-0000-0000B9780000}"/>
    <cellStyle name="Обычный 9 24 2 2" xfId="56034" xr:uid="{00000000-0005-0000-0000-0000BA780000}"/>
    <cellStyle name="Обычный 9 24 3" xfId="13313" xr:uid="{00000000-0005-0000-0000-0000BB780000}"/>
    <cellStyle name="Обычный 9 24 4" xfId="18653" xr:uid="{00000000-0005-0000-0000-0000BC780000}"/>
    <cellStyle name="Обычный 9 24 5" xfId="23993" xr:uid="{00000000-0005-0000-0000-0000BD780000}"/>
    <cellStyle name="Обычный 9 24 6" xfId="29333" xr:uid="{00000000-0005-0000-0000-0000BE780000}"/>
    <cellStyle name="Обычный 9 24 7" xfId="34673" xr:uid="{00000000-0005-0000-0000-0000BF780000}"/>
    <cellStyle name="Обычный 9 24 8" xfId="40013" xr:uid="{00000000-0005-0000-0000-0000C0780000}"/>
    <cellStyle name="Обычный 9 24 9" xfId="45353" xr:uid="{00000000-0005-0000-0000-0000C1780000}"/>
    <cellStyle name="Обычный 9 25" xfId="2661" xr:uid="{00000000-0005-0000-0000-0000C2780000}"/>
    <cellStyle name="Обычный 9 25 10" xfId="50725" xr:uid="{00000000-0005-0000-0000-0000C3780000}"/>
    <cellStyle name="Обычный 9 25 2" xfId="8004" xr:uid="{00000000-0005-0000-0000-0000C4780000}"/>
    <cellStyle name="Обычный 9 25 2 2" xfId="56066" xr:uid="{00000000-0005-0000-0000-0000C5780000}"/>
    <cellStyle name="Обычный 9 25 3" xfId="13345" xr:uid="{00000000-0005-0000-0000-0000C6780000}"/>
    <cellStyle name="Обычный 9 25 4" xfId="18685" xr:uid="{00000000-0005-0000-0000-0000C7780000}"/>
    <cellStyle name="Обычный 9 25 5" xfId="24025" xr:uid="{00000000-0005-0000-0000-0000C8780000}"/>
    <cellStyle name="Обычный 9 25 6" xfId="29365" xr:uid="{00000000-0005-0000-0000-0000C9780000}"/>
    <cellStyle name="Обычный 9 25 7" xfId="34705" xr:uid="{00000000-0005-0000-0000-0000CA780000}"/>
    <cellStyle name="Обычный 9 25 8" xfId="40045" xr:uid="{00000000-0005-0000-0000-0000CB780000}"/>
    <cellStyle name="Обычный 9 25 9" xfId="45385" xr:uid="{00000000-0005-0000-0000-0000CC780000}"/>
    <cellStyle name="Обычный 9 26" xfId="2693" xr:uid="{00000000-0005-0000-0000-0000CD780000}"/>
    <cellStyle name="Обычный 9 26 10" xfId="50757" xr:uid="{00000000-0005-0000-0000-0000CE780000}"/>
    <cellStyle name="Обычный 9 26 2" xfId="8036" xr:uid="{00000000-0005-0000-0000-0000CF780000}"/>
    <cellStyle name="Обычный 9 26 2 2" xfId="56098" xr:uid="{00000000-0005-0000-0000-0000D0780000}"/>
    <cellStyle name="Обычный 9 26 3" xfId="13377" xr:uid="{00000000-0005-0000-0000-0000D1780000}"/>
    <cellStyle name="Обычный 9 26 4" xfId="18717" xr:uid="{00000000-0005-0000-0000-0000D2780000}"/>
    <cellStyle name="Обычный 9 26 5" xfId="24057" xr:uid="{00000000-0005-0000-0000-0000D3780000}"/>
    <cellStyle name="Обычный 9 26 6" xfId="29397" xr:uid="{00000000-0005-0000-0000-0000D4780000}"/>
    <cellStyle name="Обычный 9 26 7" xfId="34737" xr:uid="{00000000-0005-0000-0000-0000D5780000}"/>
    <cellStyle name="Обычный 9 26 8" xfId="40077" xr:uid="{00000000-0005-0000-0000-0000D6780000}"/>
    <cellStyle name="Обычный 9 26 9" xfId="45417" xr:uid="{00000000-0005-0000-0000-0000D7780000}"/>
    <cellStyle name="Обычный 9 27" xfId="2725" xr:uid="{00000000-0005-0000-0000-0000D8780000}"/>
    <cellStyle name="Обычный 9 27 10" xfId="50789" xr:uid="{00000000-0005-0000-0000-0000D9780000}"/>
    <cellStyle name="Обычный 9 27 2" xfId="8068" xr:uid="{00000000-0005-0000-0000-0000DA780000}"/>
    <cellStyle name="Обычный 9 27 2 2" xfId="56130" xr:uid="{00000000-0005-0000-0000-0000DB780000}"/>
    <cellStyle name="Обычный 9 27 3" xfId="13409" xr:uid="{00000000-0005-0000-0000-0000DC780000}"/>
    <cellStyle name="Обычный 9 27 4" xfId="18749" xr:uid="{00000000-0005-0000-0000-0000DD780000}"/>
    <cellStyle name="Обычный 9 27 5" xfId="24089" xr:uid="{00000000-0005-0000-0000-0000DE780000}"/>
    <cellStyle name="Обычный 9 27 6" xfId="29429" xr:uid="{00000000-0005-0000-0000-0000DF780000}"/>
    <cellStyle name="Обычный 9 27 7" xfId="34769" xr:uid="{00000000-0005-0000-0000-0000E0780000}"/>
    <cellStyle name="Обычный 9 27 8" xfId="40109" xr:uid="{00000000-0005-0000-0000-0000E1780000}"/>
    <cellStyle name="Обычный 9 27 9" xfId="45449" xr:uid="{00000000-0005-0000-0000-0000E2780000}"/>
    <cellStyle name="Обычный 9 28" xfId="2757" xr:uid="{00000000-0005-0000-0000-0000E3780000}"/>
    <cellStyle name="Обычный 9 28 10" xfId="50821" xr:uid="{00000000-0005-0000-0000-0000E4780000}"/>
    <cellStyle name="Обычный 9 28 2" xfId="8100" xr:uid="{00000000-0005-0000-0000-0000E5780000}"/>
    <cellStyle name="Обычный 9 28 2 2" xfId="56162" xr:uid="{00000000-0005-0000-0000-0000E6780000}"/>
    <cellStyle name="Обычный 9 28 3" xfId="13441" xr:uid="{00000000-0005-0000-0000-0000E7780000}"/>
    <cellStyle name="Обычный 9 28 4" xfId="18781" xr:uid="{00000000-0005-0000-0000-0000E8780000}"/>
    <cellStyle name="Обычный 9 28 5" xfId="24121" xr:uid="{00000000-0005-0000-0000-0000E9780000}"/>
    <cellStyle name="Обычный 9 28 6" xfId="29461" xr:uid="{00000000-0005-0000-0000-0000EA780000}"/>
    <cellStyle name="Обычный 9 28 7" xfId="34801" xr:uid="{00000000-0005-0000-0000-0000EB780000}"/>
    <cellStyle name="Обычный 9 28 8" xfId="40141" xr:uid="{00000000-0005-0000-0000-0000EC780000}"/>
    <cellStyle name="Обычный 9 28 9" xfId="45481" xr:uid="{00000000-0005-0000-0000-0000ED780000}"/>
    <cellStyle name="Обычный 9 29" xfId="2791" xr:uid="{00000000-0005-0000-0000-0000EE780000}"/>
    <cellStyle name="Обычный 9 29 10" xfId="50855" xr:uid="{00000000-0005-0000-0000-0000EF780000}"/>
    <cellStyle name="Обычный 9 29 2" xfId="8134" xr:uid="{00000000-0005-0000-0000-0000F0780000}"/>
    <cellStyle name="Обычный 9 29 2 2" xfId="56196" xr:uid="{00000000-0005-0000-0000-0000F1780000}"/>
    <cellStyle name="Обычный 9 29 3" xfId="13475" xr:uid="{00000000-0005-0000-0000-0000F2780000}"/>
    <cellStyle name="Обычный 9 29 4" xfId="18815" xr:uid="{00000000-0005-0000-0000-0000F3780000}"/>
    <cellStyle name="Обычный 9 29 5" xfId="24155" xr:uid="{00000000-0005-0000-0000-0000F4780000}"/>
    <cellStyle name="Обычный 9 29 6" xfId="29495" xr:uid="{00000000-0005-0000-0000-0000F5780000}"/>
    <cellStyle name="Обычный 9 29 7" xfId="34835" xr:uid="{00000000-0005-0000-0000-0000F6780000}"/>
    <cellStyle name="Обычный 9 29 8" xfId="40175" xr:uid="{00000000-0005-0000-0000-0000F7780000}"/>
    <cellStyle name="Обычный 9 29 9" xfId="45515" xr:uid="{00000000-0005-0000-0000-0000F8780000}"/>
    <cellStyle name="Обычный 9 3" xfId="1999" xr:uid="{00000000-0005-0000-0000-0000F9780000}"/>
    <cellStyle name="Обычный 9 3 10" xfId="50063" xr:uid="{00000000-0005-0000-0000-0000FA780000}"/>
    <cellStyle name="Обычный 9 3 2" xfId="7342" xr:uid="{00000000-0005-0000-0000-0000FB780000}"/>
    <cellStyle name="Обычный 9 3 2 2" xfId="55404" xr:uid="{00000000-0005-0000-0000-0000FC780000}"/>
    <cellStyle name="Обычный 9 3 3" xfId="12683" xr:uid="{00000000-0005-0000-0000-0000FD780000}"/>
    <cellStyle name="Обычный 9 3 4" xfId="18023" xr:uid="{00000000-0005-0000-0000-0000FE780000}"/>
    <cellStyle name="Обычный 9 3 5" xfId="23363" xr:uid="{00000000-0005-0000-0000-0000FF780000}"/>
    <cellStyle name="Обычный 9 3 6" xfId="28703" xr:uid="{00000000-0005-0000-0000-000000790000}"/>
    <cellStyle name="Обычный 9 3 7" xfId="34043" xr:uid="{00000000-0005-0000-0000-000001790000}"/>
    <cellStyle name="Обычный 9 3 8" xfId="39383" xr:uid="{00000000-0005-0000-0000-000002790000}"/>
    <cellStyle name="Обычный 9 3 9" xfId="44723" xr:uid="{00000000-0005-0000-0000-000003790000}"/>
    <cellStyle name="Обычный 9 30" xfId="2823" xr:uid="{00000000-0005-0000-0000-000004790000}"/>
    <cellStyle name="Обычный 9 30 10" xfId="50887" xr:uid="{00000000-0005-0000-0000-000005790000}"/>
    <cellStyle name="Обычный 9 30 2" xfId="8166" xr:uid="{00000000-0005-0000-0000-000006790000}"/>
    <cellStyle name="Обычный 9 30 2 2" xfId="56228" xr:uid="{00000000-0005-0000-0000-000007790000}"/>
    <cellStyle name="Обычный 9 30 3" xfId="13507" xr:uid="{00000000-0005-0000-0000-000008790000}"/>
    <cellStyle name="Обычный 9 30 4" xfId="18847" xr:uid="{00000000-0005-0000-0000-000009790000}"/>
    <cellStyle name="Обычный 9 30 5" xfId="24187" xr:uid="{00000000-0005-0000-0000-00000A790000}"/>
    <cellStyle name="Обычный 9 30 6" xfId="29527" xr:uid="{00000000-0005-0000-0000-00000B790000}"/>
    <cellStyle name="Обычный 9 30 7" xfId="34867" xr:uid="{00000000-0005-0000-0000-00000C790000}"/>
    <cellStyle name="Обычный 9 30 8" xfId="40207" xr:uid="{00000000-0005-0000-0000-00000D790000}"/>
    <cellStyle name="Обычный 9 30 9" xfId="45547" xr:uid="{00000000-0005-0000-0000-00000E790000}"/>
    <cellStyle name="Обычный 9 31" xfId="2855" xr:uid="{00000000-0005-0000-0000-00000F790000}"/>
    <cellStyle name="Обычный 9 31 10" xfId="50919" xr:uid="{00000000-0005-0000-0000-000010790000}"/>
    <cellStyle name="Обычный 9 31 2" xfId="8198" xr:uid="{00000000-0005-0000-0000-000011790000}"/>
    <cellStyle name="Обычный 9 31 2 2" xfId="56260" xr:uid="{00000000-0005-0000-0000-000012790000}"/>
    <cellStyle name="Обычный 9 31 3" xfId="13539" xr:uid="{00000000-0005-0000-0000-000013790000}"/>
    <cellStyle name="Обычный 9 31 4" xfId="18879" xr:uid="{00000000-0005-0000-0000-000014790000}"/>
    <cellStyle name="Обычный 9 31 5" xfId="24219" xr:uid="{00000000-0005-0000-0000-000015790000}"/>
    <cellStyle name="Обычный 9 31 6" xfId="29559" xr:uid="{00000000-0005-0000-0000-000016790000}"/>
    <cellStyle name="Обычный 9 31 7" xfId="34899" xr:uid="{00000000-0005-0000-0000-000017790000}"/>
    <cellStyle name="Обычный 9 31 8" xfId="40239" xr:uid="{00000000-0005-0000-0000-000018790000}"/>
    <cellStyle name="Обычный 9 31 9" xfId="45579" xr:uid="{00000000-0005-0000-0000-000019790000}"/>
    <cellStyle name="Обычный 9 32" xfId="2887" xr:uid="{00000000-0005-0000-0000-00001A790000}"/>
    <cellStyle name="Обычный 9 32 10" xfId="50951" xr:uid="{00000000-0005-0000-0000-00001B790000}"/>
    <cellStyle name="Обычный 9 32 2" xfId="8230" xr:uid="{00000000-0005-0000-0000-00001C790000}"/>
    <cellStyle name="Обычный 9 32 2 2" xfId="56292" xr:uid="{00000000-0005-0000-0000-00001D790000}"/>
    <cellStyle name="Обычный 9 32 3" xfId="13571" xr:uid="{00000000-0005-0000-0000-00001E790000}"/>
    <cellStyle name="Обычный 9 32 4" xfId="18911" xr:uid="{00000000-0005-0000-0000-00001F790000}"/>
    <cellStyle name="Обычный 9 32 5" xfId="24251" xr:uid="{00000000-0005-0000-0000-000020790000}"/>
    <cellStyle name="Обычный 9 32 6" xfId="29591" xr:uid="{00000000-0005-0000-0000-000021790000}"/>
    <cellStyle name="Обычный 9 32 7" xfId="34931" xr:uid="{00000000-0005-0000-0000-000022790000}"/>
    <cellStyle name="Обычный 9 32 8" xfId="40271" xr:uid="{00000000-0005-0000-0000-000023790000}"/>
    <cellStyle name="Обычный 9 32 9" xfId="45611" xr:uid="{00000000-0005-0000-0000-000024790000}"/>
    <cellStyle name="Обычный 9 33" xfId="2919" xr:uid="{00000000-0005-0000-0000-000025790000}"/>
    <cellStyle name="Обычный 9 33 10" xfId="50983" xr:uid="{00000000-0005-0000-0000-000026790000}"/>
    <cellStyle name="Обычный 9 33 2" xfId="8262" xr:uid="{00000000-0005-0000-0000-000027790000}"/>
    <cellStyle name="Обычный 9 33 2 2" xfId="56324" xr:uid="{00000000-0005-0000-0000-000028790000}"/>
    <cellStyle name="Обычный 9 33 3" xfId="13603" xr:uid="{00000000-0005-0000-0000-000029790000}"/>
    <cellStyle name="Обычный 9 33 4" xfId="18943" xr:uid="{00000000-0005-0000-0000-00002A790000}"/>
    <cellStyle name="Обычный 9 33 5" xfId="24283" xr:uid="{00000000-0005-0000-0000-00002B790000}"/>
    <cellStyle name="Обычный 9 33 6" xfId="29623" xr:uid="{00000000-0005-0000-0000-00002C790000}"/>
    <cellStyle name="Обычный 9 33 7" xfId="34963" xr:uid="{00000000-0005-0000-0000-00002D790000}"/>
    <cellStyle name="Обычный 9 33 8" xfId="40303" xr:uid="{00000000-0005-0000-0000-00002E790000}"/>
    <cellStyle name="Обычный 9 33 9" xfId="45643" xr:uid="{00000000-0005-0000-0000-00002F790000}"/>
    <cellStyle name="Обычный 9 34" xfId="2951" xr:uid="{00000000-0005-0000-0000-000030790000}"/>
    <cellStyle name="Обычный 9 34 10" xfId="51015" xr:uid="{00000000-0005-0000-0000-000031790000}"/>
    <cellStyle name="Обычный 9 34 2" xfId="8294" xr:uid="{00000000-0005-0000-0000-000032790000}"/>
    <cellStyle name="Обычный 9 34 2 2" xfId="56356" xr:uid="{00000000-0005-0000-0000-000033790000}"/>
    <cellStyle name="Обычный 9 34 3" xfId="13635" xr:uid="{00000000-0005-0000-0000-000034790000}"/>
    <cellStyle name="Обычный 9 34 4" xfId="18975" xr:uid="{00000000-0005-0000-0000-000035790000}"/>
    <cellStyle name="Обычный 9 34 5" xfId="24315" xr:uid="{00000000-0005-0000-0000-000036790000}"/>
    <cellStyle name="Обычный 9 34 6" xfId="29655" xr:uid="{00000000-0005-0000-0000-000037790000}"/>
    <cellStyle name="Обычный 9 34 7" xfId="34995" xr:uid="{00000000-0005-0000-0000-000038790000}"/>
    <cellStyle name="Обычный 9 34 8" xfId="40335" xr:uid="{00000000-0005-0000-0000-000039790000}"/>
    <cellStyle name="Обычный 9 34 9" xfId="45675" xr:uid="{00000000-0005-0000-0000-00003A790000}"/>
    <cellStyle name="Обычный 9 35" xfId="2983" xr:uid="{00000000-0005-0000-0000-00003B790000}"/>
    <cellStyle name="Обычный 9 35 10" xfId="51047" xr:uid="{00000000-0005-0000-0000-00003C790000}"/>
    <cellStyle name="Обычный 9 35 2" xfId="8326" xr:uid="{00000000-0005-0000-0000-00003D790000}"/>
    <cellStyle name="Обычный 9 35 2 2" xfId="56388" xr:uid="{00000000-0005-0000-0000-00003E790000}"/>
    <cellStyle name="Обычный 9 35 3" xfId="13667" xr:uid="{00000000-0005-0000-0000-00003F790000}"/>
    <cellStyle name="Обычный 9 35 4" xfId="19007" xr:uid="{00000000-0005-0000-0000-000040790000}"/>
    <cellStyle name="Обычный 9 35 5" xfId="24347" xr:uid="{00000000-0005-0000-0000-000041790000}"/>
    <cellStyle name="Обычный 9 35 6" xfId="29687" xr:uid="{00000000-0005-0000-0000-000042790000}"/>
    <cellStyle name="Обычный 9 35 7" xfId="35027" xr:uid="{00000000-0005-0000-0000-000043790000}"/>
    <cellStyle name="Обычный 9 35 8" xfId="40367" xr:uid="{00000000-0005-0000-0000-000044790000}"/>
    <cellStyle name="Обычный 9 35 9" xfId="45707" xr:uid="{00000000-0005-0000-0000-000045790000}"/>
    <cellStyle name="Обычный 9 36" xfId="3015" xr:uid="{00000000-0005-0000-0000-000046790000}"/>
    <cellStyle name="Обычный 9 36 10" xfId="51079" xr:uid="{00000000-0005-0000-0000-000047790000}"/>
    <cellStyle name="Обычный 9 36 2" xfId="8358" xr:uid="{00000000-0005-0000-0000-000048790000}"/>
    <cellStyle name="Обычный 9 36 2 2" xfId="56420" xr:uid="{00000000-0005-0000-0000-000049790000}"/>
    <cellStyle name="Обычный 9 36 3" xfId="13699" xr:uid="{00000000-0005-0000-0000-00004A790000}"/>
    <cellStyle name="Обычный 9 36 4" xfId="19039" xr:uid="{00000000-0005-0000-0000-00004B790000}"/>
    <cellStyle name="Обычный 9 36 5" xfId="24379" xr:uid="{00000000-0005-0000-0000-00004C790000}"/>
    <cellStyle name="Обычный 9 36 6" xfId="29719" xr:uid="{00000000-0005-0000-0000-00004D790000}"/>
    <cellStyle name="Обычный 9 36 7" xfId="35059" xr:uid="{00000000-0005-0000-0000-00004E790000}"/>
    <cellStyle name="Обычный 9 36 8" xfId="40399" xr:uid="{00000000-0005-0000-0000-00004F790000}"/>
    <cellStyle name="Обычный 9 36 9" xfId="45739" xr:uid="{00000000-0005-0000-0000-000050790000}"/>
    <cellStyle name="Обычный 9 37" xfId="3047" xr:uid="{00000000-0005-0000-0000-000051790000}"/>
    <cellStyle name="Обычный 9 37 10" xfId="51111" xr:uid="{00000000-0005-0000-0000-000052790000}"/>
    <cellStyle name="Обычный 9 37 2" xfId="8390" xr:uid="{00000000-0005-0000-0000-000053790000}"/>
    <cellStyle name="Обычный 9 37 2 2" xfId="56452" xr:uid="{00000000-0005-0000-0000-000054790000}"/>
    <cellStyle name="Обычный 9 37 3" xfId="13731" xr:uid="{00000000-0005-0000-0000-000055790000}"/>
    <cellStyle name="Обычный 9 37 4" xfId="19071" xr:uid="{00000000-0005-0000-0000-000056790000}"/>
    <cellStyle name="Обычный 9 37 5" xfId="24411" xr:uid="{00000000-0005-0000-0000-000057790000}"/>
    <cellStyle name="Обычный 9 37 6" xfId="29751" xr:uid="{00000000-0005-0000-0000-000058790000}"/>
    <cellStyle name="Обычный 9 37 7" xfId="35091" xr:uid="{00000000-0005-0000-0000-000059790000}"/>
    <cellStyle name="Обычный 9 37 8" xfId="40431" xr:uid="{00000000-0005-0000-0000-00005A790000}"/>
    <cellStyle name="Обычный 9 37 9" xfId="45771" xr:uid="{00000000-0005-0000-0000-00005B790000}"/>
    <cellStyle name="Обычный 9 38" xfId="3079" xr:uid="{00000000-0005-0000-0000-00005C790000}"/>
    <cellStyle name="Обычный 9 38 10" xfId="51143" xr:uid="{00000000-0005-0000-0000-00005D790000}"/>
    <cellStyle name="Обычный 9 38 2" xfId="8422" xr:uid="{00000000-0005-0000-0000-00005E790000}"/>
    <cellStyle name="Обычный 9 38 2 2" xfId="56484" xr:uid="{00000000-0005-0000-0000-00005F790000}"/>
    <cellStyle name="Обычный 9 38 3" xfId="13763" xr:uid="{00000000-0005-0000-0000-000060790000}"/>
    <cellStyle name="Обычный 9 38 4" xfId="19103" xr:uid="{00000000-0005-0000-0000-000061790000}"/>
    <cellStyle name="Обычный 9 38 5" xfId="24443" xr:uid="{00000000-0005-0000-0000-000062790000}"/>
    <cellStyle name="Обычный 9 38 6" xfId="29783" xr:uid="{00000000-0005-0000-0000-000063790000}"/>
    <cellStyle name="Обычный 9 38 7" xfId="35123" xr:uid="{00000000-0005-0000-0000-000064790000}"/>
    <cellStyle name="Обычный 9 38 8" xfId="40463" xr:uid="{00000000-0005-0000-0000-000065790000}"/>
    <cellStyle name="Обычный 9 38 9" xfId="45803" xr:uid="{00000000-0005-0000-0000-000066790000}"/>
    <cellStyle name="Обычный 9 39" xfId="3111" xr:uid="{00000000-0005-0000-0000-000067790000}"/>
    <cellStyle name="Обычный 9 39 10" xfId="51175" xr:uid="{00000000-0005-0000-0000-000068790000}"/>
    <cellStyle name="Обычный 9 39 2" xfId="8454" xr:uid="{00000000-0005-0000-0000-000069790000}"/>
    <cellStyle name="Обычный 9 39 2 2" xfId="56516" xr:uid="{00000000-0005-0000-0000-00006A790000}"/>
    <cellStyle name="Обычный 9 39 3" xfId="13795" xr:uid="{00000000-0005-0000-0000-00006B790000}"/>
    <cellStyle name="Обычный 9 39 4" xfId="19135" xr:uid="{00000000-0005-0000-0000-00006C790000}"/>
    <cellStyle name="Обычный 9 39 5" xfId="24475" xr:uid="{00000000-0005-0000-0000-00006D790000}"/>
    <cellStyle name="Обычный 9 39 6" xfId="29815" xr:uid="{00000000-0005-0000-0000-00006E790000}"/>
    <cellStyle name="Обычный 9 39 7" xfId="35155" xr:uid="{00000000-0005-0000-0000-00006F790000}"/>
    <cellStyle name="Обычный 9 39 8" xfId="40495" xr:uid="{00000000-0005-0000-0000-000070790000}"/>
    <cellStyle name="Обычный 9 39 9" xfId="45835" xr:uid="{00000000-0005-0000-0000-000071790000}"/>
    <cellStyle name="Обычный 9 4" xfId="2027" xr:uid="{00000000-0005-0000-0000-000072790000}"/>
    <cellStyle name="Обычный 9 4 10" xfId="50091" xr:uid="{00000000-0005-0000-0000-000073790000}"/>
    <cellStyle name="Обычный 9 4 2" xfId="7370" xr:uid="{00000000-0005-0000-0000-000074790000}"/>
    <cellStyle name="Обычный 9 4 2 2" xfId="55432" xr:uid="{00000000-0005-0000-0000-000075790000}"/>
    <cellStyle name="Обычный 9 4 3" xfId="12711" xr:uid="{00000000-0005-0000-0000-000076790000}"/>
    <cellStyle name="Обычный 9 4 4" xfId="18051" xr:uid="{00000000-0005-0000-0000-000077790000}"/>
    <cellStyle name="Обычный 9 4 5" xfId="23391" xr:uid="{00000000-0005-0000-0000-000078790000}"/>
    <cellStyle name="Обычный 9 4 6" xfId="28731" xr:uid="{00000000-0005-0000-0000-000079790000}"/>
    <cellStyle name="Обычный 9 4 7" xfId="34071" xr:uid="{00000000-0005-0000-0000-00007A790000}"/>
    <cellStyle name="Обычный 9 4 8" xfId="39411" xr:uid="{00000000-0005-0000-0000-00007B790000}"/>
    <cellStyle name="Обычный 9 4 9" xfId="44751" xr:uid="{00000000-0005-0000-0000-00007C790000}"/>
    <cellStyle name="Обычный 9 40" xfId="3144" xr:uid="{00000000-0005-0000-0000-00007D790000}"/>
    <cellStyle name="Обычный 9 40 10" xfId="51207" xr:uid="{00000000-0005-0000-0000-00007E790000}"/>
    <cellStyle name="Обычный 9 40 2" xfId="8487" xr:uid="{00000000-0005-0000-0000-00007F790000}"/>
    <cellStyle name="Обычный 9 40 2 2" xfId="56548" xr:uid="{00000000-0005-0000-0000-000080790000}"/>
    <cellStyle name="Обычный 9 40 3" xfId="13827" xr:uid="{00000000-0005-0000-0000-000081790000}"/>
    <cellStyle name="Обычный 9 40 4" xfId="19167" xr:uid="{00000000-0005-0000-0000-000082790000}"/>
    <cellStyle name="Обычный 9 40 5" xfId="24507" xr:uid="{00000000-0005-0000-0000-000083790000}"/>
    <cellStyle name="Обычный 9 40 6" xfId="29847" xr:uid="{00000000-0005-0000-0000-000084790000}"/>
    <cellStyle name="Обычный 9 40 7" xfId="35187" xr:uid="{00000000-0005-0000-0000-000085790000}"/>
    <cellStyle name="Обычный 9 40 8" xfId="40527" xr:uid="{00000000-0005-0000-0000-000086790000}"/>
    <cellStyle name="Обычный 9 40 9" xfId="45867" xr:uid="{00000000-0005-0000-0000-000087790000}"/>
    <cellStyle name="Обычный 9 41" xfId="3176" xr:uid="{00000000-0005-0000-0000-000088790000}"/>
    <cellStyle name="Обычный 9 41 10" xfId="51239" xr:uid="{00000000-0005-0000-0000-000089790000}"/>
    <cellStyle name="Обычный 9 41 2" xfId="8519" xr:uid="{00000000-0005-0000-0000-00008A790000}"/>
    <cellStyle name="Обычный 9 41 2 2" xfId="56580" xr:uid="{00000000-0005-0000-0000-00008B790000}"/>
    <cellStyle name="Обычный 9 41 3" xfId="13859" xr:uid="{00000000-0005-0000-0000-00008C790000}"/>
    <cellStyle name="Обычный 9 41 4" xfId="19199" xr:uid="{00000000-0005-0000-0000-00008D790000}"/>
    <cellStyle name="Обычный 9 41 5" xfId="24539" xr:uid="{00000000-0005-0000-0000-00008E790000}"/>
    <cellStyle name="Обычный 9 41 6" xfId="29879" xr:uid="{00000000-0005-0000-0000-00008F790000}"/>
    <cellStyle name="Обычный 9 41 7" xfId="35219" xr:uid="{00000000-0005-0000-0000-000090790000}"/>
    <cellStyle name="Обычный 9 41 8" xfId="40559" xr:uid="{00000000-0005-0000-0000-000091790000}"/>
    <cellStyle name="Обычный 9 41 9" xfId="45899" xr:uid="{00000000-0005-0000-0000-000092790000}"/>
    <cellStyle name="Обычный 9 42" xfId="3208" xr:uid="{00000000-0005-0000-0000-000093790000}"/>
    <cellStyle name="Обычный 9 42 10" xfId="51271" xr:uid="{00000000-0005-0000-0000-000094790000}"/>
    <cellStyle name="Обычный 9 42 2" xfId="8551" xr:uid="{00000000-0005-0000-0000-000095790000}"/>
    <cellStyle name="Обычный 9 42 2 2" xfId="56612" xr:uid="{00000000-0005-0000-0000-000096790000}"/>
    <cellStyle name="Обычный 9 42 3" xfId="13891" xr:uid="{00000000-0005-0000-0000-000097790000}"/>
    <cellStyle name="Обычный 9 42 4" xfId="19231" xr:uid="{00000000-0005-0000-0000-000098790000}"/>
    <cellStyle name="Обычный 9 42 5" xfId="24571" xr:uid="{00000000-0005-0000-0000-000099790000}"/>
    <cellStyle name="Обычный 9 42 6" xfId="29911" xr:uid="{00000000-0005-0000-0000-00009A790000}"/>
    <cellStyle name="Обычный 9 42 7" xfId="35251" xr:uid="{00000000-0005-0000-0000-00009B790000}"/>
    <cellStyle name="Обычный 9 42 8" xfId="40591" xr:uid="{00000000-0005-0000-0000-00009C790000}"/>
    <cellStyle name="Обычный 9 42 9" xfId="45931" xr:uid="{00000000-0005-0000-0000-00009D790000}"/>
    <cellStyle name="Обычный 9 43" xfId="3240" xr:uid="{00000000-0005-0000-0000-00009E790000}"/>
    <cellStyle name="Обычный 9 43 10" xfId="51303" xr:uid="{00000000-0005-0000-0000-00009F790000}"/>
    <cellStyle name="Обычный 9 43 2" xfId="8583" xr:uid="{00000000-0005-0000-0000-0000A0790000}"/>
    <cellStyle name="Обычный 9 43 2 2" xfId="56644" xr:uid="{00000000-0005-0000-0000-0000A1790000}"/>
    <cellStyle name="Обычный 9 43 3" xfId="13923" xr:uid="{00000000-0005-0000-0000-0000A2790000}"/>
    <cellStyle name="Обычный 9 43 4" xfId="19263" xr:uid="{00000000-0005-0000-0000-0000A3790000}"/>
    <cellStyle name="Обычный 9 43 5" xfId="24603" xr:uid="{00000000-0005-0000-0000-0000A4790000}"/>
    <cellStyle name="Обычный 9 43 6" xfId="29943" xr:uid="{00000000-0005-0000-0000-0000A5790000}"/>
    <cellStyle name="Обычный 9 43 7" xfId="35283" xr:uid="{00000000-0005-0000-0000-0000A6790000}"/>
    <cellStyle name="Обычный 9 43 8" xfId="40623" xr:uid="{00000000-0005-0000-0000-0000A7790000}"/>
    <cellStyle name="Обычный 9 43 9" xfId="45963" xr:uid="{00000000-0005-0000-0000-0000A8790000}"/>
    <cellStyle name="Обычный 9 44" xfId="3272" xr:uid="{00000000-0005-0000-0000-0000A9790000}"/>
    <cellStyle name="Обычный 9 44 10" xfId="51335" xr:uid="{00000000-0005-0000-0000-0000AA790000}"/>
    <cellStyle name="Обычный 9 44 2" xfId="8615" xr:uid="{00000000-0005-0000-0000-0000AB790000}"/>
    <cellStyle name="Обычный 9 44 2 2" xfId="56676" xr:uid="{00000000-0005-0000-0000-0000AC790000}"/>
    <cellStyle name="Обычный 9 44 3" xfId="13955" xr:uid="{00000000-0005-0000-0000-0000AD790000}"/>
    <cellStyle name="Обычный 9 44 4" xfId="19295" xr:uid="{00000000-0005-0000-0000-0000AE790000}"/>
    <cellStyle name="Обычный 9 44 5" xfId="24635" xr:uid="{00000000-0005-0000-0000-0000AF790000}"/>
    <cellStyle name="Обычный 9 44 6" xfId="29975" xr:uid="{00000000-0005-0000-0000-0000B0790000}"/>
    <cellStyle name="Обычный 9 44 7" xfId="35315" xr:uid="{00000000-0005-0000-0000-0000B1790000}"/>
    <cellStyle name="Обычный 9 44 8" xfId="40655" xr:uid="{00000000-0005-0000-0000-0000B2790000}"/>
    <cellStyle name="Обычный 9 44 9" xfId="45995" xr:uid="{00000000-0005-0000-0000-0000B3790000}"/>
    <cellStyle name="Обычный 9 45" xfId="3304" xr:uid="{00000000-0005-0000-0000-0000B4790000}"/>
    <cellStyle name="Обычный 9 45 10" xfId="51367" xr:uid="{00000000-0005-0000-0000-0000B5790000}"/>
    <cellStyle name="Обычный 9 45 2" xfId="8647" xr:uid="{00000000-0005-0000-0000-0000B6790000}"/>
    <cellStyle name="Обычный 9 45 2 2" xfId="56708" xr:uid="{00000000-0005-0000-0000-0000B7790000}"/>
    <cellStyle name="Обычный 9 45 3" xfId="13987" xr:uid="{00000000-0005-0000-0000-0000B8790000}"/>
    <cellStyle name="Обычный 9 45 4" xfId="19327" xr:uid="{00000000-0005-0000-0000-0000B9790000}"/>
    <cellStyle name="Обычный 9 45 5" xfId="24667" xr:uid="{00000000-0005-0000-0000-0000BA790000}"/>
    <cellStyle name="Обычный 9 45 6" xfId="30007" xr:uid="{00000000-0005-0000-0000-0000BB790000}"/>
    <cellStyle name="Обычный 9 45 7" xfId="35347" xr:uid="{00000000-0005-0000-0000-0000BC790000}"/>
    <cellStyle name="Обычный 9 45 8" xfId="40687" xr:uid="{00000000-0005-0000-0000-0000BD790000}"/>
    <cellStyle name="Обычный 9 45 9" xfId="46027" xr:uid="{00000000-0005-0000-0000-0000BE790000}"/>
    <cellStyle name="Обычный 9 46" xfId="3336" xr:uid="{00000000-0005-0000-0000-0000BF790000}"/>
    <cellStyle name="Обычный 9 46 10" xfId="51399" xr:uid="{00000000-0005-0000-0000-0000C0790000}"/>
    <cellStyle name="Обычный 9 46 2" xfId="8679" xr:uid="{00000000-0005-0000-0000-0000C1790000}"/>
    <cellStyle name="Обычный 9 46 2 2" xfId="56740" xr:uid="{00000000-0005-0000-0000-0000C2790000}"/>
    <cellStyle name="Обычный 9 46 3" xfId="14019" xr:uid="{00000000-0005-0000-0000-0000C3790000}"/>
    <cellStyle name="Обычный 9 46 4" xfId="19359" xr:uid="{00000000-0005-0000-0000-0000C4790000}"/>
    <cellStyle name="Обычный 9 46 5" xfId="24699" xr:uid="{00000000-0005-0000-0000-0000C5790000}"/>
    <cellStyle name="Обычный 9 46 6" xfId="30039" xr:uid="{00000000-0005-0000-0000-0000C6790000}"/>
    <cellStyle name="Обычный 9 46 7" xfId="35379" xr:uid="{00000000-0005-0000-0000-0000C7790000}"/>
    <cellStyle name="Обычный 9 46 8" xfId="40719" xr:uid="{00000000-0005-0000-0000-0000C8790000}"/>
    <cellStyle name="Обычный 9 46 9" xfId="46059" xr:uid="{00000000-0005-0000-0000-0000C9790000}"/>
    <cellStyle name="Обычный 9 47" xfId="3368" xr:uid="{00000000-0005-0000-0000-0000CA790000}"/>
    <cellStyle name="Обычный 9 47 10" xfId="51431" xr:uid="{00000000-0005-0000-0000-0000CB790000}"/>
    <cellStyle name="Обычный 9 47 2" xfId="8711" xr:uid="{00000000-0005-0000-0000-0000CC790000}"/>
    <cellStyle name="Обычный 9 47 2 2" xfId="56772" xr:uid="{00000000-0005-0000-0000-0000CD790000}"/>
    <cellStyle name="Обычный 9 47 3" xfId="14051" xr:uid="{00000000-0005-0000-0000-0000CE790000}"/>
    <cellStyle name="Обычный 9 47 4" xfId="19391" xr:uid="{00000000-0005-0000-0000-0000CF790000}"/>
    <cellStyle name="Обычный 9 47 5" xfId="24731" xr:uid="{00000000-0005-0000-0000-0000D0790000}"/>
    <cellStyle name="Обычный 9 47 6" xfId="30071" xr:uid="{00000000-0005-0000-0000-0000D1790000}"/>
    <cellStyle name="Обычный 9 47 7" xfId="35411" xr:uid="{00000000-0005-0000-0000-0000D2790000}"/>
    <cellStyle name="Обычный 9 47 8" xfId="40751" xr:uid="{00000000-0005-0000-0000-0000D3790000}"/>
    <cellStyle name="Обычный 9 47 9" xfId="46091" xr:uid="{00000000-0005-0000-0000-0000D4790000}"/>
    <cellStyle name="Обычный 9 48" xfId="3400" xr:uid="{00000000-0005-0000-0000-0000D5790000}"/>
    <cellStyle name="Обычный 9 48 10" xfId="51463" xr:uid="{00000000-0005-0000-0000-0000D6790000}"/>
    <cellStyle name="Обычный 9 48 2" xfId="8743" xr:uid="{00000000-0005-0000-0000-0000D7790000}"/>
    <cellStyle name="Обычный 9 48 2 2" xfId="56804" xr:uid="{00000000-0005-0000-0000-0000D8790000}"/>
    <cellStyle name="Обычный 9 48 3" xfId="14083" xr:uid="{00000000-0005-0000-0000-0000D9790000}"/>
    <cellStyle name="Обычный 9 48 4" xfId="19423" xr:uid="{00000000-0005-0000-0000-0000DA790000}"/>
    <cellStyle name="Обычный 9 48 5" xfId="24763" xr:uid="{00000000-0005-0000-0000-0000DB790000}"/>
    <cellStyle name="Обычный 9 48 6" xfId="30103" xr:uid="{00000000-0005-0000-0000-0000DC790000}"/>
    <cellStyle name="Обычный 9 48 7" xfId="35443" xr:uid="{00000000-0005-0000-0000-0000DD790000}"/>
    <cellStyle name="Обычный 9 48 8" xfId="40783" xr:uid="{00000000-0005-0000-0000-0000DE790000}"/>
    <cellStyle name="Обычный 9 48 9" xfId="46123" xr:uid="{00000000-0005-0000-0000-0000DF790000}"/>
    <cellStyle name="Обычный 9 49" xfId="3432" xr:uid="{00000000-0005-0000-0000-0000E0790000}"/>
    <cellStyle name="Обычный 9 49 10" xfId="51495" xr:uid="{00000000-0005-0000-0000-0000E1790000}"/>
    <cellStyle name="Обычный 9 49 2" xfId="8775" xr:uid="{00000000-0005-0000-0000-0000E2790000}"/>
    <cellStyle name="Обычный 9 49 2 2" xfId="56836" xr:uid="{00000000-0005-0000-0000-0000E3790000}"/>
    <cellStyle name="Обычный 9 49 3" xfId="14115" xr:uid="{00000000-0005-0000-0000-0000E4790000}"/>
    <cellStyle name="Обычный 9 49 4" xfId="19455" xr:uid="{00000000-0005-0000-0000-0000E5790000}"/>
    <cellStyle name="Обычный 9 49 5" xfId="24795" xr:uid="{00000000-0005-0000-0000-0000E6790000}"/>
    <cellStyle name="Обычный 9 49 6" xfId="30135" xr:uid="{00000000-0005-0000-0000-0000E7790000}"/>
    <cellStyle name="Обычный 9 49 7" xfId="35475" xr:uid="{00000000-0005-0000-0000-0000E8790000}"/>
    <cellStyle name="Обычный 9 49 8" xfId="40815" xr:uid="{00000000-0005-0000-0000-0000E9790000}"/>
    <cellStyle name="Обычный 9 49 9" xfId="46155" xr:uid="{00000000-0005-0000-0000-0000EA790000}"/>
    <cellStyle name="Обычный 9 5" xfId="2055" xr:uid="{00000000-0005-0000-0000-0000EB790000}"/>
    <cellStyle name="Обычный 9 5 10" xfId="50119" xr:uid="{00000000-0005-0000-0000-0000EC790000}"/>
    <cellStyle name="Обычный 9 5 2" xfId="7398" xr:uid="{00000000-0005-0000-0000-0000ED790000}"/>
    <cellStyle name="Обычный 9 5 2 2" xfId="55460" xr:uid="{00000000-0005-0000-0000-0000EE790000}"/>
    <cellStyle name="Обычный 9 5 3" xfId="12739" xr:uid="{00000000-0005-0000-0000-0000EF790000}"/>
    <cellStyle name="Обычный 9 5 4" xfId="18079" xr:uid="{00000000-0005-0000-0000-0000F0790000}"/>
    <cellStyle name="Обычный 9 5 5" xfId="23419" xr:uid="{00000000-0005-0000-0000-0000F1790000}"/>
    <cellStyle name="Обычный 9 5 6" xfId="28759" xr:uid="{00000000-0005-0000-0000-0000F2790000}"/>
    <cellStyle name="Обычный 9 5 7" xfId="34099" xr:uid="{00000000-0005-0000-0000-0000F3790000}"/>
    <cellStyle name="Обычный 9 5 8" xfId="39439" xr:uid="{00000000-0005-0000-0000-0000F4790000}"/>
    <cellStyle name="Обычный 9 5 9" xfId="44779" xr:uid="{00000000-0005-0000-0000-0000F5790000}"/>
    <cellStyle name="Обычный 9 50" xfId="3464" xr:uid="{00000000-0005-0000-0000-0000F6790000}"/>
    <cellStyle name="Обычный 9 50 10" xfId="51527" xr:uid="{00000000-0005-0000-0000-0000F7790000}"/>
    <cellStyle name="Обычный 9 50 2" xfId="8807" xr:uid="{00000000-0005-0000-0000-0000F8790000}"/>
    <cellStyle name="Обычный 9 50 2 2" xfId="56868" xr:uid="{00000000-0005-0000-0000-0000F9790000}"/>
    <cellStyle name="Обычный 9 50 3" xfId="14147" xr:uid="{00000000-0005-0000-0000-0000FA790000}"/>
    <cellStyle name="Обычный 9 50 4" xfId="19487" xr:uid="{00000000-0005-0000-0000-0000FB790000}"/>
    <cellStyle name="Обычный 9 50 5" xfId="24827" xr:uid="{00000000-0005-0000-0000-0000FC790000}"/>
    <cellStyle name="Обычный 9 50 6" xfId="30167" xr:uid="{00000000-0005-0000-0000-0000FD790000}"/>
    <cellStyle name="Обычный 9 50 7" xfId="35507" xr:uid="{00000000-0005-0000-0000-0000FE790000}"/>
    <cellStyle name="Обычный 9 50 8" xfId="40847" xr:uid="{00000000-0005-0000-0000-0000FF790000}"/>
    <cellStyle name="Обычный 9 50 9" xfId="46187" xr:uid="{00000000-0005-0000-0000-0000007A0000}"/>
    <cellStyle name="Обычный 9 51" xfId="3496" xr:uid="{00000000-0005-0000-0000-0000017A0000}"/>
    <cellStyle name="Обычный 9 51 10" xfId="51559" xr:uid="{00000000-0005-0000-0000-0000027A0000}"/>
    <cellStyle name="Обычный 9 51 2" xfId="8839" xr:uid="{00000000-0005-0000-0000-0000037A0000}"/>
    <cellStyle name="Обычный 9 51 2 2" xfId="56900" xr:uid="{00000000-0005-0000-0000-0000047A0000}"/>
    <cellStyle name="Обычный 9 51 3" xfId="14179" xr:uid="{00000000-0005-0000-0000-0000057A0000}"/>
    <cellStyle name="Обычный 9 51 4" xfId="19519" xr:uid="{00000000-0005-0000-0000-0000067A0000}"/>
    <cellStyle name="Обычный 9 51 5" xfId="24859" xr:uid="{00000000-0005-0000-0000-0000077A0000}"/>
    <cellStyle name="Обычный 9 51 6" xfId="30199" xr:uid="{00000000-0005-0000-0000-0000087A0000}"/>
    <cellStyle name="Обычный 9 51 7" xfId="35539" xr:uid="{00000000-0005-0000-0000-0000097A0000}"/>
    <cellStyle name="Обычный 9 51 8" xfId="40879" xr:uid="{00000000-0005-0000-0000-00000A7A0000}"/>
    <cellStyle name="Обычный 9 51 9" xfId="46219" xr:uid="{00000000-0005-0000-0000-00000B7A0000}"/>
    <cellStyle name="Обычный 9 52" xfId="3528" xr:uid="{00000000-0005-0000-0000-00000C7A0000}"/>
    <cellStyle name="Обычный 9 52 10" xfId="51591" xr:uid="{00000000-0005-0000-0000-00000D7A0000}"/>
    <cellStyle name="Обычный 9 52 2" xfId="8871" xr:uid="{00000000-0005-0000-0000-00000E7A0000}"/>
    <cellStyle name="Обычный 9 52 2 2" xfId="56932" xr:uid="{00000000-0005-0000-0000-00000F7A0000}"/>
    <cellStyle name="Обычный 9 52 3" xfId="14211" xr:uid="{00000000-0005-0000-0000-0000107A0000}"/>
    <cellStyle name="Обычный 9 52 4" xfId="19551" xr:uid="{00000000-0005-0000-0000-0000117A0000}"/>
    <cellStyle name="Обычный 9 52 5" xfId="24891" xr:uid="{00000000-0005-0000-0000-0000127A0000}"/>
    <cellStyle name="Обычный 9 52 6" xfId="30231" xr:uid="{00000000-0005-0000-0000-0000137A0000}"/>
    <cellStyle name="Обычный 9 52 7" xfId="35571" xr:uid="{00000000-0005-0000-0000-0000147A0000}"/>
    <cellStyle name="Обычный 9 52 8" xfId="40911" xr:uid="{00000000-0005-0000-0000-0000157A0000}"/>
    <cellStyle name="Обычный 9 52 9" xfId="46251" xr:uid="{00000000-0005-0000-0000-0000167A0000}"/>
    <cellStyle name="Обычный 9 53" xfId="3560" xr:uid="{00000000-0005-0000-0000-0000177A0000}"/>
    <cellStyle name="Обычный 9 53 10" xfId="51623" xr:uid="{00000000-0005-0000-0000-0000187A0000}"/>
    <cellStyle name="Обычный 9 53 2" xfId="8903" xr:uid="{00000000-0005-0000-0000-0000197A0000}"/>
    <cellStyle name="Обычный 9 53 2 2" xfId="56964" xr:uid="{00000000-0005-0000-0000-00001A7A0000}"/>
    <cellStyle name="Обычный 9 53 3" xfId="14243" xr:uid="{00000000-0005-0000-0000-00001B7A0000}"/>
    <cellStyle name="Обычный 9 53 4" xfId="19583" xr:uid="{00000000-0005-0000-0000-00001C7A0000}"/>
    <cellStyle name="Обычный 9 53 5" xfId="24923" xr:uid="{00000000-0005-0000-0000-00001D7A0000}"/>
    <cellStyle name="Обычный 9 53 6" xfId="30263" xr:uid="{00000000-0005-0000-0000-00001E7A0000}"/>
    <cellStyle name="Обычный 9 53 7" xfId="35603" xr:uid="{00000000-0005-0000-0000-00001F7A0000}"/>
    <cellStyle name="Обычный 9 53 8" xfId="40943" xr:uid="{00000000-0005-0000-0000-0000207A0000}"/>
    <cellStyle name="Обычный 9 53 9" xfId="46283" xr:uid="{00000000-0005-0000-0000-0000217A0000}"/>
    <cellStyle name="Обычный 9 54" xfId="3592" xr:uid="{00000000-0005-0000-0000-0000227A0000}"/>
    <cellStyle name="Обычный 9 54 10" xfId="51655" xr:uid="{00000000-0005-0000-0000-0000237A0000}"/>
    <cellStyle name="Обычный 9 54 2" xfId="8935" xr:uid="{00000000-0005-0000-0000-0000247A0000}"/>
    <cellStyle name="Обычный 9 54 2 2" xfId="56996" xr:uid="{00000000-0005-0000-0000-0000257A0000}"/>
    <cellStyle name="Обычный 9 54 3" xfId="14275" xr:uid="{00000000-0005-0000-0000-0000267A0000}"/>
    <cellStyle name="Обычный 9 54 4" xfId="19615" xr:uid="{00000000-0005-0000-0000-0000277A0000}"/>
    <cellStyle name="Обычный 9 54 5" xfId="24955" xr:uid="{00000000-0005-0000-0000-0000287A0000}"/>
    <cellStyle name="Обычный 9 54 6" xfId="30295" xr:uid="{00000000-0005-0000-0000-0000297A0000}"/>
    <cellStyle name="Обычный 9 54 7" xfId="35635" xr:uid="{00000000-0005-0000-0000-00002A7A0000}"/>
    <cellStyle name="Обычный 9 54 8" xfId="40975" xr:uid="{00000000-0005-0000-0000-00002B7A0000}"/>
    <cellStyle name="Обычный 9 54 9" xfId="46315" xr:uid="{00000000-0005-0000-0000-00002C7A0000}"/>
    <cellStyle name="Обычный 9 55" xfId="3624" xr:uid="{00000000-0005-0000-0000-00002D7A0000}"/>
    <cellStyle name="Обычный 9 55 10" xfId="51687" xr:uid="{00000000-0005-0000-0000-00002E7A0000}"/>
    <cellStyle name="Обычный 9 55 2" xfId="8967" xr:uid="{00000000-0005-0000-0000-00002F7A0000}"/>
    <cellStyle name="Обычный 9 55 2 2" xfId="57028" xr:uid="{00000000-0005-0000-0000-0000307A0000}"/>
    <cellStyle name="Обычный 9 55 3" xfId="14307" xr:uid="{00000000-0005-0000-0000-0000317A0000}"/>
    <cellStyle name="Обычный 9 55 4" xfId="19647" xr:uid="{00000000-0005-0000-0000-0000327A0000}"/>
    <cellStyle name="Обычный 9 55 5" xfId="24987" xr:uid="{00000000-0005-0000-0000-0000337A0000}"/>
    <cellStyle name="Обычный 9 55 6" xfId="30327" xr:uid="{00000000-0005-0000-0000-0000347A0000}"/>
    <cellStyle name="Обычный 9 55 7" xfId="35667" xr:uid="{00000000-0005-0000-0000-0000357A0000}"/>
    <cellStyle name="Обычный 9 55 8" xfId="41007" xr:uid="{00000000-0005-0000-0000-0000367A0000}"/>
    <cellStyle name="Обычный 9 55 9" xfId="46347" xr:uid="{00000000-0005-0000-0000-0000377A0000}"/>
    <cellStyle name="Обычный 9 56" xfId="3656" xr:uid="{00000000-0005-0000-0000-0000387A0000}"/>
    <cellStyle name="Обычный 9 56 10" xfId="51719" xr:uid="{00000000-0005-0000-0000-0000397A0000}"/>
    <cellStyle name="Обычный 9 56 2" xfId="8999" xr:uid="{00000000-0005-0000-0000-00003A7A0000}"/>
    <cellStyle name="Обычный 9 56 2 2" xfId="57060" xr:uid="{00000000-0005-0000-0000-00003B7A0000}"/>
    <cellStyle name="Обычный 9 56 3" xfId="14339" xr:uid="{00000000-0005-0000-0000-00003C7A0000}"/>
    <cellStyle name="Обычный 9 56 4" xfId="19679" xr:uid="{00000000-0005-0000-0000-00003D7A0000}"/>
    <cellStyle name="Обычный 9 56 5" xfId="25019" xr:uid="{00000000-0005-0000-0000-00003E7A0000}"/>
    <cellStyle name="Обычный 9 56 6" xfId="30359" xr:uid="{00000000-0005-0000-0000-00003F7A0000}"/>
    <cellStyle name="Обычный 9 56 7" xfId="35699" xr:uid="{00000000-0005-0000-0000-0000407A0000}"/>
    <cellStyle name="Обычный 9 56 8" xfId="41039" xr:uid="{00000000-0005-0000-0000-0000417A0000}"/>
    <cellStyle name="Обычный 9 56 9" xfId="46379" xr:uid="{00000000-0005-0000-0000-0000427A0000}"/>
    <cellStyle name="Обычный 9 57" xfId="3688" xr:uid="{00000000-0005-0000-0000-0000437A0000}"/>
    <cellStyle name="Обычный 9 57 10" xfId="51751" xr:uid="{00000000-0005-0000-0000-0000447A0000}"/>
    <cellStyle name="Обычный 9 57 2" xfId="9031" xr:uid="{00000000-0005-0000-0000-0000457A0000}"/>
    <cellStyle name="Обычный 9 57 2 2" xfId="57092" xr:uid="{00000000-0005-0000-0000-0000467A0000}"/>
    <cellStyle name="Обычный 9 57 3" xfId="14371" xr:uid="{00000000-0005-0000-0000-0000477A0000}"/>
    <cellStyle name="Обычный 9 57 4" xfId="19711" xr:uid="{00000000-0005-0000-0000-0000487A0000}"/>
    <cellStyle name="Обычный 9 57 5" xfId="25051" xr:uid="{00000000-0005-0000-0000-0000497A0000}"/>
    <cellStyle name="Обычный 9 57 6" xfId="30391" xr:uid="{00000000-0005-0000-0000-00004A7A0000}"/>
    <cellStyle name="Обычный 9 57 7" xfId="35731" xr:uid="{00000000-0005-0000-0000-00004B7A0000}"/>
    <cellStyle name="Обычный 9 57 8" xfId="41071" xr:uid="{00000000-0005-0000-0000-00004C7A0000}"/>
    <cellStyle name="Обычный 9 57 9" xfId="46411" xr:uid="{00000000-0005-0000-0000-00004D7A0000}"/>
    <cellStyle name="Обычный 9 58" xfId="3720" xr:uid="{00000000-0005-0000-0000-00004E7A0000}"/>
    <cellStyle name="Обычный 9 58 10" xfId="51783" xr:uid="{00000000-0005-0000-0000-00004F7A0000}"/>
    <cellStyle name="Обычный 9 58 2" xfId="9063" xr:uid="{00000000-0005-0000-0000-0000507A0000}"/>
    <cellStyle name="Обычный 9 58 2 2" xfId="57124" xr:uid="{00000000-0005-0000-0000-0000517A0000}"/>
    <cellStyle name="Обычный 9 58 3" xfId="14403" xr:uid="{00000000-0005-0000-0000-0000527A0000}"/>
    <cellStyle name="Обычный 9 58 4" xfId="19743" xr:uid="{00000000-0005-0000-0000-0000537A0000}"/>
    <cellStyle name="Обычный 9 58 5" xfId="25083" xr:uid="{00000000-0005-0000-0000-0000547A0000}"/>
    <cellStyle name="Обычный 9 58 6" xfId="30423" xr:uid="{00000000-0005-0000-0000-0000557A0000}"/>
    <cellStyle name="Обычный 9 58 7" xfId="35763" xr:uid="{00000000-0005-0000-0000-0000567A0000}"/>
    <cellStyle name="Обычный 9 58 8" xfId="41103" xr:uid="{00000000-0005-0000-0000-0000577A0000}"/>
    <cellStyle name="Обычный 9 58 9" xfId="46443" xr:uid="{00000000-0005-0000-0000-0000587A0000}"/>
    <cellStyle name="Обычный 9 59" xfId="3752" xr:uid="{00000000-0005-0000-0000-0000597A0000}"/>
    <cellStyle name="Обычный 9 59 10" xfId="51815" xr:uid="{00000000-0005-0000-0000-00005A7A0000}"/>
    <cellStyle name="Обычный 9 59 2" xfId="9095" xr:uid="{00000000-0005-0000-0000-00005B7A0000}"/>
    <cellStyle name="Обычный 9 59 2 2" xfId="57156" xr:uid="{00000000-0005-0000-0000-00005C7A0000}"/>
    <cellStyle name="Обычный 9 59 3" xfId="14435" xr:uid="{00000000-0005-0000-0000-00005D7A0000}"/>
    <cellStyle name="Обычный 9 59 4" xfId="19775" xr:uid="{00000000-0005-0000-0000-00005E7A0000}"/>
    <cellStyle name="Обычный 9 59 5" xfId="25115" xr:uid="{00000000-0005-0000-0000-00005F7A0000}"/>
    <cellStyle name="Обычный 9 59 6" xfId="30455" xr:uid="{00000000-0005-0000-0000-0000607A0000}"/>
    <cellStyle name="Обычный 9 59 7" xfId="35795" xr:uid="{00000000-0005-0000-0000-0000617A0000}"/>
    <cellStyle name="Обычный 9 59 8" xfId="41135" xr:uid="{00000000-0005-0000-0000-0000627A0000}"/>
    <cellStyle name="Обычный 9 59 9" xfId="46475" xr:uid="{00000000-0005-0000-0000-0000637A0000}"/>
    <cellStyle name="Обычный 9 6" xfId="2083" xr:uid="{00000000-0005-0000-0000-0000647A0000}"/>
    <cellStyle name="Обычный 9 6 10" xfId="50147" xr:uid="{00000000-0005-0000-0000-0000657A0000}"/>
    <cellStyle name="Обычный 9 6 2" xfId="7426" xr:uid="{00000000-0005-0000-0000-0000667A0000}"/>
    <cellStyle name="Обычный 9 6 2 2" xfId="55488" xr:uid="{00000000-0005-0000-0000-0000677A0000}"/>
    <cellStyle name="Обычный 9 6 3" xfId="12767" xr:uid="{00000000-0005-0000-0000-0000687A0000}"/>
    <cellStyle name="Обычный 9 6 4" xfId="18107" xr:uid="{00000000-0005-0000-0000-0000697A0000}"/>
    <cellStyle name="Обычный 9 6 5" xfId="23447" xr:uid="{00000000-0005-0000-0000-00006A7A0000}"/>
    <cellStyle name="Обычный 9 6 6" xfId="28787" xr:uid="{00000000-0005-0000-0000-00006B7A0000}"/>
    <cellStyle name="Обычный 9 6 7" xfId="34127" xr:uid="{00000000-0005-0000-0000-00006C7A0000}"/>
    <cellStyle name="Обычный 9 6 8" xfId="39467" xr:uid="{00000000-0005-0000-0000-00006D7A0000}"/>
    <cellStyle name="Обычный 9 6 9" xfId="44807" xr:uid="{00000000-0005-0000-0000-00006E7A0000}"/>
    <cellStyle name="Обычный 9 60" xfId="3784" xr:uid="{00000000-0005-0000-0000-00006F7A0000}"/>
    <cellStyle name="Обычный 9 60 10" xfId="51847" xr:uid="{00000000-0005-0000-0000-0000707A0000}"/>
    <cellStyle name="Обычный 9 60 2" xfId="9127" xr:uid="{00000000-0005-0000-0000-0000717A0000}"/>
    <cellStyle name="Обычный 9 60 2 2" xfId="57188" xr:uid="{00000000-0005-0000-0000-0000727A0000}"/>
    <cellStyle name="Обычный 9 60 3" xfId="14467" xr:uid="{00000000-0005-0000-0000-0000737A0000}"/>
    <cellStyle name="Обычный 9 60 4" xfId="19807" xr:uid="{00000000-0005-0000-0000-0000747A0000}"/>
    <cellStyle name="Обычный 9 60 5" xfId="25147" xr:uid="{00000000-0005-0000-0000-0000757A0000}"/>
    <cellStyle name="Обычный 9 60 6" xfId="30487" xr:uid="{00000000-0005-0000-0000-0000767A0000}"/>
    <cellStyle name="Обычный 9 60 7" xfId="35827" xr:uid="{00000000-0005-0000-0000-0000777A0000}"/>
    <cellStyle name="Обычный 9 60 8" xfId="41167" xr:uid="{00000000-0005-0000-0000-0000787A0000}"/>
    <cellStyle name="Обычный 9 60 9" xfId="46507" xr:uid="{00000000-0005-0000-0000-0000797A0000}"/>
    <cellStyle name="Обычный 9 61" xfId="3816" xr:uid="{00000000-0005-0000-0000-00007A7A0000}"/>
    <cellStyle name="Обычный 9 61 10" xfId="51879" xr:uid="{00000000-0005-0000-0000-00007B7A0000}"/>
    <cellStyle name="Обычный 9 61 2" xfId="9159" xr:uid="{00000000-0005-0000-0000-00007C7A0000}"/>
    <cellStyle name="Обычный 9 61 2 2" xfId="57220" xr:uid="{00000000-0005-0000-0000-00007D7A0000}"/>
    <cellStyle name="Обычный 9 61 3" xfId="14499" xr:uid="{00000000-0005-0000-0000-00007E7A0000}"/>
    <cellStyle name="Обычный 9 61 4" xfId="19839" xr:uid="{00000000-0005-0000-0000-00007F7A0000}"/>
    <cellStyle name="Обычный 9 61 5" xfId="25179" xr:uid="{00000000-0005-0000-0000-0000807A0000}"/>
    <cellStyle name="Обычный 9 61 6" xfId="30519" xr:uid="{00000000-0005-0000-0000-0000817A0000}"/>
    <cellStyle name="Обычный 9 61 7" xfId="35859" xr:uid="{00000000-0005-0000-0000-0000827A0000}"/>
    <cellStyle name="Обычный 9 61 8" xfId="41199" xr:uid="{00000000-0005-0000-0000-0000837A0000}"/>
    <cellStyle name="Обычный 9 61 9" xfId="46539" xr:uid="{00000000-0005-0000-0000-0000847A0000}"/>
    <cellStyle name="Обычный 9 62" xfId="3848" xr:uid="{00000000-0005-0000-0000-0000857A0000}"/>
    <cellStyle name="Обычный 9 62 10" xfId="51911" xr:uid="{00000000-0005-0000-0000-0000867A0000}"/>
    <cellStyle name="Обычный 9 62 2" xfId="9191" xr:uid="{00000000-0005-0000-0000-0000877A0000}"/>
    <cellStyle name="Обычный 9 62 2 2" xfId="57252" xr:uid="{00000000-0005-0000-0000-0000887A0000}"/>
    <cellStyle name="Обычный 9 62 3" xfId="14531" xr:uid="{00000000-0005-0000-0000-0000897A0000}"/>
    <cellStyle name="Обычный 9 62 4" xfId="19871" xr:uid="{00000000-0005-0000-0000-00008A7A0000}"/>
    <cellStyle name="Обычный 9 62 5" xfId="25211" xr:uid="{00000000-0005-0000-0000-00008B7A0000}"/>
    <cellStyle name="Обычный 9 62 6" xfId="30551" xr:uid="{00000000-0005-0000-0000-00008C7A0000}"/>
    <cellStyle name="Обычный 9 62 7" xfId="35891" xr:uid="{00000000-0005-0000-0000-00008D7A0000}"/>
    <cellStyle name="Обычный 9 62 8" xfId="41231" xr:uid="{00000000-0005-0000-0000-00008E7A0000}"/>
    <cellStyle name="Обычный 9 62 9" xfId="46571" xr:uid="{00000000-0005-0000-0000-00008F7A0000}"/>
    <cellStyle name="Обычный 9 63" xfId="3880" xr:uid="{00000000-0005-0000-0000-0000907A0000}"/>
    <cellStyle name="Обычный 9 63 10" xfId="51943" xr:uid="{00000000-0005-0000-0000-0000917A0000}"/>
    <cellStyle name="Обычный 9 63 2" xfId="9223" xr:uid="{00000000-0005-0000-0000-0000927A0000}"/>
    <cellStyle name="Обычный 9 63 2 2" xfId="57284" xr:uid="{00000000-0005-0000-0000-0000937A0000}"/>
    <cellStyle name="Обычный 9 63 3" xfId="14563" xr:uid="{00000000-0005-0000-0000-0000947A0000}"/>
    <cellStyle name="Обычный 9 63 4" xfId="19903" xr:uid="{00000000-0005-0000-0000-0000957A0000}"/>
    <cellStyle name="Обычный 9 63 5" xfId="25243" xr:uid="{00000000-0005-0000-0000-0000967A0000}"/>
    <cellStyle name="Обычный 9 63 6" xfId="30583" xr:uid="{00000000-0005-0000-0000-0000977A0000}"/>
    <cellStyle name="Обычный 9 63 7" xfId="35923" xr:uid="{00000000-0005-0000-0000-0000987A0000}"/>
    <cellStyle name="Обычный 9 63 8" xfId="41263" xr:uid="{00000000-0005-0000-0000-0000997A0000}"/>
    <cellStyle name="Обычный 9 63 9" xfId="46603" xr:uid="{00000000-0005-0000-0000-00009A7A0000}"/>
    <cellStyle name="Обычный 9 64" xfId="3912" xr:uid="{00000000-0005-0000-0000-00009B7A0000}"/>
    <cellStyle name="Обычный 9 64 10" xfId="51975" xr:uid="{00000000-0005-0000-0000-00009C7A0000}"/>
    <cellStyle name="Обычный 9 64 2" xfId="9255" xr:uid="{00000000-0005-0000-0000-00009D7A0000}"/>
    <cellStyle name="Обычный 9 64 2 2" xfId="57316" xr:uid="{00000000-0005-0000-0000-00009E7A0000}"/>
    <cellStyle name="Обычный 9 64 3" xfId="14595" xr:uid="{00000000-0005-0000-0000-00009F7A0000}"/>
    <cellStyle name="Обычный 9 64 4" xfId="19935" xr:uid="{00000000-0005-0000-0000-0000A07A0000}"/>
    <cellStyle name="Обычный 9 64 5" xfId="25275" xr:uid="{00000000-0005-0000-0000-0000A17A0000}"/>
    <cellStyle name="Обычный 9 64 6" xfId="30615" xr:uid="{00000000-0005-0000-0000-0000A27A0000}"/>
    <cellStyle name="Обычный 9 64 7" xfId="35955" xr:uid="{00000000-0005-0000-0000-0000A37A0000}"/>
    <cellStyle name="Обычный 9 64 8" xfId="41295" xr:uid="{00000000-0005-0000-0000-0000A47A0000}"/>
    <cellStyle name="Обычный 9 64 9" xfId="46635" xr:uid="{00000000-0005-0000-0000-0000A57A0000}"/>
    <cellStyle name="Обычный 9 65" xfId="3944" xr:uid="{00000000-0005-0000-0000-0000A67A0000}"/>
    <cellStyle name="Обычный 9 65 10" xfId="52007" xr:uid="{00000000-0005-0000-0000-0000A77A0000}"/>
    <cellStyle name="Обычный 9 65 2" xfId="9287" xr:uid="{00000000-0005-0000-0000-0000A87A0000}"/>
    <cellStyle name="Обычный 9 65 2 2" xfId="57348" xr:uid="{00000000-0005-0000-0000-0000A97A0000}"/>
    <cellStyle name="Обычный 9 65 3" xfId="14627" xr:uid="{00000000-0005-0000-0000-0000AA7A0000}"/>
    <cellStyle name="Обычный 9 65 4" xfId="19967" xr:uid="{00000000-0005-0000-0000-0000AB7A0000}"/>
    <cellStyle name="Обычный 9 65 5" xfId="25307" xr:uid="{00000000-0005-0000-0000-0000AC7A0000}"/>
    <cellStyle name="Обычный 9 65 6" xfId="30647" xr:uid="{00000000-0005-0000-0000-0000AD7A0000}"/>
    <cellStyle name="Обычный 9 65 7" xfId="35987" xr:uid="{00000000-0005-0000-0000-0000AE7A0000}"/>
    <cellStyle name="Обычный 9 65 8" xfId="41327" xr:uid="{00000000-0005-0000-0000-0000AF7A0000}"/>
    <cellStyle name="Обычный 9 65 9" xfId="46667" xr:uid="{00000000-0005-0000-0000-0000B07A0000}"/>
    <cellStyle name="Обычный 9 66" xfId="3976" xr:uid="{00000000-0005-0000-0000-0000B17A0000}"/>
    <cellStyle name="Обычный 9 66 10" xfId="52039" xr:uid="{00000000-0005-0000-0000-0000B27A0000}"/>
    <cellStyle name="Обычный 9 66 2" xfId="9319" xr:uid="{00000000-0005-0000-0000-0000B37A0000}"/>
    <cellStyle name="Обычный 9 66 2 2" xfId="57380" xr:uid="{00000000-0005-0000-0000-0000B47A0000}"/>
    <cellStyle name="Обычный 9 66 3" xfId="14659" xr:uid="{00000000-0005-0000-0000-0000B57A0000}"/>
    <cellStyle name="Обычный 9 66 4" xfId="19999" xr:uid="{00000000-0005-0000-0000-0000B67A0000}"/>
    <cellStyle name="Обычный 9 66 5" xfId="25339" xr:uid="{00000000-0005-0000-0000-0000B77A0000}"/>
    <cellStyle name="Обычный 9 66 6" xfId="30679" xr:uid="{00000000-0005-0000-0000-0000B87A0000}"/>
    <cellStyle name="Обычный 9 66 7" xfId="36019" xr:uid="{00000000-0005-0000-0000-0000B97A0000}"/>
    <cellStyle name="Обычный 9 66 8" xfId="41359" xr:uid="{00000000-0005-0000-0000-0000BA7A0000}"/>
    <cellStyle name="Обычный 9 66 9" xfId="46699" xr:uid="{00000000-0005-0000-0000-0000BB7A0000}"/>
    <cellStyle name="Обычный 9 67" xfId="4008" xr:uid="{00000000-0005-0000-0000-0000BC7A0000}"/>
    <cellStyle name="Обычный 9 67 10" xfId="52071" xr:uid="{00000000-0005-0000-0000-0000BD7A0000}"/>
    <cellStyle name="Обычный 9 67 2" xfId="9351" xr:uid="{00000000-0005-0000-0000-0000BE7A0000}"/>
    <cellStyle name="Обычный 9 67 2 2" xfId="57412" xr:uid="{00000000-0005-0000-0000-0000BF7A0000}"/>
    <cellStyle name="Обычный 9 67 3" xfId="14691" xr:uid="{00000000-0005-0000-0000-0000C07A0000}"/>
    <cellStyle name="Обычный 9 67 4" xfId="20031" xr:uid="{00000000-0005-0000-0000-0000C17A0000}"/>
    <cellStyle name="Обычный 9 67 5" xfId="25371" xr:uid="{00000000-0005-0000-0000-0000C27A0000}"/>
    <cellStyle name="Обычный 9 67 6" xfId="30711" xr:uid="{00000000-0005-0000-0000-0000C37A0000}"/>
    <cellStyle name="Обычный 9 67 7" xfId="36051" xr:uid="{00000000-0005-0000-0000-0000C47A0000}"/>
    <cellStyle name="Обычный 9 67 8" xfId="41391" xr:uid="{00000000-0005-0000-0000-0000C57A0000}"/>
    <cellStyle name="Обычный 9 67 9" xfId="46731" xr:uid="{00000000-0005-0000-0000-0000C67A0000}"/>
    <cellStyle name="Обычный 9 68" xfId="4040" xr:uid="{00000000-0005-0000-0000-0000C77A0000}"/>
    <cellStyle name="Обычный 9 68 10" xfId="52103" xr:uid="{00000000-0005-0000-0000-0000C87A0000}"/>
    <cellStyle name="Обычный 9 68 2" xfId="9383" xr:uid="{00000000-0005-0000-0000-0000C97A0000}"/>
    <cellStyle name="Обычный 9 68 2 2" xfId="57444" xr:uid="{00000000-0005-0000-0000-0000CA7A0000}"/>
    <cellStyle name="Обычный 9 68 3" xfId="14723" xr:uid="{00000000-0005-0000-0000-0000CB7A0000}"/>
    <cellStyle name="Обычный 9 68 4" xfId="20063" xr:uid="{00000000-0005-0000-0000-0000CC7A0000}"/>
    <cellStyle name="Обычный 9 68 5" xfId="25403" xr:uid="{00000000-0005-0000-0000-0000CD7A0000}"/>
    <cellStyle name="Обычный 9 68 6" xfId="30743" xr:uid="{00000000-0005-0000-0000-0000CE7A0000}"/>
    <cellStyle name="Обычный 9 68 7" xfId="36083" xr:uid="{00000000-0005-0000-0000-0000CF7A0000}"/>
    <cellStyle name="Обычный 9 68 8" xfId="41423" xr:uid="{00000000-0005-0000-0000-0000D07A0000}"/>
    <cellStyle name="Обычный 9 68 9" xfId="46763" xr:uid="{00000000-0005-0000-0000-0000D17A0000}"/>
    <cellStyle name="Обычный 9 69" xfId="4072" xr:uid="{00000000-0005-0000-0000-0000D27A0000}"/>
    <cellStyle name="Обычный 9 69 10" xfId="52135" xr:uid="{00000000-0005-0000-0000-0000D37A0000}"/>
    <cellStyle name="Обычный 9 69 2" xfId="9415" xr:uid="{00000000-0005-0000-0000-0000D47A0000}"/>
    <cellStyle name="Обычный 9 69 2 2" xfId="57476" xr:uid="{00000000-0005-0000-0000-0000D57A0000}"/>
    <cellStyle name="Обычный 9 69 3" xfId="14755" xr:uid="{00000000-0005-0000-0000-0000D67A0000}"/>
    <cellStyle name="Обычный 9 69 4" xfId="20095" xr:uid="{00000000-0005-0000-0000-0000D77A0000}"/>
    <cellStyle name="Обычный 9 69 5" xfId="25435" xr:uid="{00000000-0005-0000-0000-0000D87A0000}"/>
    <cellStyle name="Обычный 9 69 6" xfId="30775" xr:uid="{00000000-0005-0000-0000-0000D97A0000}"/>
    <cellStyle name="Обычный 9 69 7" xfId="36115" xr:uid="{00000000-0005-0000-0000-0000DA7A0000}"/>
    <cellStyle name="Обычный 9 69 8" xfId="41455" xr:uid="{00000000-0005-0000-0000-0000DB7A0000}"/>
    <cellStyle name="Обычный 9 69 9" xfId="46795" xr:uid="{00000000-0005-0000-0000-0000DC7A0000}"/>
    <cellStyle name="Обычный 9 7" xfId="2111" xr:uid="{00000000-0005-0000-0000-0000DD7A0000}"/>
    <cellStyle name="Обычный 9 7 10" xfId="50175" xr:uid="{00000000-0005-0000-0000-0000DE7A0000}"/>
    <cellStyle name="Обычный 9 7 2" xfId="7454" xr:uid="{00000000-0005-0000-0000-0000DF7A0000}"/>
    <cellStyle name="Обычный 9 7 2 2" xfId="55516" xr:uid="{00000000-0005-0000-0000-0000E07A0000}"/>
    <cellStyle name="Обычный 9 7 3" xfId="12795" xr:uid="{00000000-0005-0000-0000-0000E17A0000}"/>
    <cellStyle name="Обычный 9 7 4" xfId="18135" xr:uid="{00000000-0005-0000-0000-0000E27A0000}"/>
    <cellStyle name="Обычный 9 7 5" xfId="23475" xr:uid="{00000000-0005-0000-0000-0000E37A0000}"/>
    <cellStyle name="Обычный 9 7 6" xfId="28815" xr:uid="{00000000-0005-0000-0000-0000E47A0000}"/>
    <cellStyle name="Обычный 9 7 7" xfId="34155" xr:uid="{00000000-0005-0000-0000-0000E57A0000}"/>
    <cellStyle name="Обычный 9 7 8" xfId="39495" xr:uid="{00000000-0005-0000-0000-0000E67A0000}"/>
    <cellStyle name="Обычный 9 7 9" xfId="44835" xr:uid="{00000000-0005-0000-0000-0000E77A0000}"/>
    <cellStyle name="Обычный 9 70" xfId="4104" xr:uid="{00000000-0005-0000-0000-0000E87A0000}"/>
    <cellStyle name="Обычный 9 70 10" xfId="52167" xr:uid="{00000000-0005-0000-0000-0000E97A0000}"/>
    <cellStyle name="Обычный 9 70 2" xfId="9447" xr:uid="{00000000-0005-0000-0000-0000EA7A0000}"/>
    <cellStyle name="Обычный 9 70 2 2" xfId="57508" xr:uid="{00000000-0005-0000-0000-0000EB7A0000}"/>
    <cellStyle name="Обычный 9 70 3" xfId="14787" xr:uid="{00000000-0005-0000-0000-0000EC7A0000}"/>
    <cellStyle name="Обычный 9 70 4" xfId="20127" xr:uid="{00000000-0005-0000-0000-0000ED7A0000}"/>
    <cellStyle name="Обычный 9 70 5" xfId="25467" xr:uid="{00000000-0005-0000-0000-0000EE7A0000}"/>
    <cellStyle name="Обычный 9 70 6" xfId="30807" xr:uid="{00000000-0005-0000-0000-0000EF7A0000}"/>
    <cellStyle name="Обычный 9 70 7" xfId="36147" xr:uid="{00000000-0005-0000-0000-0000F07A0000}"/>
    <cellStyle name="Обычный 9 70 8" xfId="41487" xr:uid="{00000000-0005-0000-0000-0000F17A0000}"/>
    <cellStyle name="Обычный 9 70 9" xfId="46827" xr:uid="{00000000-0005-0000-0000-0000F27A0000}"/>
    <cellStyle name="Обычный 9 71" xfId="4136" xr:uid="{00000000-0005-0000-0000-0000F37A0000}"/>
    <cellStyle name="Обычный 9 71 10" xfId="52199" xr:uid="{00000000-0005-0000-0000-0000F47A0000}"/>
    <cellStyle name="Обычный 9 71 2" xfId="9479" xr:uid="{00000000-0005-0000-0000-0000F57A0000}"/>
    <cellStyle name="Обычный 9 71 2 2" xfId="57540" xr:uid="{00000000-0005-0000-0000-0000F67A0000}"/>
    <cellStyle name="Обычный 9 71 3" xfId="14819" xr:uid="{00000000-0005-0000-0000-0000F77A0000}"/>
    <cellStyle name="Обычный 9 71 4" xfId="20159" xr:uid="{00000000-0005-0000-0000-0000F87A0000}"/>
    <cellStyle name="Обычный 9 71 5" xfId="25499" xr:uid="{00000000-0005-0000-0000-0000F97A0000}"/>
    <cellStyle name="Обычный 9 71 6" xfId="30839" xr:uid="{00000000-0005-0000-0000-0000FA7A0000}"/>
    <cellStyle name="Обычный 9 71 7" xfId="36179" xr:uid="{00000000-0005-0000-0000-0000FB7A0000}"/>
    <cellStyle name="Обычный 9 71 8" xfId="41519" xr:uid="{00000000-0005-0000-0000-0000FC7A0000}"/>
    <cellStyle name="Обычный 9 71 9" xfId="46859" xr:uid="{00000000-0005-0000-0000-0000FD7A0000}"/>
    <cellStyle name="Обычный 9 72" xfId="4168" xr:uid="{00000000-0005-0000-0000-0000FE7A0000}"/>
    <cellStyle name="Обычный 9 72 10" xfId="52231" xr:uid="{00000000-0005-0000-0000-0000FF7A0000}"/>
    <cellStyle name="Обычный 9 72 2" xfId="9511" xr:uid="{00000000-0005-0000-0000-0000007B0000}"/>
    <cellStyle name="Обычный 9 72 2 2" xfId="57572" xr:uid="{00000000-0005-0000-0000-0000017B0000}"/>
    <cellStyle name="Обычный 9 72 3" xfId="14851" xr:uid="{00000000-0005-0000-0000-0000027B0000}"/>
    <cellStyle name="Обычный 9 72 4" xfId="20191" xr:uid="{00000000-0005-0000-0000-0000037B0000}"/>
    <cellStyle name="Обычный 9 72 5" xfId="25531" xr:uid="{00000000-0005-0000-0000-0000047B0000}"/>
    <cellStyle name="Обычный 9 72 6" xfId="30871" xr:uid="{00000000-0005-0000-0000-0000057B0000}"/>
    <cellStyle name="Обычный 9 72 7" xfId="36211" xr:uid="{00000000-0005-0000-0000-0000067B0000}"/>
    <cellStyle name="Обычный 9 72 8" xfId="41551" xr:uid="{00000000-0005-0000-0000-0000077B0000}"/>
    <cellStyle name="Обычный 9 72 9" xfId="46891" xr:uid="{00000000-0005-0000-0000-0000087B0000}"/>
    <cellStyle name="Обычный 9 73" xfId="4200" xr:uid="{00000000-0005-0000-0000-0000097B0000}"/>
    <cellStyle name="Обычный 9 73 10" xfId="52263" xr:uid="{00000000-0005-0000-0000-00000A7B0000}"/>
    <cellStyle name="Обычный 9 73 2" xfId="9543" xr:uid="{00000000-0005-0000-0000-00000B7B0000}"/>
    <cellStyle name="Обычный 9 73 2 2" xfId="57604" xr:uid="{00000000-0005-0000-0000-00000C7B0000}"/>
    <cellStyle name="Обычный 9 73 3" xfId="14883" xr:uid="{00000000-0005-0000-0000-00000D7B0000}"/>
    <cellStyle name="Обычный 9 73 4" xfId="20223" xr:uid="{00000000-0005-0000-0000-00000E7B0000}"/>
    <cellStyle name="Обычный 9 73 5" xfId="25563" xr:uid="{00000000-0005-0000-0000-00000F7B0000}"/>
    <cellStyle name="Обычный 9 73 6" xfId="30903" xr:uid="{00000000-0005-0000-0000-0000107B0000}"/>
    <cellStyle name="Обычный 9 73 7" xfId="36243" xr:uid="{00000000-0005-0000-0000-0000117B0000}"/>
    <cellStyle name="Обычный 9 73 8" xfId="41583" xr:uid="{00000000-0005-0000-0000-0000127B0000}"/>
    <cellStyle name="Обычный 9 73 9" xfId="46923" xr:uid="{00000000-0005-0000-0000-0000137B0000}"/>
    <cellStyle name="Обычный 9 74" xfId="4232" xr:uid="{00000000-0005-0000-0000-0000147B0000}"/>
    <cellStyle name="Обычный 9 74 10" xfId="52295" xr:uid="{00000000-0005-0000-0000-0000157B0000}"/>
    <cellStyle name="Обычный 9 74 2" xfId="9575" xr:uid="{00000000-0005-0000-0000-0000167B0000}"/>
    <cellStyle name="Обычный 9 74 2 2" xfId="57636" xr:uid="{00000000-0005-0000-0000-0000177B0000}"/>
    <cellStyle name="Обычный 9 74 3" xfId="14915" xr:uid="{00000000-0005-0000-0000-0000187B0000}"/>
    <cellStyle name="Обычный 9 74 4" xfId="20255" xr:uid="{00000000-0005-0000-0000-0000197B0000}"/>
    <cellStyle name="Обычный 9 74 5" xfId="25595" xr:uid="{00000000-0005-0000-0000-00001A7B0000}"/>
    <cellStyle name="Обычный 9 74 6" xfId="30935" xr:uid="{00000000-0005-0000-0000-00001B7B0000}"/>
    <cellStyle name="Обычный 9 74 7" xfId="36275" xr:uid="{00000000-0005-0000-0000-00001C7B0000}"/>
    <cellStyle name="Обычный 9 74 8" xfId="41615" xr:uid="{00000000-0005-0000-0000-00001D7B0000}"/>
    <cellStyle name="Обычный 9 74 9" xfId="46955" xr:uid="{00000000-0005-0000-0000-00001E7B0000}"/>
    <cellStyle name="Обычный 9 75" xfId="4264" xr:uid="{00000000-0005-0000-0000-00001F7B0000}"/>
    <cellStyle name="Обычный 9 75 10" xfId="52327" xr:uid="{00000000-0005-0000-0000-0000207B0000}"/>
    <cellStyle name="Обычный 9 75 2" xfId="9607" xr:uid="{00000000-0005-0000-0000-0000217B0000}"/>
    <cellStyle name="Обычный 9 75 2 2" xfId="57668" xr:uid="{00000000-0005-0000-0000-0000227B0000}"/>
    <cellStyle name="Обычный 9 75 3" xfId="14947" xr:uid="{00000000-0005-0000-0000-0000237B0000}"/>
    <cellStyle name="Обычный 9 75 4" xfId="20287" xr:uid="{00000000-0005-0000-0000-0000247B0000}"/>
    <cellStyle name="Обычный 9 75 5" xfId="25627" xr:uid="{00000000-0005-0000-0000-0000257B0000}"/>
    <cellStyle name="Обычный 9 75 6" xfId="30967" xr:uid="{00000000-0005-0000-0000-0000267B0000}"/>
    <cellStyle name="Обычный 9 75 7" xfId="36307" xr:uid="{00000000-0005-0000-0000-0000277B0000}"/>
    <cellStyle name="Обычный 9 75 8" xfId="41647" xr:uid="{00000000-0005-0000-0000-0000287B0000}"/>
    <cellStyle name="Обычный 9 75 9" xfId="46987" xr:uid="{00000000-0005-0000-0000-0000297B0000}"/>
    <cellStyle name="Обычный 9 76" xfId="4296" xr:uid="{00000000-0005-0000-0000-00002A7B0000}"/>
    <cellStyle name="Обычный 9 76 10" xfId="52359" xr:uid="{00000000-0005-0000-0000-00002B7B0000}"/>
    <cellStyle name="Обычный 9 76 2" xfId="9639" xr:uid="{00000000-0005-0000-0000-00002C7B0000}"/>
    <cellStyle name="Обычный 9 76 2 2" xfId="57700" xr:uid="{00000000-0005-0000-0000-00002D7B0000}"/>
    <cellStyle name="Обычный 9 76 3" xfId="14979" xr:uid="{00000000-0005-0000-0000-00002E7B0000}"/>
    <cellStyle name="Обычный 9 76 4" xfId="20319" xr:uid="{00000000-0005-0000-0000-00002F7B0000}"/>
    <cellStyle name="Обычный 9 76 5" xfId="25659" xr:uid="{00000000-0005-0000-0000-0000307B0000}"/>
    <cellStyle name="Обычный 9 76 6" xfId="30999" xr:uid="{00000000-0005-0000-0000-0000317B0000}"/>
    <cellStyle name="Обычный 9 76 7" xfId="36339" xr:uid="{00000000-0005-0000-0000-0000327B0000}"/>
    <cellStyle name="Обычный 9 76 8" xfId="41679" xr:uid="{00000000-0005-0000-0000-0000337B0000}"/>
    <cellStyle name="Обычный 9 76 9" xfId="47019" xr:uid="{00000000-0005-0000-0000-0000347B0000}"/>
    <cellStyle name="Обычный 9 77" xfId="4328" xr:uid="{00000000-0005-0000-0000-0000357B0000}"/>
    <cellStyle name="Обычный 9 77 10" xfId="52391" xr:uid="{00000000-0005-0000-0000-0000367B0000}"/>
    <cellStyle name="Обычный 9 77 2" xfId="9671" xr:uid="{00000000-0005-0000-0000-0000377B0000}"/>
    <cellStyle name="Обычный 9 77 2 2" xfId="57732" xr:uid="{00000000-0005-0000-0000-0000387B0000}"/>
    <cellStyle name="Обычный 9 77 3" xfId="15011" xr:uid="{00000000-0005-0000-0000-0000397B0000}"/>
    <cellStyle name="Обычный 9 77 4" xfId="20351" xr:uid="{00000000-0005-0000-0000-00003A7B0000}"/>
    <cellStyle name="Обычный 9 77 5" xfId="25691" xr:uid="{00000000-0005-0000-0000-00003B7B0000}"/>
    <cellStyle name="Обычный 9 77 6" xfId="31031" xr:uid="{00000000-0005-0000-0000-00003C7B0000}"/>
    <cellStyle name="Обычный 9 77 7" xfId="36371" xr:uid="{00000000-0005-0000-0000-00003D7B0000}"/>
    <cellStyle name="Обычный 9 77 8" xfId="41711" xr:uid="{00000000-0005-0000-0000-00003E7B0000}"/>
    <cellStyle name="Обычный 9 77 9" xfId="47051" xr:uid="{00000000-0005-0000-0000-00003F7B0000}"/>
    <cellStyle name="Обычный 9 78" xfId="4360" xr:uid="{00000000-0005-0000-0000-0000407B0000}"/>
    <cellStyle name="Обычный 9 78 10" xfId="52423" xr:uid="{00000000-0005-0000-0000-0000417B0000}"/>
    <cellStyle name="Обычный 9 78 2" xfId="9703" xr:uid="{00000000-0005-0000-0000-0000427B0000}"/>
    <cellStyle name="Обычный 9 78 2 2" xfId="57764" xr:uid="{00000000-0005-0000-0000-0000437B0000}"/>
    <cellStyle name="Обычный 9 78 3" xfId="15043" xr:uid="{00000000-0005-0000-0000-0000447B0000}"/>
    <cellStyle name="Обычный 9 78 4" xfId="20383" xr:uid="{00000000-0005-0000-0000-0000457B0000}"/>
    <cellStyle name="Обычный 9 78 5" xfId="25723" xr:uid="{00000000-0005-0000-0000-0000467B0000}"/>
    <cellStyle name="Обычный 9 78 6" xfId="31063" xr:uid="{00000000-0005-0000-0000-0000477B0000}"/>
    <cellStyle name="Обычный 9 78 7" xfId="36403" xr:uid="{00000000-0005-0000-0000-0000487B0000}"/>
    <cellStyle name="Обычный 9 78 8" xfId="41743" xr:uid="{00000000-0005-0000-0000-0000497B0000}"/>
    <cellStyle name="Обычный 9 78 9" xfId="47083" xr:uid="{00000000-0005-0000-0000-00004A7B0000}"/>
    <cellStyle name="Обычный 9 79" xfId="4392" xr:uid="{00000000-0005-0000-0000-00004B7B0000}"/>
    <cellStyle name="Обычный 9 79 10" xfId="52455" xr:uid="{00000000-0005-0000-0000-00004C7B0000}"/>
    <cellStyle name="Обычный 9 79 2" xfId="9735" xr:uid="{00000000-0005-0000-0000-00004D7B0000}"/>
    <cellStyle name="Обычный 9 79 2 2" xfId="57796" xr:uid="{00000000-0005-0000-0000-00004E7B0000}"/>
    <cellStyle name="Обычный 9 79 3" xfId="15075" xr:uid="{00000000-0005-0000-0000-00004F7B0000}"/>
    <cellStyle name="Обычный 9 79 4" xfId="20415" xr:uid="{00000000-0005-0000-0000-0000507B0000}"/>
    <cellStyle name="Обычный 9 79 5" xfId="25755" xr:uid="{00000000-0005-0000-0000-0000517B0000}"/>
    <cellStyle name="Обычный 9 79 6" xfId="31095" xr:uid="{00000000-0005-0000-0000-0000527B0000}"/>
    <cellStyle name="Обычный 9 79 7" xfId="36435" xr:uid="{00000000-0005-0000-0000-0000537B0000}"/>
    <cellStyle name="Обычный 9 79 8" xfId="41775" xr:uid="{00000000-0005-0000-0000-0000547B0000}"/>
    <cellStyle name="Обычный 9 79 9" xfId="47115" xr:uid="{00000000-0005-0000-0000-0000557B0000}"/>
    <cellStyle name="Обычный 9 8" xfId="2139" xr:uid="{00000000-0005-0000-0000-0000567B0000}"/>
    <cellStyle name="Обычный 9 8 10" xfId="50203" xr:uid="{00000000-0005-0000-0000-0000577B0000}"/>
    <cellStyle name="Обычный 9 8 2" xfId="7482" xr:uid="{00000000-0005-0000-0000-0000587B0000}"/>
    <cellStyle name="Обычный 9 8 2 2" xfId="55544" xr:uid="{00000000-0005-0000-0000-0000597B0000}"/>
    <cellStyle name="Обычный 9 8 3" xfId="12823" xr:uid="{00000000-0005-0000-0000-00005A7B0000}"/>
    <cellStyle name="Обычный 9 8 4" xfId="18163" xr:uid="{00000000-0005-0000-0000-00005B7B0000}"/>
    <cellStyle name="Обычный 9 8 5" xfId="23503" xr:uid="{00000000-0005-0000-0000-00005C7B0000}"/>
    <cellStyle name="Обычный 9 8 6" xfId="28843" xr:uid="{00000000-0005-0000-0000-00005D7B0000}"/>
    <cellStyle name="Обычный 9 8 7" xfId="34183" xr:uid="{00000000-0005-0000-0000-00005E7B0000}"/>
    <cellStyle name="Обычный 9 8 8" xfId="39523" xr:uid="{00000000-0005-0000-0000-00005F7B0000}"/>
    <cellStyle name="Обычный 9 8 9" xfId="44863" xr:uid="{00000000-0005-0000-0000-0000607B0000}"/>
    <cellStyle name="Обычный 9 80" xfId="4424" xr:uid="{00000000-0005-0000-0000-0000617B0000}"/>
    <cellStyle name="Обычный 9 80 10" xfId="52487" xr:uid="{00000000-0005-0000-0000-0000627B0000}"/>
    <cellStyle name="Обычный 9 80 2" xfId="9767" xr:uid="{00000000-0005-0000-0000-0000637B0000}"/>
    <cellStyle name="Обычный 9 80 2 2" xfId="57828" xr:uid="{00000000-0005-0000-0000-0000647B0000}"/>
    <cellStyle name="Обычный 9 80 3" xfId="15107" xr:uid="{00000000-0005-0000-0000-0000657B0000}"/>
    <cellStyle name="Обычный 9 80 4" xfId="20447" xr:uid="{00000000-0005-0000-0000-0000667B0000}"/>
    <cellStyle name="Обычный 9 80 5" xfId="25787" xr:uid="{00000000-0005-0000-0000-0000677B0000}"/>
    <cellStyle name="Обычный 9 80 6" xfId="31127" xr:uid="{00000000-0005-0000-0000-0000687B0000}"/>
    <cellStyle name="Обычный 9 80 7" xfId="36467" xr:uid="{00000000-0005-0000-0000-0000697B0000}"/>
    <cellStyle name="Обычный 9 80 8" xfId="41807" xr:uid="{00000000-0005-0000-0000-00006A7B0000}"/>
    <cellStyle name="Обычный 9 80 9" xfId="47147" xr:uid="{00000000-0005-0000-0000-00006B7B0000}"/>
    <cellStyle name="Обычный 9 81" xfId="4456" xr:uid="{00000000-0005-0000-0000-00006C7B0000}"/>
    <cellStyle name="Обычный 9 81 10" xfId="52519" xr:uid="{00000000-0005-0000-0000-00006D7B0000}"/>
    <cellStyle name="Обычный 9 81 2" xfId="9799" xr:uid="{00000000-0005-0000-0000-00006E7B0000}"/>
    <cellStyle name="Обычный 9 81 2 2" xfId="57860" xr:uid="{00000000-0005-0000-0000-00006F7B0000}"/>
    <cellStyle name="Обычный 9 81 3" xfId="15139" xr:uid="{00000000-0005-0000-0000-0000707B0000}"/>
    <cellStyle name="Обычный 9 81 4" xfId="20479" xr:uid="{00000000-0005-0000-0000-0000717B0000}"/>
    <cellStyle name="Обычный 9 81 5" xfId="25819" xr:uid="{00000000-0005-0000-0000-0000727B0000}"/>
    <cellStyle name="Обычный 9 81 6" xfId="31159" xr:uid="{00000000-0005-0000-0000-0000737B0000}"/>
    <cellStyle name="Обычный 9 81 7" xfId="36499" xr:uid="{00000000-0005-0000-0000-0000747B0000}"/>
    <cellStyle name="Обычный 9 81 8" xfId="41839" xr:uid="{00000000-0005-0000-0000-0000757B0000}"/>
    <cellStyle name="Обычный 9 81 9" xfId="47179" xr:uid="{00000000-0005-0000-0000-0000767B0000}"/>
    <cellStyle name="Обычный 9 82" xfId="4488" xr:uid="{00000000-0005-0000-0000-0000777B0000}"/>
    <cellStyle name="Обычный 9 82 10" xfId="52551" xr:uid="{00000000-0005-0000-0000-0000787B0000}"/>
    <cellStyle name="Обычный 9 82 2" xfId="9831" xr:uid="{00000000-0005-0000-0000-0000797B0000}"/>
    <cellStyle name="Обычный 9 82 2 2" xfId="57892" xr:uid="{00000000-0005-0000-0000-00007A7B0000}"/>
    <cellStyle name="Обычный 9 82 3" xfId="15171" xr:uid="{00000000-0005-0000-0000-00007B7B0000}"/>
    <cellStyle name="Обычный 9 82 4" xfId="20511" xr:uid="{00000000-0005-0000-0000-00007C7B0000}"/>
    <cellStyle name="Обычный 9 82 5" xfId="25851" xr:uid="{00000000-0005-0000-0000-00007D7B0000}"/>
    <cellStyle name="Обычный 9 82 6" xfId="31191" xr:uid="{00000000-0005-0000-0000-00007E7B0000}"/>
    <cellStyle name="Обычный 9 82 7" xfId="36531" xr:uid="{00000000-0005-0000-0000-00007F7B0000}"/>
    <cellStyle name="Обычный 9 82 8" xfId="41871" xr:uid="{00000000-0005-0000-0000-0000807B0000}"/>
    <cellStyle name="Обычный 9 82 9" xfId="47211" xr:uid="{00000000-0005-0000-0000-0000817B0000}"/>
    <cellStyle name="Обычный 9 83" xfId="4520" xr:uid="{00000000-0005-0000-0000-0000827B0000}"/>
    <cellStyle name="Обычный 9 83 10" xfId="52583" xr:uid="{00000000-0005-0000-0000-0000837B0000}"/>
    <cellStyle name="Обычный 9 83 2" xfId="9863" xr:uid="{00000000-0005-0000-0000-0000847B0000}"/>
    <cellStyle name="Обычный 9 83 2 2" xfId="57924" xr:uid="{00000000-0005-0000-0000-0000857B0000}"/>
    <cellStyle name="Обычный 9 83 3" xfId="15203" xr:uid="{00000000-0005-0000-0000-0000867B0000}"/>
    <cellStyle name="Обычный 9 83 4" xfId="20543" xr:uid="{00000000-0005-0000-0000-0000877B0000}"/>
    <cellStyle name="Обычный 9 83 5" xfId="25883" xr:uid="{00000000-0005-0000-0000-0000887B0000}"/>
    <cellStyle name="Обычный 9 83 6" xfId="31223" xr:uid="{00000000-0005-0000-0000-0000897B0000}"/>
    <cellStyle name="Обычный 9 83 7" xfId="36563" xr:uid="{00000000-0005-0000-0000-00008A7B0000}"/>
    <cellStyle name="Обычный 9 83 8" xfId="41903" xr:uid="{00000000-0005-0000-0000-00008B7B0000}"/>
    <cellStyle name="Обычный 9 83 9" xfId="47243" xr:uid="{00000000-0005-0000-0000-00008C7B0000}"/>
    <cellStyle name="Обычный 9 84" xfId="4552" xr:uid="{00000000-0005-0000-0000-00008D7B0000}"/>
    <cellStyle name="Обычный 9 84 10" xfId="52615" xr:uid="{00000000-0005-0000-0000-00008E7B0000}"/>
    <cellStyle name="Обычный 9 84 2" xfId="9895" xr:uid="{00000000-0005-0000-0000-00008F7B0000}"/>
    <cellStyle name="Обычный 9 84 2 2" xfId="57956" xr:uid="{00000000-0005-0000-0000-0000907B0000}"/>
    <cellStyle name="Обычный 9 84 3" xfId="15235" xr:uid="{00000000-0005-0000-0000-0000917B0000}"/>
    <cellStyle name="Обычный 9 84 4" xfId="20575" xr:uid="{00000000-0005-0000-0000-0000927B0000}"/>
    <cellStyle name="Обычный 9 84 5" xfId="25915" xr:uid="{00000000-0005-0000-0000-0000937B0000}"/>
    <cellStyle name="Обычный 9 84 6" xfId="31255" xr:uid="{00000000-0005-0000-0000-0000947B0000}"/>
    <cellStyle name="Обычный 9 84 7" xfId="36595" xr:uid="{00000000-0005-0000-0000-0000957B0000}"/>
    <cellStyle name="Обычный 9 84 8" xfId="41935" xr:uid="{00000000-0005-0000-0000-0000967B0000}"/>
    <cellStyle name="Обычный 9 84 9" xfId="47275" xr:uid="{00000000-0005-0000-0000-0000977B0000}"/>
    <cellStyle name="Обычный 9 85" xfId="4584" xr:uid="{00000000-0005-0000-0000-0000987B0000}"/>
    <cellStyle name="Обычный 9 85 10" xfId="52647" xr:uid="{00000000-0005-0000-0000-0000997B0000}"/>
    <cellStyle name="Обычный 9 85 2" xfId="9927" xr:uid="{00000000-0005-0000-0000-00009A7B0000}"/>
    <cellStyle name="Обычный 9 85 2 2" xfId="57988" xr:uid="{00000000-0005-0000-0000-00009B7B0000}"/>
    <cellStyle name="Обычный 9 85 3" xfId="15267" xr:uid="{00000000-0005-0000-0000-00009C7B0000}"/>
    <cellStyle name="Обычный 9 85 4" xfId="20607" xr:uid="{00000000-0005-0000-0000-00009D7B0000}"/>
    <cellStyle name="Обычный 9 85 5" xfId="25947" xr:uid="{00000000-0005-0000-0000-00009E7B0000}"/>
    <cellStyle name="Обычный 9 85 6" xfId="31287" xr:uid="{00000000-0005-0000-0000-00009F7B0000}"/>
    <cellStyle name="Обычный 9 85 7" xfId="36627" xr:uid="{00000000-0005-0000-0000-0000A07B0000}"/>
    <cellStyle name="Обычный 9 85 8" xfId="41967" xr:uid="{00000000-0005-0000-0000-0000A17B0000}"/>
    <cellStyle name="Обычный 9 85 9" xfId="47307" xr:uid="{00000000-0005-0000-0000-0000A27B0000}"/>
    <cellStyle name="Обычный 9 86" xfId="4616" xr:uid="{00000000-0005-0000-0000-0000A37B0000}"/>
    <cellStyle name="Обычный 9 86 10" xfId="52679" xr:uid="{00000000-0005-0000-0000-0000A47B0000}"/>
    <cellStyle name="Обычный 9 86 2" xfId="9959" xr:uid="{00000000-0005-0000-0000-0000A57B0000}"/>
    <cellStyle name="Обычный 9 86 2 2" xfId="58020" xr:uid="{00000000-0005-0000-0000-0000A67B0000}"/>
    <cellStyle name="Обычный 9 86 3" xfId="15299" xr:uid="{00000000-0005-0000-0000-0000A77B0000}"/>
    <cellStyle name="Обычный 9 86 4" xfId="20639" xr:uid="{00000000-0005-0000-0000-0000A87B0000}"/>
    <cellStyle name="Обычный 9 86 5" xfId="25979" xr:uid="{00000000-0005-0000-0000-0000A97B0000}"/>
    <cellStyle name="Обычный 9 86 6" xfId="31319" xr:uid="{00000000-0005-0000-0000-0000AA7B0000}"/>
    <cellStyle name="Обычный 9 86 7" xfId="36659" xr:uid="{00000000-0005-0000-0000-0000AB7B0000}"/>
    <cellStyle name="Обычный 9 86 8" xfId="41999" xr:uid="{00000000-0005-0000-0000-0000AC7B0000}"/>
    <cellStyle name="Обычный 9 86 9" xfId="47339" xr:uid="{00000000-0005-0000-0000-0000AD7B0000}"/>
    <cellStyle name="Обычный 9 87" xfId="4648" xr:uid="{00000000-0005-0000-0000-0000AE7B0000}"/>
    <cellStyle name="Обычный 9 87 10" xfId="52711" xr:uid="{00000000-0005-0000-0000-0000AF7B0000}"/>
    <cellStyle name="Обычный 9 87 2" xfId="9991" xr:uid="{00000000-0005-0000-0000-0000B07B0000}"/>
    <cellStyle name="Обычный 9 87 2 2" xfId="58052" xr:uid="{00000000-0005-0000-0000-0000B17B0000}"/>
    <cellStyle name="Обычный 9 87 3" xfId="15331" xr:uid="{00000000-0005-0000-0000-0000B27B0000}"/>
    <cellStyle name="Обычный 9 87 4" xfId="20671" xr:uid="{00000000-0005-0000-0000-0000B37B0000}"/>
    <cellStyle name="Обычный 9 87 5" xfId="26011" xr:uid="{00000000-0005-0000-0000-0000B47B0000}"/>
    <cellStyle name="Обычный 9 87 6" xfId="31351" xr:uid="{00000000-0005-0000-0000-0000B57B0000}"/>
    <cellStyle name="Обычный 9 87 7" xfId="36691" xr:uid="{00000000-0005-0000-0000-0000B67B0000}"/>
    <cellStyle name="Обычный 9 87 8" xfId="42031" xr:uid="{00000000-0005-0000-0000-0000B77B0000}"/>
    <cellStyle name="Обычный 9 87 9" xfId="47371" xr:uid="{00000000-0005-0000-0000-0000B87B0000}"/>
    <cellStyle name="Обычный 9 88" xfId="4680" xr:uid="{00000000-0005-0000-0000-0000B97B0000}"/>
    <cellStyle name="Обычный 9 88 10" xfId="52743" xr:uid="{00000000-0005-0000-0000-0000BA7B0000}"/>
    <cellStyle name="Обычный 9 88 2" xfId="10023" xr:uid="{00000000-0005-0000-0000-0000BB7B0000}"/>
    <cellStyle name="Обычный 9 88 2 2" xfId="58084" xr:uid="{00000000-0005-0000-0000-0000BC7B0000}"/>
    <cellStyle name="Обычный 9 88 3" xfId="15363" xr:uid="{00000000-0005-0000-0000-0000BD7B0000}"/>
    <cellStyle name="Обычный 9 88 4" xfId="20703" xr:uid="{00000000-0005-0000-0000-0000BE7B0000}"/>
    <cellStyle name="Обычный 9 88 5" xfId="26043" xr:uid="{00000000-0005-0000-0000-0000BF7B0000}"/>
    <cellStyle name="Обычный 9 88 6" xfId="31383" xr:uid="{00000000-0005-0000-0000-0000C07B0000}"/>
    <cellStyle name="Обычный 9 88 7" xfId="36723" xr:uid="{00000000-0005-0000-0000-0000C17B0000}"/>
    <cellStyle name="Обычный 9 88 8" xfId="42063" xr:uid="{00000000-0005-0000-0000-0000C27B0000}"/>
    <cellStyle name="Обычный 9 88 9" xfId="47403" xr:uid="{00000000-0005-0000-0000-0000C37B0000}"/>
    <cellStyle name="Обычный 9 89" xfId="4712" xr:uid="{00000000-0005-0000-0000-0000C47B0000}"/>
    <cellStyle name="Обычный 9 89 10" xfId="52775" xr:uid="{00000000-0005-0000-0000-0000C57B0000}"/>
    <cellStyle name="Обычный 9 89 2" xfId="10055" xr:uid="{00000000-0005-0000-0000-0000C67B0000}"/>
    <cellStyle name="Обычный 9 89 2 2" xfId="58116" xr:uid="{00000000-0005-0000-0000-0000C77B0000}"/>
    <cellStyle name="Обычный 9 89 3" xfId="15395" xr:uid="{00000000-0005-0000-0000-0000C87B0000}"/>
    <cellStyle name="Обычный 9 89 4" xfId="20735" xr:uid="{00000000-0005-0000-0000-0000C97B0000}"/>
    <cellStyle name="Обычный 9 89 5" xfId="26075" xr:uid="{00000000-0005-0000-0000-0000CA7B0000}"/>
    <cellStyle name="Обычный 9 89 6" xfId="31415" xr:uid="{00000000-0005-0000-0000-0000CB7B0000}"/>
    <cellStyle name="Обычный 9 89 7" xfId="36755" xr:uid="{00000000-0005-0000-0000-0000CC7B0000}"/>
    <cellStyle name="Обычный 9 89 8" xfId="42095" xr:uid="{00000000-0005-0000-0000-0000CD7B0000}"/>
    <cellStyle name="Обычный 9 89 9" xfId="47435" xr:uid="{00000000-0005-0000-0000-0000CE7B0000}"/>
    <cellStyle name="Обычный 9 9" xfId="2169" xr:uid="{00000000-0005-0000-0000-0000CF7B0000}"/>
    <cellStyle name="Обычный 9 9 10" xfId="50233" xr:uid="{00000000-0005-0000-0000-0000D07B0000}"/>
    <cellStyle name="Обычный 9 9 2" xfId="7512" xr:uid="{00000000-0005-0000-0000-0000D17B0000}"/>
    <cellStyle name="Обычный 9 9 2 2" xfId="55574" xr:uid="{00000000-0005-0000-0000-0000D27B0000}"/>
    <cellStyle name="Обычный 9 9 3" xfId="12853" xr:uid="{00000000-0005-0000-0000-0000D37B0000}"/>
    <cellStyle name="Обычный 9 9 4" xfId="18193" xr:uid="{00000000-0005-0000-0000-0000D47B0000}"/>
    <cellStyle name="Обычный 9 9 5" xfId="23533" xr:uid="{00000000-0005-0000-0000-0000D57B0000}"/>
    <cellStyle name="Обычный 9 9 6" xfId="28873" xr:uid="{00000000-0005-0000-0000-0000D67B0000}"/>
    <cellStyle name="Обычный 9 9 7" xfId="34213" xr:uid="{00000000-0005-0000-0000-0000D77B0000}"/>
    <cellStyle name="Обычный 9 9 8" xfId="39553" xr:uid="{00000000-0005-0000-0000-0000D87B0000}"/>
    <cellStyle name="Обычный 9 9 9" xfId="44893" xr:uid="{00000000-0005-0000-0000-0000D97B0000}"/>
    <cellStyle name="Обычный 9 90" xfId="4746" xr:uid="{00000000-0005-0000-0000-0000DA7B0000}"/>
    <cellStyle name="Обычный 9 90 10" xfId="52809" xr:uid="{00000000-0005-0000-0000-0000DB7B0000}"/>
    <cellStyle name="Обычный 9 90 2" xfId="10089" xr:uid="{00000000-0005-0000-0000-0000DC7B0000}"/>
    <cellStyle name="Обычный 9 90 2 2" xfId="58150" xr:uid="{00000000-0005-0000-0000-0000DD7B0000}"/>
    <cellStyle name="Обычный 9 90 3" xfId="15429" xr:uid="{00000000-0005-0000-0000-0000DE7B0000}"/>
    <cellStyle name="Обычный 9 90 4" xfId="20769" xr:uid="{00000000-0005-0000-0000-0000DF7B0000}"/>
    <cellStyle name="Обычный 9 90 5" xfId="26109" xr:uid="{00000000-0005-0000-0000-0000E07B0000}"/>
    <cellStyle name="Обычный 9 90 6" xfId="31449" xr:uid="{00000000-0005-0000-0000-0000E17B0000}"/>
    <cellStyle name="Обычный 9 90 7" xfId="36789" xr:uid="{00000000-0005-0000-0000-0000E27B0000}"/>
    <cellStyle name="Обычный 9 90 8" xfId="42129" xr:uid="{00000000-0005-0000-0000-0000E37B0000}"/>
    <cellStyle name="Обычный 9 90 9" xfId="47469" xr:uid="{00000000-0005-0000-0000-0000E47B0000}"/>
    <cellStyle name="Обычный 9 91" xfId="4778" xr:uid="{00000000-0005-0000-0000-0000E57B0000}"/>
    <cellStyle name="Обычный 9 91 10" xfId="52841" xr:uid="{00000000-0005-0000-0000-0000E67B0000}"/>
    <cellStyle name="Обычный 9 91 2" xfId="10121" xr:uid="{00000000-0005-0000-0000-0000E77B0000}"/>
    <cellStyle name="Обычный 9 91 2 2" xfId="58182" xr:uid="{00000000-0005-0000-0000-0000E87B0000}"/>
    <cellStyle name="Обычный 9 91 3" xfId="15461" xr:uid="{00000000-0005-0000-0000-0000E97B0000}"/>
    <cellStyle name="Обычный 9 91 4" xfId="20801" xr:uid="{00000000-0005-0000-0000-0000EA7B0000}"/>
    <cellStyle name="Обычный 9 91 5" xfId="26141" xr:uid="{00000000-0005-0000-0000-0000EB7B0000}"/>
    <cellStyle name="Обычный 9 91 6" xfId="31481" xr:uid="{00000000-0005-0000-0000-0000EC7B0000}"/>
    <cellStyle name="Обычный 9 91 7" xfId="36821" xr:uid="{00000000-0005-0000-0000-0000ED7B0000}"/>
    <cellStyle name="Обычный 9 91 8" xfId="42161" xr:uid="{00000000-0005-0000-0000-0000EE7B0000}"/>
    <cellStyle name="Обычный 9 91 9" xfId="47501" xr:uid="{00000000-0005-0000-0000-0000EF7B0000}"/>
    <cellStyle name="Обычный 9 92" xfId="4810" xr:uid="{00000000-0005-0000-0000-0000F07B0000}"/>
    <cellStyle name="Обычный 9 92 10" xfId="52873" xr:uid="{00000000-0005-0000-0000-0000F17B0000}"/>
    <cellStyle name="Обычный 9 92 2" xfId="10153" xr:uid="{00000000-0005-0000-0000-0000F27B0000}"/>
    <cellStyle name="Обычный 9 92 2 2" xfId="58214" xr:uid="{00000000-0005-0000-0000-0000F37B0000}"/>
    <cellStyle name="Обычный 9 92 3" xfId="15493" xr:uid="{00000000-0005-0000-0000-0000F47B0000}"/>
    <cellStyle name="Обычный 9 92 4" xfId="20833" xr:uid="{00000000-0005-0000-0000-0000F57B0000}"/>
    <cellStyle name="Обычный 9 92 5" xfId="26173" xr:uid="{00000000-0005-0000-0000-0000F67B0000}"/>
    <cellStyle name="Обычный 9 92 6" xfId="31513" xr:uid="{00000000-0005-0000-0000-0000F77B0000}"/>
    <cellStyle name="Обычный 9 92 7" xfId="36853" xr:uid="{00000000-0005-0000-0000-0000F87B0000}"/>
    <cellStyle name="Обычный 9 92 8" xfId="42193" xr:uid="{00000000-0005-0000-0000-0000F97B0000}"/>
    <cellStyle name="Обычный 9 92 9" xfId="47533" xr:uid="{00000000-0005-0000-0000-0000FA7B0000}"/>
    <cellStyle name="Обычный 9 93" xfId="4842" xr:uid="{00000000-0005-0000-0000-0000FB7B0000}"/>
    <cellStyle name="Обычный 9 93 10" xfId="52905" xr:uid="{00000000-0005-0000-0000-0000FC7B0000}"/>
    <cellStyle name="Обычный 9 93 2" xfId="10185" xr:uid="{00000000-0005-0000-0000-0000FD7B0000}"/>
    <cellStyle name="Обычный 9 93 2 2" xfId="58246" xr:uid="{00000000-0005-0000-0000-0000FE7B0000}"/>
    <cellStyle name="Обычный 9 93 3" xfId="15525" xr:uid="{00000000-0005-0000-0000-0000FF7B0000}"/>
    <cellStyle name="Обычный 9 93 4" xfId="20865" xr:uid="{00000000-0005-0000-0000-0000007C0000}"/>
    <cellStyle name="Обычный 9 93 5" xfId="26205" xr:uid="{00000000-0005-0000-0000-0000017C0000}"/>
    <cellStyle name="Обычный 9 93 6" xfId="31545" xr:uid="{00000000-0005-0000-0000-0000027C0000}"/>
    <cellStyle name="Обычный 9 93 7" xfId="36885" xr:uid="{00000000-0005-0000-0000-0000037C0000}"/>
    <cellStyle name="Обычный 9 93 8" xfId="42225" xr:uid="{00000000-0005-0000-0000-0000047C0000}"/>
    <cellStyle name="Обычный 9 93 9" xfId="47565" xr:uid="{00000000-0005-0000-0000-0000057C0000}"/>
    <cellStyle name="Обычный 9 94" xfId="4874" xr:uid="{00000000-0005-0000-0000-0000067C0000}"/>
    <cellStyle name="Обычный 9 94 10" xfId="52937" xr:uid="{00000000-0005-0000-0000-0000077C0000}"/>
    <cellStyle name="Обычный 9 94 2" xfId="10217" xr:uid="{00000000-0005-0000-0000-0000087C0000}"/>
    <cellStyle name="Обычный 9 94 2 2" xfId="58278" xr:uid="{00000000-0005-0000-0000-0000097C0000}"/>
    <cellStyle name="Обычный 9 94 3" xfId="15557" xr:uid="{00000000-0005-0000-0000-00000A7C0000}"/>
    <cellStyle name="Обычный 9 94 4" xfId="20897" xr:uid="{00000000-0005-0000-0000-00000B7C0000}"/>
    <cellStyle name="Обычный 9 94 5" xfId="26237" xr:uid="{00000000-0005-0000-0000-00000C7C0000}"/>
    <cellStyle name="Обычный 9 94 6" xfId="31577" xr:uid="{00000000-0005-0000-0000-00000D7C0000}"/>
    <cellStyle name="Обычный 9 94 7" xfId="36917" xr:uid="{00000000-0005-0000-0000-00000E7C0000}"/>
    <cellStyle name="Обычный 9 94 8" xfId="42257" xr:uid="{00000000-0005-0000-0000-00000F7C0000}"/>
    <cellStyle name="Обычный 9 94 9" xfId="47597" xr:uid="{00000000-0005-0000-0000-0000107C0000}"/>
    <cellStyle name="Обычный 9 95" xfId="4906" xr:uid="{00000000-0005-0000-0000-0000117C0000}"/>
    <cellStyle name="Обычный 9 95 10" xfId="52969" xr:uid="{00000000-0005-0000-0000-0000127C0000}"/>
    <cellStyle name="Обычный 9 95 2" xfId="10249" xr:uid="{00000000-0005-0000-0000-0000137C0000}"/>
    <cellStyle name="Обычный 9 95 2 2" xfId="58310" xr:uid="{00000000-0005-0000-0000-0000147C0000}"/>
    <cellStyle name="Обычный 9 95 3" xfId="15589" xr:uid="{00000000-0005-0000-0000-0000157C0000}"/>
    <cellStyle name="Обычный 9 95 4" xfId="20929" xr:uid="{00000000-0005-0000-0000-0000167C0000}"/>
    <cellStyle name="Обычный 9 95 5" xfId="26269" xr:uid="{00000000-0005-0000-0000-0000177C0000}"/>
    <cellStyle name="Обычный 9 95 6" xfId="31609" xr:uid="{00000000-0005-0000-0000-0000187C0000}"/>
    <cellStyle name="Обычный 9 95 7" xfId="36949" xr:uid="{00000000-0005-0000-0000-0000197C0000}"/>
    <cellStyle name="Обычный 9 95 8" xfId="42289" xr:uid="{00000000-0005-0000-0000-00001A7C0000}"/>
    <cellStyle name="Обычный 9 95 9" xfId="47629" xr:uid="{00000000-0005-0000-0000-00001B7C0000}"/>
    <cellStyle name="Обычный 9 96" xfId="4938" xr:uid="{00000000-0005-0000-0000-00001C7C0000}"/>
    <cellStyle name="Обычный 9 96 10" xfId="53001" xr:uid="{00000000-0005-0000-0000-00001D7C0000}"/>
    <cellStyle name="Обычный 9 96 2" xfId="10281" xr:uid="{00000000-0005-0000-0000-00001E7C0000}"/>
    <cellStyle name="Обычный 9 96 2 2" xfId="58342" xr:uid="{00000000-0005-0000-0000-00001F7C0000}"/>
    <cellStyle name="Обычный 9 96 3" xfId="15621" xr:uid="{00000000-0005-0000-0000-0000207C0000}"/>
    <cellStyle name="Обычный 9 96 4" xfId="20961" xr:uid="{00000000-0005-0000-0000-0000217C0000}"/>
    <cellStyle name="Обычный 9 96 5" xfId="26301" xr:uid="{00000000-0005-0000-0000-0000227C0000}"/>
    <cellStyle name="Обычный 9 96 6" xfId="31641" xr:uid="{00000000-0005-0000-0000-0000237C0000}"/>
    <cellStyle name="Обычный 9 96 7" xfId="36981" xr:uid="{00000000-0005-0000-0000-0000247C0000}"/>
    <cellStyle name="Обычный 9 96 8" xfId="42321" xr:uid="{00000000-0005-0000-0000-0000257C0000}"/>
    <cellStyle name="Обычный 9 96 9" xfId="47661" xr:uid="{00000000-0005-0000-0000-0000267C0000}"/>
    <cellStyle name="Обычный 9 97" xfId="4970" xr:uid="{00000000-0005-0000-0000-0000277C0000}"/>
    <cellStyle name="Обычный 9 97 10" xfId="53033" xr:uid="{00000000-0005-0000-0000-0000287C0000}"/>
    <cellStyle name="Обычный 9 97 2" xfId="10313" xr:uid="{00000000-0005-0000-0000-0000297C0000}"/>
    <cellStyle name="Обычный 9 97 2 2" xfId="58374" xr:uid="{00000000-0005-0000-0000-00002A7C0000}"/>
    <cellStyle name="Обычный 9 97 3" xfId="15653" xr:uid="{00000000-0005-0000-0000-00002B7C0000}"/>
    <cellStyle name="Обычный 9 97 4" xfId="20993" xr:uid="{00000000-0005-0000-0000-00002C7C0000}"/>
    <cellStyle name="Обычный 9 97 5" xfId="26333" xr:uid="{00000000-0005-0000-0000-00002D7C0000}"/>
    <cellStyle name="Обычный 9 97 6" xfId="31673" xr:uid="{00000000-0005-0000-0000-00002E7C0000}"/>
    <cellStyle name="Обычный 9 97 7" xfId="37013" xr:uid="{00000000-0005-0000-0000-00002F7C0000}"/>
    <cellStyle name="Обычный 9 97 8" xfId="42353" xr:uid="{00000000-0005-0000-0000-0000307C0000}"/>
    <cellStyle name="Обычный 9 97 9" xfId="47693" xr:uid="{00000000-0005-0000-0000-0000317C0000}"/>
    <cellStyle name="Обычный 9 98" xfId="5002" xr:uid="{00000000-0005-0000-0000-0000327C0000}"/>
    <cellStyle name="Обычный 9 98 10" xfId="53065" xr:uid="{00000000-0005-0000-0000-0000337C0000}"/>
    <cellStyle name="Обычный 9 98 2" xfId="10345" xr:uid="{00000000-0005-0000-0000-0000347C0000}"/>
    <cellStyle name="Обычный 9 98 2 2" xfId="58406" xr:uid="{00000000-0005-0000-0000-0000357C0000}"/>
    <cellStyle name="Обычный 9 98 3" xfId="15685" xr:uid="{00000000-0005-0000-0000-0000367C0000}"/>
    <cellStyle name="Обычный 9 98 4" xfId="21025" xr:uid="{00000000-0005-0000-0000-0000377C0000}"/>
    <cellStyle name="Обычный 9 98 5" xfId="26365" xr:uid="{00000000-0005-0000-0000-0000387C0000}"/>
    <cellStyle name="Обычный 9 98 6" xfId="31705" xr:uid="{00000000-0005-0000-0000-0000397C0000}"/>
    <cellStyle name="Обычный 9 98 7" xfId="37045" xr:uid="{00000000-0005-0000-0000-00003A7C0000}"/>
    <cellStyle name="Обычный 9 98 8" xfId="42385" xr:uid="{00000000-0005-0000-0000-00003B7C0000}"/>
    <cellStyle name="Обычный 9 98 9" xfId="47725" xr:uid="{00000000-0005-0000-0000-00003C7C0000}"/>
    <cellStyle name="Обычный 9 99" xfId="5034" xr:uid="{00000000-0005-0000-0000-00003D7C0000}"/>
    <cellStyle name="Обычный 9 99 10" xfId="53097" xr:uid="{00000000-0005-0000-0000-00003E7C0000}"/>
    <cellStyle name="Обычный 9 99 2" xfId="10377" xr:uid="{00000000-0005-0000-0000-00003F7C0000}"/>
    <cellStyle name="Обычный 9 99 2 2" xfId="58438" xr:uid="{00000000-0005-0000-0000-0000407C0000}"/>
    <cellStyle name="Обычный 9 99 3" xfId="15717" xr:uid="{00000000-0005-0000-0000-0000417C0000}"/>
    <cellStyle name="Обычный 9 99 4" xfId="21057" xr:uid="{00000000-0005-0000-0000-0000427C0000}"/>
    <cellStyle name="Обычный 9 99 5" xfId="26397" xr:uid="{00000000-0005-0000-0000-0000437C0000}"/>
    <cellStyle name="Обычный 9 99 6" xfId="31737" xr:uid="{00000000-0005-0000-0000-0000447C0000}"/>
    <cellStyle name="Обычный 9 99 7" xfId="37077" xr:uid="{00000000-0005-0000-0000-0000457C0000}"/>
    <cellStyle name="Обычный 9 99 8" xfId="42417" xr:uid="{00000000-0005-0000-0000-0000467C0000}"/>
    <cellStyle name="Обычный 9 99 9" xfId="47757" xr:uid="{00000000-0005-0000-0000-0000477C0000}"/>
    <cellStyle name="Пояснение 2" xfId="34" xr:uid="{00000000-0005-0000-0000-0000487C0000}"/>
    <cellStyle name="Пояснение 3" xfId="40" xr:uid="{00000000-0005-0000-0000-0000497C0000}"/>
    <cellStyle name="Пояснение 4" xfId="53" xr:uid="{00000000-0005-0000-0000-00004A7C0000}"/>
    <cellStyle name="Примечание 2" xfId="60516" xr:uid="{00000000-0005-0000-0000-00004B7C0000}"/>
    <cellStyle name="Примечание 2 2" xfId="61136" xr:uid="{00000000-0005-0000-0000-00004C7C0000}"/>
    <cellStyle name="Примечание 2 3" xfId="61282" xr:uid="{00000000-0005-0000-0000-00004D7C0000}"/>
    <cellStyle name="Примечание 2 4" xfId="61426" xr:uid="{00000000-0005-0000-0000-00004E7C0000}"/>
    <cellStyle name="Примечание 2 5" xfId="61570" xr:uid="{00000000-0005-0000-0000-00004F7C0000}"/>
    <cellStyle name="Примечание 2 6" xfId="61714" xr:uid="{00000000-0005-0000-0000-0000507C0000}"/>
    <cellStyle name="Примечание 2 7" xfId="61858" xr:uid="{00000000-0005-0000-0000-0000517C0000}"/>
    <cellStyle name="Примечание 3" xfId="60517" xr:uid="{00000000-0005-0000-0000-0000527C0000}"/>
    <cellStyle name="Примечание 3 2" xfId="61137" xr:uid="{00000000-0005-0000-0000-0000537C0000}"/>
    <cellStyle name="Примечание 3 3" xfId="61283" xr:uid="{00000000-0005-0000-0000-0000547C0000}"/>
    <cellStyle name="Примечание 3 4" xfId="61427" xr:uid="{00000000-0005-0000-0000-0000557C0000}"/>
    <cellStyle name="Примечание 3 5" xfId="61571" xr:uid="{00000000-0005-0000-0000-0000567C0000}"/>
    <cellStyle name="Примечание 3 6" xfId="61715" xr:uid="{00000000-0005-0000-0000-0000577C0000}"/>
    <cellStyle name="Примечание 3 7" xfId="61859" xr:uid="{00000000-0005-0000-0000-0000587C0000}"/>
    <cellStyle name="Процентный 10" xfId="2142" xr:uid="{00000000-0005-0000-0000-00005A7C0000}"/>
    <cellStyle name="Процентный 10 10" xfId="2412" xr:uid="{00000000-0005-0000-0000-00005B7C0000}"/>
    <cellStyle name="Процентный 10 10 10" xfId="50476" xr:uid="{00000000-0005-0000-0000-00005C7C0000}"/>
    <cellStyle name="Процентный 10 10 2" xfId="7755" xr:uid="{00000000-0005-0000-0000-00005D7C0000}"/>
    <cellStyle name="Процентный 10 10 2 2" xfId="55817" xr:uid="{00000000-0005-0000-0000-00005E7C0000}"/>
    <cellStyle name="Процентный 10 10 3" xfId="13096" xr:uid="{00000000-0005-0000-0000-00005F7C0000}"/>
    <cellStyle name="Процентный 10 10 4" xfId="18436" xr:uid="{00000000-0005-0000-0000-0000607C0000}"/>
    <cellStyle name="Процентный 10 10 5" xfId="23776" xr:uid="{00000000-0005-0000-0000-0000617C0000}"/>
    <cellStyle name="Процентный 10 10 6" xfId="29116" xr:uid="{00000000-0005-0000-0000-0000627C0000}"/>
    <cellStyle name="Процентный 10 10 7" xfId="34456" xr:uid="{00000000-0005-0000-0000-0000637C0000}"/>
    <cellStyle name="Процентный 10 10 8" xfId="39796" xr:uid="{00000000-0005-0000-0000-0000647C0000}"/>
    <cellStyle name="Процентный 10 10 9" xfId="45136" xr:uid="{00000000-0005-0000-0000-0000657C0000}"/>
    <cellStyle name="Процентный 10 100" xfId="5293" xr:uid="{00000000-0005-0000-0000-0000667C0000}"/>
    <cellStyle name="Процентный 10 100 10" xfId="53356" xr:uid="{00000000-0005-0000-0000-0000677C0000}"/>
    <cellStyle name="Процентный 10 100 2" xfId="10636" xr:uid="{00000000-0005-0000-0000-0000687C0000}"/>
    <cellStyle name="Процентный 10 100 2 2" xfId="58697" xr:uid="{00000000-0005-0000-0000-0000697C0000}"/>
    <cellStyle name="Процентный 10 100 3" xfId="15976" xr:uid="{00000000-0005-0000-0000-00006A7C0000}"/>
    <cellStyle name="Процентный 10 100 4" xfId="21316" xr:uid="{00000000-0005-0000-0000-00006B7C0000}"/>
    <cellStyle name="Процентный 10 100 5" xfId="26656" xr:uid="{00000000-0005-0000-0000-00006C7C0000}"/>
    <cellStyle name="Процентный 10 100 6" xfId="31996" xr:uid="{00000000-0005-0000-0000-00006D7C0000}"/>
    <cellStyle name="Процентный 10 100 7" xfId="37336" xr:uid="{00000000-0005-0000-0000-00006E7C0000}"/>
    <cellStyle name="Процентный 10 100 8" xfId="42676" xr:uid="{00000000-0005-0000-0000-00006F7C0000}"/>
    <cellStyle name="Процентный 10 100 9" xfId="48016" xr:uid="{00000000-0005-0000-0000-0000707C0000}"/>
    <cellStyle name="Процентный 10 101" xfId="5325" xr:uid="{00000000-0005-0000-0000-0000717C0000}"/>
    <cellStyle name="Процентный 10 101 10" xfId="53388" xr:uid="{00000000-0005-0000-0000-0000727C0000}"/>
    <cellStyle name="Процентный 10 101 2" xfId="10668" xr:uid="{00000000-0005-0000-0000-0000737C0000}"/>
    <cellStyle name="Процентный 10 101 2 2" xfId="58729" xr:uid="{00000000-0005-0000-0000-0000747C0000}"/>
    <cellStyle name="Процентный 10 101 3" xfId="16008" xr:uid="{00000000-0005-0000-0000-0000757C0000}"/>
    <cellStyle name="Процентный 10 101 4" xfId="21348" xr:uid="{00000000-0005-0000-0000-0000767C0000}"/>
    <cellStyle name="Процентный 10 101 5" xfId="26688" xr:uid="{00000000-0005-0000-0000-0000777C0000}"/>
    <cellStyle name="Процентный 10 101 6" xfId="32028" xr:uid="{00000000-0005-0000-0000-0000787C0000}"/>
    <cellStyle name="Процентный 10 101 7" xfId="37368" xr:uid="{00000000-0005-0000-0000-0000797C0000}"/>
    <cellStyle name="Процентный 10 101 8" xfId="42708" xr:uid="{00000000-0005-0000-0000-00007A7C0000}"/>
    <cellStyle name="Процентный 10 101 9" xfId="48048" xr:uid="{00000000-0005-0000-0000-00007B7C0000}"/>
    <cellStyle name="Процентный 10 102" xfId="5357" xr:uid="{00000000-0005-0000-0000-00007C7C0000}"/>
    <cellStyle name="Процентный 10 102 10" xfId="53420" xr:uid="{00000000-0005-0000-0000-00007D7C0000}"/>
    <cellStyle name="Процентный 10 102 2" xfId="10700" xr:uid="{00000000-0005-0000-0000-00007E7C0000}"/>
    <cellStyle name="Процентный 10 102 2 2" xfId="58761" xr:uid="{00000000-0005-0000-0000-00007F7C0000}"/>
    <cellStyle name="Процентный 10 102 3" xfId="16040" xr:uid="{00000000-0005-0000-0000-0000807C0000}"/>
    <cellStyle name="Процентный 10 102 4" xfId="21380" xr:uid="{00000000-0005-0000-0000-0000817C0000}"/>
    <cellStyle name="Процентный 10 102 5" xfId="26720" xr:uid="{00000000-0005-0000-0000-0000827C0000}"/>
    <cellStyle name="Процентный 10 102 6" xfId="32060" xr:uid="{00000000-0005-0000-0000-0000837C0000}"/>
    <cellStyle name="Процентный 10 102 7" xfId="37400" xr:uid="{00000000-0005-0000-0000-0000847C0000}"/>
    <cellStyle name="Процентный 10 102 8" xfId="42740" xr:uid="{00000000-0005-0000-0000-0000857C0000}"/>
    <cellStyle name="Процентный 10 102 9" xfId="48080" xr:uid="{00000000-0005-0000-0000-0000867C0000}"/>
    <cellStyle name="Процентный 10 103" xfId="5389" xr:uid="{00000000-0005-0000-0000-0000877C0000}"/>
    <cellStyle name="Процентный 10 103 10" xfId="53452" xr:uid="{00000000-0005-0000-0000-0000887C0000}"/>
    <cellStyle name="Процентный 10 103 2" xfId="10732" xr:uid="{00000000-0005-0000-0000-0000897C0000}"/>
    <cellStyle name="Процентный 10 103 2 2" xfId="58793" xr:uid="{00000000-0005-0000-0000-00008A7C0000}"/>
    <cellStyle name="Процентный 10 103 3" xfId="16072" xr:uid="{00000000-0005-0000-0000-00008B7C0000}"/>
    <cellStyle name="Процентный 10 103 4" xfId="21412" xr:uid="{00000000-0005-0000-0000-00008C7C0000}"/>
    <cellStyle name="Процентный 10 103 5" xfId="26752" xr:uid="{00000000-0005-0000-0000-00008D7C0000}"/>
    <cellStyle name="Процентный 10 103 6" xfId="32092" xr:uid="{00000000-0005-0000-0000-00008E7C0000}"/>
    <cellStyle name="Процентный 10 103 7" xfId="37432" xr:uid="{00000000-0005-0000-0000-00008F7C0000}"/>
    <cellStyle name="Процентный 10 103 8" xfId="42772" xr:uid="{00000000-0005-0000-0000-0000907C0000}"/>
    <cellStyle name="Процентный 10 103 9" xfId="48112" xr:uid="{00000000-0005-0000-0000-0000917C0000}"/>
    <cellStyle name="Процентный 10 104" xfId="7485" xr:uid="{00000000-0005-0000-0000-0000927C0000}"/>
    <cellStyle name="Процентный 10 104 2" xfId="55547" xr:uid="{00000000-0005-0000-0000-0000937C0000}"/>
    <cellStyle name="Процентный 10 105" xfId="12826" xr:uid="{00000000-0005-0000-0000-0000947C0000}"/>
    <cellStyle name="Процентный 10 106" xfId="18166" xr:uid="{00000000-0005-0000-0000-0000957C0000}"/>
    <cellStyle name="Процентный 10 107" xfId="23506" xr:uid="{00000000-0005-0000-0000-0000967C0000}"/>
    <cellStyle name="Процентный 10 108" xfId="28846" xr:uid="{00000000-0005-0000-0000-0000977C0000}"/>
    <cellStyle name="Процентный 10 109" xfId="34186" xr:uid="{00000000-0005-0000-0000-0000987C0000}"/>
    <cellStyle name="Процентный 10 11" xfId="2442" xr:uid="{00000000-0005-0000-0000-0000997C0000}"/>
    <cellStyle name="Процентный 10 11 10" xfId="50506" xr:uid="{00000000-0005-0000-0000-00009A7C0000}"/>
    <cellStyle name="Процентный 10 11 2" xfId="7785" xr:uid="{00000000-0005-0000-0000-00009B7C0000}"/>
    <cellStyle name="Процентный 10 11 2 2" xfId="55847" xr:uid="{00000000-0005-0000-0000-00009C7C0000}"/>
    <cellStyle name="Процентный 10 11 3" xfId="13126" xr:uid="{00000000-0005-0000-0000-00009D7C0000}"/>
    <cellStyle name="Процентный 10 11 4" xfId="18466" xr:uid="{00000000-0005-0000-0000-00009E7C0000}"/>
    <cellStyle name="Процентный 10 11 5" xfId="23806" xr:uid="{00000000-0005-0000-0000-00009F7C0000}"/>
    <cellStyle name="Процентный 10 11 6" xfId="29146" xr:uid="{00000000-0005-0000-0000-0000A07C0000}"/>
    <cellStyle name="Процентный 10 11 7" xfId="34486" xr:uid="{00000000-0005-0000-0000-0000A17C0000}"/>
    <cellStyle name="Процентный 10 11 8" xfId="39826" xr:uid="{00000000-0005-0000-0000-0000A27C0000}"/>
    <cellStyle name="Процентный 10 11 9" xfId="45166" xr:uid="{00000000-0005-0000-0000-0000A37C0000}"/>
    <cellStyle name="Процентный 10 110" xfId="39526" xr:uid="{00000000-0005-0000-0000-0000A47C0000}"/>
    <cellStyle name="Процентный 10 111" xfId="44866" xr:uid="{00000000-0005-0000-0000-0000A57C0000}"/>
    <cellStyle name="Процентный 10 112" xfId="50206" xr:uid="{00000000-0005-0000-0000-0000A67C0000}"/>
    <cellStyle name="Процентный 10 12" xfId="2472" xr:uid="{00000000-0005-0000-0000-0000A77C0000}"/>
    <cellStyle name="Процентный 10 12 10" xfId="50536" xr:uid="{00000000-0005-0000-0000-0000A87C0000}"/>
    <cellStyle name="Процентный 10 12 2" xfId="7815" xr:uid="{00000000-0005-0000-0000-0000A97C0000}"/>
    <cellStyle name="Процентный 10 12 2 2" xfId="55877" xr:uid="{00000000-0005-0000-0000-0000AA7C0000}"/>
    <cellStyle name="Процентный 10 12 3" xfId="13156" xr:uid="{00000000-0005-0000-0000-0000AB7C0000}"/>
    <cellStyle name="Процентный 10 12 4" xfId="18496" xr:uid="{00000000-0005-0000-0000-0000AC7C0000}"/>
    <cellStyle name="Процентный 10 12 5" xfId="23836" xr:uid="{00000000-0005-0000-0000-0000AD7C0000}"/>
    <cellStyle name="Процентный 10 12 6" xfId="29176" xr:uid="{00000000-0005-0000-0000-0000AE7C0000}"/>
    <cellStyle name="Процентный 10 12 7" xfId="34516" xr:uid="{00000000-0005-0000-0000-0000AF7C0000}"/>
    <cellStyle name="Процентный 10 12 8" xfId="39856" xr:uid="{00000000-0005-0000-0000-0000B07C0000}"/>
    <cellStyle name="Процентный 10 12 9" xfId="45196" xr:uid="{00000000-0005-0000-0000-0000B17C0000}"/>
    <cellStyle name="Процентный 10 13" xfId="2502" xr:uid="{00000000-0005-0000-0000-0000B27C0000}"/>
    <cellStyle name="Процентный 10 13 10" xfId="50566" xr:uid="{00000000-0005-0000-0000-0000B37C0000}"/>
    <cellStyle name="Процентный 10 13 2" xfId="7845" xr:uid="{00000000-0005-0000-0000-0000B47C0000}"/>
    <cellStyle name="Процентный 10 13 2 2" xfId="55907" xr:uid="{00000000-0005-0000-0000-0000B57C0000}"/>
    <cellStyle name="Процентный 10 13 3" xfId="13186" xr:uid="{00000000-0005-0000-0000-0000B67C0000}"/>
    <cellStyle name="Процентный 10 13 4" xfId="18526" xr:uid="{00000000-0005-0000-0000-0000B77C0000}"/>
    <cellStyle name="Процентный 10 13 5" xfId="23866" xr:uid="{00000000-0005-0000-0000-0000B87C0000}"/>
    <cellStyle name="Процентный 10 13 6" xfId="29206" xr:uid="{00000000-0005-0000-0000-0000B97C0000}"/>
    <cellStyle name="Процентный 10 13 7" xfId="34546" xr:uid="{00000000-0005-0000-0000-0000BA7C0000}"/>
    <cellStyle name="Процентный 10 13 8" xfId="39886" xr:uid="{00000000-0005-0000-0000-0000BB7C0000}"/>
    <cellStyle name="Процентный 10 13 9" xfId="45226" xr:uid="{00000000-0005-0000-0000-0000BC7C0000}"/>
    <cellStyle name="Процентный 10 14" xfId="2534" xr:uid="{00000000-0005-0000-0000-0000BD7C0000}"/>
    <cellStyle name="Процентный 10 14 10" xfId="50598" xr:uid="{00000000-0005-0000-0000-0000BE7C0000}"/>
    <cellStyle name="Процентный 10 14 2" xfId="7877" xr:uid="{00000000-0005-0000-0000-0000BF7C0000}"/>
    <cellStyle name="Процентный 10 14 2 2" xfId="55939" xr:uid="{00000000-0005-0000-0000-0000C07C0000}"/>
    <cellStyle name="Процентный 10 14 3" xfId="13218" xr:uid="{00000000-0005-0000-0000-0000C17C0000}"/>
    <cellStyle name="Процентный 10 14 4" xfId="18558" xr:uid="{00000000-0005-0000-0000-0000C27C0000}"/>
    <cellStyle name="Процентный 10 14 5" xfId="23898" xr:uid="{00000000-0005-0000-0000-0000C37C0000}"/>
    <cellStyle name="Процентный 10 14 6" xfId="29238" xr:uid="{00000000-0005-0000-0000-0000C47C0000}"/>
    <cellStyle name="Процентный 10 14 7" xfId="34578" xr:uid="{00000000-0005-0000-0000-0000C57C0000}"/>
    <cellStyle name="Процентный 10 14 8" xfId="39918" xr:uid="{00000000-0005-0000-0000-0000C67C0000}"/>
    <cellStyle name="Процентный 10 14 9" xfId="45258" xr:uid="{00000000-0005-0000-0000-0000C77C0000}"/>
    <cellStyle name="Процентный 10 15" xfId="2568" xr:uid="{00000000-0005-0000-0000-0000C87C0000}"/>
    <cellStyle name="Процентный 10 15 10" xfId="50632" xr:uid="{00000000-0005-0000-0000-0000C97C0000}"/>
    <cellStyle name="Процентный 10 15 2" xfId="7911" xr:uid="{00000000-0005-0000-0000-0000CA7C0000}"/>
    <cellStyle name="Процентный 10 15 2 2" xfId="55973" xr:uid="{00000000-0005-0000-0000-0000CB7C0000}"/>
    <cellStyle name="Процентный 10 15 3" xfId="13252" xr:uid="{00000000-0005-0000-0000-0000CC7C0000}"/>
    <cellStyle name="Процентный 10 15 4" xfId="18592" xr:uid="{00000000-0005-0000-0000-0000CD7C0000}"/>
    <cellStyle name="Процентный 10 15 5" xfId="23932" xr:uid="{00000000-0005-0000-0000-0000CE7C0000}"/>
    <cellStyle name="Процентный 10 15 6" xfId="29272" xr:uid="{00000000-0005-0000-0000-0000CF7C0000}"/>
    <cellStyle name="Процентный 10 15 7" xfId="34612" xr:uid="{00000000-0005-0000-0000-0000D07C0000}"/>
    <cellStyle name="Процентный 10 15 8" xfId="39952" xr:uid="{00000000-0005-0000-0000-0000D17C0000}"/>
    <cellStyle name="Процентный 10 15 9" xfId="45292" xr:uid="{00000000-0005-0000-0000-0000D27C0000}"/>
    <cellStyle name="Процентный 10 16" xfId="2600" xr:uid="{00000000-0005-0000-0000-0000D37C0000}"/>
    <cellStyle name="Процентный 10 16 10" xfId="50664" xr:uid="{00000000-0005-0000-0000-0000D47C0000}"/>
    <cellStyle name="Процентный 10 16 2" xfId="7943" xr:uid="{00000000-0005-0000-0000-0000D57C0000}"/>
    <cellStyle name="Процентный 10 16 2 2" xfId="56005" xr:uid="{00000000-0005-0000-0000-0000D67C0000}"/>
    <cellStyle name="Процентный 10 16 3" xfId="13284" xr:uid="{00000000-0005-0000-0000-0000D77C0000}"/>
    <cellStyle name="Процентный 10 16 4" xfId="18624" xr:uid="{00000000-0005-0000-0000-0000D87C0000}"/>
    <cellStyle name="Процентный 10 16 5" xfId="23964" xr:uid="{00000000-0005-0000-0000-0000D97C0000}"/>
    <cellStyle name="Процентный 10 16 6" xfId="29304" xr:uid="{00000000-0005-0000-0000-0000DA7C0000}"/>
    <cellStyle name="Процентный 10 16 7" xfId="34644" xr:uid="{00000000-0005-0000-0000-0000DB7C0000}"/>
    <cellStyle name="Процентный 10 16 8" xfId="39984" xr:uid="{00000000-0005-0000-0000-0000DC7C0000}"/>
    <cellStyle name="Процентный 10 16 9" xfId="45324" xr:uid="{00000000-0005-0000-0000-0000DD7C0000}"/>
    <cellStyle name="Процентный 10 17" xfId="2632" xr:uid="{00000000-0005-0000-0000-0000DE7C0000}"/>
    <cellStyle name="Процентный 10 17 10" xfId="50696" xr:uid="{00000000-0005-0000-0000-0000DF7C0000}"/>
    <cellStyle name="Процентный 10 17 2" xfId="7975" xr:uid="{00000000-0005-0000-0000-0000E07C0000}"/>
    <cellStyle name="Процентный 10 17 2 2" xfId="56037" xr:uid="{00000000-0005-0000-0000-0000E17C0000}"/>
    <cellStyle name="Процентный 10 17 3" xfId="13316" xr:uid="{00000000-0005-0000-0000-0000E27C0000}"/>
    <cellStyle name="Процентный 10 17 4" xfId="18656" xr:uid="{00000000-0005-0000-0000-0000E37C0000}"/>
    <cellStyle name="Процентный 10 17 5" xfId="23996" xr:uid="{00000000-0005-0000-0000-0000E47C0000}"/>
    <cellStyle name="Процентный 10 17 6" xfId="29336" xr:uid="{00000000-0005-0000-0000-0000E57C0000}"/>
    <cellStyle name="Процентный 10 17 7" xfId="34676" xr:uid="{00000000-0005-0000-0000-0000E67C0000}"/>
    <cellStyle name="Процентный 10 17 8" xfId="40016" xr:uid="{00000000-0005-0000-0000-0000E77C0000}"/>
    <cellStyle name="Процентный 10 17 9" xfId="45356" xr:uid="{00000000-0005-0000-0000-0000E87C0000}"/>
    <cellStyle name="Процентный 10 18" xfId="2664" xr:uid="{00000000-0005-0000-0000-0000E97C0000}"/>
    <cellStyle name="Процентный 10 18 10" xfId="50728" xr:uid="{00000000-0005-0000-0000-0000EA7C0000}"/>
    <cellStyle name="Процентный 10 18 2" xfId="8007" xr:uid="{00000000-0005-0000-0000-0000EB7C0000}"/>
    <cellStyle name="Процентный 10 18 2 2" xfId="56069" xr:uid="{00000000-0005-0000-0000-0000EC7C0000}"/>
    <cellStyle name="Процентный 10 18 3" xfId="13348" xr:uid="{00000000-0005-0000-0000-0000ED7C0000}"/>
    <cellStyle name="Процентный 10 18 4" xfId="18688" xr:uid="{00000000-0005-0000-0000-0000EE7C0000}"/>
    <cellStyle name="Процентный 10 18 5" xfId="24028" xr:uid="{00000000-0005-0000-0000-0000EF7C0000}"/>
    <cellStyle name="Процентный 10 18 6" xfId="29368" xr:uid="{00000000-0005-0000-0000-0000F07C0000}"/>
    <cellStyle name="Процентный 10 18 7" xfId="34708" xr:uid="{00000000-0005-0000-0000-0000F17C0000}"/>
    <cellStyle name="Процентный 10 18 8" xfId="40048" xr:uid="{00000000-0005-0000-0000-0000F27C0000}"/>
    <cellStyle name="Процентный 10 18 9" xfId="45388" xr:uid="{00000000-0005-0000-0000-0000F37C0000}"/>
    <cellStyle name="Процентный 10 19" xfId="2696" xr:uid="{00000000-0005-0000-0000-0000F47C0000}"/>
    <cellStyle name="Процентный 10 19 10" xfId="50760" xr:uid="{00000000-0005-0000-0000-0000F57C0000}"/>
    <cellStyle name="Процентный 10 19 2" xfId="8039" xr:uid="{00000000-0005-0000-0000-0000F67C0000}"/>
    <cellStyle name="Процентный 10 19 2 2" xfId="56101" xr:uid="{00000000-0005-0000-0000-0000F77C0000}"/>
    <cellStyle name="Процентный 10 19 3" xfId="13380" xr:uid="{00000000-0005-0000-0000-0000F87C0000}"/>
    <cellStyle name="Процентный 10 19 4" xfId="18720" xr:uid="{00000000-0005-0000-0000-0000F97C0000}"/>
    <cellStyle name="Процентный 10 19 5" xfId="24060" xr:uid="{00000000-0005-0000-0000-0000FA7C0000}"/>
    <cellStyle name="Процентный 10 19 6" xfId="29400" xr:uid="{00000000-0005-0000-0000-0000FB7C0000}"/>
    <cellStyle name="Процентный 10 19 7" xfId="34740" xr:uid="{00000000-0005-0000-0000-0000FC7C0000}"/>
    <cellStyle name="Процентный 10 19 8" xfId="40080" xr:uid="{00000000-0005-0000-0000-0000FD7C0000}"/>
    <cellStyle name="Процентный 10 19 9" xfId="45420" xr:uid="{00000000-0005-0000-0000-0000FE7C0000}"/>
    <cellStyle name="Процентный 10 2" xfId="2172" xr:uid="{00000000-0005-0000-0000-0000FF7C0000}"/>
    <cellStyle name="Процентный 10 2 10" xfId="50236" xr:uid="{00000000-0005-0000-0000-0000007D0000}"/>
    <cellStyle name="Процентный 10 2 2" xfId="7515" xr:uid="{00000000-0005-0000-0000-0000017D0000}"/>
    <cellStyle name="Процентный 10 2 2 2" xfId="55577" xr:uid="{00000000-0005-0000-0000-0000027D0000}"/>
    <cellStyle name="Процентный 10 2 3" xfId="12856" xr:uid="{00000000-0005-0000-0000-0000037D0000}"/>
    <cellStyle name="Процентный 10 2 4" xfId="18196" xr:uid="{00000000-0005-0000-0000-0000047D0000}"/>
    <cellStyle name="Процентный 10 2 5" xfId="23536" xr:uid="{00000000-0005-0000-0000-0000057D0000}"/>
    <cellStyle name="Процентный 10 2 6" xfId="28876" xr:uid="{00000000-0005-0000-0000-0000067D0000}"/>
    <cellStyle name="Процентный 10 2 7" xfId="34216" xr:uid="{00000000-0005-0000-0000-0000077D0000}"/>
    <cellStyle name="Процентный 10 2 8" xfId="39556" xr:uid="{00000000-0005-0000-0000-0000087D0000}"/>
    <cellStyle name="Процентный 10 2 9" xfId="44896" xr:uid="{00000000-0005-0000-0000-0000097D0000}"/>
    <cellStyle name="Процентный 10 20" xfId="2728" xr:uid="{00000000-0005-0000-0000-00000A7D0000}"/>
    <cellStyle name="Процентный 10 20 10" xfId="50792" xr:uid="{00000000-0005-0000-0000-00000B7D0000}"/>
    <cellStyle name="Процентный 10 20 2" xfId="8071" xr:uid="{00000000-0005-0000-0000-00000C7D0000}"/>
    <cellStyle name="Процентный 10 20 2 2" xfId="56133" xr:uid="{00000000-0005-0000-0000-00000D7D0000}"/>
    <cellStyle name="Процентный 10 20 3" xfId="13412" xr:uid="{00000000-0005-0000-0000-00000E7D0000}"/>
    <cellStyle name="Процентный 10 20 4" xfId="18752" xr:uid="{00000000-0005-0000-0000-00000F7D0000}"/>
    <cellStyle name="Процентный 10 20 5" xfId="24092" xr:uid="{00000000-0005-0000-0000-0000107D0000}"/>
    <cellStyle name="Процентный 10 20 6" xfId="29432" xr:uid="{00000000-0005-0000-0000-0000117D0000}"/>
    <cellStyle name="Процентный 10 20 7" xfId="34772" xr:uid="{00000000-0005-0000-0000-0000127D0000}"/>
    <cellStyle name="Процентный 10 20 8" xfId="40112" xr:uid="{00000000-0005-0000-0000-0000137D0000}"/>
    <cellStyle name="Процентный 10 20 9" xfId="45452" xr:uid="{00000000-0005-0000-0000-0000147D0000}"/>
    <cellStyle name="Процентный 10 21" xfId="2760" xr:uid="{00000000-0005-0000-0000-0000157D0000}"/>
    <cellStyle name="Процентный 10 21 10" xfId="50824" xr:uid="{00000000-0005-0000-0000-0000167D0000}"/>
    <cellStyle name="Процентный 10 21 2" xfId="8103" xr:uid="{00000000-0005-0000-0000-0000177D0000}"/>
    <cellStyle name="Процентный 10 21 2 2" xfId="56165" xr:uid="{00000000-0005-0000-0000-0000187D0000}"/>
    <cellStyle name="Процентный 10 21 3" xfId="13444" xr:uid="{00000000-0005-0000-0000-0000197D0000}"/>
    <cellStyle name="Процентный 10 21 4" xfId="18784" xr:uid="{00000000-0005-0000-0000-00001A7D0000}"/>
    <cellStyle name="Процентный 10 21 5" xfId="24124" xr:uid="{00000000-0005-0000-0000-00001B7D0000}"/>
    <cellStyle name="Процентный 10 21 6" xfId="29464" xr:uid="{00000000-0005-0000-0000-00001C7D0000}"/>
    <cellStyle name="Процентный 10 21 7" xfId="34804" xr:uid="{00000000-0005-0000-0000-00001D7D0000}"/>
    <cellStyle name="Процентный 10 21 8" xfId="40144" xr:uid="{00000000-0005-0000-0000-00001E7D0000}"/>
    <cellStyle name="Процентный 10 21 9" xfId="45484" xr:uid="{00000000-0005-0000-0000-00001F7D0000}"/>
    <cellStyle name="Процентный 10 22" xfId="2794" xr:uid="{00000000-0005-0000-0000-0000207D0000}"/>
    <cellStyle name="Процентный 10 22 10" xfId="50858" xr:uid="{00000000-0005-0000-0000-0000217D0000}"/>
    <cellStyle name="Процентный 10 22 2" xfId="8137" xr:uid="{00000000-0005-0000-0000-0000227D0000}"/>
    <cellStyle name="Процентный 10 22 2 2" xfId="56199" xr:uid="{00000000-0005-0000-0000-0000237D0000}"/>
    <cellStyle name="Процентный 10 22 3" xfId="13478" xr:uid="{00000000-0005-0000-0000-0000247D0000}"/>
    <cellStyle name="Процентный 10 22 4" xfId="18818" xr:uid="{00000000-0005-0000-0000-0000257D0000}"/>
    <cellStyle name="Процентный 10 22 5" xfId="24158" xr:uid="{00000000-0005-0000-0000-0000267D0000}"/>
    <cellStyle name="Процентный 10 22 6" xfId="29498" xr:uid="{00000000-0005-0000-0000-0000277D0000}"/>
    <cellStyle name="Процентный 10 22 7" xfId="34838" xr:uid="{00000000-0005-0000-0000-0000287D0000}"/>
    <cellStyle name="Процентный 10 22 8" xfId="40178" xr:uid="{00000000-0005-0000-0000-0000297D0000}"/>
    <cellStyle name="Процентный 10 22 9" xfId="45518" xr:uid="{00000000-0005-0000-0000-00002A7D0000}"/>
    <cellStyle name="Процентный 10 23" xfId="2826" xr:uid="{00000000-0005-0000-0000-00002B7D0000}"/>
    <cellStyle name="Процентный 10 23 10" xfId="50890" xr:uid="{00000000-0005-0000-0000-00002C7D0000}"/>
    <cellStyle name="Процентный 10 23 2" xfId="8169" xr:uid="{00000000-0005-0000-0000-00002D7D0000}"/>
    <cellStyle name="Процентный 10 23 2 2" xfId="56231" xr:uid="{00000000-0005-0000-0000-00002E7D0000}"/>
    <cellStyle name="Процентный 10 23 3" xfId="13510" xr:uid="{00000000-0005-0000-0000-00002F7D0000}"/>
    <cellStyle name="Процентный 10 23 4" xfId="18850" xr:uid="{00000000-0005-0000-0000-0000307D0000}"/>
    <cellStyle name="Процентный 10 23 5" xfId="24190" xr:uid="{00000000-0005-0000-0000-0000317D0000}"/>
    <cellStyle name="Процентный 10 23 6" xfId="29530" xr:uid="{00000000-0005-0000-0000-0000327D0000}"/>
    <cellStyle name="Процентный 10 23 7" xfId="34870" xr:uid="{00000000-0005-0000-0000-0000337D0000}"/>
    <cellStyle name="Процентный 10 23 8" xfId="40210" xr:uid="{00000000-0005-0000-0000-0000347D0000}"/>
    <cellStyle name="Процентный 10 23 9" xfId="45550" xr:uid="{00000000-0005-0000-0000-0000357D0000}"/>
    <cellStyle name="Процентный 10 24" xfId="2858" xr:uid="{00000000-0005-0000-0000-0000367D0000}"/>
    <cellStyle name="Процентный 10 24 10" xfId="50922" xr:uid="{00000000-0005-0000-0000-0000377D0000}"/>
    <cellStyle name="Процентный 10 24 2" xfId="8201" xr:uid="{00000000-0005-0000-0000-0000387D0000}"/>
    <cellStyle name="Процентный 10 24 2 2" xfId="56263" xr:uid="{00000000-0005-0000-0000-0000397D0000}"/>
    <cellStyle name="Процентный 10 24 3" xfId="13542" xr:uid="{00000000-0005-0000-0000-00003A7D0000}"/>
    <cellStyle name="Процентный 10 24 4" xfId="18882" xr:uid="{00000000-0005-0000-0000-00003B7D0000}"/>
    <cellStyle name="Процентный 10 24 5" xfId="24222" xr:uid="{00000000-0005-0000-0000-00003C7D0000}"/>
    <cellStyle name="Процентный 10 24 6" xfId="29562" xr:uid="{00000000-0005-0000-0000-00003D7D0000}"/>
    <cellStyle name="Процентный 10 24 7" xfId="34902" xr:uid="{00000000-0005-0000-0000-00003E7D0000}"/>
    <cellStyle name="Процентный 10 24 8" xfId="40242" xr:uid="{00000000-0005-0000-0000-00003F7D0000}"/>
    <cellStyle name="Процентный 10 24 9" xfId="45582" xr:uid="{00000000-0005-0000-0000-0000407D0000}"/>
    <cellStyle name="Процентный 10 25" xfId="2890" xr:uid="{00000000-0005-0000-0000-0000417D0000}"/>
    <cellStyle name="Процентный 10 25 10" xfId="50954" xr:uid="{00000000-0005-0000-0000-0000427D0000}"/>
    <cellStyle name="Процентный 10 25 2" xfId="8233" xr:uid="{00000000-0005-0000-0000-0000437D0000}"/>
    <cellStyle name="Процентный 10 25 2 2" xfId="56295" xr:uid="{00000000-0005-0000-0000-0000447D0000}"/>
    <cellStyle name="Процентный 10 25 3" xfId="13574" xr:uid="{00000000-0005-0000-0000-0000457D0000}"/>
    <cellStyle name="Процентный 10 25 4" xfId="18914" xr:uid="{00000000-0005-0000-0000-0000467D0000}"/>
    <cellStyle name="Процентный 10 25 5" xfId="24254" xr:uid="{00000000-0005-0000-0000-0000477D0000}"/>
    <cellStyle name="Процентный 10 25 6" xfId="29594" xr:uid="{00000000-0005-0000-0000-0000487D0000}"/>
    <cellStyle name="Процентный 10 25 7" xfId="34934" xr:uid="{00000000-0005-0000-0000-0000497D0000}"/>
    <cellStyle name="Процентный 10 25 8" xfId="40274" xr:uid="{00000000-0005-0000-0000-00004A7D0000}"/>
    <cellStyle name="Процентный 10 25 9" xfId="45614" xr:uid="{00000000-0005-0000-0000-00004B7D0000}"/>
    <cellStyle name="Процентный 10 26" xfId="2922" xr:uid="{00000000-0005-0000-0000-00004C7D0000}"/>
    <cellStyle name="Процентный 10 26 10" xfId="50986" xr:uid="{00000000-0005-0000-0000-00004D7D0000}"/>
    <cellStyle name="Процентный 10 26 2" xfId="8265" xr:uid="{00000000-0005-0000-0000-00004E7D0000}"/>
    <cellStyle name="Процентный 10 26 2 2" xfId="56327" xr:uid="{00000000-0005-0000-0000-00004F7D0000}"/>
    <cellStyle name="Процентный 10 26 3" xfId="13606" xr:uid="{00000000-0005-0000-0000-0000507D0000}"/>
    <cellStyle name="Процентный 10 26 4" xfId="18946" xr:uid="{00000000-0005-0000-0000-0000517D0000}"/>
    <cellStyle name="Процентный 10 26 5" xfId="24286" xr:uid="{00000000-0005-0000-0000-0000527D0000}"/>
    <cellStyle name="Процентный 10 26 6" xfId="29626" xr:uid="{00000000-0005-0000-0000-0000537D0000}"/>
    <cellStyle name="Процентный 10 26 7" xfId="34966" xr:uid="{00000000-0005-0000-0000-0000547D0000}"/>
    <cellStyle name="Процентный 10 26 8" xfId="40306" xr:uid="{00000000-0005-0000-0000-0000557D0000}"/>
    <cellStyle name="Процентный 10 26 9" xfId="45646" xr:uid="{00000000-0005-0000-0000-0000567D0000}"/>
    <cellStyle name="Процентный 10 27" xfId="2954" xr:uid="{00000000-0005-0000-0000-0000577D0000}"/>
    <cellStyle name="Процентный 10 27 10" xfId="51018" xr:uid="{00000000-0005-0000-0000-0000587D0000}"/>
    <cellStyle name="Процентный 10 27 2" xfId="8297" xr:uid="{00000000-0005-0000-0000-0000597D0000}"/>
    <cellStyle name="Процентный 10 27 2 2" xfId="56359" xr:uid="{00000000-0005-0000-0000-00005A7D0000}"/>
    <cellStyle name="Процентный 10 27 3" xfId="13638" xr:uid="{00000000-0005-0000-0000-00005B7D0000}"/>
    <cellStyle name="Процентный 10 27 4" xfId="18978" xr:uid="{00000000-0005-0000-0000-00005C7D0000}"/>
    <cellStyle name="Процентный 10 27 5" xfId="24318" xr:uid="{00000000-0005-0000-0000-00005D7D0000}"/>
    <cellStyle name="Процентный 10 27 6" xfId="29658" xr:uid="{00000000-0005-0000-0000-00005E7D0000}"/>
    <cellStyle name="Процентный 10 27 7" xfId="34998" xr:uid="{00000000-0005-0000-0000-00005F7D0000}"/>
    <cellStyle name="Процентный 10 27 8" xfId="40338" xr:uid="{00000000-0005-0000-0000-0000607D0000}"/>
    <cellStyle name="Процентный 10 27 9" xfId="45678" xr:uid="{00000000-0005-0000-0000-0000617D0000}"/>
    <cellStyle name="Процентный 10 28" xfId="2986" xr:uid="{00000000-0005-0000-0000-0000627D0000}"/>
    <cellStyle name="Процентный 10 28 10" xfId="51050" xr:uid="{00000000-0005-0000-0000-0000637D0000}"/>
    <cellStyle name="Процентный 10 28 2" xfId="8329" xr:uid="{00000000-0005-0000-0000-0000647D0000}"/>
    <cellStyle name="Процентный 10 28 2 2" xfId="56391" xr:uid="{00000000-0005-0000-0000-0000657D0000}"/>
    <cellStyle name="Процентный 10 28 3" xfId="13670" xr:uid="{00000000-0005-0000-0000-0000667D0000}"/>
    <cellStyle name="Процентный 10 28 4" xfId="19010" xr:uid="{00000000-0005-0000-0000-0000677D0000}"/>
    <cellStyle name="Процентный 10 28 5" xfId="24350" xr:uid="{00000000-0005-0000-0000-0000687D0000}"/>
    <cellStyle name="Процентный 10 28 6" xfId="29690" xr:uid="{00000000-0005-0000-0000-0000697D0000}"/>
    <cellStyle name="Процентный 10 28 7" xfId="35030" xr:uid="{00000000-0005-0000-0000-00006A7D0000}"/>
    <cellStyle name="Процентный 10 28 8" xfId="40370" xr:uid="{00000000-0005-0000-0000-00006B7D0000}"/>
    <cellStyle name="Процентный 10 28 9" xfId="45710" xr:uid="{00000000-0005-0000-0000-00006C7D0000}"/>
    <cellStyle name="Процентный 10 29" xfId="3018" xr:uid="{00000000-0005-0000-0000-00006D7D0000}"/>
    <cellStyle name="Процентный 10 29 10" xfId="51082" xr:uid="{00000000-0005-0000-0000-00006E7D0000}"/>
    <cellStyle name="Процентный 10 29 2" xfId="8361" xr:uid="{00000000-0005-0000-0000-00006F7D0000}"/>
    <cellStyle name="Процентный 10 29 2 2" xfId="56423" xr:uid="{00000000-0005-0000-0000-0000707D0000}"/>
    <cellStyle name="Процентный 10 29 3" xfId="13702" xr:uid="{00000000-0005-0000-0000-0000717D0000}"/>
    <cellStyle name="Процентный 10 29 4" xfId="19042" xr:uid="{00000000-0005-0000-0000-0000727D0000}"/>
    <cellStyle name="Процентный 10 29 5" xfId="24382" xr:uid="{00000000-0005-0000-0000-0000737D0000}"/>
    <cellStyle name="Процентный 10 29 6" xfId="29722" xr:uid="{00000000-0005-0000-0000-0000747D0000}"/>
    <cellStyle name="Процентный 10 29 7" xfId="35062" xr:uid="{00000000-0005-0000-0000-0000757D0000}"/>
    <cellStyle name="Процентный 10 29 8" xfId="40402" xr:uid="{00000000-0005-0000-0000-0000767D0000}"/>
    <cellStyle name="Процентный 10 29 9" xfId="45742" xr:uid="{00000000-0005-0000-0000-0000777D0000}"/>
    <cellStyle name="Процентный 10 3" xfId="2202" xr:uid="{00000000-0005-0000-0000-0000787D0000}"/>
    <cellStyle name="Процентный 10 3 10" xfId="50266" xr:uid="{00000000-0005-0000-0000-0000797D0000}"/>
    <cellStyle name="Процентный 10 3 2" xfId="7545" xr:uid="{00000000-0005-0000-0000-00007A7D0000}"/>
    <cellStyle name="Процентный 10 3 2 2" xfId="55607" xr:uid="{00000000-0005-0000-0000-00007B7D0000}"/>
    <cellStyle name="Процентный 10 3 3" xfId="12886" xr:uid="{00000000-0005-0000-0000-00007C7D0000}"/>
    <cellStyle name="Процентный 10 3 4" xfId="18226" xr:uid="{00000000-0005-0000-0000-00007D7D0000}"/>
    <cellStyle name="Процентный 10 3 5" xfId="23566" xr:uid="{00000000-0005-0000-0000-00007E7D0000}"/>
    <cellStyle name="Процентный 10 3 6" xfId="28906" xr:uid="{00000000-0005-0000-0000-00007F7D0000}"/>
    <cellStyle name="Процентный 10 3 7" xfId="34246" xr:uid="{00000000-0005-0000-0000-0000807D0000}"/>
    <cellStyle name="Процентный 10 3 8" xfId="39586" xr:uid="{00000000-0005-0000-0000-0000817D0000}"/>
    <cellStyle name="Процентный 10 3 9" xfId="44926" xr:uid="{00000000-0005-0000-0000-0000827D0000}"/>
    <cellStyle name="Процентный 10 30" xfId="3050" xr:uid="{00000000-0005-0000-0000-0000837D0000}"/>
    <cellStyle name="Процентный 10 30 10" xfId="51114" xr:uid="{00000000-0005-0000-0000-0000847D0000}"/>
    <cellStyle name="Процентный 10 30 2" xfId="8393" xr:uid="{00000000-0005-0000-0000-0000857D0000}"/>
    <cellStyle name="Процентный 10 30 2 2" xfId="56455" xr:uid="{00000000-0005-0000-0000-0000867D0000}"/>
    <cellStyle name="Процентный 10 30 3" xfId="13734" xr:uid="{00000000-0005-0000-0000-0000877D0000}"/>
    <cellStyle name="Процентный 10 30 4" xfId="19074" xr:uid="{00000000-0005-0000-0000-0000887D0000}"/>
    <cellStyle name="Процентный 10 30 5" xfId="24414" xr:uid="{00000000-0005-0000-0000-0000897D0000}"/>
    <cellStyle name="Процентный 10 30 6" xfId="29754" xr:uid="{00000000-0005-0000-0000-00008A7D0000}"/>
    <cellStyle name="Процентный 10 30 7" xfId="35094" xr:uid="{00000000-0005-0000-0000-00008B7D0000}"/>
    <cellStyle name="Процентный 10 30 8" xfId="40434" xr:uid="{00000000-0005-0000-0000-00008C7D0000}"/>
    <cellStyle name="Процентный 10 30 9" xfId="45774" xr:uid="{00000000-0005-0000-0000-00008D7D0000}"/>
    <cellStyle name="Процентный 10 31" xfId="3082" xr:uid="{00000000-0005-0000-0000-00008E7D0000}"/>
    <cellStyle name="Процентный 10 31 10" xfId="51146" xr:uid="{00000000-0005-0000-0000-00008F7D0000}"/>
    <cellStyle name="Процентный 10 31 2" xfId="8425" xr:uid="{00000000-0005-0000-0000-0000907D0000}"/>
    <cellStyle name="Процентный 10 31 2 2" xfId="56487" xr:uid="{00000000-0005-0000-0000-0000917D0000}"/>
    <cellStyle name="Процентный 10 31 3" xfId="13766" xr:uid="{00000000-0005-0000-0000-0000927D0000}"/>
    <cellStyle name="Процентный 10 31 4" xfId="19106" xr:uid="{00000000-0005-0000-0000-0000937D0000}"/>
    <cellStyle name="Процентный 10 31 5" xfId="24446" xr:uid="{00000000-0005-0000-0000-0000947D0000}"/>
    <cellStyle name="Процентный 10 31 6" xfId="29786" xr:uid="{00000000-0005-0000-0000-0000957D0000}"/>
    <cellStyle name="Процентный 10 31 7" xfId="35126" xr:uid="{00000000-0005-0000-0000-0000967D0000}"/>
    <cellStyle name="Процентный 10 31 8" xfId="40466" xr:uid="{00000000-0005-0000-0000-0000977D0000}"/>
    <cellStyle name="Процентный 10 31 9" xfId="45806" xr:uid="{00000000-0005-0000-0000-0000987D0000}"/>
    <cellStyle name="Процентный 10 32" xfId="3114" xr:uid="{00000000-0005-0000-0000-0000997D0000}"/>
    <cellStyle name="Процентный 10 32 10" xfId="51178" xr:uid="{00000000-0005-0000-0000-00009A7D0000}"/>
    <cellStyle name="Процентный 10 32 2" xfId="8457" xr:uid="{00000000-0005-0000-0000-00009B7D0000}"/>
    <cellStyle name="Процентный 10 32 2 2" xfId="56519" xr:uid="{00000000-0005-0000-0000-00009C7D0000}"/>
    <cellStyle name="Процентный 10 32 3" xfId="13798" xr:uid="{00000000-0005-0000-0000-00009D7D0000}"/>
    <cellStyle name="Процентный 10 32 4" xfId="19138" xr:uid="{00000000-0005-0000-0000-00009E7D0000}"/>
    <cellStyle name="Процентный 10 32 5" xfId="24478" xr:uid="{00000000-0005-0000-0000-00009F7D0000}"/>
    <cellStyle name="Процентный 10 32 6" xfId="29818" xr:uid="{00000000-0005-0000-0000-0000A07D0000}"/>
    <cellStyle name="Процентный 10 32 7" xfId="35158" xr:uid="{00000000-0005-0000-0000-0000A17D0000}"/>
    <cellStyle name="Процентный 10 32 8" xfId="40498" xr:uid="{00000000-0005-0000-0000-0000A27D0000}"/>
    <cellStyle name="Процентный 10 32 9" xfId="45838" xr:uid="{00000000-0005-0000-0000-0000A37D0000}"/>
    <cellStyle name="Процентный 10 33" xfId="3147" xr:uid="{00000000-0005-0000-0000-0000A47D0000}"/>
    <cellStyle name="Процентный 10 33 10" xfId="51210" xr:uid="{00000000-0005-0000-0000-0000A57D0000}"/>
    <cellStyle name="Процентный 10 33 2" xfId="8490" xr:uid="{00000000-0005-0000-0000-0000A67D0000}"/>
    <cellStyle name="Процентный 10 33 2 2" xfId="56551" xr:uid="{00000000-0005-0000-0000-0000A77D0000}"/>
    <cellStyle name="Процентный 10 33 3" xfId="13830" xr:uid="{00000000-0005-0000-0000-0000A87D0000}"/>
    <cellStyle name="Процентный 10 33 4" xfId="19170" xr:uid="{00000000-0005-0000-0000-0000A97D0000}"/>
    <cellStyle name="Процентный 10 33 5" xfId="24510" xr:uid="{00000000-0005-0000-0000-0000AA7D0000}"/>
    <cellStyle name="Процентный 10 33 6" xfId="29850" xr:uid="{00000000-0005-0000-0000-0000AB7D0000}"/>
    <cellStyle name="Процентный 10 33 7" xfId="35190" xr:uid="{00000000-0005-0000-0000-0000AC7D0000}"/>
    <cellStyle name="Процентный 10 33 8" xfId="40530" xr:uid="{00000000-0005-0000-0000-0000AD7D0000}"/>
    <cellStyle name="Процентный 10 33 9" xfId="45870" xr:uid="{00000000-0005-0000-0000-0000AE7D0000}"/>
    <cellStyle name="Процентный 10 34" xfId="3179" xr:uid="{00000000-0005-0000-0000-0000AF7D0000}"/>
    <cellStyle name="Процентный 10 34 10" xfId="51242" xr:uid="{00000000-0005-0000-0000-0000B07D0000}"/>
    <cellStyle name="Процентный 10 34 2" xfId="8522" xr:uid="{00000000-0005-0000-0000-0000B17D0000}"/>
    <cellStyle name="Процентный 10 34 2 2" xfId="56583" xr:uid="{00000000-0005-0000-0000-0000B27D0000}"/>
    <cellStyle name="Процентный 10 34 3" xfId="13862" xr:uid="{00000000-0005-0000-0000-0000B37D0000}"/>
    <cellStyle name="Процентный 10 34 4" xfId="19202" xr:uid="{00000000-0005-0000-0000-0000B47D0000}"/>
    <cellStyle name="Процентный 10 34 5" xfId="24542" xr:uid="{00000000-0005-0000-0000-0000B57D0000}"/>
    <cellStyle name="Процентный 10 34 6" xfId="29882" xr:uid="{00000000-0005-0000-0000-0000B67D0000}"/>
    <cellStyle name="Процентный 10 34 7" xfId="35222" xr:uid="{00000000-0005-0000-0000-0000B77D0000}"/>
    <cellStyle name="Процентный 10 34 8" xfId="40562" xr:uid="{00000000-0005-0000-0000-0000B87D0000}"/>
    <cellStyle name="Процентный 10 34 9" xfId="45902" xr:uid="{00000000-0005-0000-0000-0000B97D0000}"/>
    <cellStyle name="Процентный 10 35" xfId="3211" xr:uid="{00000000-0005-0000-0000-0000BA7D0000}"/>
    <cellStyle name="Процентный 10 35 10" xfId="51274" xr:uid="{00000000-0005-0000-0000-0000BB7D0000}"/>
    <cellStyle name="Процентный 10 35 2" xfId="8554" xr:uid="{00000000-0005-0000-0000-0000BC7D0000}"/>
    <cellStyle name="Процентный 10 35 2 2" xfId="56615" xr:uid="{00000000-0005-0000-0000-0000BD7D0000}"/>
    <cellStyle name="Процентный 10 35 3" xfId="13894" xr:uid="{00000000-0005-0000-0000-0000BE7D0000}"/>
    <cellStyle name="Процентный 10 35 4" xfId="19234" xr:uid="{00000000-0005-0000-0000-0000BF7D0000}"/>
    <cellStyle name="Процентный 10 35 5" xfId="24574" xr:uid="{00000000-0005-0000-0000-0000C07D0000}"/>
    <cellStyle name="Процентный 10 35 6" xfId="29914" xr:uid="{00000000-0005-0000-0000-0000C17D0000}"/>
    <cellStyle name="Процентный 10 35 7" xfId="35254" xr:uid="{00000000-0005-0000-0000-0000C27D0000}"/>
    <cellStyle name="Процентный 10 35 8" xfId="40594" xr:uid="{00000000-0005-0000-0000-0000C37D0000}"/>
    <cellStyle name="Процентный 10 35 9" xfId="45934" xr:uid="{00000000-0005-0000-0000-0000C47D0000}"/>
    <cellStyle name="Процентный 10 36" xfId="3243" xr:uid="{00000000-0005-0000-0000-0000C57D0000}"/>
    <cellStyle name="Процентный 10 36 10" xfId="51306" xr:uid="{00000000-0005-0000-0000-0000C67D0000}"/>
    <cellStyle name="Процентный 10 36 2" xfId="8586" xr:uid="{00000000-0005-0000-0000-0000C77D0000}"/>
    <cellStyle name="Процентный 10 36 2 2" xfId="56647" xr:uid="{00000000-0005-0000-0000-0000C87D0000}"/>
    <cellStyle name="Процентный 10 36 3" xfId="13926" xr:uid="{00000000-0005-0000-0000-0000C97D0000}"/>
    <cellStyle name="Процентный 10 36 4" xfId="19266" xr:uid="{00000000-0005-0000-0000-0000CA7D0000}"/>
    <cellStyle name="Процентный 10 36 5" xfId="24606" xr:uid="{00000000-0005-0000-0000-0000CB7D0000}"/>
    <cellStyle name="Процентный 10 36 6" xfId="29946" xr:uid="{00000000-0005-0000-0000-0000CC7D0000}"/>
    <cellStyle name="Процентный 10 36 7" xfId="35286" xr:uid="{00000000-0005-0000-0000-0000CD7D0000}"/>
    <cellStyle name="Процентный 10 36 8" xfId="40626" xr:uid="{00000000-0005-0000-0000-0000CE7D0000}"/>
    <cellStyle name="Процентный 10 36 9" xfId="45966" xr:uid="{00000000-0005-0000-0000-0000CF7D0000}"/>
    <cellStyle name="Процентный 10 37" xfId="3275" xr:uid="{00000000-0005-0000-0000-0000D07D0000}"/>
    <cellStyle name="Процентный 10 37 10" xfId="51338" xr:uid="{00000000-0005-0000-0000-0000D17D0000}"/>
    <cellStyle name="Процентный 10 37 2" xfId="8618" xr:uid="{00000000-0005-0000-0000-0000D27D0000}"/>
    <cellStyle name="Процентный 10 37 2 2" xfId="56679" xr:uid="{00000000-0005-0000-0000-0000D37D0000}"/>
    <cellStyle name="Процентный 10 37 3" xfId="13958" xr:uid="{00000000-0005-0000-0000-0000D47D0000}"/>
    <cellStyle name="Процентный 10 37 4" xfId="19298" xr:uid="{00000000-0005-0000-0000-0000D57D0000}"/>
    <cellStyle name="Процентный 10 37 5" xfId="24638" xr:uid="{00000000-0005-0000-0000-0000D67D0000}"/>
    <cellStyle name="Процентный 10 37 6" xfId="29978" xr:uid="{00000000-0005-0000-0000-0000D77D0000}"/>
    <cellStyle name="Процентный 10 37 7" xfId="35318" xr:uid="{00000000-0005-0000-0000-0000D87D0000}"/>
    <cellStyle name="Процентный 10 37 8" xfId="40658" xr:uid="{00000000-0005-0000-0000-0000D97D0000}"/>
    <cellStyle name="Процентный 10 37 9" xfId="45998" xr:uid="{00000000-0005-0000-0000-0000DA7D0000}"/>
    <cellStyle name="Процентный 10 38" xfId="3307" xr:uid="{00000000-0005-0000-0000-0000DB7D0000}"/>
    <cellStyle name="Процентный 10 38 10" xfId="51370" xr:uid="{00000000-0005-0000-0000-0000DC7D0000}"/>
    <cellStyle name="Процентный 10 38 2" xfId="8650" xr:uid="{00000000-0005-0000-0000-0000DD7D0000}"/>
    <cellStyle name="Процентный 10 38 2 2" xfId="56711" xr:uid="{00000000-0005-0000-0000-0000DE7D0000}"/>
    <cellStyle name="Процентный 10 38 3" xfId="13990" xr:uid="{00000000-0005-0000-0000-0000DF7D0000}"/>
    <cellStyle name="Процентный 10 38 4" xfId="19330" xr:uid="{00000000-0005-0000-0000-0000E07D0000}"/>
    <cellStyle name="Процентный 10 38 5" xfId="24670" xr:uid="{00000000-0005-0000-0000-0000E17D0000}"/>
    <cellStyle name="Процентный 10 38 6" xfId="30010" xr:uid="{00000000-0005-0000-0000-0000E27D0000}"/>
    <cellStyle name="Процентный 10 38 7" xfId="35350" xr:uid="{00000000-0005-0000-0000-0000E37D0000}"/>
    <cellStyle name="Процентный 10 38 8" xfId="40690" xr:uid="{00000000-0005-0000-0000-0000E47D0000}"/>
    <cellStyle name="Процентный 10 38 9" xfId="46030" xr:uid="{00000000-0005-0000-0000-0000E57D0000}"/>
    <cellStyle name="Процентный 10 39" xfId="3339" xr:uid="{00000000-0005-0000-0000-0000E67D0000}"/>
    <cellStyle name="Процентный 10 39 10" xfId="51402" xr:uid="{00000000-0005-0000-0000-0000E77D0000}"/>
    <cellStyle name="Процентный 10 39 2" xfId="8682" xr:uid="{00000000-0005-0000-0000-0000E87D0000}"/>
    <cellStyle name="Процентный 10 39 2 2" xfId="56743" xr:uid="{00000000-0005-0000-0000-0000E97D0000}"/>
    <cellStyle name="Процентный 10 39 3" xfId="14022" xr:uid="{00000000-0005-0000-0000-0000EA7D0000}"/>
    <cellStyle name="Процентный 10 39 4" xfId="19362" xr:uid="{00000000-0005-0000-0000-0000EB7D0000}"/>
    <cellStyle name="Процентный 10 39 5" xfId="24702" xr:uid="{00000000-0005-0000-0000-0000EC7D0000}"/>
    <cellStyle name="Процентный 10 39 6" xfId="30042" xr:uid="{00000000-0005-0000-0000-0000ED7D0000}"/>
    <cellStyle name="Процентный 10 39 7" xfId="35382" xr:uid="{00000000-0005-0000-0000-0000EE7D0000}"/>
    <cellStyle name="Процентный 10 39 8" xfId="40722" xr:uid="{00000000-0005-0000-0000-0000EF7D0000}"/>
    <cellStyle name="Процентный 10 39 9" xfId="46062" xr:uid="{00000000-0005-0000-0000-0000F07D0000}"/>
    <cellStyle name="Процентный 10 4" xfId="2232" xr:uid="{00000000-0005-0000-0000-0000F17D0000}"/>
    <cellStyle name="Процентный 10 4 10" xfId="50296" xr:uid="{00000000-0005-0000-0000-0000F27D0000}"/>
    <cellStyle name="Процентный 10 4 2" xfId="7575" xr:uid="{00000000-0005-0000-0000-0000F37D0000}"/>
    <cellStyle name="Процентный 10 4 2 2" xfId="55637" xr:uid="{00000000-0005-0000-0000-0000F47D0000}"/>
    <cellStyle name="Процентный 10 4 3" xfId="12916" xr:uid="{00000000-0005-0000-0000-0000F57D0000}"/>
    <cellStyle name="Процентный 10 4 4" xfId="18256" xr:uid="{00000000-0005-0000-0000-0000F67D0000}"/>
    <cellStyle name="Процентный 10 4 5" xfId="23596" xr:uid="{00000000-0005-0000-0000-0000F77D0000}"/>
    <cellStyle name="Процентный 10 4 6" xfId="28936" xr:uid="{00000000-0005-0000-0000-0000F87D0000}"/>
    <cellStyle name="Процентный 10 4 7" xfId="34276" xr:uid="{00000000-0005-0000-0000-0000F97D0000}"/>
    <cellStyle name="Процентный 10 4 8" xfId="39616" xr:uid="{00000000-0005-0000-0000-0000FA7D0000}"/>
    <cellStyle name="Процентный 10 4 9" xfId="44956" xr:uid="{00000000-0005-0000-0000-0000FB7D0000}"/>
    <cellStyle name="Процентный 10 40" xfId="3371" xr:uid="{00000000-0005-0000-0000-0000FC7D0000}"/>
    <cellStyle name="Процентный 10 40 10" xfId="51434" xr:uid="{00000000-0005-0000-0000-0000FD7D0000}"/>
    <cellStyle name="Процентный 10 40 2" xfId="8714" xr:uid="{00000000-0005-0000-0000-0000FE7D0000}"/>
    <cellStyle name="Процентный 10 40 2 2" xfId="56775" xr:uid="{00000000-0005-0000-0000-0000FF7D0000}"/>
    <cellStyle name="Процентный 10 40 3" xfId="14054" xr:uid="{00000000-0005-0000-0000-0000007E0000}"/>
    <cellStyle name="Процентный 10 40 4" xfId="19394" xr:uid="{00000000-0005-0000-0000-0000017E0000}"/>
    <cellStyle name="Процентный 10 40 5" xfId="24734" xr:uid="{00000000-0005-0000-0000-0000027E0000}"/>
    <cellStyle name="Процентный 10 40 6" xfId="30074" xr:uid="{00000000-0005-0000-0000-0000037E0000}"/>
    <cellStyle name="Процентный 10 40 7" xfId="35414" xr:uid="{00000000-0005-0000-0000-0000047E0000}"/>
    <cellStyle name="Процентный 10 40 8" xfId="40754" xr:uid="{00000000-0005-0000-0000-0000057E0000}"/>
    <cellStyle name="Процентный 10 40 9" xfId="46094" xr:uid="{00000000-0005-0000-0000-0000067E0000}"/>
    <cellStyle name="Процентный 10 41" xfId="3403" xr:uid="{00000000-0005-0000-0000-0000077E0000}"/>
    <cellStyle name="Процентный 10 41 10" xfId="51466" xr:uid="{00000000-0005-0000-0000-0000087E0000}"/>
    <cellStyle name="Процентный 10 41 2" xfId="8746" xr:uid="{00000000-0005-0000-0000-0000097E0000}"/>
    <cellStyle name="Процентный 10 41 2 2" xfId="56807" xr:uid="{00000000-0005-0000-0000-00000A7E0000}"/>
    <cellStyle name="Процентный 10 41 3" xfId="14086" xr:uid="{00000000-0005-0000-0000-00000B7E0000}"/>
    <cellStyle name="Процентный 10 41 4" xfId="19426" xr:uid="{00000000-0005-0000-0000-00000C7E0000}"/>
    <cellStyle name="Процентный 10 41 5" xfId="24766" xr:uid="{00000000-0005-0000-0000-00000D7E0000}"/>
    <cellStyle name="Процентный 10 41 6" xfId="30106" xr:uid="{00000000-0005-0000-0000-00000E7E0000}"/>
    <cellStyle name="Процентный 10 41 7" xfId="35446" xr:uid="{00000000-0005-0000-0000-00000F7E0000}"/>
    <cellStyle name="Процентный 10 41 8" xfId="40786" xr:uid="{00000000-0005-0000-0000-0000107E0000}"/>
    <cellStyle name="Процентный 10 41 9" xfId="46126" xr:uid="{00000000-0005-0000-0000-0000117E0000}"/>
    <cellStyle name="Процентный 10 42" xfId="3435" xr:uid="{00000000-0005-0000-0000-0000127E0000}"/>
    <cellStyle name="Процентный 10 42 10" xfId="51498" xr:uid="{00000000-0005-0000-0000-0000137E0000}"/>
    <cellStyle name="Процентный 10 42 2" xfId="8778" xr:uid="{00000000-0005-0000-0000-0000147E0000}"/>
    <cellStyle name="Процентный 10 42 2 2" xfId="56839" xr:uid="{00000000-0005-0000-0000-0000157E0000}"/>
    <cellStyle name="Процентный 10 42 3" xfId="14118" xr:uid="{00000000-0005-0000-0000-0000167E0000}"/>
    <cellStyle name="Процентный 10 42 4" xfId="19458" xr:uid="{00000000-0005-0000-0000-0000177E0000}"/>
    <cellStyle name="Процентный 10 42 5" xfId="24798" xr:uid="{00000000-0005-0000-0000-0000187E0000}"/>
    <cellStyle name="Процентный 10 42 6" xfId="30138" xr:uid="{00000000-0005-0000-0000-0000197E0000}"/>
    <cellStyle name="Процентный 10 42 7" xfId="35478" xr:uid="{00000000-0005-0000-0000-00001A7E0000}"/>
    <cellStyle name="Процентный 10 42 8" xfId="40818" xr:uid="{00000000-0005-0000-0000-00001B7E0000}"/>
    <cellStyle name="Процентный 10 42 9" xfId="46158" xr:uid="{00000000-0005-0000-0000-00001C7E0000}"/>
    <cellStyle name="Процентный 10 43" xfId="3467" xr:uid="{00000000-0005-0000-0000-00001D7E0000}"/>
    <cellStyle name="Процентный 10 43 10" xfId="51530" xr:uid="{00000000-0005-0000-0000-00001E7E0000}"/>
    <cellStyle name="Процентный 10 43 2" xfId="8810" xr:uid="{00000000-0005-0000-0000-00001F7E0000}"/>
    <cellStyle name="Процентный 10 43 2 2" xfId="56871" xr:uid="{00000000-0005-0000-0000-0000207E0000}"/>
    <cellStyle name="Процентный 10 43 3" xfId="14150" xr:uid="{00000000-0005-0000-0000-0000217E0000}"/>
    <cellStyle name="Процентный 10 43 4" xfId="19490" xr:uid="{00000000-0005-0000-0000-0000227E0000}"/>
    <cellStyle name="Процентный 10 43 5" xfId="24830" xr:uid="{00000000-0005-0000-0000-0000237E0000}"/>
    <cellStyle name="Процентный 10 43 6" xfId="30170" xr:uid="{00000000-0005-0000-0000-0000247E0000}"/>
    <cellStyle name="Процентный 10 43 7" xfId="35510" xr:uid="{00000000-0005-0000-0000-0000257E0000}"/>
    <cellStyle name="Процентный 10 43 8" xfId="40850" xr:uid="{00000000-0005-0000-0000-0000267E0000}"/>
    <cellStyle name="Процентный 10 43 9" xfId="46190" xr:uid="{00000000-0005-0000-0000-0000277E0000}"/>
    <cellStyle name="Процентный 10 44" xfId="3499" xr:uid="{00000000-0005-0000-0000-0000287E0000}"/>
    <cellStyle name="Процентный 10 44 10" xfId="51562" xr:uid="{00000000-0005-0000-0000-0000297E0000}"/>
    <cellStyle name="Процентный 10 44 2" xfId="8842" xr:uid="{00000000-0005-0000-0000-00002A7E0000}"/>
    <cellStyle name="Процентный 10 44 2 2" xfId="56903" xr:uid="{00000000-0005-0000-0000-00002B7E0000}"/>
    <cellStyle name="Процентный 10 44 3" xfId="14182" xr:uid="{00000000-0005-0000-0000-00002C7E0000}"/>
    <cellStyle name="Процентный 10 44 4" xfId="19522" xr:uid="{00000000-0005-0000-0000-00002D7E0000}"/>
    <cellStyle name="Процентный 10 44 5" xfId="24862" xr:uid="{00000000-0005-0000-0000-00002E7E0000}"/>
    <cellStyle name="Процентный 10 44 6" xfId="30202" xr:uid="{00000000-0005-0000-0000-00002F7E0000}"/>
    <cellStyle name="Процентный 10 44 7" xfId="35542" xr:uid="{00000000-0005-0000-0000-0000307E0000}"/>
    <cellStyle name="Процентный 10 44 8" xfId="40882" xr:uid="{00000000-0005-0000-0000-0000317E0000}"/>
    <cellStyle name="Процентный 10 44 9" xfId="46222" xr:uid="{00000000-0005-0000-0000-0000327E0000}"/>
    <cellStyle name="Процентный 10 45" xfId="3531" xr:uid="{00000000-0005-0000-0000-0000337E0000}"/>
    <cellStyle name="Процентный 10 45 10" xfId="51594" xr:uid="{00000000-0005-0000-0000-0000347E0000}"/>
    <cellStyle name="Процентный 10 45 2" xfId="8874" xr:uid="{00000000-0005-0000-0000-0000357E0000}"/>
    <cellStyle name="Процентный 10 45 2 2" xfId="56935" xr:uid="{00000000-0005-0000-0000-0000367E0000}"/>
    <cellStyle name="Процентный 10 45 3" xfId="14214" xr:uid="{00000000-0005-0000-0000-0000377E0000}"/>
    <cellStyle name="Процентный 10 45 4" xfId="19554" xr:uid="{00000000-0005-0000-0000-0000387E0000}"/>
    <cellStyle name="Процентный 10 45 5" xfId="24894" xr:uid="{00000000-0005-0000-0000-0000397E0000}"/>
    <cellStyle name="Процентный 10 45 6" xfId="30234" xr:uid="{00000000-0005-0000-0000-00003A7E0000}"/>
    <cellStyle name="Процентный 10 45 7" xfId="35574" xr:uid="{00000000-0005-0000-0000-00003B7E0000}"/>
    <cellStyle name="Процентный 10 45 8" xfId="40914" xr:uid="{00000000-0005-0000-0000-00003C7E0000}"/>
    <cellStyle name="Процентный 10 45 9" xfId="46254" xr:uid="{00000000-0005-0000-0000-00003D7E0000}"/>
    <cellStyle name="Процентный 10 46" xfId="3563" xr:uid="{00000000-0005-0000-0000-00003E7E0000}"/>
    <cellStyle name="Процентный 10 46 10" xfId="51626" xr:uid="{00000000-0005-0000-0000-00003F7E0000}"/>
    <cellStyle name="Процентный 10 46 2" xfId="8906" xr:uid="{00000000-0005-0000-0000-0000407E0000}"/>
    <cellStyle name="Процентный 10 46 2 2" xfId="56967" xr:uid="{00000000-0005-0000-0000-0000417E0000}"/>
    <cellStyle name="Процентный 10 46 3" xfId="14246" xr:uid="{00000000-0005-0000-0000-0000427E0000}"/>
    <cellStyle name="Процентный 10 46 4" xfId="19586" xr:uid="{00000000-0005-0000-0000-0000437E0000}"/>
    <cellStyle name="Процентный 10 46 5" xfId="24926" xr:uid="{00000000-0005-0000-0000-0000447E0000}"/>
    <cellStyle name="Процентный 10 46 6" xfId="30266" xr:uid="{00000000-0005-0000-0000-0000457E0000}"/>
    <cellStyle name="Процентный 10 46 7" xfId="35606" xr:uid="{00000000-0005-0000-0000-0000467E0000}"/>
    <cellStyle name="Процентный 10 46 8" xfId="40946" xr:uid="{00000000-0005-0000-0000-0000477E0000}"/>
    <cellStyle name="Процентный 10 46 9" xfId="46286" xr:uid="{00000000-0005-0000-0000-0000487E0000}"/>
    <cellStyle name="Процентный 10 47" xfId="3595" xr:uid="{00000000-0005-0000-0000-0000497E0000}"/>
    <cellStyle name="Процентный 10 47 10" xfId="51658" xr:uid="{00000000-0005-0000-0000-00004A7E0000}"/>
    <cellStyle name="Процентный 10 47 2" xfId="8938" xr:uid="{00000000-0005-0000-0000-00004B7E0000}"/>
    <cellStyle name="Процентный 10 47 2 2" xfId="56999" xr:uid="{00000000-0005-0000-0000-00004C7E0000}"/>
    <cellStyle name="Процентный 10 47 3" xfId="14278" xr:uid="{00000000-0005-0000-0000-00004D7E0000}"/>
    <cellStyle name="Процентный 10 47 4" xfId="19618" xr:uid="{00000000-0005-0000-0000-00004E7E0000}"/>
    <cellStyle name="Процентный 10 47 5" xfId="24958" xr:uid="{00000000-0005-0000-0000-00004F7E0000}"/>
    <cellStyle name="Процентный 10 47 6" xfId="30298" xr:uid="{00000000-0005-0000-0000-0000507E0000}"/>
    <cellStyle name="Процентный 10 47 7" xfId="35638" xr:uid="{00000000-0005-0000-0000-0000517E0000}"/>
    <cellStyle name="Процентный 10 47 8" xfId="40978" xr:uid="{00000000-0005-0000-0000-0000527E0000}"/>
    <cellStyle name="Процентный 10 47 9" xfId="46318" xr:uid="{00000000-0005-0000-0000-0000537E0000}"/>
    <cellStyle name="Процентный 10 48" xfId="3627" xr:uid="{00000000-0005-0000-0000-0000547E0000}"/>
    <cellStyle name="Процентный 10 48 10" xfId="51690" xr:uid="{00000000-0005-0000-0000-0000557E0000}"/>
    <cellStyle name="Процентный 10 48 2" xfId="8970" xr:uid="{00000000-0005-0000-0000-0000567E0000}"/>
    <cellStyle name="Процентный 10 48 2 2" xfId="57031" xr:uid="{00000000-0005-0000-0000-0000577E0000}"/>
    <cellStyle name="Процентный 10 48 3" xfId="14310" xr:uid="{00000000-0005-0000-0000-0000587E0000}"/>
    <cellStyle name="Процентный 10 48 4" xfId="19650" xr:uid="{00000000-0005-0000-0000-0000597E0000}"/>
    <cellStyle name="Процентный 10 48 5" xfId="24990" xr:uid="{00000000-0005-0000-0000-00005A7E0000}"/>
    <cellStyle name="Процентный 10 48 6" xfId="30330" xr:uid="{00000000-0005-0000-0000-00005B7E0000}"/>
    <cellStyle name="Процентный 10 48 7" xfId="35670" xr:uid="{00000000-0005-0000-0000-00005C7E0000}"/>
    <cellStyle name="Процентный 10 48 8" xfId="41010" xr:uid="{00000000-0005-0000-0000-00005D7E0000}"/>
    <cellStyle name="Процентный 10 48 9" xfId="46350" xr:uid="{00000000-0005-0000-0000-00005E7E0000}"/>
    <cellStyle name="Процентный 10 49" xfId="3659" xr:uid="{00000000-0005-0000-0000-00005F7E0000}"/>
    <cellStyle name="Процентный 10 49 10" xfId="51722" xr:uid="{00000000-0005-0000-0000-0000607E0000}"/>
    <cellStyle name="Процентный 10 49 2" xfId="9002" xr:uid="{00000000-0005-0000-0000-0000617E0000}"/>
    <cellStyle name="Процентный 10 49 2 2" xfId="57063" xr:uid="{00000000-0005-0000-0000-0000627E0000}"/>
    <cellStyle name="Процентный 10 49 3" xfId="14342" xr:uid="{00000000-0005-0000-0000-0000637E0000}"/>
    <cellStyle name="Процентный 10 49 4" xfId="19682" xr:uid="{00000000-0005-0000-0000-0000647E0000}"/>
    <cellStyle name="Процентный 10 49 5" xfId="25022" xr:uid="{00000000-0005-0000-0000-0000657E0000}"/>
    <cellStyle name="Процентный 10 49 6" xfId="30362" xr:uid="{00000000-0005-0000-0000-0000667E0000}"/>
    <cellStyle name="Процентный 10 49 7" xfId="35702" xr:uid="{00000000-0005-0000-0000-0000677E0000}"/>
    <cellStyle name="Процентный 10 49 8" xfId="41042" xr:uid="{00000000-0005-0000-0000-0000687E0000}"/>
    <cellStyle name="Процентный 10 49 9" xfId="46382" xr:uid="{00000000-0005-0000-0000-0000697E0000}"/>
    <cellStyle name="Процентный 10 5" xfId="2262" xr:uid="{00000000-0005-0000-0000-00006A7E0000}"/>
    <cellStyle name="Процентный 10 5 10" xfId="50326" xr:uid="{00000000-0005-0000-0000-00006B7E0000}"/>
    <cellStyle name="Процентный 10 5 2" xfId="7605" xr:uid="{00000000-0005-0000-0000-00006C7E0000}"/>
    <cellStyle name="Процентный 10 5 2 2" xfId="55667" xr:uid="{00000000-0005-0000-0000-00006D7E0000}"/>
    <cellStyle name="Процентный 10 5 3" xfId="12946" xr:uid="{00000000-0005-0000-0000-00006E7E0000}"/>
    <cellStyle name="Процентный 10 5 4" xfId="18286" xr:uid="{00000000-0005-0000-0000-00006F7E0000}"/>
    <cellStyle name="Процентный 10 5 5" xfId="23626" xr:uid="{00000000-0005-0000-0000-0000707E0000}"/>
    <cellStyle name="Процентный 10 5 6" xfId="28966" xr:uid="{00000000-0005-0000-0000-0000717E0000}"/>
    <cellStyle name="Процентный 10 5 7" xfId="34306" xr:uid="{00000000-0005-0000-0000-0000727E0000}"/>
    <cellStyle name="Процентный 10 5 8" xfId="39646" xr:uid="{00000000-0005-0000-0000-0000737E0000}"/>
    <cellStyle name="Процентный 10 5 9" xfId="44986" xr:uid="{00000000-0005-0000-0000-0000747E0000}"/>
    <cellStyle name="Процентный 10 50" xfId="3691" xr:uid="{00000000-0005-0000-0000-0000757E0000}"/>
    <cellStyle name="Процентный 10 50 10" xfId="51754" xr:uid="{00000000-0005-0000-0000-0000767E0000}"/>
    <cellStyle name="Процентный 10 50 2" xfId="9034" xr:uid="{00000000-0005-0000-0000-0000777E0000}"/>
    <cellStyle name="Процентный 10 50 2 2" xfId="57095" xr:uid="{00000000-0005-0000-0000-0000787E0000}"/>
    <cellStyle name="Процентный 10 50 3" xfId="14374" xr:uid="{00000000-0005-0000-0000-0000797E0000}"/>
    <cellStyle name="Процентный 10 50 4" xfId="19714" xr:uid="{00000000-0005-0000-0000-00007A7E0000}"/>
    <cellStyle name="Процентный 10 50 5" xfId="25054" xr:uid="{00000000-0005-0000-0000-00007B7E0000}"/>
    <cellStyle name="Процентный 10 50 6" xfId="30394" xr:uid="{00000000-0005-0000-0000-00007C7E0000}"/>
    <cellStyle name="Процентный 10 50 7" xfId="35734" xr:uid="{00000000-0005-0000-0000-00007D7E0000}"/>
    <cellStyle name="Процентный 10 50 8" xfId="41074" xr:uid="{00000000-0005-0000-0000-00007E7E0000}"/>
    <cellStyle name="Процентный 10 50 9" xfId="46414" xr:uid="{00000000-0005-0000-0000-00007F7E0000}"/>
    <cellStyle name="Процентный 10 51" xfId="3723" xr:uid="{00000000-0005-0000-0000-0000807E0000}"/>
    <cellStyle name="Процентный 10 51 10" xfId="51786" xr:uid="{00000000-0005-0000-0000-0000817E0000}"/>
    <cellStyle name="Процентный 10 51 2" xfId="9066" xr:uid="{00000000-0005-0000-0000-0000827E0000}"/>
    <cellStyle name="Процентный 10 51 2 2" xfId="57127" xr:uid="{00000000-0005-0000-0000-0000837E0000}"/>
    <cellStyle name="Процентный 10 51 3" xfId="14406" xr:uid="{00000000-0005-0000-0000-0000847E0000}"/>
    <cellStyle name="Процентный 10 51 4" xfId="19746" xr:uid="{00000000-0005-0000-0000-0000857E0000}"/>
    <cellStyle name="Процентный 10 51 5" xfId="25086" xr:uid="{00000000-0005-0000-0000-0000867E0000}"/>
    <cellStyle name="Процентный 10 51 6" xfId="30426" xr:uid="{00000000-0005-0000-0000-0000877E0000}"/>
    <cellStyle name="Процентный 10 51 7" xfId="35766" xr:uid="{00000000-0005-0000-0000-0000887E0000}"/>
    <cellStyle name="Процентный 10 51 8" xfId="41106" xr:uid="{00000000-0005-0000-0000-0000897E0000}"/>
    <cellStyle name="Процентный 10 51 9" xfId="46446" xr:uid="{00000000-0005-0000-0000-00008A7E0000}"/>
    <cellStyle name="Процентный 10 52" xfId="3755" xr:uid="{00000000-0005-0000-0000-00008B7E0000}"/>
    <cellStyle name="Процентный 10 52 10" xfId="51818" xr:uid="{00000000-0005-0000-0000-00008C7E0000}"/>
    <cellStyle name="Процентный 10 52 2" xfId="9098" xr:uid="{00000000-0005-0000-0000-00008D7E0000}"/>
    <cellStyle name="Процентный 10 52 2 2" xfId="57159" xr:uid="{00000000-0005-0000-0000-00008E7E0000}"/>
    <cellStyle name="Процентный 10 52 3" xfId="14438" xr:uid="{00000000-0005-0000-0000-00008F7E0000}"/>
    <cellStyle name="Процентный 10 52 4" xfId="19778" xr:uid="{00000000-0005-0000-0000-0000907E0000}"/>
    <cellStyle name="Процентный 10 52 5" xfId="25118" xr:uid="{00000000-0005-0000-0000-0000917E0000}"/>
    <cellStyle name="Процентный 10 52 6" xfId="30458" xr:uid="{00000000-0005-0000-0000-0000927E0000}"/>
    <cellStyle name="Процентный 10 52 7" xfId="35798" xr:uid="{00000000-0005-0000-0000-0000937E0000}"/>
    <cellStyle name="Процентный 10 52 8" xfId="41138" xr:uid="{00000000-0005-0000-0000-0000947E0000}"/>
    <cellStyle name="Процентный 10 52 9" xfId="46478" xr:uid="{00000000-0005-0000-0000-0000957E0000}"/>
    <cellStyle name="Процентный 10 53" xfId="3787" xr:uid="{00000000-0005-0000-0000-0000967E0000}"/>
    <cellStyle name="Процентный 10 53 10" xfId="51850" xr:uid="{00000000-0005-0000-0000-0000977E0000}"/>
    <cellStyle name="Процентный 10 53 2" xfId="9130" xr:uid="{00000000-0005-0000-0000-0000987E0000}"/>
    <cellStyle name="Процентный 10 53 2 2" xfId="57191" xr:uid="{00000000-0005-0000-0000-0000997E0000}"/>
    <cellStyle name="Процентный 10 53 3" xfId="14470" xr:uid="{00000000-0005-0000-0000-00009A7E0000}"/>
    <cellStyle name="Процентный 10 53 4" xfId="19810" xr:uid="{00000000-0005-0000-0000-00009B7E0000}"/>
    <cellStyle name="Процентный 10 53 5" xfId="25150" xr:uid="{00000000-0005-0000-0000-00009C7E0000}"/>
    <cellStyle name="Процентный 10 53 6" xfId="30490" xr:uid="{00000000-0005-0000-0000-00009D7E0000}"/>
    <cellStyle name="Процентный 10 53 7" xfId="35830" xr:uid="{00000000-0005-0000-0000-00009E7E0000}"/>
    <cellStyle name="Процентный 10 53 8" xfId="41170" xr:uid="{00000000-0005-0000-0000-00009F7E0000}"/>
    <cellStyle name="Процентный 10 53 9" xfId="46510" xr:uid="{00000000-0005-0000-0000-0000A07E0000}"/>
    <cellStyle name="Процентный 10 54" xfId="3819" xr:uid="{00000000-0005-0000-0000-0000A17E0000}"/>
    <cellStyle name="Процентный 10 54 10" xfId="51882" xr:uid="{00000000-0005-0000-0000-0000A27E0000}"/>
    <cellStyle name="Процентный 10 54 2" xfId="9162" xr:uid="{00000000-0005-0000-0000-0000A37E0000}"/>
    <cellStyle name="Процентный 10 54 2 2" xfId="57223" xr:uid="{00000000-0005-0000-0000-0000A47E0000}"/>
    <cellStyle name="Процентный 10 54 3" xfId="14502" xr:uid="{00000000-0005-0000-0000-0000A57E0000}"/>
    <cellStyle name="Процентный 10 54 4" xfId="19842" xr:uid="{00000000-0005-0000-0000-0000A67E0000}"/>
    <cellStyle name="Процентный 10 54 5" xfId="25182" xr:uid="{00000000-0005-0000-0000-0000A77E0000}"/>
    <cellStyle name="Процентный 10 54 6" xfId="30522" xr:uid="{00000000-0005-0000-0000-0000A87E0000}"/>
    <cellStyle name="Процентный 10 54 7" xfId="35862" xr:uid="{00000000-0005-0000-0000-0000A97E0000}"/>
    <cellStyle name="Процентный 10 54 8" xfId="41202" xr:uid="{00000000-0005-0000-0000-0000AA7E0000}"/>
    <cellStyle name="Процентный 10 54 9" xfId="46542" xr:uid="{00000000-0005-0000-0000-0000AB7E0000}"/>
    <cellStyle name="Процентный 10 55" xfId="3851" xr:uid="{00000000-0005-0000-0000-0000AC7E0000}"/>
    <cellStyle name="Процентный 10 55 10" xfId="51914" xr:uid="{00000000-0005-0000-0000-0000AD7E0000}"/>
    <cellStyle name="Процентный 10 55 2" xfId="9194" xr:uid="{00000000-0005-0000-0000-0000AE7E0000}"/>
    <cellStyle name="Процентный 10 55 2 2" xfId="57255" xr:uid="{00000000-0005-0000-0000-0000AF7E0000}"/>
    <cellStyle name="Процентный 10 55 3" xfId="14534" xr:uid="{00000000-0005-0000-0000-0000B07E0000}"/>
    <cellStyle name="Процентный 10 55 4" xfId="19874" xr:uid="{00000000-0005-0000-0000-0000B17E0000}"/>
    <cellStyle name="Процентный 10 55 5" xfId="25214" xr:uid="{00000000-0005-0000-0000-0000B27E0000}"/>
    <cellStyle name="Процентный 10 55 6" xfId="30554" xr:uid="{00000000-0005-0000-0000-0000B37E0000}"/>
    <cellStyle name="Процентный 10 55 7" xfId="35894" xr:uid="{00000000-0005-0000-0000-0000B47E0000}"/>
    <cellStyle name="Процентный 10 55 8" xfId="41234" xr:uid="{00000000-0005-0000-0000-0000B57E0000}"/>
    <cellStyle name="Процентный 10 55 9" xfId="46574" xr:uid="{00000000-0005-0000-0000-0000B67E0000}"/>
    <cellStyle name="Процентный 10 56" xfId="3883" xr:uid="{00000000-0005-0000-0000-0000B77E0000}"/>
    <cellStyle name="Процентный 10 56 10" xfId="51946" xr:uid="{00000000-0005-0000-0000-0000B87E0000}"/>
    <cellStyle name="Процентный 10 56 2" xfId="9226" xr:uid="{00000000-0005-0000-0000-0000B97E0000}"/>
    <cellStyle name="Процентный 10 56 2 2" xfId="57287" xr:uid="{00000000-0005-0000-0000-0000BA7E0000}"/>
    <cellStyle name="Процентный 10 56 3" xfId="14566" xr:uid="{00000000-0005-0000-0000-0000BB7E0000}"/>
    <cellStyle name="Процентный 10 56 4" xfId="19906" xr:uid="{00000000-0005-0000-0000-0000BC7E0000}"/>
    <cellStyle name="Процентный 10 56 5" xfId="25246" xr:uid="{00000000-0005-0000-0000-0000BD7E0000}"/>
    <cellStyle name="Процентный 10 56 6" xfId="30586" xr:uid="{00000000-0005-0000-0000-0000BE7E0000}"/>
    <cellStyle name="Процентный 10 56 7" xfId="35926" xr:uid="{00000000-0005-0000-0000-0000BF7E0000}"/>
    <cellStyle name="Процентный 10 56 8" xfId="41266" xr:uid="{00000000-0005-0000-0000-0000C07E0000}"/>
    <cellStyle name="Процентный 10 56 9" xfId="46606" xr:uid="{00000000-0005-0000-0000-0000C17E0000}"/>
    <cellStyle name="Процентный 10 57" xfId="3915" xr:uid="{00000000-0005-0000-0000-0000C27E0000}"/>
    <cellStyle name="Процентный 10 57 10" xfId="51978" xr:uid="{00000000-0005-0000-0000-0000C37E0000}"/>
    <cellStyle name="Процентный 10 57 2" xfId="9258" xr:uid="{00000000-0005-0000-0000-0000C47E0000}"/>
    <cellStyle name="Процентный 10 57 2 2" xfId="57319" xr:uid="{00000000-0005-0000-0000-0000C57E0000}"/>
    <cellStyle name="Процентный 10 57 3" xfId="14598" xr:uid="{00000000-0005-0000-0000-0000C67E0000}"/>
    <cellStyle name="Процентный 10 57 4" xfId="19938" xr:uid="{00000000-0005-0000-0000-0000C77E0000}"/>
    <cellStyle name="Процентный 10 57 5" xfId="25278" xr:uid="{00000000-0005-0000-0000-0000C87E0000}"/>
    <cellStyle name="Процентный 10 57 6" xfId="30618" xr:uid="{00000000-0005-0000-0000-0000C97E0000}"/>
    <cellStyle name="Процентный 10 57 7" xfId="35958" xr:uid="{00000000-0005-0000-0000-0000CA7E0000}"/>
    <cellStyle name="Процентный 10 57 8" xfId="41298" xr:uid="{00000000-0005-0000-0000-0000CB7E0000}"/>
    <cellStyle name="Процентный 10 57 9" xfId="46638" xr:uid="{00000000-0005-0000-0000-0000CC7E0000}"/>
    <cellStyle name="Процентный 10 58" xfId="3947" xr:uid="{00000000-0005-0000-0000-0000CD7E0000}"/>
    <cellStyle name="Процентный 10 58 10" xfId="52010" xr:uid="{00000000-0005-0000-0000-0000CE7E0000}"/>
    <cellStyle name="Процентный 10 58 2" xfId="9290" xr:uid="{00000000-0005-0000-0000-0000CF7E0000}"/>
    <cellStyle name="Процентный 10 58 2 2" xfId="57351" xr:uid="{00000000-0005-0000-0000-0000D07E0000}"/>
    <cellStyle name="Процентный 10 58 3" xfId="14630" xr:uid="{00000000-0005-0000-0000-0000D17E0000}"/>
    <cellStyle name="Процентный 10 58 4" xfId="19970" xr:uid="{00000000-0005-0000-0000-0000D27E0000}"/>
    <cellStyle name="Процентный 10 58 5" xfId="25310" xr:uid="{00000000-0005-0000-0000-0000D37E0000}"/>
    <cellStyle name="Процентный 10 58 6" xfId="30650" xr:uid="{00000000-0005-0000-0000-0000D47E0000}"/>
    <cellStyle name="Процентный 10 58 7" xfId="35990" xr:uid="{00000000-0005-0000-0000-0000D57E0000}"/>
    <cellStyle name="Процентный 10 58 8" xfId="41330" xr:uid="{00000000-0005-0000-0000-0000D67E0000}"/>
    <cellStyle name="Процентный 10 58 9" xfId="46670" xr:uid="{00000000-0005-0000-0000-0000D77E0000}"/>
    <cellStyle name="Процентный 10 59" xfId="3979" xr:uid="{00000000-0005-0000-0000-0000D87E0000}"/>
    <cellStyle name="Процентный 10 59 10" xfId="52042" xr:uid="{00000000-0005-0000-0000-0000D97E0000}"/>
    <cellStyle name="Процентный 10 59 2" xfId="9322" xr:uid="{00000000-0005-0000-0000-0000DA7E0000}"/>
    <cellStyle name="Процентный 10 59 2 2" xfId="57383" xr:uid="{00000000-0005-0000-0000-0000DB7E0000}"/>
    <cellStyle name="Процентный 10 59 3" xfId="14662" xr:uid="{00000000-0005-0000-0000-0000DC7E0000}"/>
    <cellStyle name="Процентный 10 59 4" xfId="20002" xr:uid="{00000000-0005-0000-0000-0000DD7E0000}"/>
    <cellStyle name="Процентный 10 59 5" xfId="25342" xr:uid="{00000000-0005-0000-0000-0000DE7E0000}"/>
    <cellStyle name="Процентный 10 59 6" xfId="30682" xr:uid="{00000000-0005-0000-0000-0000DF7E0000}"/>
    <cellStyle name="Процентный 10 59 7" xfId="36022" xr:uid="{00000000-0005-0000-0000-0000E07E0000}"/>
    <cellStyle name="Процентный 10 59 8" xfId="41362" xr:uid="{00000000-0005-0000-0000-0000E17E0000}"/>
    <cellStyle name="Процентный 10 59 9" xfId="46702" xr:uid="{00000000-0005-0000-0000-0000E27E0000}"/>
    <cellStyle name="Процентный 10 6" xfId="2292" xr:uid="{00000000-0005-0000-0000-0000E37E0000}"/>
    <cellStyle name="Процентный 10 6 10" xfId="50356" xr:uid="{00000000-0005-0000-0000-0000E47E0000}"/>
    <cellStyle name="Процентный 10 6 2" xfId="7635" xr:uid="{00000000-0005-0000-0000-0000E57E0000}"/>
    <cellStyle name="Процентный 10 6 2 2" xfId="55697" xr:uid="{00000000-0005-0000-0000-0000E67E0000}"/>
    <cellStyle name="Процентный 10 6 3" xfId="12976" xr:uid="{00000000-0005-0000-0000-0000E77E0000}"/>
    <cellStyle name="Процентный 10 6 4" xfId="18316" xr:uid="{00000000-0005-0000-0000-0000E87E0000}"/>
    <cellStyle name="Процентный 10 6 5" xfId="23656" xr:uid="{00000000-0005-0000-0000-0000E97E0000}"/>
    <cellStyle name="Процентный 10 6 6" xfId="28996" xr:uid="{00000000-0005-0000-0000-0000EA7E0000}"/>
    <cellStyle name="Процентный 10 6 7" xfId="34336" xr:uid="{00000000-0005-0000-0000-0000EB7E0000}"/>
    <cellStyle name="Процентный 10 6 8" xfId="39676" xr:uid="{00000000-0005-0000-0000-0000EC7E0000}"/>
    <cellStyle name="Процентный 10 6 9" xfId="45016" xr:uid="{00000000-0005-0000-0000-0000ED7E0000}"/>
    <cellStyle name="Процентный 10 60" xfId="4011" xr:uid="{00000000-0005-0000-0000-0000EE7E0000}"/>
    <cellStyle name="Процентный 10 60 10" xfId="52074" xr:uid="{00000000-0005-0000-0000-0000EF7E0000}"/>
    <cellStyle name="Процентный 10 60 2" xfId="9354" xr:uid="{00000000-0005-0000-0000-0000F07E0000}"/>
    <cellStyle name="Процентный 10 60 2 2" xfId="57415" xr:uid="{00000000-0005-0000-0000-0000F17E0000}"/>
    <cellStyle name="Процентный 10 60 3" xfId="14694" xr:uid="{00000000-0005-0000-0000-0000F27E0000}"/>
    <cellStyle name="Процентный 10 60 4" xfId="20034" xr:uid="{00000000-0005-0000-0000-0000F37E0000}"/>
    <cellStyle name="Процентный 10 60 5" xfId="25374" xr:uid="{00000000-0005-0000-0000-0000F47E0000}"/>
    <cellStyle name="Процентный 10 60 6" xfId="30714" xr:uid="{00000000-0005-0000-0000-0000F57E0000}"/>
    <cellStyle name="Процентный 10 60 7" xfId="36054" xr:uid="{00000000-0005-0000-0000-0000F67E0000}"/>
    <cellStyle name="Процентный 10 60 8" xfId="41394" xr:uid="{00000000-0005-0000-0000-0000F77E0000}"/>
    <cellStyle name="Процентный 10 60 9" xfId="46734" xr:uid="{00000000-0005-0000-0000-0000F87E0000}"/>
    <cellStyle name="Процентный 10 61" xfId="4043" xr:uid="{00000000-0005-0000-0000-0000F97E0000}"/>
    <cellStyle name="Процентный 10 61 10" xfId="52106" xr:uid="{00000000-0005-0000-0000-0000FA7E0000}"/>
    <cellStyle name="Процентный 10 61 2" xfId="9386" xr:uid="{00000000-0005-0000-0000-0000FB7E0000}"/>
    <cellStyle name="Процентный 10 61 2 2" xfId="57447" xr:uid="{00000000-0005-0000-0000-0000FC7E0000}"/>
    <cellStyle name="Процентный 10 61 3" xfId="14726" xr:uid="{00000000-0005-0000-0000-0000FD7E0000}"/>
    <cellStyle name="Процентный 10 61 4" xfId="20066" xr:uid="{00000000-0005-0000-0000-0000FE7E0000}"/>
    <cellStyle name="Процентный 10 61 5" xfId="25406" xr:uid="{00000000-0005-0000-0000-0000FF7E0000}"/>
    <cellStyle name="Процентный 10 61 6" xfId="30746" xr:uid="{00000000-0005-0000-0000-0000007F0000}"/>
    <cellStyle name="Процентный 10 61 7" xfId="36086" xr:uid="{00000000-0005-0000-0000-0000017F0000}"/>
    <cellStyle name="Процентный 10 61 8" xfId="41426" xr:uid="{00000000-0005-0000-0000-0000027F0000}"/>
    <cellStyle name="Процентный 10 61 9" xfId="46766" xr:uid="{00000000-0005-0000-0000-0000037F0000}"/>
    <cellStyle name="Процентный 10 62" xfId="4075" xr:uid="{00000000-0005-0000-0000-0000047F0000}"/>
    <cellStyle name="Процентный 10 62 10" xfId="52138" xr:uid="{00000000-0005-0000-0000-0000057F0000}"/>
    <cellStyle name="Процентный 10 62 2" xfId="9418" xr:uid="{00000000-0005-0000-0000-0000067F0000}"/>
    <cellStyle name="Процентный 10 62 2 2" xfId="57479" xr:uid="{00000000-0005-0000-0000-0000077F0000}"/>
    <cellStyle name="Процентный 10 62 3" xfId="14758" xr:uid="{00000000-0005-0000-0000-0000087F0000}"/>
    <cellStyle name="Процентный 10 62 4" xfId="20098" xr:uid="{00000000-0005-0000-0000-0000097F0000}"/>
    <cellStyle name="Процентный 10 62 5" xfId="25438" xr:uid="{00000000-0005-0000-0000-00000A7F0000}"/>
    <cellStyle name="Процентный 10 62 6" xfId="30778" xr:uid="{00000000-0005-0000-0000-00000B7F0000}"/>
    <cellStyle name="Процентный 10 62 7" xfId="36118" xr:uid="{00000000-0005-0000-0000-00000C7F0000}"/>
    <cellStyle name="Процентный 10 62 8" xfId="41458" xr:uid="{00000000-0005-0000-0000-00000D7F0000}"/>
    <cellStyle name="Процентный 10 62 9" xfId="46798" xr:uid="{00000000-0005-0000-0000-00000E7F0000}"/>
    <cellStyle name="Процентный 10 63" xfId="4107" xr:uid="{00000000-0005-0000-0000-00000F7F0000}"/>
    <cellStyle name="Процентный 10 63 10" xfId="52170" xr:uid="{00000000-0005-0000-0000-0000107F0000}"/>
    <cellStyle name="Процентный 10 63 2" xfId="9450" xr:uid="{00000000-0005-0000-0000-0000117F0000}"/>
    <cellStyle name="Процентный 10 63 2 2" xfId="57511" xr:uid="{00000000-0005-0000-0000-0000127F0000}"/>
    <cellStyle name="Процентный 10 63 3" xfId="14790" xr:uid="{00000000-0005-0000-0000-0000137F0000}"/>
    <cellStyle name="Процентный 10 63 4" xfId="20130" xr:uid="{00000000-0005-0000-0000-0000147F0000}"/>
    <cellStyle name="Процентный 10 63 5" xfId="25470" xr:uid="{00000000-0005-0000-0000-0000157F0000}"/>
    <cellStyle name="Процентный 10 63 6" xfId="30810" xr:uid="{00000000-0005-0000-0000-0000167F0000}"/>
    <cellStyle name="Процентный 10 63 7" xfId="36150" xr:uid="{00000000-0005-0000-0000-0000177F0000}"/>
    <cellStyle name="Процентный 10 63 8" xfId="41490" xr:uid="{00000000-0005-0000-0000-0000187F0000}"/>
    <cellStyle name="Процентный 10 63 9" xfId="46830" xr:uid="{00000000-0005-0000-0000-0000197F0000}"/>
    <cellStyle name="Процентный 10 64" xfId="4139" xr:uid="{00000000-0005-0000-0000-00001A7F0000}"/>
    <cellStyle name="Процентный 10 64 10" xfId="52202" xr:uid="{00000000-0005-0000-0000-00001B7F0000}"/>
    <cellStyle name="Процентный 10 64 2" xfId="9482" xr:uid="{00000000-0005-0000-0000-00001C7F0000}"/>
    <cellStyle name="Процентный 10 64 2 2" xfId="57543" xr:uid="{00000000-0005-0000-0000-00001D7F0000}"/>
    <cellStyle name="Процентный 10 64 3" xfId="14822" xr:uid="{00000000-0005-0000-0000-00001E7F0000}"/>
    <cellStyle name="Процентный 10 64 4" xfId="20162" xr:uid="{00000000-0005-0000-0000-00001F7F0000}"/>
    <cellStyle name="Процентный 10 64 5" xfId="25502" xr:uid="{00000000-0005-0000-0000-0000207F0000}"/>
    <cellStyle name="Процентный 10 64 6" xfId="30842" xr:uid="{00000000-0005-0000-0000-0000217F0000}"/>
    <cellStyle name="Процентный 10 64 7" xfId="36182" xr:uid="{00000000-0005-0000-0000-0000227F0000}"/>
    <cellStyle name="Процентный 10 64 8" xfId="41522" xr:uid="{00000000-0005-0000-0000-0000237F0000}"/>
    <cellStyle name="Процентный 10 64 9" xfId="46862" xr:uid="{00000000-0005-0000-0000-0000247F0000}"/>
    <cellStyle name="Процентный 10 65" xfId="4171" xr:uid="{00000000-0005-0000-0000-0000257F0000}"/>
    <cellStyle name="Процентный 10 65 10" xfId="52234" xr:uid="{00000000-0005-0000-0000-0000267F0000}"/>
    <cellStyle name="Процентный 10 65 2" xfId="9514" xr:uid="{00000000-0005-0000-0000-0000277F0000}"/>
    <cellStyle name="Процентный 10 65 2 2" xfId="57575" xr:uid="{00000000-0005-0000-0000-0000287F0000}"/>
    <cellStyle name="Процентный 10 65 3" xfId="14854" xr:uid="{00000000-0005-0000-0000-0000297F0000}"/>
    <cellStyle name="Процентный 10 65 4" xfId="20194" xr:uid="{00000000-0005-0000-0000-00002A7F0000}"/>
    <cellStyle name="Процентный 10 65 5" xfId="25534" xr:uid="{00000000-0005-0000-0000-00002B7F0000}"/>
    <cellStyle name="Процентный 10 65 6" xfId="30874" xr:uid="{00000000-0005-0000-0000-00002C7F0000}"/>
    <cellStyle name="Процентный 10 65 7" xfId="36214" xr:uid="{00000000-0005-0000-0000-00002D7F0000}"/>
    <cellStyle name="Процентный 10 65 8" xfId="41554" xr:uid="{00000000-0005-0000-0000-00002E7F0000}"/>
    <cellStyle name="Процентный 10 65 9" xfId="46894" xr:uid="{00000000-0005-0000-0000-00002F7F0000}"/>
    <cellStyle name="Процентный 10 66" xfId="4203" xr:uid="{00000000-0005-0000-0000-0000307F0000}"/>
    <cellStyle name="Процентный 10 66 10" xfId="52266" xr:uid="{00000000-0005-0000-0000-0000317F0000}"/>
    <cellStyle name="Процентный 10 66 2" xfId="9546" xr:uid="{00000000-0005-0000-0000-0000327F0000}"/>
    <cellStyle name="Процентный 10 66 2 2" xfId="57607" xr:uid="{00000000-0005-0000-0000-0000337F0000}"/>
    <cellStyle name="Процентный 10 66 3" xfId="14886" xr:uid="{00000000-0005-0000-0000-0000347F0000}"/>
    <cellStyle name="Процентный 10 66 4" xfId="20226" xr:uid="{00000000-0005-0000-0000-0000357F0000}"/>
    <cellStyle name="Процентный 10 66 5" xfId="25566" xr:uid="{00000000-0005-0000-0000-0000367F0000}"/>
    <cellStyle name="Процентный 10 66 6" xfId="30906" xr:uid="{00000000-0005-0000-0000-0000377F0000}"/>
    <cellStyle name="Процентный 10 66 7" xfId="36246" xr:uid="{00000000-0005-0000-0000-0000387F0000}"/>
    <cellStyle name="Процентный 10 66 8" xfId="41586" xr:uid="{00000000-0005-0000-0000-0000397F0000}"/>
    <cellStyle name="Процентный 10 66 9" xfId="46926" xr:uid="{00000000-0005-0000-0000-00003A7F0000}"/>
    <cellStyle name="Процентный 10 67" xfId="4235" xr:uid="{00000000-0005-0000-0000-00003B7F0000}"/>
    <cellStyle name="Процентный 10 67 10" xfId="52298" xr:uid="{00000000-0005-0000-0000-00003C7F0000}"/>
    <cellStyle name="Процентный 10 67 2" xfId="9578" xr:uid="{00000000-0005-0000-0000-00003D7F0000}"/>
    <cellStyle name="Процентный 10 67 2 2" xfId="57639" xr:uid="{00000000-0005-0000-0000-00003E7F0000}"/>
    <cellStyle name="Процентный 10 67 3" xfId="14918" xr:uid="{00000000-0005-0000-0000-00003F7F0000}"/>
    <cellStyle name="Процентный 10 67 4" xfId="20258" xr:uid="{00000000-0005-0000-0000-0000407F0000}"/>
    <cellStyle name="Процентный 10 67 5" xfId="25598" xr:uid="{00000000-0005-0000-0000-0000417F0000}"/>
    <cellStyle name="Процентный 10 67 6" xfId="30938" xr:uid="{00000000-0005-0000-0000-0000427F0000}"/>
    <cellStyle name="Процентный 10 67 7" xfId="36278" xr:uid="{00000000-0005-0000-0000-0000437F0000}"/>
    <cellStyle name="Процентный 10 67 8" xfId="41618" xr:uid="{00000000-0005-0000-0000-0000447F0000}"/>
    <cellStyle name="Процентный 10 67 9" xfId="46958" xr:uid="{00000000-0005-0000-0000-0000457F0000}"/>
    <cellStyle name="Процентный 10 68" xfId="4267" xr:uid="{00000000-0005-0000-0000-0000467F0000}"/>
    <cellStyle name="Процентный 10 68 10" xfId="52330" xr:uid="{00000000-0005-0000-0000-0000477F0000}"/>
    <cellStyle name="Процентный 10 68 2" xfId="9610" xr:uid="{00000000-0005-0000-0000-0000487F0000}"/>
    <cellStyle name="Процентный 10 68 2 2" xfId="57671" xr:uid="{00000000-0005-0000-0000-0000497F0000}"/>
    <cellStyle name="Процентный 10 68 3" xfId="14950" xr:uid="{00000000-0005-0000-0000-00004A7F0000}"/>
    <cellStyle name="Процентный 10 68 4" xfId="20290" xr:uid="{00000000-0005-0000-0000-00004B7F0000}"/>
    <cellStyle name="Процентный 10 68 5" xfId="25630" xr:uid="{00000000-0005-0000-0000-00004C7F0000}"/>
    <cellStyle name="Процентный 10 68 6" xfId="30970" xr:uid="{00000000-0005-0000-0000-00004D7F0000}"/>
    <cellStyle name="Процентный 10 68 7" xfId="36310" xr:uid="{00000000-0005-0000-0000-00004E7F0000}"/>
    <cellStyle name="Процентный 10 68 8" xfId="41650" xr:uid="{00000000-0005-0000-0000-00004F7F0000}"/>
    <cellStyle name="Процентный 10 68 9" xfId="46990" xr:uid="{00000000-0005-0000-0000-0000507F0000}"/>
    <cellStyle name="Процентный 10 69" xfId="4299" xr:uid="{00000000-0005-0000-0000-0000517F0000}"/>
    <cellStyle name="Процентный 10 69 10" xfId="52362" xr:uid="{00000000-0005-0000-0000-0000527F0000}"/>
    <cellStyle name="Процентный 10 69 2" xfId="9642" xr:uid="{00000000-0005-0000-0000-0000537F0000}"/>
    <cellStyle name="Процентный 10 69 2 2" xfId="57703" xr:uid="{00000000-0005-0000-0000-0000547F0000}"/>
    <cellStyle name="Процентный 10 69 3" xfId="14982" xr:uid="{00000000-0005-0000-0000-0000557F0000}"/>
    <cellStyle name="Процентный 10 69 4" xfId="20322" xr:uid="{00000000-0005-0000-0000-0000567F0000}"/>
    <cellStyle name="Процентный 10 69 5" xfId="25662" xr:uid="{00000000-0005-0000-0000-0000577F0000}"/>
    <cellStyle name="Процентный 10 69 6" xfId="31002" xr:uid="{00000000-0005-0000-0000-0000587F0000}"/>
    <cellStyle name="Процентный 10 69 7" xfId="36342" xr:uid="{00000000-0005-0000-0000-0000597F0000}"/>
    <cellStyle name="Процентный 10 69 8" xfId="41682" xr:uid="{00000000-0005-0000-0000-00005A7F0000}"/>
    <cellStyle name="Процентный 10 69 9" xfId="47022" xr:uid="{00000000-0005-0000-0000-00005B7F0000}"/>
    <cellStyle name="Процентный 10 7" xfId="2322" xr:uid="{00000000-0005-0000-0000-00005C7F0000}"/>
    <cellStyle name="Процентный 10 7 10" xfId="50386" xr:uid="{00000000-0005-0000-0000-00005D7F0000}"/>
    <cellStyle name="Процентный 10 7 2" xfId="7665" xr:uid="{00000000-0005-0000-0000-00005E7F0000}"/>
    <cellStyle name="Процентный 10 7 2 2" xfId="55727" xr:uid="{00000000-0005-0000-0000-00005F7F0000}"/>
    <cellStyle name="Процентный 10 7 3" xfId="13006" xr:uid="{00000000-0005-0000-0000-0000607F0000}"/>
    <cellStyle name="Процентный 10 7 4" xfId="18346" xr:uid="{00000000-0005-0000-0000-0000617F0000}"/>
    <cellStyle name="Процентный 10 7 5" xfId="23686" xr:uid="{00000000-0005-0000-0000-0000627F0000}"/>
    <cellStyle name="Процентный 10 7 6" xfId="29026" xr:uid="{00000000-0005-0000-0000-0000637F0000}"/>
    <cellStyle name="Процентный 10 7 7" xfId="34366" xr:uid="{00000000-0005-0000-0000-0000647F0000}"/>
    <cellStyle name="Процентный 10 7 8" xfId="39706" xr:uid="{00000000-0005-0000-0000-0000657F0000}"/>
    <cellStyle name="Процентный 10 7 9" xfId="45046" xr:uid="{00000000-0005-0000-0000-0000667F0000}"/>
    <cellStyle name="Процентный 10 70" xfId="4331" xr:uid="{00000000-0005-0000-0000-0000677F0000}"/>
    <cellStyle name="Процентный 10 70 10" xfId="52394" xr:uid="{00000000-0005-0000-0000-0000687F0000}"/>
    <cellStyle name="Процентный 10 70 2" xfId="9674" xr:uid="{00000000-0005-0000-0000-0000697F0000}"/>
    <cellStyle name="Процентный 10 70 2 2" xfId="57735" xr:uid="{00000000-0005-0000-0000-00006A7F0000}"/>
    <cellStyle name="Процентный 10 70 3" xfId="15014" xr:uid="{00000000-0005-0000-0000-00006B7F0000}"/>
    <cellStyle name="Процентный 10 70 4" xfId="20354" xr:uid="{00000000-0005-0000-0000-00006C7F0000}"/>
    <cellStyle name="Процентный 10 70 5" xfId="25694" xr:uid="{00000000-0005-0000-0000-00006D7F0000}"/>
    <cellStyle name="Процентный 10 70 6" xfId="31034" xr:uid="{00000000-0005-0000-0000-00006E7F0000}"/>
    <cellStyle name="Процентный 10 70 7" xfId="36374" xr:uid="{00000000-0005-0000-0000-00006F7F0000}"/>
    <cellStyle name="Процентный 10 70 8" xfId="41714" xr:uid="{00000000-0005-0000-0000-0000707F0000}"/>
    <cellStyle name="Процентный 10 70 9" xfId="47054" xr:uid="{00000000-0005-0000-0000-0000717F0000}"/>
    <cellStyle name="Процентный 10 71" xfId="4363" xr:uid="{00000000-0005-0000-0000-0000727F0000}"/>
    <cellStyle name="Процентный 10 71 10" xfId="52426" xr:uid="{00000000-0005-0000-0000-0000737F0000}"/>
    <cellStyle name="Процентный 10 71 2" xfId="9706" xr:uid="{00000000-0005-0000-0000-0000747F0000}"/>
    <cellStyle name="Процентный 10 71 2 2" xfId="57767" xr:uid="{00000000-0005-0000-0000-0000757F0000}"/>
    <cellStyle name="Процентный 10 71 3" xfId="15046" xr:uid="{00000000-0005-0000-0000-0000767F0000}"/>
    <cellStyle name="Процентный 10 71 4" xfId="20386" xr:uid="{00000000-0005-0000-0000-0000777F0000}"/>
    <cellStyle name="Процентный 10 71 5" xfId="25726" xr:uid="{00000000-0005-0000-0000-0000787F0000}"/>
    <cellStyle name="Процентный 10 71 6" xfId="31066" xr:uid="{00000000-0005-0000-0000-0000797F0000}"/>
    <cellStyle name="Процентный 10 71 7" xfId="36406" xr:uid="{00000000-0005-0000-0000-00007A7F0000}"/>
    <cellStyle name="Процентный 10 71 8" xfId="41746" xr:uid="{00000000-0005-0000-0000-00007B7F0000}"/>
    <cellStyle name="Процентный 10 71 9" xfId="47086" xr:uid="{00000000-0005-0000-0000-00007C7F0000}"/>
    <cellStyle name="Процентный 10 72" xfId="4395" xr:uid="{00000000-0005-0000-0000-00007D7F0000}"/>
    <cellStyle name="Процентный 10 72 10" xfId="52458" xr:uid="{00000000-0005-0000-0000-00007E7F0000}"/>
    <cellStyle name="Процентный 10 72 2" xfId="9738" xr:uid="{00000000-0005-0000-0000-00007F7F0000}"/>
    <cellStyle name="Процентный 10 72 2 2" xfId="57799" xr:uid="{00000000-0005-0000-0000-0000807F0000}"/>
    <cellStyle name="Процентный 10 72 3" xfId="15078" xr:uid="{00000000-0005-0000-0000-0000817F0000}"/>
    <cellStyle name="Процентный 10 72 4" xfId="20418" xr:uid="{00000000-0005-0000-0000-0000827F0000}"/>
    <cellStyle name="Процентный 10 72 5" xfId="25758" xr:uid="{00000000-0005-0000-0000-0000837F0000}"/>
    <cellStyle name="Процентный 10 72 6" xfId="31098" xr:uid="{00000000-0005-0000-0000-0000847F0000}"/>
    <cellStyle name="Процентный 10 72 7" xfId="36438" xr:uid="{00000000-0005-0000-0000-0000857F0000}"/>
    <cellStyle name="Процентный 10 72 8" xfId="41778" xr:uid="{00000000-0005-0000-0000-0000867F0000}"/>
    <cellStyle name="Процентный 10 72 9" xfId="47118" xr:uid="{00000000-0005-0000-0000-0000877F0000}"/>
    <cellStyle name="Процентный 10 73" xfId="4427" xr:uid="{00000000-0005-0000-0000-0000887F0000}"/>
    <cellStyle name="Процентный 10 73 10" xfId="52490" xr:uid="{00000000-0005-0000-0000-0000897F0000}"/>
    <cellStyle name="Процентный 10 73 2" xfId="9770" xr:uid="{00000000-0005-0000-0000-00008A7F0000}"/>
    <cellStyle name="Процентный 10 73 2 2" xfId="57831" xr:uid="{00000000-0005-0000-0000-00008B7F0000}"/>
    <cellStyle name="Процентный 10 73 3" xfId="15110" xr:uid="{00000000-0005-0000-0000-00008C7F0000}"/>
    <cellStyle name="Процентный 10 73 4" xfId="20450" xr:uid="{00000000-0005-0000-0000-00008D7F0000}"/>
    <cellStyle name="Процентный 10 73 5" xfId="25790" xr:uid="{00000000-0005-0000-0000-00008E7F0000}"/>
    <cellStyle name="Процентный 10 73 6" xfId="31130" xr:uid="{00000000-0005-0000-0000-00008F7F0000}"/>
    <cellStyle name="Процентный 10 73 7" xfId="36470" xr:uid="{00000000-0005-0000-0000-0000907F0000}"/>
    <cellStyle name="Процентный 10 73 8" xfId="41810" xr:uid="{00000000-0005-0000-0000-0000917F0000}"/>
    <cellStyle name="Процентный 10 73 9" xfId="47150" xr:uid="{00000000-0005-0000-0000-0000927F0000}"/>
    <cellStyle name="Процентный 10 74" xfId="4459" xr:uid="{00000000-0005-0000-0000-0000937F0000}"/>
    <cellStyle name="Процентный 10 74 10" xfId="52522" xr:uid="{00000000-0005-0000-0000-0000947F0000}"/>
    <cellStyle name="Процентный 10 74 2" xfId="9802" xr:uid="{00000000-0005-0000-0000-0000957F0000}"/>
    <cellStyle name="Процентный 10 74 2 2" xfId="57863" xr:uid="{00000000-0005-0000-0000-0000967F0000}"/>
    <cellStyle name="Процентный 10 74 3" xfId="15142" xr:uid="{00000000-0005-0000-0000-0000977F0000}"/>
    <cellStyle name="Процентный 10 74 4" xfId="20482" xr:uid="{00000000-0005-0000-0000-0000987F0000}"/>
    <cellStyle name="Процентный 10 74 5" xfId="25822" xr:uid="{00000000-0005-0000-0000-0000997F0000}"/>
    <cellStyle name="Процентный 10 74 6" xfId="31162" xr:uid="{00000000-0005-0000-0000-00009A7F0000}"/>
    <cellStyle name="Процентный 10 74 7" xfId="36502" xr:uid="{00000000-0005-0000-0000-00009B7F0000}"/>
    <cellStyle name="Процентный 10 74 8" xfId="41842" xr:uid="{00000000-0005-0000-0000-00009C7F0000}"/>
    <cellStyle name="Процентный 10 74 9" xfId="47182" xr:uid="{00000000-0005-0000-0000-00009D7F0000}"/>
    <cellStyle name="Процентный 10 75" xfId="4491" xr:uid="{00000000-0005-0000-0000-00009E7F0000}"/>
    <cellStyle name="Процентный 10 75 10" xfId="52554" xr:uid="{00000000-0005-0000-0000-00009F7F0000}"/>
    <cellStyle name="Процентный 10 75 2" xfId="9834" xr:uid="{00000000-0005-0000-0000-0000A07F0000}"/>
    <cellStyle name="Процентный 10 75 2 2" xfId="57895" xr:uid="{00000000-0005-0000-0000-0000A17F0000}"/>
    <cellStyle name="Процентный 10 75 3" xfId="15174" xr:uid="{00000000-0005-0000-0000-0000A27F0000}"/>
    <cellStyle name="Процентный 10 75 4" xfId="20514" xr:uid="{00000000-0005-0000-0000-0000A37F0000}"/>
    <cellStyle name="Процентный 10 75 5" xfId="25854" xr:uid="{00000000-0005-0000-0000-0000A47F0000}"/>
    <cellStyle name="Процентный 10 75 6" xfId="31194" xr:uid="{00000000-0005-0000-0000-0000A57F0000}"/>
    <cellStyle name="Процентный 10 75 7" xfId="36534" xr:uid="{00000000-0005-0000-0000-0000A67F0000}"/>
    <cellStyle name="Процентный 10 75 8" xfId="41874" xr:uid="{00000000-0005-0000-0000-0000A77F0000}"/>
    <cellStyle name="Процентный 10 75 9" xfId="47214" xr:uid="{00000000-0005-0000-0000-0000A87F0000}"/>
    <cellStyle name="Процентный 10 76" xfId="4523" xr:uid="{00000000-0005-0000-0000-0000A97F0000}"/>
    <cellStyle name="Процентный 10 76 10" xfId="52586" xr:uid="{00000000-0005-0000-0000-0000AA7F0000}"/>
    <cellStyle name="Процентный 10 76 2" xfId="9866" xr:uid="{00000000-0005-0000-0000-0000AB7F0000}"/>
    <cellStyle name="Процентный 10 76 2 2" xfId="57927" xr:uid="{00000000-0005-0000-0000-0000AC7F0000}"/>
    <cellStyle name="Процентный 10 76 3" xfId="15206" xr:uid="{00000000-0005-0000-0000-0000AD7F0000}"/>
    <cellStyle name="Процентный 10 76 4" xfId="20546" xr:uid="{00000000-0005-0000-0000-0000AE7F0000}"/>
    <cellStyle name="Процентный 10 76 5" xfId="25886" xr:uid="{00000000-0005-0000-0000-0000AF7F0000}"/>
    <cellStyle name="Процентный 10 76 6" xfId="31226" xr:uid="{00000000-0005-0000-0000-0000B07F0000}"/>
    <cellStyle name="Процентный 10 76 7" xfId="36566" xr:uid="{00000000-0005-0000-0000-0000B17F0000}"/>
    <cellStyle name="Процентный 10 76 8" xfId="41906" xr:uid="{00000000-0005-0000-0000-0000B27F0000}"/>
    <cellStyle name="Процентный 10 76 9" xfId="47246" xr:uid="{00000000-0005-0000-0000-0000B37F0000}"/>
    <cellStyle name="Процентный 10 77" xfId="4555" xr:uid="{00000000-0005-0000-0000-0000B47F0000}"/>
    <cellStyle name="Процентный 10 77 10" xfId="52618" xr:uid="{00000000-0005-0000-0000-0000B57F0000}"/>
    <cellStyle name="Процентный 10 77 2" xfId="9898" xr:uid="{00000000-0005-0000-0000-0000B67F0000}"/>
    <cellStyle name="Процентный 10 77 2 2" xfId="57959" xr:uid="{00000000-0005-0000-0000-0000B77F0000}"/>
    <cellStyle name="Процентный 10 77 3" xfId="15238" xr:uid="{00000000-0005-0000-0000-0000B87F0000}"/>
    <cellStyle name="Процентный 10 77 4" xfId="20578" xr:uid="{00000000-0005-0000-0000-0000B97F0000}"/>
    <cellStyle name="Процентный 10 77 5" xfId="25918" xr:uid="{00000000-0005-0000-0000-0000BA7F0000}"/>
    <cellStyle name="Процентный 10 77 6" xfId="31258" xr:uid="{00000000-0005-0000-0000-0000BB7F0000}"/>
    <cellStyle name="Процентный 10 77 7" xfId="36598" xr:uid="{00000000-0005-0000-0000-0000BC7F0000}"/>
    <cellStyle name="Процентный 10 77 8" xfId="41938" xr:uid="{00000000-0005-0000-0000-0000BD7F0000}"/>
    <cellStyle name="Процентный 10 77 9" xfId="47278" xr:uid="{00000000-0005-0000-0000-0000BE7F0000}"/>
    <cellStyle name="Процентный 10 78" xfId="4587" xr:uid="{00000000-0005-0000-0000-0000BF7F0000}"/>
    <cellStyle name="Процентный 10 78 10" xfId="52650" xr:uid="{00000000-0005-0000-0000-0000C07F0000}"/>
    <cellStyle name="Процентный 10 78 2" xfId="9930" xr:uid="{00000000-0005-0000-0000-0000C17F0000}"/>
    <cellStyle name="Процентный 10 78 2 2" xfId="57991" xr:uid="{00000000-0005-0000-0000-0000C27F0000}"/>
    <cellStyle name="Процентный 10 78 3" xfId="15270" xr:uid="{00000000-0005-0000-0000-0000C37F0000}"/>
    <cellStyle name="Процентный 10 78 4" xfId="20610" xr:uid="{00000000-0005-0000-0000-0000C47F0000}"/>
    <cellStyle name="Процентный 10 78 5" xfId="25950" xr:uid="{00000000-0005-0000-0000-0000C57F0000}"/>
    <cellStyle name="Процентный 10 78 6" xfId="31290" xr:uid="{00000000-0005-0000-0000-0000C67F0000}"/>
    <cellStyle name="Процентный 10 78 7" xfId="36630" xr:uid="{00000000-0005-0000-0000-0000C77F0000}"/>
    <cellStyle name="Процентный 10 78 8" xfId="41970" xr:uid="{00000000-0005-0000-0000-0000C87F0000}"/>
    <cellStyle name="Процентный 10 78 9" xfId="47310" xr:uid="{00000000-0005-0000-0000-0000C97F0000}"/>
    <cellStyle name="Процентный 10 79" xfId="4619" xr:uid="{00000000-0005-0000-0000-0000CA7F0000}"/>
    <cellStyle name="Процентный 10 79 10" xfId="52682" xr:uid="{00000000-0005-0000-0000-0000CB7F0000}"/>
    <cellStyle name="Процентный 10 79 2" xfId="9962" xr:uid="{00000000-0005-0000-0000-0000CC7F0000}"/>
    <cellStyle name="Процентный 10 79 2 2" xfId="58023" xr:uid="{00000000-0005-0000-0000-0000CD7F0000}"/>
    <cellStyle name="Процентный 10 79 3" xfId="15302" xr:uid="{00000000-0005-0000-0000-0000CE7F0000}"/>
    <cellStyle name="Процентный 10 79 4" xfId="20642" xr:uid="{00000000-0005-0000-0000-0000CF7F0000}"/>
    <cellStyle name="Процентный 10 79 5" xfId="25982" xr:uid="{00000000-0005-0000-0000-0000D07F0000}"/>
    <cellStyle name="Процентный 10 79 6" xfId="31322" xr:uid="{00000000-0005-0000-0000-0000D17F0000}"/>
    <cellStyle name="Процентный 10 79 7" xfId="36662" xr:uid="{00000000-0005-0000-0000-0000D27F0000}"/>
    <cellStyle name="Процентный 10 79 8" xfId="42002" xr:uid="{00000000-0005-0000-0000-0000D37F0000}"/>
    <cellStyle name="Процентный 10 79 9" xfId="47342" xr:uid="{00000000-0005-0000-0000-0000D47F0000}"/>
    <cellStyle name="Процентный 10 8" xfId="2352" xr:uid="{00000000-0005-0000-0000-0000D57F0000}"/>
    <cellStyle name="Процентный 10 8 10" xfId="50416" xr:uid="{00000000-0005-0000-0000-0000D67F0000}"/>
    <cellStyle name="Процентный 10 8 2" xfId="7695" xr:uid="{00000000-0005-0000-0000-0000D77F0000}"/>
    <cellStyle name="Процентный 10 8 2 2" xfId="55757" xr:uid="{00000000-0005-0000-0000-0000D87F0000}"/>
    <cellStyle name="Процентный 10 8 3" xfId="13036" xr:uid="{00000000-0005-0000-0000-0000D97F0000}"/>
    <cellStyle name="Процентный 10 8 4" xfId="18376" xr:uid="{00000000-0005-0000-0000-0000DA7F0000}"/>
    <cellStyle name="Процентный 10 8 5" xfId="23716" xr:uid="{00000000-0005-0000-0000-0000DB7F0000}"/>
    <cellStyle name="Процентный 10 8 6" xfId="29056" xr:uid="{00000000-0005-0000-0000-0000DC7F0000}"/>
    <cellStyle name="Процентный 10 8 7" xfId="34396" xr:uid="{00000000-0005-0000-0000-0000DD7F0000}"/>
    <cellStyle name="Процентный 10 8 8" xfId="39736" xr:uid="{00000000-0005-0000-0000-0000DE7F0000}"/>
    <cellStyle name="Процентный 10 8 9" xfId="45076" xr:uid="{00000000-0005-0000-0000-0000DF7F0000}"/>
    <cellStyle name="Процентный 10 80" xfId="4651" xr:uid="{00000000-0005-0000-0000-0000E07F0000}"/>
    <cellStyle name="Процентный 10 80 10" xfId="52714" xr:uid="{00000000-0005-0000-0000-0000E17F0000}"/>
    <cellStyle name="Процентный 10 80 2" xfId="9994" xr:uid="{00000000-0005-0000-0000-0000E27F0000}"/>
    <cellStyle name="Процентный 10 80 2 2" xfId="58055" xr:uid="{00000000-0005-0000-0000-0000E37F0000}"/>
    <cellStyle name="Процентный 10 80 3" xfId="15334" xr:uid="{00000000-0005-0000-0000-0000E47F0000}"/>
    <cellStyle name="Процентный 10 80 4" xfId="20674" xr:uid="{00000000-0005-0000-0000-0000E57F0000}"/>
    <cellStyle name="Процентный 10 80 5" xfId="26014" xr:uid="{00000000-0005-0000-0000-0000E67F0000}"/>
    <cellStyle name="Процентный 10 80 6" xfId="31354" xr:uid="{00000000-0005-0000-0000-0000E77F0000}"/>
    <cellStyle name="Процентный 10 80 7" xfId="36694" xr:uid="{00000000-0005-0000-0000-0000E87F0000}"/>
    <cellStyle name="Процентный 10 80 8" xfId="42034" xr:uid="{00000000-0005-0000-0000-0000E97F0000}"/>
    <cellStyle name="Процентный 10 80 9" xfId="47374" xr:uid="{00000000-0005-0000-0000-0000EA7F0000}"/>
    <cellStyle name="Процентный 10 81" xfId="4683" xr:uid="{00000000-0005-0000-0000-0000EB7F0000}"/>
    <cellStyle name="Процентный 10 81 10" xfId="52746" xr:uid="{00000000-0005-0000-0000-0000EC7F0000}"/>
    <cellStyle name="Процентный 10 81 2" xfId="10026" xr:uid="{00000000-0005-0000-0000-0000ED7F0000}"/>
    <cellStyle name="Процентный 10 81 2 2" xfId="58087" xr:uid="{00000000-0005-0000-0000-0000EE7F0000}"/>
    <cellStyle name="Процентный 10 81 3" xfId="15366" xr:uid="{00000000-0005-0000-0000-0000EF7F0000}"/>
    <cellStyle name="Процентный 10 81 4" xfId="20706" xr:uid="{00000000-0005-0000-0000-0000F07F0000}"/>
    <cellStyle name="Процентный 10 81 5" xfId="26046" xr:uid="{00000000-0005-0000-0000-0000F17F0000}"/>
    <cellStyle name="Процентный 10 81 6" xfId="31386" xr:uid="{00000000-0005-0000-0000-0000F27F0000}"/>
    <cellStyle name="Процентный 10 81 7" xfId="36726" xr:uid="{00000000-0005-0000-0000-0000F37F0000}"/>
    <cellStyle name="Процентный 10 81 8" xfId="42066" xr:uid="{00000000-0005-0000-0000-0000F47F0000}"/>
    <cellStyle name="Процентный 10 81 9" xfId="47406" xr:uid="{00000000-0005-0000-0000-0000F57F0000}"/>
    <cellStyle name="Процентный 10 82" xfId="4715" xr:uid="{00000000-0005-0000-0000-0000F67F0000}"/>
    <cellStyle name="Процентный 10 82 10" xfId="52778" xr:uid="{00000000-0005-0000-0000-0000F77F0000}"/>
    <cellStyle name="Процентный 10 82 2" xfId="10058" xr:uid="{00000000-0005-0000-0000-0000F87F0000}"/>
    <cellStyle name="Процентный 10 82 2 2" xfId="58119" xr:uid="{00000000-0005-0000-0000-0000F97F0000}"/>
    <cellStyle name="Процентный 10 82 3" xfId="15398" xr:uid="{00000000-0005-0000-0000-0000FA7F0000}"/>
    <cellStyle name="Процентный 10 82 4" xfId="20738" xr:uid="{00000000-0005-0000-0000-0000FB7F0000}"/>
    <cellStyle name="Процентный 10 82 5" xfId="26078" xr:uid="{00000000-0005-0000-0000-0000FC7F0000}"/>
    <cellStyle name="Процентный 10 82 6" xfId="31418" xr:uid="{00000000-0005-0000-0000-0000FD7F0000}"/>
    <cellStyle name="Процентный 10 82 7" xfId="36758" xr:uid="{00000000-0005-0000-0000-0000FE7F0000}"/>
    <cellStyle name="Процентный 10 82 8" xfId="42098" xr:uid="{00000000-0005-0000-0000-0000FF7F0000}"/>
    <cellStyle name="Процентный 10 82 9" xfId="47438" xr:uid="{00000000-0005-0000-0000-000000800000}"/>
    <cellStyle name="Процентный 10 83" xfId="4749" xr:uid="{00000000-0005-0000-0000-000001800000}"/>
    <cellStyle name="Процентный 10 83 10" xfId="52812" xr:uid="{00000000-0005-0000-0000-000002800000}"/>
    <cellStyle name="Процентный 10 83 2" xfId="10092" xr:uid="{00000000-0005-0000-0000-000003800000}"/>
    <cellStyle name="Процентный 10 83 2 2" xfId="58153" xr:uid="{00000000-0005-0000-0000-000004800000}"/>
    <cellStyle name="Процентный 10 83 3" xfId="15432" xr:uid="{00000000-0005-0000-0000-000005800000}"/>
    <cellStyle name="Процентный 10 83 4" xfId="20772" xr:uid="{00000000-0005-0000-0000-000006800000}"/>
    <cellStyle name="Процентный 10 83 5" xfId="26112" xr:uid="{00000000-0005-0000-0000-000007800000}"/>
    <cellStyle name="Процентный 10 83 6" xfId="31452" xr:uid="{00000000-0005-0000-0000-000008800000}"/>
    <cellStyle name="Процентный 10 83 7" xfId="36792" xr:uid="{00000000-0005-0000-0000-000009800000}"/>
    <cellStyle name="Процентный 10 83 8" xfId="42132" xr:uid="{00000000-0005-0000-0000-00000A800000}"/>
    <cellStyle name="Процентный 10 83 9" xfId="47472" xr:uid="{00000000-0005-0000-0000-00000B800000}"/>
    <cellStyle name="Процентный 10 84" xfId="4781" xr:uid="{00000000-0005-0000-0000-00000C800000}"/>
    <cellStyle name="Процентный 10 84 10" xfId="52844" xr:uid="{00000000-0005-0000-0000-00000D800000}"/>
    <cellStyle name="Процентный 10 84 2" xfId="10124" xr:uid="{00000000-0005-0000-0000-00000E800000}"/>
    <cellStyle name="Процентный 10 84 2 2" xfId="58185" xr:uid="{00000000-0005-0000-0000-00000F800000}"/>
    <cellStyle name="Процентный 10 84 3" xfId="15464" xr:uid="{00000000-0005-0000-0000-000010800000}"/>
    <cellStyle name="Процентный 10 84 4" xfId="20804" xr:uid="{00000000-0005-0000-0000-000011800000}"/>
    <cellStyle name="Процентный 10 84 5" xfId="26144" xr:uid="{00000000-0005-0000-0000-000012800000}"/>
    <cellStyle name="Процентный 10 84 6" xfId="31484" xr:uid="{00000000-0005-0000-0000-000013800000}"/>
    <cellStyle name="Процентный 10 84 7" xfId="36824" xr:uid="{00000000-0005-0000-0000-000014800000}"/>
    <cellStyle name="Процентный 10 84 8" xfId="42164" xr:uid="{00000000-0005-0000-0000-000015800000}"/>
    <cellStyle name="Процентный 10 84 9" xfId="47504" xr:uid="{00000000-0005-0000-0000-000016800000}"/>
    <cellStyle name="Процентный 10 85" xfId="4813" xr:uid="{00000000-0005-0000-0000-000017800000}"/>
    <cellStyle name="Процентный 10 85 10" xfId="52876" xr:uid="{00000000-0005-0000-0000-000018800000}"/>
    <cellStyle name="Процентный 10 85 2" xfId="10156" xr:uid="{00000000-0005-0000-0000-000019800000}"/>
    <cellStyle name="Процентный 10 85 2 2" xfId="58217" xr:uid="{00000000-0005-0000-0000-00001A800000}"/>
    <cellStyle name="Процентный 10 85 3" xfId="15496" xr:uid="{00000000-0005-0000-0000-00001B800000}"/>
    <cellStyle name="Процентный 10 85 4" xfId="20836" xr:uid="{00000000-0005-0000-0000-00001C800000}"/>
    <cellStyle name="Процентный 10 85 5" xfId="26176" xr:uid="{00000000-0005-0000-0000-00001D800000}"/>
    <cellStyle name="Процентный 10 85 6" xfId="31516" xr:uid="{00000000-0005-0000-0000-00001E800000}"/>
    <cellStyle name="Процентный 10 85 7" xfId="36856" xr:uid="{00000000-0005-0000-0000-00001F800000}"/>
    <cellStyle name="Процентный 10 85 8" xfId="42196" xr:uid="{00000000-0005-0000-0000-000020800000}"/>
    <cellStyle name="Процентный 10 85 9" xfId="47536" xr:uid="{00000000-0005-0000-0000-000021800000}"/>
    <cellStyle name="Процентный 10 86" xfId="4845" xr:uid="{00000000-0005-0000-0000-000022800000}"/>
    <cellStyle name="Процентный 10 86 10" xfId="52908" xr:uid="{00000000-0005-0000-0000-000023800000}"/>
    <cellStyle name="Процентный 10 86 2" xfId="10188" xr:uid="{00000000-0005-0000-0000-000024800000}"/>
    <cellStyle name="Процентный 10 86 2 2" xfId="58249" xr:uid="{00000000-0005-0000-0000-000025800000}"/>
    <cellStyle name="Процентный 10 86 3" xfId="15528" xr:uid="{00000000-0005-0000-0000-000026800000}"/>
    <cellStyle name="Процентный 10 86 4" xfId="20868" xr:uid="{00000000-0005-0000-0000-000027800000}"/>
    <cellStyle name="Процентный 10 86 5" xfId="26208" xr:uid="{00000000-0005-0000-0000-000028800000}"/>
    <cellStyle name="Процентный 10 86 6" xfId="31548" xr:uid="{00000000-0005-0000-0000-000029800000}"/>
    <cellStyle name="Процентный 10 86 7" xfId="36888" xr:uid="{00000000-0005-0000-0000-00002A800000}"/>
    <cellStyle name="Процентный 10 86 8" xfId="42228" xr:uid="{00000000-0005-0000-0000-00002B800000}"/>
    <cellStyle name="Процентный 10 86 9" xfId="47568" xr:uid="{00000000-0005-0000-0000-00002C800000}"/>
    <cellStyle name="Процентный 10 87" xfId="4877" xr:uid="{00000000-0005-0000-0000-00002D800000}"/>
    <cellStyle name="Процентный 10 87 10" xfId="52940" xr:uid="{00000000-0005-0000-0000-00002E800000}"/>
    <cellStyle name="Процентный 10 87 2" xfId="10220" xr:uid="{00000000-0005-0000-0000-00002F800000}"/>
    <cellStyle name="Процентный 10 87 2 2" xfId="58281" xr:uid="{00000000-0005-0000-0000-000030800000}"/>
    <cellStyle name="Процентный 10 87 3" xfId="15560" xr:uid="{00000000-0005-0000-0000-000031800000}"/>
    <cellStyle name="Процентный 10 87 4" xfId="20900" xr:uid="{00000000-0005-0000-0000-000032800000}"/>
    <cellStyle name="Процентный 10 87 5" xfId="26240" xr:uid="{00000000-0005-0000-0000-000033800000}"/>
    <cellStyle name="Процентный 10 87 6" xfId="31580" xr:uid="{00000000-0005-0000-0000-000034800000}"/>
    <cellStyle name="Процентный 10 87 7" xfId="36920" xr:uid="{00000000-0005-0000-0000-000035800000}"/>
    <cellStyle name="Процентный 10 87 8" xfId="42260" xr:uid="{00000000-0005-0000-0000-000036800000}"/>
    <cellStyle name="Процентный 10 87 9" xfId="47600" xr:uid="{00000000-0005-0000-0000-000037800000}"/>
    <cellStyle name="Процентный 10 88" xfId="4909" xr:uid="{00000000-0005-0000-0000-000038800000}"/>
    <cellStyle name="Процентный 10 88 10" xfId="52972" xr:uid="{00000000-0005-0000-0000-000039800000}"/>
    <cellStyle name="Процентный 10 88 2" xfId="10252" xr:uid="{00000000-0005-0000-0000-00003A800000}"/>
    <cellStyle name="Процентный 10 88 2 2" xfId="58313" xr:uid="{00000000-0005-0000-0000-00003B800000}"/>
    <cellStyle name="Процентный 10 88 3" xfId="15592" xr:uid="{00000000-0005-0000-0000-00003C800000}"/>
    <cellStyle name="Процентный 10 88 4" xfId="20932" xr:uid="{00000000-0005-0000-0000-00003D800000}"/>
    <cellStyle name="Процентный 10 88 5" xfId="26272" xr:uid="{00000000-0005-0000-0000-00003E800000}"/>
    <cellStyle name="Процентный 10 88 6" xfId="31612" xr:uid="{00000000-0005-0000-0000-00003F800000}"/>
    <cellStyle name="Процентный 10 88 7" xfId="36952" xr:uid="{00000000-0005-0000-0000-000040800000}"/>
    <cellStyle name="Процентный 10 88 8" xfId="42292" xr:uid="{00000000-0005-0000-0000-000041800000}"/>
    <cellStyle name="Процентный 10 88 9" xfId="47632" xr:uid="{00000000-0005-0000-0000-000042800000}"/>
    <cellStyle name="Процентный 10 89" xfId="4941" xr:uid="{00000000-0005-0000-0000-000043800000}"/>
    <cellStyle name="Процентный 10 89 10" xfId="53004" xr:uid="{00000000-0005-0000-0000-000044800000}"/>
    <cellStyle name="Процентный 10 89 2" xfId="10284" xr:uid="{00000000-0005-0000-0000-000045800000}"/>
    <cellStyle name="Процентный 10 89 2 2" xfId="58345" xr:uid="{00000000-0005-0000-0000-000046800000}"/>
    <cellStyle name="Процентный 10 89 3" xfId="15624" xr:uid="{00000000-0005-0000-0000-000047800000}"/>
    <cellStyle name="Процентный 10 89 4" xfId="20964" xr:uid="{00000000-0005-0000-0000-000048800000}"/>
    <cellStyle name="Процентный 10 89 5" xfId="26304" xr:uid="{00000000-0005-0000-0000-000049800000}"/>
    <cellStyle name="Процентный 10 89 6" xfId="31644" xr:uid="{00000000-0005-0000-0000-00004A800000}"/>
    <cellStyle name="Процентный 10 89 7" xfId="36984" xr:uid="{00000000-0005-0000-0000-00004B800000}"/>
    <cellStyle name="Процентный 10 89 8" xfId="42324" xr:uid="{00000000-0005-0000-0000-00004C800000}"/>
    <cellStyle name="Процентный 10 89 9" xfId="47664" xr:uid="{00000000-0005-0000-0000-00004D800000}"/>
    <cellStyle name="Процентный 10 9" xfId="2382" xr:uid="{00000000-0005-0000-0000-00004E800000}"/>
    <cellStyle name="Процентный 10 9 10" xfId="50446" xr:uid="{00000000-0005-0000-0000-00004F800000}"/>
    <cellStyle name="Процентный 10 9 2" xfId="7725" xr:uid="{00000000-0005-0000-0000-000050800000}"/>
    <cellStyle name="Процентный 10 9 2 2" xfId="55787" xr:uid="{00000000-0005-0000-0000-000051800000}"/>
    <cellStyle name="Процентный 10 9 3" xfId="13066" xr:uid="{00000000-0005-0000-0000-000052800000}"/>
    <cellStyle name="Процентный 10 9 4" xfId="18406" xr:uid="{00000000-0005-0000-0000-000053800000}"/>
    <cellStyle name="Процентный 10 9 5" xfId="23746" xr:uid="{00000000-0005-0000-0000-000054800000}"/>
    <cellStyle name="Процентный 10 9 6" xfId="29086" xr:uid="{00000000-0005-0000-0000-000055800000}"/>
    <cellStyle name="Процентный 10 9 7" xfId="34426" xr:uid="{00000000-0005-0000-0000-000056800000}"/>
    <cellStyle name="Процентный 10 9 8" xfId="39766" xr:uid="{00000000-0005-0000-0000-000057800000}"/>
    <cellStyle name="Процентный 10 9 9" xfId="45106" xr:uid="{00000000-0005-0000-0000-000058800000}"/>
    <cellStyle name="Процентный 10 90" xfId="4973" xr:uid="{00000000-0005-0000-0000-000059800000}"/>
    <cellStyle name="Процентный 10 90 10" xfId="53036" xr:uid="{00000000-0005-0000-0000-00005A800000}"/>
    <cellStyle name="Процентный 10 90 2" xfId="10316" xr:uid="{00000000-0005-0000-0000-00005B800000}"/>
    <cellStyle name="Процентный 10 90 2 2" xfId="58377" xr:uid="{00000000-0005-0000-0000-00005C800000}"/>
    <cellStyle name="Процентный 10 90 3" xfId="15656" xr:uid="{00000000-0005-0000-0000-00005D800000}"/>
    <cellStyle name="Процентный 10 90 4" xfId="20996" xr:uid="{00000000-0005-0000-0000-00005E800000}"/>
    <cellStyle name="Процентный 10 90 5" xfId="26336" xr:uid="{00000000-0005-0000-0000-00005F800000}"/>
    <cellStyle name="Процентный 10 90 6" xfId="31676" xr:uid="{00000000-0005-0000-0000-000060800000}"/>
    <cellStyle name="Процентный 10 90 7" xfId="37016" xr:uid="{00000000-0005-0000-0000-000061800000}"/>
    <cellStyle name="Процентный 10 90 8" xfId="42356" xr:uid="{00000000-0005-0000-0000-000062800000}"/>
    <cellStyle name="Процентный 10 90 9" xfId="47696" xr:uid="{00000000-0005-0000-0000-000063800000}"/>
    <cellStyle name="Процентный 10 91" xfId="5005" xr:uid="{00000000-0005-0000-0000-000064800000}"/>
    <cellStyle name="Процентный 10 91 10" xfId="53068" xr:uid="{00000000-0005-0000-0000-000065800000}"/>
    <cellStyle name="Процентный 10 91 2" xfId="10348" xr:uid="{00000000-0005-0000-0000-000066800000}"/>
    <cellStyle name="Процентный 10 91 2 2" xfId="58409" xr:uid="{00000000-0005-0000-0000-000067800000}"/>
    <cellStyle name="Процентный 10 91 3" xfId="15688" xr:uid="{00000000-0005-0000-0000-000068800000}"/>
    <cellStyle name="Процентный 10 91 4" xfId="21028" xr:uid="{00000000-0005-0000-0000-000069800000}"/>
    <cellStyle name="Процентный 10 91 5" xfId="26368" xr:uid="{00000000-0005-0000-0000-00006A800000}"/>
    <cellStyle name="Процентный 10 91 6" xfId="31708" xr:uid="{00000000-0005-0000-0000-00006B800000}"/>
    <cellStyle name="Процентный 10 91 7" xfId="37048" xr:uid="{00000000-0005-0000-0000-00006C800000}"/>
    <cellStyle name="Процентный 10 91 8" xfId="42388" xr:uid="{00000000-0005-0000-0000-00006D800000}"/>
    <cellStyle name="Процентный 10 91 9" xfId="47728" xr:uid="{00000000-0005-0000-0000-00006E800000}"/>
    <cellStyle name="Процентный 10 92" xfId="5037" xr:uid="{00000000-0005-0000-0000-00006F800000}"/>
    <cellStyle name="Процентный 10 92 10" xfId="53100" xr:uid="{00000000-0005-0000-0000-000070800000}"/>
    <cellStyle name="Процентный 10 92 2" xfId="10380" xr:uid="{00000000-0005-0000-0000-000071800000}"/>
    <cellStyle name="Процентный 10 92 2 2" xfId="58441" xr:uid="{00000000-0005-0000-0000-000072800000}"/>
    <cellStyle name="Процентный 10 92 3" xfId="15720" xr:uid="{00000000-0005-0000-0000-000073800000}"/>
    <cellStyle name="Процентный 10 92 4" xfId="21060" xr:uid="{00000000-0005-0000-0000-000074800000}"/>
    <cellStyle name="Процентный 10 92 5" xfId="26400" xr:uid="{00000000-0005-0000-0000-000075800000}"/>
    <cellStyle name="Процентный 10 92 6" xfId="31740" xr:uid="{00000000-0005-0000-0000-000076800000}"/>
    <cellStyle name="Процентный 10 92 7" xfId="37080" xr:uid="{00000000-0005-0000-0000-000077800000}"/>
    <cellStyle name="Процентный 10 92 8" xfId="42420" xr:uid="{00000000-0005-0000-0000-000078800000}"/>
    <cellStyle name="Процентный 10 92 9" xfId="47760" xr:uid="{00000000-0005-0000-0000-000079800000}"/>
    <cellStyle name="Процентный 10 93" xfId="5069" xr:uid="{00000000-0005-0000-0000-00007A800000}"/>
    <cellStyle name="Процентный 10 93 10" xfId="53132" xr:uid="{00000000-0005-0000-0000-00007B800000}"/>
    <cellStyle name="Процентный 10 93 2" xfId="10412" xr:uid="{00000000-0005-0000-0000-00007C800000}"/>
    <cellStyle name="Процентный 10 93 2 2" xfId="58473" xr:uid="{00000000-0005-0000-0000-00007D800000}"/>
    <cellStyle name="Процентный 10 93 3" xfId="15752" xr:uid="{00000000-0005-0000-0000-00007E800000}"/>
    <cellStyle name="Процентный 10 93 4" xfId="21092" xr:uid="{00000000-0005-0000-0000-00007F800000}"/>
    <cellStyle name="Процентный 10 93 5" xfId="26432" xr:uid="{00000000-0005-0000-0000-000080800000}"/>
    <cellStyle name="Процентный 10 93 6" xfId="31772" xr:uid="{00000000-0005-0000-0000-000081800000}"/>
    <cellStyle name="Процентный 10 93 7" xfId="37112" xr:uid="{00000000-0005-0000-0000-000082800000}"/>
    <cellStyle name="Процентный 10 93 8" xfId="42452" xr:uid="{00000000-0005-0000-0000-000083800000}"/>
    <cellStyle name="Процентный 10 93 9" xfId="47792" xr:uid="{00000000-0005-0000-0000-000084800000}"/>
    <cellStyle name="Процентный 10 94" xfId="5101" xr:uid="{00000000-0005-0000-0000-000085800000}"/>
    <cellStyle name="Процентный 10 94 10" xfId="53164" xr:uid="{00000000-0005-0000-0000-000086800000}"/>
    <cellStyle name="Процентный 10 94 2" xfId="10444" xr:uid="{00000000-0005-0000-0000-000087800000}"/>
    <cellStyle name="Процентный 10 94 2 2" xfId="58505" xr:uid="{00000000-0005-0000-0000-000088800000}"/>
    <cellStyle name="Процентный 10 94 3" xfId="15784" xr:uid="{00000000-0005-0000-0000-000089800000}"/>
    <cellStyle name="Процентный 10 94 4" xfId="21124" xr:uid="{00000000-0005-0000-0000-00008A800000}"/>
    <cellStyle name="Процентный 10 94 5" xfId="26464" xr:uid="{00000000-0005-0000-0000-00008B800000}"/>
    <cellStyle name="Процентный 10 94 6" xfId="31804" xr:uid="{00000000-0005-0000-0000-00008C800000}"/>
    <cellStyle name="Процентный 10 94 7" xfId="37144" xr:uid="{00000000-0005-0000-0000-00008D800000}"/>
    <cellStyle name="Процентный 10 94 8" xfId="42484" xr:uid="{00000000-0005-0000-0000-00008E800000}"/>
    <cellStyle name="Процентный 10 94 9" xfId="47824" xr:uid="{00000000-0005-0000-0000-00008F800000}"/>
    <cellStyle name="Процентный 10 95" xfId="5133" xr:uid="{00000000-0005-0000-0000-000090800000}"/>
    <cellStyle name="Процентный 10 95 10" xfId="53196" xr:uid="{00000000-0005-0000-0000-000091800000}"/>
    <cellStyle name="Процентный 10 95 2" xfId="10476" xr:uid="{00000000-0005-0000-0000-000092800000}"/>
    <cellStyle name="Процентный 10 95 2 2" xfId="58537" xr:uid="{00000000-0005-0000-0000-000093800000}"/>
    <cellStyle name="Процентный 10 95 3" xfId="15816" xr:uid="{00000000-0005-0000-0000-000094800000}"/>
    <cellStyle name="Процентный 10 95 4" xfId="21156" xr:uid="{00000000-0005-0000-0000-000095800000}"/>
    <cellStyle name="Процентный 10 95 5" xfId="26496" xr:uid="{00000000-0005-0000-0000-000096800000}"/>
    <cellStyle name="Процентный 10 95 6" xfId="31836" xr:uid="{00000000-0005-0000-0000-000097800000}"/>
    <cellStyle name="Процентный 10 95 7" xfId="37176" xr:uid="{00000000-0005-0000-0000-000098800000}"/>
    <cellStyle name="Процентный 10 95 8" xfId="42516" xr:uid="{00000000-0005-0000-0000-000099800000}"/>
    <cellStyle name="Процентный 10 95 9" xfId="47856" xr:uid="{00000000-0005-0000-0000-00009A800000}"/>
    <cellStyle name="Процентный 10 96" xfId="5165" xr:uid="{00000000-0005-0000-0000-00009B800000}"/>
    <cellStyle name="Процентный 10 96 10" xfId="53228" xr:uid="{00000000-0005-0000-0000-00009C800000}"/>
    <cellStyle name="Процентный 10 96 2" xfId="10508" xr:uid="{00000000-0005-0000-0000-00009D800000}"/>
    <cellStyle name="Процентный 10 96 2 2" xfId="58569" xr:uid="{00000000-0005-0000-0000-00009E800000}"/>
    <cellStyle name="Процентный 10 96 3" xfId="15848" xr:uid="{00000000-0005-0000-0000-00009F800000}"/>
    <cellStyle name="Процентный 10 96 4" xfId="21188" xr:uid="{00000000-0005-0000-0000-0000A0800000}"/>
    <cellStyle name="Процентный 10 96 5" xfId="26528" xr:uid="{00000000-0005-0000-0000-0000A1800000}"/>
    <cellStyle name="Процентный 10 96 6" xfId="31868" xr:uid="{00000000-0005-0000-0000-0000A2800000}"/>
    <cellStyle name="Процентный 10 96 7" xfId="37208" xr:uid="{00000000-0005-0000-0000-0000A3800000}"/>
    <cellStyle name="Процентный 10 96 8" xfId="42548" xr:uid="{00000000-0005-0000-0000-0000A4800000}"/>
    <cellStyle name="Процентный 10 96 9" xfId="47888" xr:uid="{00000000-0005-0000-0000-0000A5800000}"/>
    <cellStyle name="Процентный 10 97" xfId="5197" xr:uid="{00000000-0005-0000-0000-0000A6800000}"/>
    <cellStyle name="Процентный 10 97 10" xfId="53260" xr:uid="{00000000-0005-0000-0000-0000A7800000}"/>
    <cellStyle name="Процентный 10 97 2" xfId="10540" xr:uid="{00000000-0005-0000-0000-0000A8800000}"/>
    <cellStyle name="Процентный 10 97 2 2" xfId="58601" xr:uid="{00000000-0005-0000-0000-0000A9800000}"/>
    <cellStyle name="Процентный 10 97 3" xfId="15880" xr:uid="{00000000-0005-0000-0000-0000AA800000}"/>
    <cellStyle name="Процентный 10 97 4" xfId="21220" xr:uid="{00000000-0005-0000-0000-0000AB800000}"/>
    <cellStyle name="Процентный 10 97 5" xfId="26560" xr:uid="{00000000-0005-0000-0000-0000AC800000}"/>
    <cellStyle name="Процентный 10 97 6" xfId="31900" xr:uid="{00000000-0005-0000-0000-0000AD800000}"/>
    <cellStyle name="Процентный 10 97 7" xfId="37240" xr:uid="{00000000-0005-0000-0000-0000AE800000}"/>
    <cellStyle name="Процентный 10 97 8" xfId="42580" xr:uid="{00000000-0005-0000-0000-0000AF800000}"/>
    <cellStyle name="Процентный 10 97 9" xfId="47920" xr:uid="{00000000-0005-0000-0000-0000B0800000}"/>
    <cellStyle name="Процентный 10 98" xfId="5229" xr:uid="{00000000-0005-0000-0000-0000B1800000}"/>
    <cellStyle name="Процентный 10 98 10" xfId="53292" xr:uid="{00000000-0005-0000-0000-0000B2800000}"/>
    <cellStyle name="Процентный 10 98 2" xfId="10572" xr:uid="{00000000-0005-0000-0000-0000B3800000}"/>
    <cellStyle name="Процентный 10 98 2 2" xfId="58633" xr:uid="{00000000-0005-0000-0000-0000B4800000}"/>
    <cellStyle name="Процентный 10 98 3" xfId="15912" xr:uid="{00000000-0005-0000-0000-0000B5800000}"/>
    <cellStyle name="Процентный 10 98 4" xfId="21252" xr:uid="{00000000-0005-0000-0000-0000B6800000}"/>
    <cellStyle name="Процентный 10 98 5" xfId="26592" xr:uid="{00000000-0005-0000-0000-0000B7800000}"/>
    <cellStyle name="Процентный 10 98 6" xfId="31932" xr:uid="{00000000-0005-0000-0000-0000B8800000}"/>
    <cellStyle name="Процентный 10 98 7" xfId="37272" xr:uid="{00000000-0005-0000-0000-0000B9800000}"/>
    <cellStyle name="Процентный 10 98 8" xfId="42612" xr:uid="{00000000-0005-0000-0000-0000BA800000}"/>
    <cellStyle name="Процентный 10 98 9" xfId="47952" xr:uid="{00000000-0005-0000-0000-0000BB800000}"/>
    <cellStyle name="Процентный 10 99" xfId="5261" xr:uid="{00000000-0005-0000-0000-0000BC800000}"/>
    <cellStyle name="Процентный 10 99 10" xfId="53324" xr:uid="{00000000-0005-0000-0000-0000BD800000}"/>
    <cellStyle name="Процентный 10 99 2" xfId="10604" xr:uid="{00000000-0005-0000-0000-0000BE800000}"/>
    <cellStyle name="Процентный 10 99 2 2" xfId="58665" xr:uid="{00000000-0005-0000-0000-0000BF800000}"/>
    <cellStyle name="Процентный 10 99 3" xfId="15944" xr:uid="{00000000-0005-0000-0000-0000C0800000}"/>
    <cellStyle name="Процентный 10 99 4" xfId="21284" xr:uid="{00000000-0005-0000-0000-0000C1800000}"/>
    <cellStyle name="Процентный 10 99 5" xfId="26624" xr:uid="{00000000-0005-0000-0000-0000C2800000}"/>
    <cellStyle name="Процентный 10 99 6" xfId="31964" xr:uid="{00000000-0005-0000-0000-0000C3800000}"/>
    <cellStyle name="Процентный 10 99 7" xfId="37304" xr:uid="{00000000-0005-0000-0000-0000C4800000}"/>
    <cellStyle name="Процентный 10 99 8" xfId="42644" xr:uid="{00000000-0005-0000-0000-0000C5800000}"/>
    <cellStyle name="Процентный 10 99 9" xfId="47984" xr:uid="{00000000-0005-0000-0000-0000C6800000}"/>
    <cellStyle name="Процентный 11" xfId="2504" xr:uid="{00000000-0005-0000-0000-0000C7800000}"/>
    <cellStyle name="Процентный 11 10" xfId="2796" xr:uid="{00000000-0005-0000-0000-0000C8800000}"/>
    <cellStyle name="Процентный 11 10 10" xfId="50860" xr:uid="{00000000-0005-0000-0000-0000C9800000}"/>
    <cellStyle name="Процентный 11 10 2" xfId="8139" xr:uid="{00000000-0005-0000-0000-0000CA800000}"/>
    <cellStyle name="Процентный 11 10 2 2" xfId="56201" xr:uid="{00000000-0005-0000-0000-0000CB800000}"/>
    <cellStyle name="Процентный 11 10 3" xfId="13480" xr:uid="{00000000-0005-0000-0000-0000CC800000}"/>
    <cellStyle name="Процентный 11 10 4" xfId="18820" xr:uid="{00000000-0005-0000-0000-0000CD800000}"/>
    <cellStyle name="Процентный 11 10 5" xfId="24160" xr:uid="{00000000-0005-0000-0000-0000CE800000}"/>
    <cellStyle name="Процентный 11 10 6" xfId="29500" xr:uid="{00000000-0005-0000-0000-0000CF800000}"/>
    <cellStyle name="Процентный 11 10 7" xfId="34840" xr:uid="{00000000-0005-0000-0000-0000D0800000}"/>
    <cellStyle name="Процентный 11 10 8" xfId="40180" xr:uid="{00000000-0005-0000-0000-0000D1800000}"/>
    <cellStyle name="Процентный 11 10 9" xfId="45520" xr:uid="{00000000-0005-0000-0000-0000D2800000}"/>
    <cellStyle name="Процентный 11 100" xfId="50568" xr:uid="{00000000-0005-0000-0000-0000D3800000}"/>
    <cellStyle name="Процентный 11 11" xfId="2828" xr:uid="{00000000-0005-0000-0000-0000D4800000}"/>
    <cellStyle name="Процентный 11 11 10" xfId="50892" xr:uid="{00000000-0005-0000-0000-0000D5800000}"/>
    <cellStyle name="Процентный 11 11 2" xfId="8171" xr:uid="{00000000-0005-0000-0000-0000D6800000}"/>
    <cellStyle name="Процентный 11 11 2 2" xfId="56233" xr:uid="{00000000-0005-0000-0000-0000D7800000}"/>
    <cellStyle name="Процентный 11 11 3" xfId="13512" xr:uid="{00000000-0005-0000-0000-0000D8800000}"/>
    <cellStyle name="Процентный 11 11 4" xfId="18852" xr:uid="{00000000-0005-0000-0000-0000D9800000}"/>
    <cellStyle name="Процентный 11 11 5" xfId="24192" xr:uid="{00000000-0005-0000-0000-0000DA800000}"/>
    <cellStyle name="Процентный 11 11 6" xfId="29532" xr:uid="{00000000-0005-0000-0000-0000DB800000}"/>
    <cellStyle name="Процентный 11 11 7" xfId="34872" xr:uid="{00000000-0005-0000-0000-0000DC800000}"/>
    <cellStyle name="Процентный 11 11 8" xfId="40212" xr:uid="{00000000-0005-0000-0000-0000DD800000}"/>
    <cellStyle name="Процентный 11 11 9" xfId="45552" xr:uid="{00000000-0005-0000-0000-0000DE800000}"/>
    <cellStyle name="Процентный 11 12" xfId="2860" xr:uid="{00000000-0005-0000-0000-0000DF800000}"/>
    <cellStyle name="Процентный 11 12 10" xfId="50924" xr:uid="{00000000-0005-0000-0000-0000E0800000}"/>
    <cellStyle name="Процентный 11 12 2" xfId="8203" xr:uid="{00000000-0005-0000-0000-0000E1800000}"/>
    <cellStyle name="Процентный 11 12 2 2" xfId="56265" xr:uid="{00000000-0005-0000-0000-0000E2800000}"/>
    <cellStyle name="Процентный 11 12 3" xfId="13544" xr:uid="{00000000-0005-0000-0000-0000E3800000}"/>
    <cellStyle name="Процентный 11 12 4" xfId="18884" xr:uid="{00000000-0005-0000-0000-0000E4800000}"/>
    <cellStyle name="Процентный 11 12 5" xfId="24224" xr:uid="{00000000-0005-0000-0000-0000E5800000}"/>
    <cellStyle name="Процентный 11 12 6" xfId="29564" xr:uid="{00000000-0005-0000-0000-0000E6800000}"/>
    <cellStyle name="Процентный 11 12 7" xfId="34904" xr:uid="{00000000-0005-0000-0000-0000E7800000}"/>
    <cellStyle name="Процентный 11 12 8" xfId="40244" xr:uid="{00000000-0005-0000-0000-0000E8800000}"/>
    <cellStyle name="Процентный 11 12 9" xfId="45584" xr:uid="{00000000-0005-0000-0000-0000E9800000}"/>
    <cellStyle name="Процентный 11 13" xfId="2892" xr:uid="{00000000-0005-0000-0000-0000EA800000}"/>
    <cellStyle name="Процентный 11 13 10" xfId="50956" xr:uid="{00000000-0005-0000-0000-0000EB800000}"/>
    <cellStyle name="Процентный 11 13 2" xfId="8235" xr:uid="{00000000-0005-0000-0000-0000EC800000}"/>
    <cellStyle name="Процентный 11 13 2 2" xfId="56297" xr:uid="{00000000-0005-0000-0000-0000ED800000}"/>
    <cellStyle name="Процентный 11 13 3" xfId="13576" xr:uid="{00000000-0005-0000-0000-0000EE800000}"/>
    <cellStyle name="Процентный 11 13 4" xfId="18916" xr:uid="{00000000-0005-0000-0000-0000EF800000}"/>
    <cellStyle name="Процентный 11 13 5" xfId="24256" xr:uid="{00000000-0005-0000-0000-0000F0800000}"/>
    <cellStyle name="Процентный 11 13 6" xfId="29596" xr:uid="{00000000-0005-0000-0000-0000F1800000}"/>
    <cellStyle name="Процентный 11 13 7" xfId="34936" xr:uid="{00000000-0005-0000-0000-0000F2800000}"/>
    <cellStyle name="Процентный 11 13 8" xfId="40276" xr:uid="{00000000-0005-0000-0000-0000F3800000}"/>
    <cellStyle name="Процентный 11 13 9" xfId="45616" xr:uid="{00000000-0005-0000-0000-0000F4800000}"/>
    <cellStyle name="Процентный 11 14" xfId="2924" xr:uid="{00000000-0005-0000-0000-0000F5800000}"/>
    <cellStyle name="Процентный 11 14 10" xfId="50988" xr:uid="{00000000-0005-0000-0000-0000F6800000}"/>
    <cellStyle name="Процентный 11 14 2" xfId="8267" xr:uid="{00000000-0005-0000-0000-0000F7800000}"/>
    <cellStyle name="Процентный 11 14 2 2" xfId="56329" xr:uid="{00000000-0005-0000-0000-0000F8800000}"/>
    <cellStyle name="Процентный 11 14 3" xfId="13608" xr:uid="{00000000-0005-0000-0000-0000F9800000}"/>
    <cellStyle name="Процентный 11 14 4" xfId="18948" xr:uid="{00000000-0005-0000-0000-0000FA800000}"/>
    <cellStyle name="Процентный 11 14 5" xfId="24288" xr:uid="{00000000-0005-0000-0000-0000FB800000}"/>
    <cellStyle name="Процентный 11 14 6" xfId="29628" xr:uid="{00000000-0005-0000-0000-0000FC800000}"/>
    <cellStyle name="Процентный 11 14 7" xfId="34968" xr:uid="{00000000-0005-0000-0000-0000FD800000}"/>
    <cellStyle name="Процентный 11 14 8" xfId="40308" xr:uid="{00000000-0005-0000-0000-0000FE800000}"/>
    <cellStyle name="Процентный 11 14 9" xfId="45648" xr:uid="{00000000-0005-0000-0000-0000FF800000}"/>
    <cellStyle name="Процентный 11 15" xfId="2956" xr:uid="{00000000-0005-0000-0000-000000810000}"/>
    <cellStyle name="Процентный 11 15 10" xfId="51020" xr:uid="{00000000-0005-0000-0000-000001810000}"/>
    <cellStyle name="Процентный 11 15 2" xfId="8299" xr:uid="{00000000-0005-0000-0000-000002810000}"/>
    <cellStyle name="Процентный 11 15 2 2" xfId="56361" xr:uid="{00000000-0005-0000-0000-000003810000}"/>
    <cellStyle name="Процентный 11 15 3" xfId="13640" xr:uid="{00000000-0005-0000-0000-000004810000}"/>
    <cellStyle name="Процентный 11 15 4" xfId="18980" xr:uid="{00000000-0005-0000-0000-000005810000}"/>
    <cellStyle name="Процентный 11 15 5" xfId="24320" xr:uid="{00000000-0005-0000-0000-000006810000}"/>
    <cellStyle name="Процентный 11 15 6" xfId="29660" xr:uid="{00000000-0005-0000-0000-000007810000}"/>
    <cellStyle name="Процентный 11 15 7" xfId="35000" xr:uid="{00000000-0005-0000-0000-000008810000}"/>
    <cellStyle name="Процентный 11 15 8" xfId="40340" xr:uid="{00000000-0005-0000-0000-000009810000}"/>
    <cellStyle name="Процентный 11 15 9" xfId="45680" xr:uid="{00000000-0005-0000-0000-00000A810000}"/>
    <cellStyle name="Процентный 11 16" xfId="2988" xr:uid="{00000000-0005-0000-0000-00000B810000}"/>
    <cellStyle name="Процентный 11 16 10" xfId="51052" xr:uid="{00000000-0005-0000-0000-00000C810000}"/>
    <cellStyle name="Процентный 11 16 2" xfId="8331" xr:uid="{00000000-0005-0000-0000-00000D810000}"/>
    <cellStyle name="Процентный 11 16 2 2" xfId="56393" xr:uid="{00000000-0005-0000-0000-00000E810000}"/>
    <cellStyle name="Процентный 11 16 3" xfId="13672" xr:uid="{00000000-0005-0000-0000-00000F810000}"/>
    <cellStyle name="Процентный 11 16 4" xfId="19012" xr:uid="{00000000-0005-0000-0000-000010810000}"/>
    <cellStyle name="Процентный 11 16 5" xfId="24352" xr:uid="{00000000-0005-0000-0000-000011810000}"/>
    <cellStyle name="Процентный 11 16 6" xfId="29692" xr:uid="{00000000-0005-0000-0000-000012810000}"/>
    <cellStyle name="Процентный 11 16 7" xfId="35032" xr:uid="{00000000-0005-0000-0000-000013810000}"/>
    <cellStyle name="Процентный 11 16 8" xfId="40372" xr:uid="{00000000-0005-0000-0000-000014810000}"/>
    <cellStyle name="Процентный 11 16 9" xfId="45712" xr:uid="{00000000-0005-0000-0000-000015810000}"/>
    <cellStyle name="Процентный 11 17" xfId="3020" xr:uid="{00000000-0005-0000-0000-000016810000}"/>
    <cellStyle name="Процентный 11 17 10" xfId="51084" xr:uid="{00000000-0005-0000-0000-000017810000}"/>
    <cellStyle name="Процентный 11 17 2" xfId="8363" xr:uid="{00000000-0005-0000-0000-000018810000}"/>
    <cellStyle name="Процентный 11 17 2 2" xfId="56425" xr:uid="{00000000-0005-0000-0000-000019810000}"/>
    <cellStyle name="Процентный 11 17 3" xfId="13704" xr:uid="{00000000-0005-0000-0000-00001A810000}"/>
    <cellStyle name="Процентный 11 17 4" xfId="19044" xr:uid="{00000000-0005-0000-0000-00001B810000}"/>
    <cellStyle name="Процентный 11 17 5" xfId="24384" xr:uid="{00000000-0005-0000-0000-00001C810000}"/>
    <cellStyle name="Процентный 11 17 6" xfId="29724" xr:uid="{00000000-0005-0000-0000-00001D810000}"/>
    <cellStyle name="Процентный 11 17 7" xfId="35064" xr:uid="{00000000-0005-0000-0000-00001E810000}"/>
    <cellStyle name="Процентный 11 17 8" xfId="40404" xr:uid="{00000000-0005-0000-0000-00001F810000}"/>
    <cellStyle name="Процентный 11 17 9" xfId="45744" xr:uid="{00000000-0005-0000-0000-000020810000}"/>
    <cellStyle name="Процентный 11 18" xfId="3052" xr:uid="{00000000-0005-0000-0000-000021810000}"/>
    <cellStyle name="Процентный 11 18 10" xfId="51116" xr:uid="{00000000-0005-0000-0000-000022810000}"/>
    <cellStyle name="Процентный 11 18 2" xfId="8395" xr:uid="{00000000-0005-0000-0000-000023810000}"/>
    <cellStyle name="Процентный 11 18 2 2" xfId="56457" xr:uid="{00000000-0005-0000-0000-000024810000}"/>
    <cellStyle name="Процентный 11 18 3" xfId="13736" xr:uid="{00000000-0005-0000-0000-000025810000}"/>
    <cellStyle name="Процентный 11 18 4" xfId="19076" xr:uid="{00000000-0005-0000-0000-000026810000}"/>
    <cellStyle name="Процентный 11 18 5" xfId="24416" xr:uid="{00000000-0005-0000-0000-000027810000}"/>
    <cellStyle name="Процентный 11 18 6" xfId="29756" xr:uid="{00000000-0005-0000-0000-000028810000}"/>
    <cellStyle name="Процентный 11 18 7" xfId="35096" xr:uid="{00000000-0005-0000-0000-000029810000}"/>
    <cellStyle name="Процентный 11 18 8" xfId="40436" xr:uid="{00000000-0005-0000-0000-00002A810000}"/>
    <cellStyle name="Процентный 11 18 9" xfId="45776" xr:uid="{00000000-0005-0000-0000-00002B810000}"/>
    <cellStyle name="Процентный 11 19" xfId="3084" xr:uid="{00000000-0005-0000-0000-00002C810000}"/>
    <cellStyle name="Процентный 11 19 10" xfId="51148" xr:uid="{00000000-0005-0000-0000-00002D810000}"/>
    <cellStyle name="Процентный 11 19 2" xfId="8427" xr:uid="{00000000-0005-0000-0000-00002E810000}"/>
    <cellStyle name="Процентный 11 19 2 2" xfId="56489" xr:uid="{00000000-0005-0000-0000-00002F810000}"/>
    <cellStyle name="Процентный 11 19 3" xfId="13768" xr:uid="{00000000-0005-0000-0000-000030810000}"/>
    <cellStyle name="Процентный 11 19 4" xfId="19108" xr:uid="{00000000-0005-0000-0000-000031810000}"/>
    <cellStyle name="Процентный 11 19 5" xfId="24448" xr:uid="{00000000-0005-0000-0000-000032810000}"/>
    <cellStyle name="Процентный 11 19 6" xfId="29788" xr:uid="{00000000-0005-0000-0000-000033810000}"/>
    <cellStyle name="Процентный 11 19 7" xfId="35128" xr:uid="{00000000-0005-0000-0000-000034810000}"/>
    <cellStyle name="Процентный 11 19 8" xfId="40468" xr:uid="{00000000-0005-0000-0000-000035810000}"/>
    <cellStyle name="Процентный 11 19 9" xfId="45808" xr:uid="{00000000-0005-0000-0000-000036810000}"/>
    <cellStyle name="Процентный 11 2" xfId="2536" xr:uid="{00000000-0005-0000-0000-000037810000}"/>
    <cellStyle name="Процентный 11 2 10" xfId="50600" xr:uid="{00000000-0005-0000-0000-000038810000}"/>
    <cellStyle name="Процентный 11 2 2" xfId="7879" xr:uid="{00000000-0005-0000-0000-000039810000}"/>
    <cellStyle name="Процентный 11 2 2 2" xfId="55941" xr:uid="{00000000-0005-0000-0000-00003A810000}"/>
    <cellStyle name="Процентный 11 2 3" xfId="13220" xr:uid="{00000000-0005-0000-0000-00003B810000}"/>
    <cellStyle name="Процентный 11 2 4" xfId="18560" xr:uid="{00000000-0005-0000-0000-00003C810000}"/>
    <cellStyle name="Процентный 11 2 5" xfId="23900" xr:uid="{00000000-0005-0000-0000-00003D810000}"/>
    <cellStyle name="Процентный 11 2 6" xfId="29240" xr:uid="{00000000-0005-0000-0000-00003E810000}"/>
    <cellStyle name="Процентный 11 2 7" xfId="34580" xr:uid="{00000000-0005-0000-0000-00003F810000}"/>
    <cellStyle name="Процентный 11 2 8" xfId="39920" xr:uid="{00000000-0005-0000-0000-000040810000}"/>
    <cellStyle name="Процентный 11 2 9" xfId="45260" xr:uid="{00000000-0005-0000-0000-000041810000}"/>
    <cellStyle name="Процентный 11 20" xfId="3116" xr:uid="{00000000-0005-0000-0000-000042810000}"/>
    <cellStyle name="Процентный 11 20 10" xfId="51180" xr:uid="{00000000-0005-0000-0000-000043810000}"/>
    <cellStyle name="Процентный 11 20 2" xfId="8459" xr:uid="{00000000-0005-0000-0000-000044810000}"/>
    <cellStyle name="Процентный 11 20 2 2" xfId="56521" xr:uid="{00000000-0005-0000-0000-000045810000}"/>
    <cellStyle name="Процентный 11 20 3" xfId="13800" xr:uid="{00000000-0005-0000-0000-000046810000}"/>
    <cellStyle name="Процентный 11 20 4" xfId="19140" xr:uid="{00000000-0005-0000-0000-000047810000}"/>
    <cellStyle name="Процентный 11 20 5" xfId="24480" xr:uid="{00000000-0005-0000-0000-000048810000}"/>
    <cellStyle name="Процентный 11 20 6" xfId="29820" xr:uid="{00000000-0005-0000-0000-000049810000}"/>
    <cellStyle name="Процентный 11 20 7" xfId="35160" xr:uid="{00000000-0005-0000-0000-00004A810000}"/>
    <cellStyle name="Процентный 11 20 8" xfId="40500" xr:uid="{00000000-0005-0000-0000-00004B810000}"/>
    <cellStyle name="Процентный 11 20 9" xfId="45840" xr:uid="{00000000-0005-0000-0000-00004C810000}"/>
    <cellStyle name="Процентный 11 21" xfId="3149" xr:uid="{00000000-0005-0000-0000-00004D810000}"/>
    <cellStyle name="Процентный 11 21 10" xfId="51212" xr:uid="{00000000-0005-0000-0000-00004E810000}"/>
    <cellStyle name="Процентный 11 21 2" xfId="8492" xr:uid="{00000000-0005-0000-0000-00004F810000}"/>
    <cellStyle name="Процентный 11 21 2 2" xfId="56553" xr:uid="{00000000-0005-0000-0000-000050810000}"/>
    <cellStyle name="Процентный 11 21 3" xfId="13832" xr:uid="{00000000-0005-0000-0000-000051810000}"/>
    <cellStyle name="Процентный 11 21 4" xfId="19172" xr:uid="{00000000-0005-0000-0000-000052810000}"/>
    <cellStyle name="Процентный 11 21 5" xfId="24512" xr:uid="{00000000-0005-0000-0000-000053810000}"/>
    <cellStyle name="Процентный 11 21 6" xfId="29852" xr:uid="{00000000-0005-0000-0000-000054810000}"/>
    <cellStyle name="Процентный 11 21 7" xfId="35192" xr:uid="{00000000-0005-0000-0000-000055810000}"/>
    <cellStyle name="Процентный 11 21 8" xfId="40532" xr:uid="{00000000-0005-0000-0000-000056810000}"/>
    <cellStyle name="Процентный 11 21 9" xfId="45872" xr:uid="{00000000-0005-0000-0000-000057810000}"/>
    <cellStyle name="Процентный 11 22" xfId="3181" xr:uid="{00000000-0005-0000-0000-000058810000}"/>
    <cellStyle name="Процентный 11 22 10" xfId="51244" xr:uid="{00000000-0005-0000-0000-000059810000}"/>
    <cellStyle name="Процентный 11 22 2" xfId="8524" xr:uid="{00000000-0005-0000-0000-00005A810000}"/>
    <cellStyle name="Процентный 11 22 2 2" xfId="56585" xr:uid="{00000000-0005-0000-0000-00005B810000}"/>
    <cellStyle name="Процентный 11 22 3" xfId="13864" xr:uid="{00000000-0005-0000-0000-00005C810000}"/>
    <cellStyle name="Процентный 11 22 4" xfId="19204" xr:uid="{00000000-0005-0000-0000-00005D810000}"/>
    <cellStyle name="Процентный 11 22 5" xfId="24544" xr:uid="{00000000-0005-0000-0000-00005E810000}"/>
    <cellStyle name="Процентный 11 22 6" xfId="29884" xr:uid="{00000000-0005-0000-0000-00005F810000}"/>
    <cellStyle name="Процентный 11 22 7" xfId="35224" xr:uid="{00000000-0005-0000-0000-000060810000}"/>
    <cellStyle name="Процентный 11 22 8" xfId="40564" xr:uid="{00000000-0005-0000-0000-000061810000}"/>
    <cellStyle name="Процентный 11 22 9" xfId="45904" xr:uid="{00000000-0005-0000-0000-000062810000}"/>
    <cellStyle name="Процентный 11 23" xfId="3213" xr:uid="{00000000-0005-0000-0000-000063810000}"/>
    <cellStyle name="Процентный 11 23 10" xfId="51276" xr:uid="{00000000-0005-0000-0000-000064810000}"/>
    <cellStyle name="Процентный 11 23 2" xfId="8556" xr:uid="{00000000-0005-0000-0000-000065810000}"/>
    <cellStyle name="Процентный 11 23 2 2" xfId="56617" xr:uid="{00000000-0005-0000-0000-000066810000}"/>
    <cellStyle name="Процентный 11 23 3" xfId="13896" xr:uid="{00000000-0005-0000-0000-000067810000}"/>
    <cellStyle name="Процентный 11 23 4" xfId="19236" xr:uid="{00000000-0005-0000-0000-000068810000}"/>
    <cellStyle name="Процентный 11 23 5" xfId="24576" xr:uid="{00000000-0005-0000-0000-000069810000}"/>
    <cellStyle name="Процентный 11 23 6" xfId="29916" xr:uid="{00000000-0005-0000-0000-00006A810000}"/>
    <cellStyle name="Процентный 11 23 7" xfId="35256" xr:uid="{00000000-0005-0000-0000-00006B810000}"/>
    <cellStyle name="Процентный 11 23 8" xfId="40596" xr:uid="{00000000-0005-0000-0000-00006C810000}"/>
    <cellStyle name="Процентный 11 23 9" xfId="45936" xr:uid="{00000000-0005-0000-0000-00006D810000}"/>
    <cellStyle name="Процентный 11 24" xfId="3245" xr:uid="{00000000-0005-0000-0000-00006E810000}"/>
    <cellStyle name="Процентный 11 24 10" xfId="51308" xr:uid="{00000000-0005-0000-0000-00006F810000}"/>
    <cellStyle name="Процентный 11 24 2" xfId="8588" xr:uid="{00000000-0005-0000-0000-000070810000}"/>
    <cellStyle name="Процентный 11 24 2 2" xfId="56649" xr:uid="{00000000-0005-0000-0000-000071810000}"/>
    <cellStyle name="Процентный 11 24 3" xfId="13928" xr:uid="{00000000-0005-0000-0000-000072810000}"/>
    <cellStyle name="Процентный 11 24 4" xfId="19268" xr:uid="{00000000-0005-0000-0000-000073810000}"/>
    <cellStyle name="Процентный 11 24 5" xfId="24608" xr:uid="{00000000-0005-0000-0000-000074810000}"/>
    <cellStyle name="Процентный 11 24 6" xfId="29948" xr:uid="{00000000-0005-0000-0000-000075810000}"/>
    <cellStyle name="Процентный 11 24 7" xfId="35288" xr:uid="{00000000-0005-0000-0000-000076810000}"/>
    <cellStyle name="Процентный 11 24 8" xfId="40628" xr:uid="{00000000-0005-0000-0000-000077810000}"/>
    <cellStyle name="Процентный 11 24 9" xfId="45968" xr:uid="{00000000-0005-0000-0000-000078810000}"/>
    <cellStyle name="Процентный 11 25" xfId="3277" xr:uid="{00000000-0005-0000-0000-000079810000}"/>
    <cellStyle name="Процентный 11 25 10" xfId="51340" xr:uid="{00000000-0005-0000-0000-00007A810000}"/>
    <cellStyle name="Процентный 11 25 2" xfId="8620" xr:uid="{00000000-0005-0000-0000-00007B810000}"/>
    <cellStyle name="Процентный 11 25 2 2" xfId="56681" xr:uid="{00000000-0005-0000-0000-00007C810000}"/>
    <cellStyle name="Процентный 11 25 3" xfId="13960" xr:uid="{00000000-0005-0000-0000-00007D810000}"/>
    <cellStyle name="Процентный 11 25 4" xfId="19300" xr:uid="{00000000-0005-0000-0000-00007E810000}"/>
    <cellStyle name="Процентный 11 25 5" xfId="24640" xr:uid="{00000000-0005-0000-0000-00007F810000}"/>
    <cellStyle name="Процентный 11 25 6" xfId="29980" xr:uid="{00000000-0005-0000-0000-000080810000}"/>
    <cellStyle name="Процентный 11 25 7" xfId="35320" xr:uid="{00000000-0005-0000-0000-000081810000}"/>
    <cellStyle name="Процентный 11 25 8" xfId="40660" xr:uid="{00000000-0005-0000-0000-000082810000}"/>
    <cellStyle name="Процентный 11 25 9" xfId="46000" xr:uid="{00000000-0005-0000-0000-000083810000}"/>
    <cellStyle name="Процентный 11 26" xfId="3309" xr:uid="{00000000-0005-0000-0000-000084810000}"/>
    <cellStyle name="Процентный 11 26 10" xfId="51372" xr:uid="{00000000-0005-0000-0000-000085810000}"/>
    <cellStyle name="Процентный 11 26 2" xfId="8652" xr:uid="{00000000-0005-0000-0000-000086810000}"/>
    <cellStyle name="Процентный 11 26 2 2" xfId="56713" xr:uid="{00000000-0005-0000-0000-000087810000}"/>
    <cellStyle name="Процентный 11 26 3" xfId="13992" xr:uid="{00000000-0005-0000-0000-000088810000}"/>
    <cellStyle name="Процентный 11 26 4" xfId="19332" xr:uid="{00000000-0005-0000-0000-000089810000}"/>
    <cellStyle name="Процентный 11 26 5" xfId="24672" xr:uid="{00000000-0005-0000-0000-00008A810000}"/>
    <cellStyle name="Процентный 11 26 6" xfId="30012" xr:uid="{00000000-0005-0000-0000-00008B810000}"/>
    <cellStyle name="Процентный 11 26 7" xfId="35352" xr:uid="{00000000-0005-0000-0000-00008C810000}"/>
    <cellStyle name="Процентный 11 26 8" xfId="40692" xr:uid="{00000000-0005-0000-0000-00008D810000}"/>
    <cellStyle name="Процентный 11 26 9" xfId="46032" xr:uid="{00000000-0005-0000-0000-00008E810000}"/>
    <cellStyle name="Процентный 11 27" xfId="3341" xr:uid="{00000000-0005-0000-0000-00008F810000}"/>
    <cellStyle name="Процентный 11 27 10" xfId="51404" xr:uid="{00000000-0005-0000-0000-000090810000}"/>
    <cellStyle name="Процентный 11 27 2" xfId="8684" xr:uid="{00000000-0005-0000-0000-000091810000}"/>
    <cellStyle name="Процентный 11 27 2 2" xfId="56745" xr:uid="{00000000-0005-0000-0000-000092810000}"/>
    <cellStyle name="Процентный 11 27 3" xfId="14024" xr:uid="{00000000-0005-0000-0000-000093810000}"/>
    <cellStyle name="Процентный 11 27 4" xfId="19364" xr:uid="{00000000-0005-0000-0000-000094810000}"/>
    <cellStyle name="Процентный 11 27 5" xfId="24704" xr:uid="{00000000-0005-0000-0000-000095810000}"/>
    <cellStyle name="Процентный 11 27 6" xfId="30044" xr:uid="{00000000-0005-0000-0000-000096810000}"/>
    <cellStyle name="Процентный 11 27 7" xfId="35384" xr:uid="{00000000-0005-0000-0000-000097810000}"/>
    <cellStyle name="Процентный 11 27 8" xfId="40724" xr:uid="{00000000-0005-0000-0000-000098810000}"/>
    <cellStyle name="Процентный 11 27 9" xfId="46064" xr:uid="{00000000-0005-0000-0000-000099810000}"/>
    <cellStyle name="Процентный 11 28" xfId="3373" xr:uid="{00000000-0005-0000-0000-00009A810000}"/>
    <cellStyle name="Процентный 11 28 10" xfId="51436" xr:uid="{00000000-0005-0000-0000-00009B810000}"/>
    <cellStyle name="Процентный 11 28 2" xfId="8716" xr:uid="{00000000-0005-0000-0000-00009C810000}"/>
    <cellStyle name="Процентный 11 28 2 2" xfId="56777" xr:uid="{00000000-0005-0000-0000-00009D810000}"/>
    <cellStyle name="Процентный 11 28 3" xfId="14056" xr:uid="{00000000-0005-0000-0000-00009E810000}"/>
    <cellStyle name="Процентный 11 28 4" xfId="19396" xr:uid="{00000000-0005-0000-0000-00009F810000}"/>
    <cellStyle name="Процентный 11 28 5" xfId="24736" xr:uid="{00000000-0005-0000-0000-0000A0810000}"/>
    <cellStyle name="Процентный 11 28 6" xfId="30076" xr:uid="{00000000-0005-0000-0000-0000A1810000}"/>
    <cellStyle name="Процентный 11 28 7" xfId="35416" xr:uid="{00000000-0005-0000-0000-0000A2810000}"/>
    <cellStyle name="Процентный 11 28 8" xfId="40756" xr:uid="{00000000-0005-0000-0000-0000A3810000}"/>
    <cellStyle name="Процентный 11 28 9" xfId="46096" xr:uid="{00000000-0005-0000-0000-0000A4810000}"/>
    <cellStyle name="Процентный 11 29" xfId="3405" xr:uid="{00000000-0005-0000-0000-0000A5810000}"/>
    <cellStyle name="Процентный 11 29 10" xfId="51468" xr:uid="{00000000-0005-0000-0000-0000A6810000}"/>
    <cellStyle name="Процентный 11 29 2" xfId="8748" xr:uid="{00000000-0005-0000-0000-0000A7810000}"/>
    <cellStyle name="Процентный 11 29 2 2" xfId="56809" xr:uid="{00000000-0005-0000-0000-0000A8810000}"/>
    <cellStyle name="Процентный 11 29 3" xfId="14088" xr:uid="{00000000-0005-0000-0000-0000A9810000}"/>
    <cellStyle name="Процентный 11 29 4" xfId="19428" xr:uid="{00000000-0005-0000-0000-0000AA810000}"/>
    <cellStyle name="Процентный 11 29 5" xfId="24768" xr:uid="{00000000-0005-0000-0000-0000AB810000}"/>
    <cellStyle name="Процентный 11 29 6" xfId="30108" xr:uid="{00000000-0005-0000-0000-0000AC810000}"/>
    <cellStyle name="Процентный 11 29 7" xfId="35448" xr:uid="{00000000-0005-0000-0000-0000AD810000}"/>
    <cellStyle name="Процентный 11 29 8" xfId="40788" xr:uid="{00000000-0005-0000-0000-0000AE810000}"/>
    <cellStyle name="Процентный 11 29 9" xfId="46128" xr:uid="{00000000-0005-0000-0000-0000AF810000}"/>
    <cellStyle name="Процентный 11 3" xfId="2570" xr:uid="{00000000-0005-0000-0000-0000B0810000}"/>
    <cellStyle name="Процентный 11 3 10" xfId="50634" xr:uid="{00000000-0005-0000-0000-0000B1810000}"/>
    <cellStyle name="Процентный 11 3 2" xfId="7913" xr:uid="{00000000-0005-0000-0000-0000B2810000}"/>
    <cellStyle name="Процентный 11 3 2 2" xfId="55975" xr:uid="{00000000-0005-0000-0000-0000B3810000}"/>
    <cellStyle name="Процентный 11 3 3" xfId="13254" xr:uid="{00000000-0005-0000-0000-0000B4810000}"/>
    <cellStyle name="Процентный 11 3 4" xfId="18594" xr:uid="{00000000-0005-0000-0000-0000B5810000}"/>
    <cellStyle name="Процентный 11 3 5" xfId="23934" xr:uid="{00000000-0005-0000-0000-0000B6810000}"/>
    <cellStyle name="Процентный 11 3 6" xfId="29274" xr:uid="{00000000-0005-0000-0000-0000B7810000}"/>
    <cellStyle name="Процентный 11 3 7" xfId="34614" xr:uid="{00000000-0005-0000-0000-0000B8810000}"/>
    <cellStyle name="Процентный 11 3 8" xfId="39954" xr:uid="{00000000-0005-0000-0000-0000B9810000}"/>
    <cellStyle name="Процентный 11 3 9" xfId="45294" xr:uid="{00000000-0005-0000-0000-0000BA810000}"/>
    <cellStyle name="Процентный 11 30" xfId="3437" xr:uid="{00000000-0005-0000-0000-0000BB810000}"/>
    <cellStyle name="Процентный 11 30 10" xfId="51500" xr:uid="{00000000-0005-0000-0000-0000BC810000}"/>
    <cellStyle name="Процентный 11 30 2" xfId="8780" xr:uid="{00000000-0005-0000-0000-0000BD810000}"/>
    <cellStyle name="Процентный 11 30 2 2" xfId="56841" xr:uid="{00000000-0005-0000-0000-0000BE810000}"/>
    <cellStyle name="Процентный 11 30 3" xfId="14120" xr:uid="{00000000-0005-0000-0000-0000BF810000}"/>
    <cellStyle name="Процентный 11 30 4" xfId="19460" xr:uid="{00000000-0005-0000-0000-0000C0810000}"/>
    <cellStyle name="Процентный 11 30 5" xfId="24800" xr:uid="{00000000-0005-0000-0000-0000C1810000}"/>
    <cellStyle name="Процентный 11 30 6" xfId="30140" xr:uid="{00000000-0005-0000-0000-0000C2810000}"/>
    <cellStyle name="Процентный 11 30 7" xfId="35480" xr:uid="{00000000-0005-0000-0000-0000C3810000}"/>
    <cellStyle name="Процентный 11 30 8" xfId="40820" xr:uid="{00000000-0005-0000-0000-0000C4810000}"/>
    <cellStyle name="Процентный 11 30 9" xfId="46160" xr:uid="{00000000-0005-0000-0000-0000C5810000}"/>
    <cellStyle name="Процентный 11 31" xfId="3469" xr:uid="{00000000-0005-0000-0000-0000C6810000}"/>
    <cellStyle name="Процентный 11 31 10" xfId="51532" xr:uid="{00000000-0005-0000-0000-0000C7810000}"/>
    <cellStyle name="Процентный 11 31 2" xfId="8812" xr:uid="{00000000-0005-0000-0000-0000C8810000}"/>
    <cellStyle name="Процентный 11 31 2 2" xfId="56873" xr:uid="{00000000-0005-0000-0000-0000C9810000}"/>
    <cellStyle name="Процентный 11 31 3" xfId="14152" xr:uid="{00000000-0005-0000-0000-0000CA810000}"/>
    <cellStyle name="Процентный 11 31 4" xfId="19492" xr:uid="{00000000-0005-0000-0000-0000CB810000}"/>
    <cellStyle name="Процентный 11 31 5" xfId="24832" xr:uid="{00000000-0005-0000-0000-0000CC810000}"/>
    <cellStyle name="Процентный 11 31 6" xfId="30172" xr:uid="{00000000-0005-0000-0000-0000CD810000}"/>
    <cellStyle name="Процентный 11 31 7" xfId="35512" xr:uid="{00000000-0005-0000-0000-0000CE810000}"/>
    <cellStyle name="Процентный 11 31 8" xfId="40852" xr:uid="{00000000-0005-0000-0000-0000CF810000}"/>
    <cellStyle name="Процентный 11 31 9" xfId="46192" xr:uid="{00000000-0005-0000-0000-0000D0810000}"/>
    <cellStyle name="Процентный 11 32" xfId="3501" xr:uid="{00000000-0005-0000-0000-0000D1810000}"/>
    <cellStyle name="Процентный 11 32 10" xfId="51564" xr:uid="{00000000-0005-0000-0000-0000D2810000}"/>
    <cellStyle name="Процентный 11 32 2" xfId="8844" xr:uid="{00000000-0005-0000-0000-0000D3810000}"/>
    <cellStyle name="Процентный 11 32 2 2" xfId="56905" xr:uid="{00000000-0005-0000-0000-0000D4810000}"/>
    <cellStyle name="Процентный 11 32 3" xfId="14184" xr:uid="{00000000-0005-0000-0000-0000D5810000}"/>
    <cellStyle name="Процентный 11 32 4" xfId="19524" xr:uid="{00000000-0005-0000-0000-0000D6810000}"/>
    <cellStyle name="Процентный 11 32 5" xfId="24864" xr:uid="{00000000-0005-0000-0000-0000D7810000}"/>
    <cellStyle name="Процентный 11 32 6" xfId="30204" xr:uid="{00000000-0005-0000-0000-0000D8810000}"/>
    <cellStyle name="Процентный 11 32 7" xfId="35544" xr:uid="{00000000-0005-0000-0000-0000D9810000}"/>
    <cellStyle name="Процентный 11 32 8" xfId="40884" xr:uid="{00000000-0005-0000-0000-0000DA810000}"/>
    <cellStyle name="Процентный 11 32 9" xfId="46224" xr:uid="{00000000-0005-0000-0000-0000DB810000}"/>
    <cellStyle name="Процентный 11 33" xfId="3533" xr:uid="{00000000-0005-0000-0000-0000DC810000}"/>
    <cellStyle name="Процентный 11 33 10" xfId="51596" xr:uid="{00000000-0005-0000-0000-0000DD810000}"/>
    <cellStyle name="Процентный 11 33 2" xfId="8876" xr:uid="{00000000-0005-0000-0000-0000DE810000}"/>
    <cellStyle name="Процентный 11 33 2 2" xfId="56937" xr:uid="{00000000-0005-0000-0000-0000DF810000}"/>
    <cellStyle name="Процентный 11 33 3" xfId="14216" xr:uid="{00000000-0005-0000-0000-0000E0810000}"/>
    <cellStyle name="Процентный 11 33 4" xfId="19556" xr:uid="{00000000-0005-0000-0000-0000E1810000}"/>
    <cellStyle name="Процентный 11 33 5" xfId="24896" xr:uid="{00000000-0005-0000-0000-0000E2810000}"/>
    <cellStyle name="Процентный 11 33 6" xfId="30236" xr:uid="{00000000-0005-0000-0000-0000E3810000}"/>
    <cellStyle name="Процентный 11 33 7" xfId="35576" xr:uid="{00000000-0005-0000-0000-0000E4810000}"/>
    <cellStyle name="Процентный 11 33 8" xfId="40916" xr:uid="{00000000-0005-0000-0000-0000E5810000}"/>
    <cellStyle name="Процентный 11 33 9" xfId="46256" xr:uid="{00000000-0005-0000-0000-0000E6810000}"/>
    <cellStyle name="Процентный 11 34" xfId="3565" xr:uid="{00000000-0005-0000-0000-0000E7810000}"/>
    <cellStyle name="Процентный 11 34 10" xfId="51628" xr:uid="{00000000-0005-0000-0000-0000E8810000}"/>
    <cellStyle name="Процентный 11 34 2" xfId="8908" xr:uid="{00000000-0005-0000-0000-0000E9810000}"/>
    <cellStyle name="Процентный 11 34 2 2" xfId="56969" xr:uid="{00000000-0005-0000-0000-0000EA810000}"/>
    <cellStyle name="Процентный 11 34 3" xfId="14248" xr:uid="{00000000-0005-0000-0000-0000EB810000}"/>
    <cellStyle name="Процентный 11 34 4" xfId="19588" xr:uid="{00000000-0005-0000-0000-0000EC810000}"/>
    <cellStyle name="Процентный 11 34 5" xfId="24928" xr:uid="{00000000-0005-0000-0000-0000ED810000}"/>
    <cellStyle name="Процентный 11 34 6" xfId="30268" xr:uid="{00000000-0005-0000-0000-0000EE810000}"/>
    <cellStyle name="Процентный 11 34 7" xfId="35608" xr:uid="{00000000-0005-0000-0000-0000EF810000}"/>
    <cellStyle name="Процентный 11 34 8" xfId="40948" xr:uid="{00000000-0005-0000-0000-0000F0810000}"/>
    <cellStyle name="Процентный 11 34 9" xfId="46288" xr:uid="{00000000-0005-0000-0000-0000F1810000}"/>
    <cellStyle name="Процентный 11 35" xfId="3597" xr:uid="{00000000-0005-0000-0000-0000F2810000}"/>
    <cellStyle name="Процентный 11 35 10" xfId="51660" xr:uid="{00000000-0005-0000-0000-0000F3810000}"/>
    <cellStyle name="Процентный 11 35 2" xfId="8940" xr:uid="{00000000-0005-0000-0000-0000F4810000}"/>
    <cellStyle name="Процентный 11 35 2 2" xfId="57001" xr:uid="{00000000-0005-0000-0000-0000F5810000}"/>
    <cellStyle name="Процентный 11 35 3" xfId="14280" xr:uid="{00000000-0005-0000-0000-0000F6810000}"/>
    <cellStyle name="Процентный 11 35 4" xfId="19620" xr:uid="{00000000-0005-0000-0000-0000F7810000}"/>
    <cellStyle name="Процентный 11 35 5" xfId="24960" xr:uid="{00000000-0005-0000-0000-0000F8810000}"/>
    <cellStyle name="Процентный 11 35 6" xfId="30300" xr:uid="{00000000-0005-0000-0000-0000F9810000}"/>
    <cellStyle name="Процентный 11 35 7" xfId="35640" xr:uid="{00000000-0005-0000-0000-0000FA810000}"/>
    <cellStyle name="Процентный 11 35 8" xfId="40980" xr:uid="{00000000-0005-0000-0000-0000FB810000}"/>
    <cellStyle name="Процентный 11 35 9" xfId="46320" xr:uid="{00000000-0005-0000-0000-0000FC810000}"/>
    <cellStyle name="Процентный 11 36" xfId="3629" xr:uid="{00000000-0005-0000-0000-0000FD810000}"/>
    <cellStyle name="Процентный 11 36 10" xfId="51692" xr:uid="{00000000-0005-0000-0000-0000FE810000}"/>
    <cellStyle name="Процентный 11 36 2" xfId="8972" xr:uid="{00000000-0005-0000-0000-0000FF810000}"/>
    <cellStyle name="Процентный 11 36 2 2" xfId="57033" xr:uid="{00000000-0005-0000-0000-000000820000}"/>
    <cellStyle name="Процентный 11 36 3" xfId="14312" xr:uid="{00000000-0005-0000-0000-000001820000}"/>
    <cellStyle name="Процентный 11 36 4" xfId="19652" xr:uid="{00000000-0005-0000-0000-000002820000}"/>
    <cellStyle name="Процентный 11 36 5" xfId="24992" xr:uid="{00000000-0005-0000-0000-000003820000}"/>
    <cellStyle name="Процентный 11 36 6" xfId="30332" xr:uid="{00000000-0005-0000-0000-000004820000}"/>
    <cellStyle name="Процентный 11 36 7" xfId="35672" xr:uid="{00000000-0005-0000-0000-000005820000}"/>
    <cellStyle name="Процентный 11 36 8" xfId="41012" xr:uid="{00000000-0005-0000-0000-000006820000}"/>
    <cellStyle name="Процентный 11 36 9" xfId="46352" xr:uid="{00000000-0005-0000-0000-000007820000}"/>
    <cellStyle name="Процентный 11 37" xfId="3661" xr:uid="{00000000-0005-0000-0000-000008820000}"/>
    <cellStyle name="Процентный 11 37 10" xfId="51724" xr:uid="{00000000-0005-0000-0000-000009820000}"/>
    <cellStyle name="Процентный 11 37 2" xfId="9004" xr:uid="{00000000-0005-0000-0000-00000A820000}"/>
    <cellStyle name="Процентный 11 37 2 2" xfId="57065" xr:uid="{00000000-0005-0000-0000-00000B820000}"/>
    <cellStyle name="Процентный 11 37 3" xfId="14344" xr:uid="{00000000-0005-0000-0000-00000C820000}"/>
    <cellStyle name="Процентный 11 37 4" xfId="19684" xr:uid="{00000000-0005-0000-0000-00000D820000}"/>
    <cellStyle name="Процентный 11 37 5" xfId="25024" xr:uid="{00000000-0005-0000-0000-00000E820000}"/>
    <cellStyle name="Процентный 11 37 6" xfId="30364" xr:uid="{00000000-0005-0000-0000-00000F820000}"/>
    <cellStyle name="Процентный 11 37 7" xfId="35704" xr:uid="{00000000-0005-0000-0000-000010820000}"/>
    <cellStyle name="Процентный 11 37 8" xfId="41044" xr:uid="{00000000-0005-0000-0000-000011820000}"/>
    <cellStyle name="Процентный 11 37 9" xfId="46384" xr:uid="{00000000-0005-0000-0000-000012820000}"/>
    <cellStyle name="Процентный 11 38" xfId="3693" xr:uid="{00000000-0005-0000-0000-000013820000}"/>
    <cellStyle name="Процентный 11 38 10" xfId="51756" xr:uid="{00000000-0005-0000-0000-000014820000}"/>
    <cellStyle name="Процентный 11 38 2" xfId="9036" xr:uid="{00000000-0005-0000-0000-000015820000}"/>
    <cellStyle name="Процентный 11 38 2 2" xfId="57097" xr:uid="{00000000-0005-0000-0000-000016820000}"/>
    <cellStyle name="Процентный 11 38 3" xfId="14376" xr:uid="{00000000-0005-0000-0000-000017820000}"/>
    <cellStyle name="Процентный 11 38 4" xfId="19716" xr:uid="{00000000-0005-0000-0000-000018820000}"/>
    <cellStyle name="Процентный 11 38 5" xfId="25056" xr:uid="{00000000-0005-0000-0000-000019820000}"/>
    <cellStyle name="Процентный 11 38 6" xfId="30396" xr:uid="{00000000-0005-0000-0000-00001A820000}"/>
    <cellStyle name="Процентный 11 38 7" xfId="35736" xr:uid="{00000000-0005-0000-0000-00001B820000}"/>
    <cellStyle name="Процентный 11 38 8" xfId="41076" xr:uid="{00000000-0005-0000-0000-00001C820000}"/>
    <cellStyle name="Процентный 11 38 9" xfId="46416" xr:uid="{00000000-0005-0000-0000-00001D820000}"/>
    <cellStyle name="Процентный 11 39" xfId="3725" xr:uid="{00000000-0005-0000-0000-00001E820000}"/>
    <cellStyle name="Процентный 11 39 10" xfId="51788" xr:uid="{00000000-0005-0000-0000-00001F820000}"/>
    <cellStyle name="Процентный 11 39 2" xfId="9068" xr:uid="{00000000-0005-0000-0000-000020820000}"/>
    <cellStyle name="Процентный 11 39 2 2" xfId="57129" xr:uid="{00000000-0005-0000-0000-000021820000}"/>
    <cellStyle name="Процентный 11 39 3" xfId="14408" xr:uid="{00000000-0005-0000-0000-000022820000}"/>
    <cellStyle name="Процентный 11 39 4" xfId="19748" xr:uid="{00000000-0005-0000-0000-000023820000}"/>
    <cellStyle name="Процентный 11 39 5" xfId="25088" xr:uid="{00000000-0005-0000-0000-000024820000}"/>
    <cellStyle name="Процентный 11 39 6" xfId="30428" xr:uid="{00000000-0005-0000-0000-000025820000}"/>
    <cellStyle name="Процентный 11 39 7" xfId="35768" xr:uid="{00000000-0005-0000-0000-000026820000}"/>
    <cellStyle name="Процентный 11 39 8" xfId="41108" xr:uid="{00000000-0005-0000-0000-000027820000}"/>
    <cellStyle name="Процентный 11 39 9" xfId="46448" xr:uid="{00000000-0005-0000-0000-000028820000}"/>
    <cellStyle name="Процентный 11 4" xfId="2602" xr:uid="{00000000-0005-0000-0000-000029820000}"/>
    <cellStyle name="Процентный 11 4 10" xfId="50666" xr:uid="{00000000-0005-0000-0000-00002A820000}"/>
    <cellStyle name="Процентный 11 4 2" xfId="7945" xr:uid="{00000000-0005-0000-0000-00002B820000}"/>
    <cellStyle name="Процентный 11 4 2 2" xfId="56007" xr:uid="{00000000-0005-0000-0000-00002C820000}"/>
    <cellStyle name="Процентный 11 4 3" xfId="13286" xr:uid="{00000000-0005-0000-0000-00002D820000}"/>
    <cellStyle name="Процентный 11 4 4" xfId="18626" xr:uid="{00000000-0005-0000-0000-00002E820000}"/>
    <cellStyle name="Процентный 11 4 5" xfId="23966" xr:uid="{00000000-0005-0000-0000-00002F820000}"/>
    <cellStyle name="Процентный 11 4 6" xfId="29306" xr:uid="{00000000-0005-0000-0000-000030820000}"/>
    <cellStyle name="Процентный 11 4 7" xfId="34646" xr:uid="{00000000-0005-0000-0000-000031820000}"/>
    <cellStyle name="Процентный 11 4 8" xfId="39986" xr:uid="{00000000-0005-0000-0000-000032820000}"/>
    <cellStyle name="Процентный 11 4 9" xfId="45326" xr:uid="{00000000-0005-0000-0000-000033820000}"/>
    <cellStyle name="Процентный 11 40" xfId="3757" xr:uid="{00000000-0005-0000-0000-000034820000}"/>
    <cellStyle name="Процентный 11 40 10" xfId="51820" xr:uid="{00000000-0005-0000-0000-000035820000}"/>
    <cellStyle name="Процентный 11 40 2" xfId="9100" xr:uid="{00000000-0005-0000-0000-000036820000}"/>
    <cellStyle name="Процентный 11 40 2 2" xfId="57161" xr:uid="{00000000-0005-0000-0000-000037820000}"/>
    <cellStyle name="Процентный 11 40 3" xfId="14440" xr:uid="{00000000-0005-0000-0000-000038820000}"/>
    <cellStyle name="Процентный 11 40 4" xfId="19780" xr:uid="{00000000-0005-0000-0000-000039820000}"/>
    <cellStyle name="Процентный 11 40 5" xfId="25120" xr:uid="{00000000-0005-0000-0000-00003A820000}"/>
    <cellStyle name="Процентный 11 40 6" xfId="30460" xr:uid="{00000000-0005-0000-0000-00003B820000}"/>
    <cellStyle name="Процентный 11 40 7" xfId="35800" xr:uid="{00000000-0005-0000-0000-00003C820000}"/>
    <cellStyle name="Процентный 11 40 8" xfId="41140" xr:uid="{00000000-0005-0000-0000-00003D820000}"/>
    <cellStyle name="Процентный 11 40 9" xfId="46480" xr:uid="{00000000-0005-0000-0000-00003E820000}"/>
    <cellStyle name="Процентный 11 41" xfId="3789" xr:uid="{00000000-0005-0000-0000-00003F820000}"/>
    <cellStyle name="Процентный 11 41 10" xfId="51852" xr:uid="{00000000-0005-0000-0000-000040820000}"/>
    <cellStyle name="Процентный 11 41 2" xfId="9132" xr:uid="{00000000-0005-0000-0000-000041820000}"/>
    <cellStyle name="Процентный 11 41 2 2" xfId="57193" xr:uid="{00000000-0005-0000-0000-000042820000}"/>
    <cellStyle name="Процентный 11 41 3" xfId="14472" xr:uid="{00000000-0005-0000-0000-000043820000}"/>
    <cellStyle name="Процентный 11 41 4" xfId="19812" xr:uid="{00000000-0005-0000-0000-000044820000}"/>
    <cellStyle name="Процентный 11 41 5" xfId="25152" xr:uid="{00000000-0005-0000-0000-000045820000}"/>
    <cellStyle name="Процентный 11 41 6" xfId="30492" xr:uid="{00000000-0005-0000-0000-000046820000}"/>
    <cellStyle name="Процентный 11 41 7" xfId="35832" xr:uid="{00000000-0005-0000-0000-000047820000}"/>
    <cellStyle name="Процентный 11 41 8" xfId="41172" xr:uid="{00000000-0005-0000-0000-000048820000}"/>
    <cellStyle name="Процентный 11 41 9" xfId="46512" xr:uid="{00000000-0005-0000-0000-000049820000}"/>
    <cellStyle name="Процентный 11 42" xfId="3821" xr:uid="{00000000-0005-0000-0000-00004A820000}"/>
    <cellStyle name="Процентный 11 42 10" xfId="51884" xr:uid="{00000000-0005-0000-0000-00004B820000}"/>
    <cellStyle name="Процентный 11 42 2" xfId="9164" xr:uid="{00000000-0005-0000-0000-00004C820000}"/>
    <cellStyle name="Процентный 11 42 2 2" xfId="57225" xr:uid="{00000000-0005-0000-0000-00004D820000}"/>
    <cellStyle name="Процентный 11 42 3" xfId="14504" xr:uid="{00000000-0005-0000-0000-00004E820000}"/>
    <cellStyle name="Процентный 11 42 4" xfId="19844" xr:uid="{00000000-0005-0000-0000-00004F820000}"/>
    <cellStyle name="Процентный 11 42 5" xfId="25184" xr:uid="{00000000-0005-0000-0000-000050820000}"/>
    <cellStyle name="Процентный 11 42 6" xfId="30524" xr:uid="{00000000-0005-0000-0000-000051820000}"/>
    <cellStyle name="Процентный 11 42 7" xfId="35864" xr:uid="{00000000-0005-0000-0000-000052820000}"/>
    <cellStyle name="Процентный 11 42 8" xfId="41204" xr:uid="{00000000-0005-0000-0000-000053820000}"/>
    <cellStyle name="Процентный 11 42 9" xfId="46544" xr:uid="{00000000-0005-0000-0000-000054820000}"/>
    <cellStyle name="Процентный 11 43" xfId="3853" xr:uid="{00000000-0005-0000-0000-000055820000}"/>
    <cellStyle name="Процентный 11 43 10" xfId="51916" xr:uid="{00000000-0005-0000-0000-000056820000}"/>
    <cellStyle name="Процентный 11 43 2" xfId="9196" xr:uid="{00000000-0005-0000-0000-000057820000}"/>
    <cellStyle name="Процентный 11 43 2 2" xfId="57257" xr:uid="{00000000-0005-0000-0000-000058820000}"/>
    <cellStyle name="Процентный 11 43 3" xfId="14536" xr:uid="{00000000-0005-0000-0000-000059820000}"/>
    <cellStyle name="Процентный 11 43 4" xfId="19876" xr:uid="{00000000-0005-0000-0000-00005A820000}"/>
    <cellStyle name="Процентный 11 43 5" xfId="25216" xr:uid="{00000000-0005-0000-0000-00005B820000}"/>
    <cellStyle name="Процентный 11 43 6" xfId="30556" xr:uid="{00000000-0005-0000-0000-00005C820000}"/>
    <cellStyle name="Процентный 11 43 7" xfId="35896" xr:uid="{00000000-0005-0000-0000-00005D820000}"/>
    <cellStyle name="Процентный 11 43 8" xfId="41236" xr:uid="{00000000-0005-0000-0000-00005E820000}"/>
    <cellStyle name="Процентный 11 43 9" xfId="46576" xr:uid="{00000000-0005-0000-0000-00005F820000}"/>
    <cellStyle name="Процентный 11 44" xfId="3885" xr:uid="{00000000-0005-0000-0000-000060820000}"/>
    <cellStyle name="Процентный 11 44 10" xfId="51948" xr:uid="{00000000-0005-0000-0000-000061820000}"/>
    <cellStyle name="Процентный 11 44 2" xfId="9228" xr:uid="{00000000-0005-0000-0000-000062820000}"/>
    <cellStyle name="Процентный 11 44 2 2" xfId="57289" xr:uid="{00000000-0005-0000-0000-000063820000}"/>
    <cellStyle name="Процентный 11 44 3" xfId="14568" xr:uid="{00000000-0005-0000-0000-000064820000}"/>
    <cellStyle name="Процентный 11 44 4" xfId="19908" xr:uid="{00000000-0005-0000-0000-000065820000}"/>
    <cellStyle name="Процентный 11 44 5" xfId="25248" xr:uid="{00000000-0005-0000-0000-000066820000}"/>
    <cellStyle name="Процентный 11 44 6" xfId="30588" xr:uid="{00000000-0005-0000-0000-000067820000}"/>
    <cellStyle name="Процентный 11 44 7" xfId="35928" xr:uid="{00000000-0005-0000-0000-000068820000}"/>
    <cellStyle name="Процентный 11 44 8" xfId="41268" xr:uid="{00000000-0005-0000-0000-000069820000}"/>
    <cellStyle name="Процентный 11 44 9" xfId="46608" xr:uid="{00000000-0005-0000-0000-00006A820000}"/>
    <cellStyle name="Процентный 11 45" xfId="3917" xr:uid="{00000000-0005-0000-0000-00006B820000}"/>
    <cellStyle name="Процентный 11 45 10" xfId="51980" xr:uid="{00000000-0005-0000-0000-00006C820000}"/>
    <cellStyle name="Процентный 11 45 2" xfId="9260" xr:uid="{00000000-0005-0000-0000-00006D820000}"/>
    <cellStyle name="Процентный 11 45 2 2" xfId="57321" xr:uid="{00000000-0005-0000-0000-00006E820000}"/>
    <cellStyle name="Процентный 11 45 3" xfId="14600" xr:uid="{00000000-0005-0000-0000-00006F820000}"/>
    <cellStyle name="Процентный 11 45 4" xfId="19940" xr:uid="{00000000-0005-0000-0000-000070820000}"/>
    <cellStyle name="Процентный 11 45 5" xfId="25280" xr:uid="{00000000-0005-0000-0000-000071820000}"/>
    <cellStyle name="Процентный 11 45 6" xfId="30620" xr:uid="{00000000-0005-0000-0000-000072820000}"/>
    <cellStyle name="Процентный 11 45 7" xfId="35960" xr:uid="{00000000-0005-0000-0000-000073820000}"/>
    <cellStyle name="Процентный 11 45 8" xfId="41300" xr:uid="{00000000-0005-0000-0000-000074820000}"/>
    <cellStyle name="Процентный 11 45 9" xfId="46640" xr:uid="{00000000-0005-0000-0000-000075820000}"/>
    <cellStyle name="Процентный 11 46" xfId="3949" xr:uid="{00000000-0005-0000-0000-000076820000}"/>
    <cellStyle name="Процентный 11 46 10" xfId="52012" xr:uid="{00000000-0005-0000-0000-000077820000}"/>
    <cellStyle name="Процентный 11 46 2" xfId="9292" xr:uid="{00000000-0005-0000-0000-000078820000}"/>
    <cellStyle name="Процентный 11 46 2 2" xfId="57353" xr:uid="{00000000-0005-0000-0000-000079820000}"/>
    <cellStyle name="Процентный 11 46 3" xfId="14632" xr:uid="{00000000-0005-0000-0000-00007A820000}"/>
    <cellStyle name="Процентный 11 46 4" xfId="19972" xr:uid="{00000000-0005-0000-0000-00007B820000}"/>
    <cellStyle name="Процентный 11 46 5" xfId="25312" xr:uid="{00000000-0005-0000-0000-00007C820000}"/>
    <cellStyle name="Процентный 11 46 6" xfId="30652" xr:uid="{00000000-0005-0000-0000-00007D820000}"/>
    <cellStyle name="Процентный 11 46 7" xfId="35992" xr:uid="{00000000-0005-0000-0000-00007E820000}"/>
    <cellStyle name="Процентный 11 46 8" xfId="41332" xr:uid="{00000000-0005-0000-0000-00007F820000}"/>
    <cellStyle name="Процентный 11 46 9" xfId="46672" xr:uid="{00000000-0005-0000-0000-000080820000}"/>
    <cellStyle name="Процентный 11 47" xfId="3981" xr:uid="{00000000-0005-0000-0000-000081820000}"/>
    <cellStyle name="Процентный 11 47 10" xfId="52044" xr:uid="{00000000-0005-0000-0000-000082820000}"/>
    <cellStyle name="Процентный 11 47 2" xfId="9324" xr:uid="{00000000-0005-0000-0000-000083820000}"/>
    <cellStyle name="Процентный 11 47 2 2" xfId="57385" xr:uid="{00000000-0005-0000-0000-000084820000}"/>
    <cellStyle name="Процентный 11 47 3" xfId="14664" xr:uid="{00000000-0005-0000-0000-000085820000}"/>
    <cellStyle name="Процентный 11 47 4" xfId="20004" xr:uid="{00000000-0005-0000-0000-000086820000}"/>
    <cellStyle name="Процентный 11 47 5" xfId="25344" xr:uid="{00000000-0005-0000-0000-000087820000}"/>
    <cellStyle name="Процентный 11 47 6" xfId="30684" xr:uid="{00000000-0005-0000-0000-000088820000}"/>
    <cellStyle name="Процентный 11 47 7" xfId="36024" xr:uid="{00000000-0005-0000-0000-000089820000}"/>
    <cellStyle name="Процентный 11 47 8" xfId="41364" xr:uid="{00000000-0005-0000-0000-00008A820000}"/>
    <cellStyle name="Процентный 11 47 9" xfId="46704" xr:uid="{00000000-0005-0000-0000-00008B820000}"/>
    <cellStyle name="Процентный 11 48" xfId="4013" xr:uid="{00000000-0005-0000-0000-00008C820000}"/>
    <cellStyle name="Процентный 11 48 10" xfId="52076" xr:uid="{00000000-0005-0000-0000-00008D820000}"/>
    <cellStyle name="Процентный 11 48 2" xfId="9356" xr:uid="{00000000-0005-0000-0000-00008E820000}"/>
    <cellStyle name="Процентный 11 48 2 2" xfId="57417" xr:uid="{00000000-0005-0000-0000-00008F820000}"/>
    <cellStyle name="Процентный 11 48 3" xfId="14696" xr:uid="{00000000-0005-0000-0000-000090820000}"/>
    <cellStyle name="Процентный 11 48 4" xfId="20036" xr:uid="{00000000-0005-0000-0000-000091820000}"/>
    <cellStyle name="Процентный 11 48 5" xfId="25376" xr:uid="{00000000-0005-0000-0000-000092820000}"/>
    <cellStyle name="Процентный 11 48 6" xfId="30716" xr:uid="{00000000-0005-0000-0000-000093820000}"/>
    <cellStyle name="Процентный 11 48 7" xfId="36056" xr:uid="{00000000-0005-0000-0000-000094820000}"/>
    <cellStyle name="Процентный 11 48 8" xfId="41396" xr:uid="{00000000-0005-0000-0000-000095820000}"/>
    <cellStyle name="Процентный 11 48 9" xfId="46736" xr:uid="{00000000-0005-0000-0000-000096820000}"/>
    <cellStyle name="Процентный 11 49" xfId="4045" xr:uid="{00000000-0005-0000-0000-000097820000}"/>
    <cellStyle name="Процентный 11 49 10" xfId="52108" xr:uid="{00000000-0005-0000-0000-000098820000}"/>
    <cellStyle name="Процентный 11 49 2" xfId="9388" xr:uid="{00000000-0005-0000-0000-000099820000}"/>
    <cellStyle name="Процентный 11 49 2 2" xfId="57449" xr:uid="{00000000-0005-0000-0000-00009A820000}"/>
    <cellStyle name="Процентный 11 49 3" xfId="14728" xr:uid="{00000000-0005-0000-0000-00009B820000}"/>
    <cellStyle name="Процентный 11 49 4" xfId="20068" xr:uid="{00000000-0005-0000-0000-00009C820000}"/>
    <cellStyle name="Процентный 11 49 5" xfId="25408" xr:uid="{00000000-0005-0000-0000-00009D820000}"/>
    <cellStyle name="Процентный 11 49 6" xfId="30748" xr:uid="{00000000-0005-0000-0000-00009E820000}"/>
    <cellStyle name="Процентный 11 49 7" xfId="36088" xr:uid="{00000000-0005-0000-0000-00009F820000}"/>
    <cellStyle name="Процентный 11 49 8" xfId="41428" xr:uid="{00000000-0005-0000-0000-0000A0820000}"/>
    <cellStyle name="Процентный 11 49 9" xfId="46768" xr:uid="{00000000-0005-0000-0000-0000A1820000}"/>
    <cellStyle name="Процентный 11 5" xfId="2634" xr:uid="{00000000-0005-0000-0000-0000A2820000}"/>
    <cellStyle name="Процентный 11 5 10" xfId="50698" xr:uid="{00000000-0005-0000-0000-0000A3820000}"/>
    <cellStyle name="Процентный 11 5 2" xfId="7977" xr:uid="{00000000-0005-0000-0000-0000A4820000}"/>
    <cellStyle name="Процентный 11 5 2 2" xfId="56039" xr:uid="{00000000-0005-0000-0000-0000A5820000}"/>
    <cellStyle name="Процентный 11 5 3" xfId="13318" xr:uid="{00000000-0005-0000-0000-0000A6820000}"/>
    <cellStyle name="Процентный 11 5 4" xfId="18658" xr:uid="{00000000-0005-0000-0000-0000A7820000}"/>
    <cellStyle name="Процентный 11 5 5" xfId="23998" xr:uid="{00000000-0005-0000-0000-0000A8820000}"/>
    <cellStyle name="Процентный 11 5 6" xfId="29338" xr:uid="{00000000-0005-0000-0000-0000A9820000}"/>
    <cellStyle name="Процентный 11 5 7" xfId="34678" xr:uid="{00000000-0005-0000-0000-0000AA820000}"/>
    <cellStyle name="Процентный 11 5 8" xfId="40018" xr:uid="{00000000-0005-0000-0000-0000AB820000}"/>
    <cellStyle name="Процентный 11 5 9" xfId="45358" xr:uid="{00000000-0005-0000-0000-0000AC820000}"/>
    <cellStyle name="Процентный 11 50" xfId="4077" xr:uid="{00000000-0005-0000-0000-0000AD820000}"/>
    <cellStyle name="Процентный 11 50 10" xfId="52140" xr:uid="{00000000-0005-0000-0000-0000AE820000}"/>
    <cellStyle name="Процентный 11 50 2" xfId="9420" xr:uid="{00000000-0005-0000-0000-0000AF820000}"/>
    <cellStyle name="Процентный 11 50 2 2" xfId="57481" xr:uid="{00000000-0005-0000-0000-0000B0820000}"/>
    <cellStyle name="Процентный 11 50 3" xfId="14760" xr:uid="{00000000-0005-0000-0000-0000B1820000}"/>
    <cellStyle name="Процентный 11 50 4" xfId="20100" xr:uid="{00000000-0005-0000-0000-0000B2820000}"/>
    <cellStyle name="Процентный 11 50 5" xfId="25440" xr:uid="{00000000-0005-0000-0000-0000B3820000}"/>
    <cellStyle name="Процентный 11 50 6" xfId="30780" xr:uid="{00000000-0005-0000-0000-0000B4820000}"/>
    <cellStyle name="Процентный 11 50 7" xfId="36120" xr:uid="{00000000-0005-0000-0000-0000B5820000}"/>
    <cellStyle name="Процентный 11 50 8" xfId="41460" xr:uid="{00000000-0005-0000-0000-0000B6820000}"/>
    <cellStyle name="Процентный 11 50 9" xfId="46800" xr:uid="{00000000-0005-0000-0000-0000B7820000}"/>
    <cellStyle name="Процентный 11 51" xfId="4109" xr:uid="{00000000-0005-0000-0000-0000B8820000}"/>
    <cellStyle name="Процентный 11 51 10" xfId="52172" xr:uid="{00000000-0005-0000-0000-0000B9820000}"/>
    <cellStyle name="Процентный 11 51 2" xfId="9452" xr:uid="{00000000-0005-0000-0000-0000BA820000}"/>
    <cellStyle name="Процентный 11 51 2 2" xfId="57513" xr:uid="{00000000-0005-0000-0000-0000BB820000}"/>
    <cellStyle name="Процентный 11 51 3" xfId="14792" xr:uid="{00000000-0005-0000-0000-0000BC820000}"/>
    <cellStyle name="Процентный 11 51 4" xfId="20132" xr:uid="{00000000-0005-0000-0000-0000BD820000}"/>
    <cellStyle name="Процентный 11 51 5" xfId="25472" xr:uid="{00000000-0005-0000-0000-0000BE820000}"/>
    <cellStyle name="Процентный 11 51 6" xfId="30812" xr:uid="{00000000-0005-0000-0000-0000BF820000}"/>
    <cellStyle name="Процентный 11 51 7" xfId="36152" xr:uid="{00000000-0005-0000-0000-0000C0820000}"/>
    <cellStyle name="Процентный 11 51 8" xfId="41492" xr:uid="{00000000-0005-0000-0000-0000C1820000}"/>
    <cellStyle name="Процентный 11 51 9" xfId="46832" xr:uid="{00000000-0005-0000-0000-0000C2820000}"/>
    <cellStyle name="Процентный 11 52" xfId="4141" xr:uid="{00000000-0005-0000-0000-0000C3820000}"/>
    <cellStyle name="Процентный 11 52 10" xfId="52204" xr:uid="{00000000-0005-0000-0000-0000C4820000}"/>
    <cellStyle name="Процентный 11 52 2" xfId="9484" xr:uid="{00000000-0005-0000-0000-0000C5820000}"/>
    <cellStyle name="Процентный 11 52 2 2" xfId="57545" xr:uid="{00000000-0005-0000-0000-0000C6820000}"/>
    <cellStyle name="Процентный 11 52 3" xfId="14824" xr:uid="{00000000-0005-0000-0000-0000C7820000}"/>
    <cellStyle name="Процентный 11 52 4" xfId="20164" xr:uid="{00000000-0005-0000-0000-0000C8820000}"/>
    <cellStyle name="Процентный 11 52 5" xfId="25504" xr:uid="{00000000-0005-0000-0000-0000C9820000}"/>
    <cellStyle name="Процентный 11 52 6" xfId="30844" xr:uid="{00000000-0005-0000-0000-0000CA820000}"/>
    <cellStyle name="Процентный 11 52 7" xfId="36184" xr:uid="{00000000-0005-0000-0000-0000CB820000}"/>
    <cellStyle name="Процентный 11 52 8" xfId="41524" xr:uid="{00000000-0005-0000-0000-0000CC820000}"/>
    <cellStyle name="Процентный 11 52 9" xfId="46864" xr:uid="{00000000-0005-0000-0000-0000CD820000}"/>
    <cellStyle name="Процентный 11 53" xfId="4173" xr:uid="{00000000-0005-0000-0000-0000CE820000}"/>
    <cellStyle name="Процентный 11 53 10" xfId="52236" xr:uid="{00000000-0005-0000-0000-0000CF820000}"/>
    <cellStyle name="Процентный 11 53 2" xfId="9516" xr:uid="{00000000-0005-0000-0000-0000D0820000}"/>
    <cellStyle name="Процентный 11 53 2 2" xfId="57577" xr:uid="{00000000-0005-0000-0000-0000D1820000}"/>
    <cellStyle name="Процентный 11 53 3" xfId="14856" xr:uid="{00000000-0005-0000-0000-0000D2820000}"/>
    <cellStyle name="Процентный 11 53 4" xfId="20196" xr:uid="{00000000-0005-0000-0000-0000D3820000}"/>
    <cellStyle name="Процентный 11 53 5" xfId="25536" xr:uid="{00000000-0005-0000-0000-0000D4820000}"/>
    <cellStyle name="Процентный 11 53 6" xfId="30876" xr:uid="{00000000-0005-0000-0000-0000D5820000}"/>
    <cellStyle name="Процентный 11 53 7" xfId="36216" xr:uid="{00000000-0005-0000-0000-0000D6820000}"/>
    <cellStyle name="Процентный 11 53 8" xfId="41556" xr:uid="{00000000-0005-0000-0000-0000D7820000}"/>
    <cellStyle name="Процентный 11 53 9" xfId="46896" xr:uid="{00000000-0005-0000-0000-0000D8820000}"/>
    <cellStyle name="Процентный 11 54" xfId="4205" xr:uid="{00000000-0005-0000-0000-0000D9820000}"/>
    <cellStyle name="Процентный 11 54 10" xfId="52268" xr:uid="{00000000-0005-0000-0000-0000DA820000}"/>
    <cellStyle name="Процентный 11 54 2" xfId="9548" xr:uid="{00000000-0005-0000-0000-0000DB820000}"/>
    <cellStyle name="Процентный 11 54 2 2" xfId="57609" xr:uid="{00000000-0005-0000-0000-0000DC820000}"/>
    <cellStyle name="Процентный 11 54 3" xfId="14888" xr:uid="{00000000-0005-0000-0000-0000DD820000}"/>
    <cellStyle name="Процентный 11 54 4" xfId="20228" xr:uid="{00000000-0005-0000-0000-0000DE820000}"/>
    <cellStyle name="Процентный 11 54 5" xfId="25568" xr:uid="{00000000-0005-0000-0000-0000DF820000}"/>
    <cellStyle name="Процентный 11 54 6" xfId="30908" xr:uid="{00000000-0005-0000-0000-0000E0820000}"/>
    <cellStyle name="Процентный 11 54 7" xfId="36248" xr:uid="{00000000-0005-0000-0000-0000E1820000}"/>
    <cellStyle name="Процентный 11 54 8" xfId="41588" xr:uid="{00000000-0005-0000-0000-0000E2820000}"/>
    <cellStyle name="Процентный 11 54 9" xfId="46928" xr:uid="{00000000-0005-0000-0000-0000E3820000}"/>
    <cellStyle name="Процентный 11 55" xfId="4237" xr:uid="{00000000-0005-0000-0000-0000E4820000}"/>
    <cellStyle name="Процентный 11 55 10" xfId="52300" xr:uid="{00000000-0005-0000-0000-0000E5820000}"/>
    <cellStyle name="Процентный 11 55 2" xfId="9580" xr:uid="{00000000-0005-0000-0000-0000E6820000}"/>
    <cellStyle name="Процентный 11 55 2 2" xfId="57641" xr:uid="{00000000-0005-0000-0000-0000E7820000}"/>
    <cellStyle name="Процентный 11 55 3" xfId="14920" xr:uid="{00000000-0005-0000-0000-0000E8820000}"/>
    <cellStyle name="Процентный 11 55 4" xfId="20260" xr:uid="{00000000-0005-0000-0000-0000E9820000}"/>
    <cellStyle name="Процентный 11 55 5" xfId="25600" xr:uid="{00000000-0005-0000-0000-0000EA820000}"/>
    <cellStyle name="Процентный 11 55 6" xfId="30940" xr:uid="{00000000-0005-0000-0000-0000EB820000}"/>
    <cellStyle name="Процентный 11 55 7" xfId="36280" xr:uid="{00000000-0005-0000-0000-0000EC820000}"/>
    <cellStyle name="Процентный 11 55 8" xfId="41620" xr:uid="{00000000-0005-0000-0000-0000ED820000}"/>
    <cellStyle name="Процентный 11 55 9" xfId="46960" xr:uid="{00000000-0005-0000-0000-0000EE820000}"/>
    <cellStyle name="Процентный 11 56" xfId="4269" xr:uid="{00000000-0005-0000-0000-0000EF820000}"/>
    <cellStyle name="Процентный 11 56 10" xfId="52332" xr:uid="{00000000-0005-0000-0000-0000F0820000}"/>
    <cellStyle name="Процентный 11 56 2" xfId="9612" xr:uid="{00000000-0005-0000-0000-0000F1820000}"/>
    <cellStyle name="Процентный 11 56 2 2" xfId="57673" xr:uid="{00000000-0005-0000-0000-0000F2820000}"/>
    <cellStyle name="Процентный 11 56 3" xfId="14952" xr:uid="{00000000-0005-0000-0000-0000F3820000}"/>
    <cellStyle name="Процентный 11 56 4" xfId="20292" xr:uid="{00000000-0005-0000-0000-0000F4820000}"/>
    <cellStyle name="Процентный 11 56 5" xfId="25632" xr:uid="{00000000-0005-0000-0000-0000F5820000}"/>
    <cellStyle name="Процентный 11 56 6" xfId="30972" xr:uid="{00000000-0005-0000-0000-0000F6820000}"/>
    <cellStyle name="Процентный 11 56 7" xfId="36312" xr:uid="{00000000-0005-0000-0000-0000F7820000}"/>
    <cellStyle name="Процентный 11 56 8" xfId="41652" xr:uid="{00000000-0005-0000-0000-0000F8820000}"/>
    <cellStyle name="Процентный 11 56 9" xfId="46992" xr:uid="{00000000-0005-0000-0000-0000F9820000}"/>
    <cellStyle name="Процентный 11 57" xfId="4301" xr:uid="{00000000-0005-0000-0000-0000FA820000}"/>
    <cellStyle name="Процентный 11 57 10" xfId="52364" xr:uid="{00000000-0005-0000-0000-0000FB820000}"/>
    <cellStyle name="Процентный 11 57 2" xfId="9644" xr:uid="{00000000-0005-0000-0000-0000FC820000}"/>
    <cellStyle name="Процентный 11 57 2 2" xfId="57705" xr:uid="{00000000-0005-0000-0000-0000FD820000}"/>
    <cellStyle name="Процентный 11 57 3" xfId="14984" xr:uid="{00000000-0005-0000-0000-0000FE820000}"/>
    <cellStyle name="Процентный 11 57 4" xfId="20324" xr:uid="{00000000-0005-0000-0000-0000FF820000}"/>
    <cellStyle name="Процентный 11 57 5" xfId="25664" xr:uid="{00000000-0005-0000-0000-000000830000}"/>
    <cellStyle name="Процентный 11 57 6" xfId="31004" xr:uid="{00000000-0005-0000-0000-000001830000}"/>
    <cellStyle name="Процентный 11 57 7" xfId="36344" xr:uid="{00000000-0005-0000-0000-000002830000}"/>
    <cellStyle name="Процентный 11 57 8" xfId="41684" xr:uid="{00000000-0005-0000-0000-000003830000}"/>
    <cellStyle name="Процентный 11 57 9" xfId="47024" xr:uid="{00000000-0005-0000-0000-000004830000}"/>
    <cellStyle name="Процентный 11 58" xfId="4333" xr:uid="{00000000-0005-0000-0000-000005830000}"/>
    <cellStyle name="Процентный 11 58 10" xfId="52396" xr:uid="{00000000-0005-0000-0000-000006830000}"/>
    <cellStyle name="Процентный 11 58 2" xfId="9676" xr:uid="{00000000-0005-0000-0000-000007830000}"/>
    <cellStyle name="Процентный 11 58 2 2" xfId="57737" xr:uid="{00000000-0005-0000-0000-000008830000}"/>
    <cellStyle name="Процентный 11 58 3" xfId="15016" xr:uid="{00000000-0005-0000-0000-000009830000}"/>
    <cellStyle name="Процентный 11 58 4" xfId="20356" xr:uid="{00000000-0005-0000-0000-00000A830000}"/>
    <cellStyle name="Процентный 11 58 5" xfId="25696" xr:uid="{00000000-0005-0000-0000-00000B830000}"/>
    <cellStyle name="Процентный 11 58 6" xfId="31036" xr:uid="{00000000-0005-0000-0000-00000C830000}"/>
    <cellStyle name="Процентный 11 58 7" xfId="36376" xr:uid="{00000000-0005-0000-0000-00000D830000}"/>
    <cellStyle name="Процентный 11 58 8" xfId="41716" xr:uid="{00000000-0005-0000-0000-00000E830000}"/>
    <cellStyle name="Процентный 11 58 9" xfId="47056" xr:uid="{00000000-0005-0000-0000-00000F830000}"/>
    <cellStyle name="Процентный 11 59" xfId="4365" xr:uid="{00000000-0005-0000-0000-000010830000}"/>
    <cellStyle name="Процентный 11 59 10" xfId="52428" xr:uid="{00000000-0005-0000-0000-000011830000}"/>
    <cellStyle name="Процентный 11 59 2" xfId="9708" xr:uid="{00000000-0005-0000-0000-000012830000}"/>
    <cellStyle name="Процентный 11 59 2 2" xfId="57769" xr:uid="{00000000-0005-0000-0000-000013830000}"/>
    <cellStyle name="Процентный 11 59 3" xfId="15048" xr:uid="{00000000-0005-0000-0000-000014830000}"/>
    <cellStyle name="Процентный 11 59 4" xfId="20388" xr:uid="{00000000-0005-0000-0000-000015830000}"/>
    <cellStyle name="Процентный 11 59 5" xfId="25728" xr:uid="{00000000-0005-0000-0000-000016830000}"/>
    <cellStyle name="Процентный 11 59 6" xfId="31068" xr:uid="{00000000-0005-0000-0000-000017830000}"/>
    <cellStyle name="Процентный 11 59 7" xfId="36408" xr:uid="{00000000-0005-0000-0000-000018830000}"/>
    <cellStyle name="Процентный 11 59 8" xfId="41748" xr:uid="{00000000-0005-0000-0000-000019830000}"/>
    <cellStyle name="Процентный 11 59 9" xfId="47088" xr:uid="{00000000-0005-0000-0000-00001A830000}"/>
    <cellStyle name="Процентный 11 6" xfId="2666" xr:uid="{00000000-0005-0000-0000-00001B830000}"/>
    <cellStyle name="Процентный 11 6 10" xfId="50730" xr:uid="{00000000-0005-0000-0000-00001C830000}"/>
    <cellStyle name="Процентный 11 6 2" xfId="8009" xr:uid="{00000000-0005-0000-0000-00001D830000}"/>
    <cellStyle name="Процентный 11 6 2 2" xfId="56071" xr:uid="{00000000-0005-0000-0000-00001E830000}"/>
    <cellStyle name="Процентный 11 6 3" xfId="13350" xr:uid="{00000000-0005-0000-0000-00001F830000}"/>
    <cellStyle name="Процентный 11 6 4" xfId="18690" xr:uid="{00000000-0005-0000-0000-000020830000}"/>
    <cellStyle name="Процентный 11 6 5" xfId="24030" xr:uid="{00000000-0005-0000-0000-000021830000}"/>
    <cellStyle name="Процентный 11 6 6" xfId="29370" xr:uid="{00000000-0005-0000-0000-000022830000}"/>
    <cellStyle name="Процентный 11 6 7" xfId="34710" xr:uid="{00000000-0005-0000-0000-000023830000}"/>
    <cellStyle name="Процентный 11 6 8" xfId="40050" xr:uid="{00000000-0005-0000-0000-000024830000}"/>
    <cellStyle name="Процентный 11 6 9" xfId="45390" xr:uid="{00000000-0005-0000-0000-000025830000}"/>
    <cellStyle name="Процентный 11 60" xfId="4397" xr:uid="{00000000-0005-0000-0000-000026830000}"/>
    <cellStyle name="Процентный 11 60 10" xfId="52460" xr:uid="{00000000-0005-0000-0000-000027830000}"/>
    <cellStyle name="Процентный 11 60 2" xfId="9740" xr:uid="{00000000-0005-0000-0000-000028830000}"/>
    <cellStyle name="Процентный 11 60 2 2" xfId="57801" xr:uid="{00000000-0005-0000-0000-000029830000}"/>
    <cellStyle name="Процентный 11 60 3" xfId="15080" xr:uid="{00000000-0005-0000-0000-00002A830000}"/>
    <cellStyle name="Процентный 11 60 4" xfId="20420" xr:uid="{00000000-0005-0000-0000-00002B830000}"/>
    <cellStyle name="Процентный 11 60 5" xfId="25760" xr:uid="{00000000-0005-0000-0000-00002C830000}"/>
    <cellStyle name="Процентный 11 60 6" xfId="31100" xr:uid="{00000000-0005-0000-0000-00002D830000}"/>
    <cellStyle name="Процентный 11 60 7" xfId="36440" xr:uid="{00000000-0005-0000-0000-00002E830000}"/>
    <cellStyle name="Процентный 11 60 8" xfId="41780" xr:uid="{00000000-0005-0000-0000-00002F830000}"/>
    <cellStyle name="Процентный 11 60 9" xfId="47120" xr:uid="{00000000-0005-0000-0000-000030830000}"/>
    <cellStyle name="Процентный 11 61" xfId="4429" xr:uid="{00000000-0005-0000-0000-000031830000}"/>
    <cellStyle name="Процентный 11 61 10" xfId="52492" xr:uid="{00000000-0005-0000-0000-000032830000}"/>
    <cellStyle name="Процентный 11 61 2" xfId="9772" xr:uid="{00000000-0005-0000-0000-000033830000}"/>
    <cellStyle name="Процентный 11 61 2 2" xfId="57833" xr:uid="{00000000-0005-0000-0000-000034830000}"/>
    <cellStyle name="Процентный 11 61 3" xfId="15112" xr:uid="{00000000-0005-0000-0000-000035830000}"/>
    <cellStyle name="Процентный 11 61 4" xfId="20452" xr:uid="{00000000-0005-0000-0000-000036830000}"/>
    <cellStyle name="Процентный 11 61 5" xfId="25792" xr:uid="{00000000-0005-0000-0000-000037830000}"/>
    <cellStyle name="Процентный 11 61 6" xfId="31132" xr:uid="{00000000-0005-0000-0000-000038830000}"/>
    <cellStyle name="Процентный 11 61 7" xfId="36472" xr:uid="{00000000-0005-0000-0000-000039830000}"/>
    <cellStyle name="Процентный 11 61 8" xfId="41812" xr:uid="{00000000-0005-0000-0000-00003A830000}"/>
    <cellStyle name="Процентный 11 61 9" xfId="47152" xr:uid="{00000000-0005-0000-0000-00003B830000}"/>
    <cellStyle name="Процентный 11 62" xfId="4461" xr:uid="{00000000-0005-0000-0000-00003C830000}"/>
    <cellStyle name="Процентный 11 62 10" xfId="52524" xr:uid="{00000000-0005-0000-0000-00003D830000}"/>
    <cellStyle name="Процентный 11 62 2" xfId="9804" xr:uid="{00000000-0005-0000-0000-00003E830000}"/>
    <cellStyle name="Процентный 11 62 2 2" xfId="57865" xr:uid="{00000000-0005-0000-0000-00003F830000}"/>
    <cellStyle name="Процентный 11 62 3" xfId="15144" xr:uid="{00000000-0005-0000-0000-000040830000}"/>
    <cellStyle name="Процентный 11 62 4" xfId="20484" xr:uid="{00000000-0005-0000-0000-000041830000}"/>
    <cellStyle name="Процентный 11 62 5" xfId="25824" xr:uid="{00000000-0005-0000-0000-000042830000}"/>
    <cellStyle name="Процентный 11 62 6" xfId="31164" xr:uid="{00000000-0005-0000-0000-000043830000}"/>
    <cellStyle name="Процентный 11 62 7" xfId="36504" xr:uid="{00000000-0005-0000-0000-000044830000}"/>
    <cellStyle name="Процентный 11 62 8" xfId="41844" xr:uid="{00000000-0005-0000-0000-000045830000}"/>
    <cellStyle name="Процентный 11 62 9" xfId="47184" xr:uid="{00000000-0005-0000-0000-000046830000}"/>
    <cellStyle name="Процентный 11 63" xfId="4493" xr:uid="{00000000-0005-0000-0000-000047830000}"/>
    <cellStyle name="Процентный 11 63 10" xfId="52556" xr:uid="{00000000-0005-0000-0000-000048830000}"/>
    <cellStyle name="Процентный 11 63 2" xfId="9836" xr:uid="{00000000-0005-0000-0000-000049830000}"/>
    <cellStyle name="Процентный 11 63 2 2" xfId="57897" xr:uid="{00000000-0005-0000-0000-00004A830000}"/>
    <cellStyle name="Процентный 11 63 3" xfId="15176" xr:uid="{00000000-0005-0000-0000-00004B830000}"/>
    <cellStyle name="Процентный 11 63 4" xfId="20516" xr:uid="{00000000-0005-0000-0000-00004C830000}"/>
    <cellStyle name="Процентный 11 63 5" xfId="25856" xr:uid="{00000000-0005-0000-0000-00004D830000}"/>
    <cellStyle name="Процентный 11 63 6" xfId="31196" xr:uid="{00000000-0005-0000-0000-00004E830000}"/>
    <cellStyle name="Процентный 11 63 7" xfId="36536" xr:uid="{00000000-0005-0000-0000-00004F830000}"/>
    <cellStyle name="Процентный 11 63 8" xfId="41876" xr:uid="{00000000-0005-0000-0000-000050830000}"/>
    <cellStyle name="Процентный 11 63 9" xfId="47216" xr:uid="{00000000-0005-0000-0000-000051830000}"/>
    <cellStyle name="Процентный 11 64" xfId="4525" xr:uid="{00000000-0005-0000-0000-000052830000}"/>
    <cellStyle name="Процентный 11 64 10" xfId="52588" xr:uid="{00000000-0005-0000-0000-000053830000}"/>
    <cellStyle name="Процентный 11 64 2" xfId="9868" xr:uid="{00000000-0005-0000-0000-000054830000}"/>
    <cellStyle name="Процентный 11 64 2 2" xfId="57929" xr:uid="{00000000-0005-0000-0000-000055830000}"/>
    <cellStyle name="Процентный 11 64 3" xfId="15208" xr:uid="{00000000-0005-0000-0000-000056830000}"/>
    <cellStyle name="Процентный 11 64 4" xfId="20548" xr:uid="{00000000-0005-0000-0000-000057830000}"/>
    <cellStyle name="Процентный 11 64 5" xfId="25888" xr:uid="{00000000-0005-0000-0000-000058830000}"/>
    <cellStyle name="Процентный 11 64 6" xfId="31228" xr:uid="{00000000-0005-0000-0000-000059830000}"/>
    <cellStyle name="Процентный 11 64 7" xfId="36568" xr:uid="{00000000-0005-0000-0000-00005A830000}"/>
    <cellStyle name="Процентный 11 64 8" xfId="41908" xr:uid="{00000000-0005-0000-0000-00005B830000}"/>
    <cellStyle name="Процентный 11 64 9" xfId="47248" xr:uid="{00000000-0005-0000-0000-00005C830000}"/>
    <cellStyle name="Процентный 11 65" xfId="4557" xr:uid="{00000000-0005-0000-0000-00005D830000}"/>
    <cellStyle name="Процентный 11 65 10" xfId="52620" xr:uid="{00000000-0005-0000-0000-00005E830000}"/>
    <cellStyle name="Процентный 11 65 2" xfId="9900" xr:uid="{00000000-0005-0000-0000-00005F830000}"/>
    <cellStyle name="Процентный 11 65 2 2" xfId="57961" xr:uid="{00000000-0005-0000-0000-000060830000}"/>
    <cellStyle name="Процентный 11 65 3" xfId="15240" xr:uid="{00000000-0005-0000-0000-000061830000}"/>
    <cellStyle name="Процентный 11 65 4" xfId="20580" xr:uid="{00000000-0005-0000-0000-000062830000}"/>
    <cellStyle name="Процентный 11 65 5" xfId="25920" xr:uid="{00000000-0005-0000-0000-000063830000}"/>
    <cellStyle name="Процентный 11 65 6" xfId="31260" xr:uid="{00000000-0005-0000-0000-000064830000}"/>
    <cellStyle name="Процентный 11 65 7" xfId="36600" xr:uid="{00000000-0005-0000-0000-000065830000}"/>
    <cellStyle name="Процентный 11 65 8" xfId="41940" xr:uid="{00000000-0005-0000-0000-000066830000}"/>
    <cellStyle name="Процентный 11 65 9" xfId="47280" xr:uid="{00000000-0005-0000-0000-000067830000}"/>
    <cellStyle name="Процентный 11 66" xfId="4589" xr:uid="{00000000-0005-0000-0000-000068830000}"/>
    <cellStyle name="Процентный 11 66 10" xfId="52652" xr:uid="{00000000-0005-0000-0000-000069830000}"/>
    <cellStyle name="Процентный 11 66 2" xfId="9932" xr:uid="{00000000-0005-0000-0000-00006A830000}"/>
    <cellStyle name="Процентный 11 66 2 2" xfId="57993" xr:uid="{00000000-0005-0000-0000-00006B830000}"/>
    <cellStyle name="Процентный 11 66 3" xfId="15272" xr:uid="{00000000-0005-0000-0000-00006C830000}"/>
    <cellStyle name="Процентный 11 66 4" xfId="20612" xr:uid="{00000000-0005-0000-0000-00006D830000}"/>
    <cellStyle name="Процентный 11 66 5" xfId="25952" xr:uid="{00000000-0005-0000-0000-00006E830000}"/>
    <cellStyle name="Процентный 11 66 6" xfId="31292" xr:uid="{00000000-0005-0000-0000-00006F830000}"/>
    <cellStyle name="Процентный 11 66 7" xfId="36632" xr:uid="{00000000-0005-0000-0000-000070830000}"/>
    <cellStyle name="Процентный 11 66 8" xfId="41972" xr:uid="{00000000-0005-0000-0000-000071830000}"/>
    <cellStyle name="Процентный 11 66 9" xfId="47312" xr:uid="{00000000-0005-0000-0000-000072830000}"/>
    <cellStyle name="Процентный 11 67" xfId="4621" xr:uid="{00000000-0005-0000-0000-000073830000}"/>
    <cellStyle name="Процентный 11 67 10" xfId="52684" xr:uid="{00000000-0005-0000-0000-000074830000}"/>
    <cellStyle name="Процентный 11 67 2" xfId="9964" xr:uid="{00000000-0005-0000-0000-000075830000}"/>
    <cellStyle name="Процентный 11 67 2 2" xfId="58025" xr:uid="{00000000-0005-0000-0000-000076830000}"/>
    <cellStyle name="Процентный 11 67 3" xfId="15304" xr:uid="{00000000-0005-0000-0000-000077830000}"/>
    <cellStyle name="Процентный 11 67 4" xfId="20644" xr:uid="{00000000-0005-0000-0000-000078830000}"/>
    <cellStyle name="Процентный 11 67 5" xfId="25984" xr:uid="{00000000-0005-0000-0000-000079830000}"/>
    <cellStyle name="Процентный 11 67 6" xfId="31324" xr:uid="{00000000-0005-0000-0000-00007A830000}"/>
    <cellStyle name="Процентный 11 67 7" xfId="36664" xr:uid="{00000000-0005-0000-0000-00007B830000}"/>
    <cellStyle name="Процентный 11 67 8" xfId="42004" xr:uid="{00000000-0005-0000-0000-00007C830000}"/>
    <cellStyle name="Процентный 11 67 9" xfId="47344" xr:uid="{00000000-0005-0000-0000-00007D830000}"/>
    <cellStyle name="Процентный 11 68" xfId="4653" xr:uid="{00000000-0005-0000-0000-00007E830000}"/>
    <cellStyle name="Процентный 11 68 10" xfId="52716" xr:uid="{00000000-0005-0000-0000-00007F830000}"/>
    <cellStyle name="Процентный 11 68 2" xfId="9996" xr:uid="{00000000-0005-0000-0000-000080830000}"/>
    <cellStyle name="Процентный 11 68 2 2" xfId="58057" xr:uid="{00000000-0005-0000-0000-000081830000}"/>
    <cellStyle name="Процентный 11 68 3" xfId="15336" xr:uid="{00000000-0005-0000-0000-000082830000}"/>
    <cellStyle name="Процентный 11 68 4" xfId="20676" xr:uid="{00000000-0005-0000-0000-000083830000}"/>
    <cellStyle name="Процентный 11 68 5" xfId="26016" xr:uid="{00000000-0005-0000-0000-000084830000}"/>
    <cellStyle name="Процентный 11 68 6" xfId="31356" xr:uid="{00000000-0005-0000-0000-000085830000}"/>
    <cellStyle name="Процентный 11 68 7" xfId="36696" xr:uid="{00000000-0005-0000-0000-000086830000}"/>
    <cellStyle name="Процентный 11 68 8" xfId="42036" xr:uid="{00000000-0005-0000-0000-000087830000}"/>
    <cellStyle name="Процентный 11 68 9" xfId="47376" xr:uid="{00000000-0005-0000-0000-000088830000}"/>
    <cellStyle name="Процентный 11 69" xfId="4685" xr:uid="{00000000-0005-0000-0000-000089830000}"/>
    <cellStyle name="Процентный 11 69 10" xfId="52748" xr:uid="{00000000-0005-0000-0000-00008A830000}"/>
    <cellStyle name="Процентный 11 69 2" xfId="10028" xr:uid="{00000000-0005-0000-0000-00008B830000}"/>
    <cellStyle name="Процентный 11 69 2 2" xfId="58089" xr:uid="{00000000-0005-0000-0000-00008C830000}"/>
    <cellStyle name="Процентный 11 69 3" xfId="15368" xr:uid="{00000000-0005-0000-0000-00008D830000}"/>
    <cellStyle name="Процентный 11 69 4" xfId="20708" xr:uid="{00000000-0005-0000-0000-00008E830000}"/>
    <cellStyle name="Процентный 11 69 5" xfId="26048" xr:uid="{00000000-0005-0000-0000-00008F830000}"/>
    <cellStyle name="Процентный 11 69 6" xfId="31388" xr:uid="{00000000-0005-0000-0000-000090830000}"/>
    <cellStyle name="Процентный 11 69 7" xfId="36728" xr:uid="{00000000-0005-0000-0000-000091830000}"/>
    <cellStyle name="Процентный 11 69 8" xfId="42068" xr:uid="{00000000-0005-0000-0000-000092830000}"/>
    <cellStyle name="Процентный 11 69 9" xfId="47408" xr:uid="{00000000-0005-0000-0000-000093830000}"/>
    <cellStyle name="Процентный 11 7" xfId="2698" xr:uid="{00000000-0005-0000-0000-000094830000}"/>
    <cellStyle name="Процентный 11 7 10" xfId="50762" xr:uid="{00000000-0005-0000-0000-000095830000}"/>
    <cellStyle name="Процентный 11 7 2" xfId="8041" xr:uid="{00000000-0005-0000-0000-000096830000}"/>
    <cellStyle name="Процентный 11 7 2 2" xfId="56103" xr:uid="{00000000-0005-0000-0000-000097830000}"/>
    <cellStyle name="Процентный 11 7 3" xfId="13382" xr:uid="{00000000-0005-0000-0000-000098830000}"/>
    <cellStyle name="Процентный 11 7 4" xfId="18722" xr:uid="{00000000-0005-0000-0000-000099830000}"/>
    <cellStyle name="Процентный 11 7 5" xfId="24062" xr:uid="{00000000-0005-0000-0000-00009A830000}"/>
    <cellStyle name="Процентный 11 7 6" xfId="29402" xr:uid="{00000000-0005-0000-0000-00009B830000}"/>
    <cellStyle name="Процентный 11 7 7" xfId="34742" xr:uid="{00000000-0005-0000-0000-00009C830000}"/>
    <cellStyle name="Процентный 11 7 8" xfId="40082" xr:uid="{00000000-0005-0000-0000-00009D830000}"/>
    <cellStyle name="Процентный 11 7 9" xfId="45422" xr:uid="{00000000-0005-0000-0000-00009E830000}"/>
    <cellStyle name="Процентный 11 70" xfId="4717" xr:uid="{00000000-0005-0000-0000-00009F830000}"/>
    <cellStyle name="Процентный 11 70 10" xfId="52780" xr:uid="{00000000-0005-0000-0000-0000A0830000}"/>
    <cellStyle name="Процентный 11 70 2" xfId="10060" xr:uid="{00000000-0005-0000-0000-0000A1830000}"/>
    <cellStyle name="Процентный 11 70 2 2" xfId="58121" xr:uid="{00000000-0005-0000-0000-0000A2830000}"/>
    <cellStyle name="Процентный 11 70 3" xfId="15400" xr:uid="{00000000-0005-0000-0000-0000A3830000}"/>
    <cellStyle name="Процентный 11 70 4" xfId="20740" xr:uid="{00000000-0005-0000-0000-0000A4830000}"/>
    <cellStyle name="Процентный 11 70 5" xfId="26080" xr:uid="{00000000-0005-0000-0000-0000A5830000}"/>
    <cellStyle name="Процентный 11 70 6" xfId="31420" xr:uid="{00000000-0005-0000-0000-0000A6830000}"/>
    <cellStyle name="Процентный 11 70 7" xfId="36760" xr:uid="{00000000-0005-0000-0000-0000A7830000}"/>
    <cellStyle name="Процентный 11 70 8" xfId="42100" xr:uid="{00000000-0005-0000-0000-0000A8830000}"/>
    <cellStyle name="Процентный 11 70 9" xfId="47440" xr:uid="{00000000-0005-0000-0000-0000A9830000}"/>
    <cellStyle name="Процентный 11 71" xfId="4751" xr:uid="{00000000-0005-0000-0000-0000AA830000}"/>
    <cellStyle name="Процентный 11 71 10" xfId="52814" xr:uid="{00000000-0005-0000-0000-0000AB830000}"/>
    <cellStyle name="Процентный 11 71 2" xfId="10094" xr:uid="{00000000-0005-0000-0000-0000AC830000}"/>
    <cellStyle name="Процентный 11 71 2 2" xfId="58155" xr:uid="{00000000-0005-0000-0000-0000AD830000}"/>
    <cellStyle name="Процентный 11 71 3" xfId="15434" xr:uid="{00000000-0005-0000-0000-0000AE830000}"/>
    <cellStyle name="Процентный 11 71 4" xfId="20774" xr:uid="{00000000-0005-0000-0000-0000AF830000}"/>
    <cellStyle name="Процентный 11 71 5" xfId="26114" xr:uid="{00000000-0005-0000-0000-0000B0830000}"/>
    <cellStyle name="Процентный 11 71 6" xfId="31454" xr:uid="{00000000-0005-0000-0000-0000B1830000}"/>
    <cellStyle name="Процентный 11 71 7" xfId="36794" xr:uid="{00000000-0005-0000-0000-0000B2830000}"/>
    <cellStyle name="Процентный 11 71 8" xfId="42134" xr:uid="{00000000-0005-0000-0000-0000B3830000}"/>
    <cellStyle name="Процентный 11 71 9" xfId="47474" xr:uid="{00000000-0005-0000-0000-0000B4830000}"/>
    <cellStyle name="Процентный 11 72" xfId="4783" xr:uid="{00000000-0005-0000-0000-0000B5830000}"/>
    <cellStyle name="Процентный 11 72 10" xfId="52846" xr:uid="{00000000-0005-0000-0000-0000B6830000}"/>
    <cellStyle name="Процентный 11 72 2" xfId="10126" xr:uid="{00000000-0005-0000-0000-0000B7830000}"/>
    <cellStyle name="Процентный 11 72 2 2" xfId="58187" xr:uid="{00000000-0005-0000-0000-0000B8830000}"/>
    <cellStyle name="Процентный 11 72 3" xfId="15466" xr:uid="{00000000-0005-0000-0000-0000B9830000}"/>
    <cellStyle name="Процентный 11 72 4" xfId="20806" xr:uid="{00000000-0005-0000-0000-0000BA830000}"/>
    <cellStyle name="Процентный 11 72 5" xfId="26146" xr:uid="{00000000-0005-0000-0000-0000BB830000}"/>
    <cellStyle name="Процентный 11 72 6" xfId="31486" xr:uid="{00000000-0005-0000-0000-0000BC830000}"/>
    <cellStyle name="Процентный 11 72 7" xfId="36826" xr:uid="{00000000-0005-0000-0000-0000BD830000}"/>
    <cellStyle name="Процентный 11 72 8" xfId="42166" xr:uid="{00000000-0005-0000-0000-0000BE830000}"/>
    <cellStyle name="Процентный 11 72 9" xfId="47506" xr:uid="{00000000-0005-0000-0000-0000BF830000}"/>
    <cellStyle name="Процентный 11 73" xfId="4815" xr:uid="{00000000-0005-0000-0000-0000C0830000}"/>
    <cellStyle name="Процентный 11 73 10" xfId="52878" xr:uid="{00000000-0005-0000-0000-0000C1830000}"/>
    <cellStyle name="Процентный 11 73 2" xfId="10158" xr:uid="{00000000-0005-0000-0000-0000C2830000}"/>
    <cellStyle name="Процентный 11 73 2 2" xfId="58219" xr:uid="{00000000-0005-0000-0000-0000C3830000}"/>
    <cellStyle name="Процентный 11 73 3" xfId="15498" xr:uid="{00000000-0005-0000-0000-0000C4830000}"/>
    <cellStyle name="Процентный 11 73 4" xfId="20838" xr:uid="{00000000-0005-0000-0000-0000C5830000}"/>
    <cellStyle name="Процентный 11 73 5" xfId="26178" xr:uid="{00000000-0005-0000-0000-0000C6830000}"/>
    <cellStyle name="Процентный 11 73 6" xfId="31518" xr:uid="{00000000-0005-0000-0000-0000C7830000}"/>
    <cellStyle name="Процентный 11 73 7" xfId="36858" xr:uid="{00000000-0005-0000-0000-0000C8830000}"/>
    <cellStyle name="Процентный 11 73 8" xfId="42198" xr:uid="{00000000-0005-0000-0000-0000C9830000}"/>
    <cellStyle name="Процентный 11 73 9" xfId="47538" xr:uid="{00000000-0005-0000-0000-0000CA830000}"/>
    <cellStyle name="Процентный 11 74" xfId="4847" xr:uid="{00000000-0005-0000-0000-0000CB830000}"/>
    <cellStyle name="Процентный 11 74 10" xfId="52910" xr:uid="{00000000-0005-0000-0000-0000CC830000}"/>
    <cellStyle name="Процентный 11 74 2" xfId="10190" xr:uid="{00000000-0005-0000-0000-0000CD830000}"/>
    <cellStyle name="Процентный 11 74 2 2" xfId="58251" xr:uid="{00000000-0005-0000-0000-0000CE830000}"/>
    <cellStyle name="Процентный 11 74 3" xfId="15530" xr:uid="{00000000-0005-0000-0000-0000CF830000}"/>
    <cellStyle name="Процентный 11 74 4" xfId="20870" xr:uid="{00000000-0005-0000-0000-0000D0830000}"/>
    <cellStyle name="Процентный 11 74 5" xfId="26210" xr:uid="{00000000-0005-0000-0000-0000D1830000}"/>
    <cellStyle name="Процентный 11 74 6" xfId="31550" xr:uid="{00000000-0005-0000-0000-0000D2830000}"/>
    <cellStyle name="Процентный 11 74 7" xfId="36890" xr:uid="{00000000-0005-0000-0000-0000D3830000}"/>
    <cellStyle name="Процентный 11 74 8" xfId="42230" xr:uid="{00000000-0005-0000-0000-0000D4830000}"/>
    <cellStyle name="Процентный 11 74 9" xfId="47570" xr:uid="{00000000-0005-0000-0000-0000D5830000}"/>
    <cellStyle name="Процентный 11 75" xfId="4879" xr:uid="{00000000-0005-0000-0000-0000D6830000}"/>
    <cellStyle name="Процентный 11 75 10" xfId="52942" xr:uid="{00000000-0005-0000-0000-0000D7830000}"/>
    <cellStyle name="Процентный 11 75 2" xfId="10222" xr:uid="{00000000-0005-0000-0000-0000D8830000}"/>
    <cellStyle name="Процентный 11 75 2 2" xfId="58283" xr:uid="{00000000-0005-0000-0000-0000D9830000}"/>
    <cellStyle name="Процентный 11 75 3" xfId="15562" xr:uid="{00000000-0005-0000-0000-0000DA830000}"/>
    <cellStyle name="Процентный 11 75 4" xfId="20902" xr:uid="{00000000-0005-0000-0000-0000DB830000}"/>
    <cellStyle name="Процентный 11 75 5" xfId="26242" xr:uid="{00000000-0005-0000-0000-0000DC830000}"/>
    <cellStyle name="Процентный 11 75 6" xfId="31582" xr:uid="{00000000-0005-0000-0000-0000DD830000}"/>
    <cellStyle name="Процентный 11 75 7" xfId="36922" xr:uid="{00000000-0005-0000-0000-0000DE830000}"/>
    <cellStyle name="Процентный 11 75 8" xfId="42262" xr:uid="{00000000-0005-0000-0000-0000DF830000}"/>
    <cellStyle name="Процентный 11 75 9" xfId="47602" xr:uid="{00000000-0005-0000-0000-0000E0830000}"/>
    <cellStyle name="Процентный 11 76" xfId="4911" xr:uid="{00000000-0005-0000-0000-0000E1830000}"/>
    <cellStyle name="Процентный 11 76 10" xfId="52974" xr:uid="{00000000-0005-0000-0000-0000E2830000}"/>
    <cellStyle name="Процентный 11 76 2" xfId="10254" xr:uid="{00000000-0005-0000-0000-0000E3830000}"/>
    <cellStyle name="Процентный 11 76 2 2" xfId="58315" xr:uid="{00000000-0005-0000-0000-0000E4830000}"/>
    <cellStyle name="Процентный 11 76 3" xfId="15594" xr:uid="{00000000-0005-0000-0000-0000E5830000}"/>
    <cellStyle name="Процентный 11 76 4" xfId="20934" xr:uid="{00000000-0005-0000-0000-0000E6830000}"/>
    <cellStyle name="Процентный 11 76 5" xfId="26274" xr:uid="{00000000-0005-0000-0000-0000E7830000}"/>
    <cellStyle name="Процентный 11 76 6" xfId="31614" xr:uid="{00000000-0005-0000-0000-0000E8830000}"/>
    <cellStyle name="Процентный 11 76 7" xfId="36954" xr:uid="{00000000-0005-0000-0000-0000E9830000}"/>
    <cellStyle name="Процентный 11 76 8" xfId="42294" xr:uid="{00000000-0005-0000-0000-0000EA830000}"/>
    <cellStyle name="Процентный 11 76 9" xfId="47634" xr:uid="{00000000-0005-0000-0000-0000EB830000}"/>
    <cellStyle name="Процентный 11 77" xfId="4943" xr:uid="{00000000-0005-0000-0000-0000EC830000}"/>
    <cellStyle name="Процентный 11 77 10" xfId="53006" xr:uid="{00000000-0005-0000-0000-0000ED830000}"/>
    <cellStyle name="Процентный 11 77 2" xfId="10286" xr:uid="{00000000-0005-0000-0000-0000EE830000}"/>
    <cellStyle name="Процентный 11 77 2 2" xfId="58347" xr:uid="{00000000-0005-0000-0000-0000EF830000}"/>
    <cellStyle name="Процентный 11 77 3" xfId="15626" xr:uid="{00000000-0005-0000-0000-0000F0830000}"/>
    <cellStyle name="Процентный 11 77 4" xfId="20966" xr:uid="{00000000-0005-0000-0000-0000F1830000}"/>
    <cellStyle name="Процентный 11 77 5" xfId="26306" xr:uid="{00000000-0005-0000-0000-0000F2830000}"/>
    <cellStyle name="Процентный 11 77 6" xfId="31646" xr:uid="{00000000-0005-0000-0000-0000F3830000}"/>
    <cellStyle name="Процентный 11 77 7" xfId="36986" xr:uid="{00000000-0005-0000-0000-0000F4830000}"/>
    <cellStyle name="Процентный 11 77 8" xfId="42326" xr:uid="{00000000-0005-0000-0000-0000F5830000}"/>
    <cellStyle name="Процентный 11 77 9" xfId="47666" xr:uid="{00000000-0005-0000-0000-0000F6830000}"/>
    <cellStyle name="Процентный 11 78" xfId="4975" xr:uid="{00000000-0005-0000-0000-0000F7830000}"/>
    <cellStyle name="Процентный 11 78 10" xfId="53038" xr:uid="{00000000-0005-0000-0000-0000F8830000}"/>
    <cellStyle name="Процентный 11 78 2" xfId="10318" xr:uid="{00000000-0005-0000-0000-0000F9830000}"/>
    <cellStyle name="Процентный 11 78 2 2" xfId="58379" xr:uid="{00000000-0005-0000-0000-0000FA830000}"/>
    <cellStyle name="Процентный 11 78 3" xfId="15658" xr:uid="{00000000-0005-0000-0000-0000FB830000}"/>
    <cellStyle name="Процентный 11 78 4" xfId="20998" xr:uid="{00000000-0005-0000-0000-0000FC830000}"/>
    <cellStyle name="Процентный 11 78 5" xfId="26338" xr:uid="{00000000-0005-0000-0000-0000FD830000}"/>
    <cellStyle name="Процентный 11 78 6" xfId="31678" xr:uid="{00000000-0005-0000-0000-0000FE830000}"/>
    <cellStyle name="Процентный 11 78 7" xfId="37018" xr:uid="{00000000-0005-0000-0000-0000FF830000}"/>
    <cellStyle name="Процентный 11 78 8" xfId="42358" xr:uid="{00000000-0005-0000-0000-000000840000}"/>
    <cellStyle name="Процентный 11 78 9" xfId="47698" xr:uid="{00000000-0005-0000-0000-000001840000}"/>
    <cellStyle name="Процентный 11 79" xfId="5007" xr:uid="{00000000-0005-0000-0000-000002840000}"/>
    <cellStyle name="Процентный 11 79 10" xfId="53070" xr:uid="{00000000-0005-0000-0000-000003840000}"/>
    <cellStyle name="Процентный 11 79 2" xfId="10350" xr:uid="{00000000-0005-0000-0000-000004840000}"/>
    <cellStyle name="Процентный 11 79 2 2" xfId="58411" xr:uid="{00000000-0005-0000-0000-000005840000}"/>
    <cellStyle name="Процентный 11 79 3" xfId="15690" xr:uid="{00000000-0005-0000-0000-000006840000}"/>
    <cellStyle name="Процентный 11 79 4" xfId="21030" xr:uid="{00000000-0005-0000-0000-000007840000}"/>
    <cellStyle name="Процентный 11 79 5" xfId="26370" xr:uid="{00000000-0005-0000-0000-000008840000}"/>
    <cellStyle name="Процентный 11 79 6" xfId="31710" xr:uid="{00000000-0005-0000-0000-000009840000}"/>
    <cellStyle name="Процентный 11 79 7" xfId="37050" xr:uid="{00000000-0005-0000-0000-00000A840000}"/>
    <cellStyle name="Процентный 11 79 8" xfId="42390" xr:uid="{00000000-0005-0000-0000-00000B840000}"/>
    <cellStyle name="Процентный 11 79 9" xfId="47730" xr:uid="{00000000-0005-0000-0000-00000C840000}"/>
    <cellStyle name="Процентный 11 8" xfId="2730" xr:uid="{00000000-0005-0000-0000-00000D840000}"/>
    <cellStyle name="Процентный 11 8 10" xfId="50794" xr:uid="{00000000-0005-0000-0000-00000E840000}"/>
    <cellStyle name="Процентный 11 8 2" xfId="8073" xr:uid="{00000000-0005-0000-0000-00000F840000}"/>
    <cellStyle name="Процентный 11 8 2 2" xfId="56135" xr:uid="{00000000-0005-0000-0000-000010840000}"/>
    <cellStyle name="Процентный 11 8 3" xfId="13414" xr:uid="{00000000-0005-0000-0000-000011840000}"/>
    <cellStyle name="Процентный 11 8 4" xfId="18754" xr:uid="{00000000-0005-0000-0000-000012840000}"/>
    <cellStyle name="Процентный 11 8 5" xfId="24094" xr:uid="{00000000-0005-0000-0000-000013840000}"/>
    <cellStyle name="Процентный 11 8 6" xfId="29434" xr:uid="{00000000-0005-0000-0000-000014840000}"/>
    <cellStyle name="Процентный 11 8 7" xfId="34774" xr:uid="{00000000-0005-0000-0000-000015840000}"/>
    <cellStyle name="Процентный 11 8 8" xfId="40114" xr:uid="{00000000-0005-0000-0000-000016840000}"/>
    <cellStyle name="Процентный 11 8 9" xfId="45454" xr:uid="{00000000-0005-0000-0000-000017840000}"/>
    <cellStyle name="Процентный 11 80" xfId="5039" xr:uid="{00000000-0005-0000-0000-000018840000}"/>
    <cellStyle name="Процентный 11 80 10" xfId="53102" xr:uid="{00000000-0005-0000-0000-000019840000}"/>
    <cellStyle name="Процентный 11 80 2" xfId="10382" xr:uid="{00000000-0005-0000-0000-00001A840000}"/>
    <cellStyle name="Процентный 11 80 2 2" xfId="58443" xr:uid="{00000000-0005-0000-0000-00001B840000}"/>
    <cellStyle name="Процентный 11 80 3" xfId="15722" xr:uid="{00000000-0005-0000-0000-00001C840000}"/>
    <cellStyle name="Процентный 11 80 4" xfId="21062" xr:uid="{00000000-0005-0000-0000-00001D840000}"/>
    <cellStyle name="Процентный 11 80 5" xfId="26402" xr:uid="{00000000-0005-0000-0000-00001E840000}"/>
    <cellStyle name="Процентный 11 80 6" xfId="31742" xr:uid="{00000000-0005-0000-0000-00001F840000}"/>
    <cellStyle name="Процентный 11 80 7" xfId="37082" xr:uid="{00000000-0005-0000-0000-000020840000}"/>
    <cellStyle name="Процентный 11 80 8" xfId="42422" xr:uid="{00000000-0005-0000-0000-000021840000}"/>
    <cellStyle name="Процентный 11 80 9" xfId="47762" xr:uid="{00000000-0005-0000-0000-000022840000}"/>
    <cellStyle name="Процентный 11 81" xfId="5071" xr:uid="{00000000-0005-0000-0000-000023840000}"/>
    <cellStyle name="Процентный 11 81 10" xfId="53134" xr:uid="{00000000-0005-0000-0000-000024840000}"/>
    <cellStyle name="Процентный 11 81 2" xfId="10414" xr:uid="{00000000-0005-0000-0000-000025840000}"/>
    <cellStyle name="Процентный 11 81 2 2" xfId="58475" xr:uid="{00000000-0005-0000-0000-000026840000}"/>
    <cellStyle name="Процентный 11 81 3" xfId="15754" xr:uid="{00000000-0005-0000-0000-000027840000}"/>
    <cellStyle name="Процентный 11 81 4" xfId="21094" xr:uid="{00000000-0005-0000-0000-000028840000}"/>
    <cellStyle name="Процентный 11 81 5" xfId="26434" xr:uid="{00000000-0005-0000-0000-000029840000}"/>
    <cellStyle name="Процентный 11 81 6" xfId="31774" xr:uid="{00000000-0005-0000-0000-00002A840000}"/>
    <cellStyle name="Процентный 11 81 7" xfId="37114" xr:uid="{00000000-0005-0000-0000-00002B840000}"/>
    <cellStyle name="Процентный 11 81 8" xfId="42454" xr:uid="{00000000-0005-0000-0000-00002C840000}"/>
    <cellStyle name="Процентный 11 81 9" xfId="47794" xr:uid="{00000000-0005-0000-0000-00002D840000}"/>
    <cellStyle name="Процентный 11 82" xfId="5103" xr:uid="{00000000-0005-0000-0000-00002E840000}"/>
    <cellStyle name="Процентный 11 82 10" xfId="53166" xr:uid="{00000000-0005-0000-0000-00002F840000}"/>
    <cellStyle name="Процентный 11 82 2" xfId="10446" xr:uid="{00000000-0005-0000-0000-000030840000}"/>
    <cellStyle name="Процентный 11 82 2 2" xfId="58507" xr:uid="{00000000-0005-0000-0000-000031840000}"/>
    <cellStyle name="Процентный 11 82 3" xfId="15786" xr:uid="{00000000-0005-0000-0000-000032840000}"/>
    <cellStyle name="Процентный 11 82 4" xfId="21126" xr:uid="{00000000-0005-0000-0000-000033840000}"/>
    <cellStyle name="Процентный 11 82 5" xfId="26466" xr:uid="{00000000-0005-0000-0000-000034840000}"/>
    <cellStyle name="Процентный 11 82 6" xfId="31806" xr:uid="{00000000-0005-0000-0000-000035840000}"/>
    <cellStyle name="Процентный 11 82 7" xfId="37146" xr:uid="{00000000-0005-0000-0000-000036840000}"/>
    <cellStyle name="Процентный 11 82 8" xfId="42486" xr:uid="{00000000-0005-0000-0000-000037840000}"/>
    <cellStyle name="Процентный 11 82 9" xfId="47826" xr:uid="{00000000-0005-0000-0000-000038840000}"/>
    <cellStyle name="Процентный 11 83" xfId="5135" xr:uid="{00000000-0005-0000-0000-000039840000}"/>
    <cellStyle name="Процентный 11 83 10" xfId="53198" xr:uid="{00000000-0005-0000-0000-00003A840000}"/>
    <cellStyle name="Процентный 11 83 2" xfId="10478" xr:uid="{00000000-0005-0000-0000-00003B840000}"/>
    <cellStyle name="Процентный 11 83 2 2" xfId="58539" xr:uid="{00000000-0005-0000-0000-00003C840000}"/>
    <cellStyle name="Процентный 11 83 3" xfId="15818" xr:uid="{00000000-0005-0000-0000-00003D840000}"/>
    <cellStyle name="Процентный 11 83 4" xfId="21158" xr:uid="{00000000-0005-0000-0000-00003E840000}"/>
    <cellStyle name="Процентный 11 83 5" xfId="26498" xr:uid="{00000000-0005-0000-0000-00003F840000}"/>
    <cellStyle name="Процентный 11 83 6" xfId="31838" xr:uid="{00000000-0005-0000-0000-000040840000}"/>
    <cellStyle name="Процентный 11 83 7" xfId="37178" xr:uid="{00000000-0005-0000-0000-000041840000}"/>
    <cellStyle name="Процентный 11 83 8" xfId="42518" xr:uid="{00000000-0005-0000-0000-000042840000}"/>
    <cellStyle name="Процентный 11 83 9" xfId="47858" xr:uid="{00000000-0005-0000-0000-000043840000}"/>
    <cellStyle name="Процентный 11 84" xfId="5167" xr:uid="{00000000-0005-0000-0000-000044840000}"/>
    <cellStyle name="Процентный 11 84 10" xfId="53230" xr:uid="{00000000-0005-0000-0000-000045840000}"/>
    <cellStyle name="Процентный 11 84 2" xfId="10510" xr:uid="{00000000-0005-0000-0000-000046840000}"/>
    <cellStyle name="Процентный 11 84 2 2" xfId="58571" xr:uid="{00000000-0005-0000-0000-000047840000}"/>
    <cellStyle name="Процентный 11 84 3" xfId="15850" xr:uid="{00000000-0005-0000-0000-000048840000}"/>
    <cellStyle name="Процентный 11 84 4" xfId="21190" xr:uid="{00000000-0005-0000-0000-000049840000}"/>
    <cellStyle name="Процентный 11 84 5" xfId="26530" xr:uid="{00000000-0005-0000-0000-00004A840000}"/>
    <cellStyle name="Процентный 11 84 6" xfId="31870" xr:uid="{00000000-0005-0000-0000-00004B840000}"/>
    <cellStyle name="Процентный 11 84 7" xfId="37210" xr:uid="{00000000-0005-0000-0000-00004C840000}"/>
    <cellStyle name="Процентный 11 84 8" xfId="42550" xr:uid="{00000000-0005-0000-0000-00004D840000}"/>
    <cellStyle name="Процентный 11 84 9" xfId="47890" xr:uid="{00000000-0005-0000-0000-00004E840000}"/>
    <cellStyle name="Процентный 11 85" xfId="5199" xr:uid="{00000000-0005-0000-0000-00004F840000}"/>
    <cellStyle name="Процентный 11 85 10" xfId="53262" xr:uid="{00000000-0005-0000-0000-000050840000}"/>
    <cellStyle name="Процентный 11 85 2" xfId="10542" xr:uid="{00000000-0005-0000-0000-000051840000}"/>
    <cellStyle name="Процентный 11 85 2 2" xfId="58603" xr:uid="{00000000-0005-0000-0000-000052840000}"/>
    <cellStyle name="Процентный 11 85 3" xfId="15882" xr:uid="{00000000-0005-0000-0000-000053840000}"/>
    <cellStyle name="Процентный 11 85 4" xfId="21222" xr:uid="{00000000-0005-0000-0000-000054840000}"/>
    <cellStyle name="Процентный 11 85 5" xfId="26562" xr:uid="{00000000-0005-0000-0000-000055840000}"/>
    <cellStyle name="Процентный 11 85 6" xfId="31902" xr:uid="{00000000-0005-0000-0000-000056840000}"/>
    <cellStyle name="Процентный 11 85 7" xfId="37242" xr:uid="{00000000-0005-0000-0000-000057840000}"/>
    <cellStyle name="Процентный 11 85 8" xfId="42582" xr:uid="{00000000-0005-0000-0000-000058840000}"/>
    <cellStyle name="Процентный 11 85 9" xfId="47922" xr:uid="{00000000-0005-0000-0000-000059840000}"/>
    <cellStyle name="Процентный 11 86" xfId="5231" xr:uid="{00000000-0005-0000-0000-00005A840000}"/>
    <cellStyle name="Процентный 11 86 10" xfId="53294" xr:uid="{00000000-0005-0000-0000-00005B840000}"/>
    <cellStyle name="Процентный 11 86 2" xfId="10574" xr:uid="{00000000-0005-0000-0000-00005C840000}"/>
    <cellStyle name="Процентный 11 86 2 2" xfId="58635" xr:uid="{00000000-0005-0000-0000-00005D840000}"/>
    <cellStyle name="Процентный 11 86 3" xfId="15914" xr:uid="{00000000-0005-0000-0000-00005E840000}"/>
    <cellStyle name="Процентный 11 86 4" xfId="21254" xr:uid="{00000000-0005-0000-0000-00005F840000}"/>
    <cellStyle name="Процентный 11 86 5" xfId="26594" xr:uid="{00000000-0005-0000-0000-000060840000}"/>
    <cellStyle name="Процентный 11 86 6" xfId="31934" xr:uid="{00000000-0005-0000-0000-000061840000}"/>
    <cellStyle name="Процентный 11 86 7" xfId="37274" xr:uid="{00000000-0005-0000-0000-000062840000}"/>
    <cellStyle name="Процентный 11 86 8" xfId="42614" xr:uid="{00000000-0005-0000-0000-000063840000}"/>
    <cellStyle name="Процентный 11 86 9" xfId="47954" xr:uid="{00000000-0005-0000-0000-000064840000}"/>
    <cellStyle name="Процентный 11 87" xfId="5263" xr:uid="{00000000-0005-0000-0000-000065840000}"/>
    <cellStyle name="Процентный 11 87 10" xfId="53326" xr:uid="{00000000-0005-0000-0000-000066840000}"/>
    <cellStyle name="Процентный 11 87 2" xfId="10606" xr:uid="{00000000-0005-0000-0000-000067840000}"/>
    <cellStyle name="Процентный 11 87 2 2" xfId="58667" xr:uid="{00000000-0005-0000-0000-000068840000}"/>
    <cellStyle name="Процентный 11 87 3" xfId="15946" xr:uid="{00000000-0005-0000-0000-000069840000}"/>
    <cellStyle name="Процентный 11 87 4" xfId="21286" xr:uid="{00000000-0005-0000-0000-00006A840000}"/>
    <cellStyle name="Процентный 11 87 5" xfId="26626" xr:uid="{00000000-0005-0000-0000-00006B840000}"/>
    <cellStyle name="Процентный 11 87 6" xfId="31966" xr:uid="{00000000-0005-0000-0000-00006C840000}"/>
    <cellStyle name="Процентный 11 87 7" xfId="37306" xr:uid="{00000000-0005-0000-0000-00006D840000}"/>
    <cellStyle name="Процентный 11 87 8" xfId="42646" xr:uid="{00000000-0005-0000-0000-00006E840000}"/>
    <cellStyle name="Процентный 11 87 9" xfId="47986" xr:uid="{00000000-0005-0000-0000-00006F840000}"/>
    <cellStyle name="Процентный 11 88" xfId="5295" xr:uid="{00000000-0005-0000-0000-000070840000}"/>
    <cellStyle name="Процентный 11 88 10" xfId="53358" xr:uid="{00000000-0005-0000-0000-000071840000}"/>
    <cellStyle name="Процентный 11 88 2" xfId="10638" xr:uid="{00000000-0005-0000-0000-000072840000}"/>
    <cellStyle name="Процентный 11 88 2 2" xfId="58699" xr:uid="{00000000-0005-0000-0000-000073840000}"/>
    <cellStyle name="Процентный 11 88 3" xfId="15978" xr:uid="{00000000-0005-0000-0000-000074840000}"/>
    <cellStyle name="Процентный 11 88 4" xfId="21318" xr:uid="{00000000-0005-0000-0000-000075840000}"/>
    <cellStyle name="Процентный 11 88 5" xfId="26658" xr:uid="{00000000-0005-0000-0000-000076840000}"/>
    <cellStyle name="Процентный 11 88 6" xfId="31998" xr:uid="{00000000-0005-0000-0000-000077840000}"/>
    <cellStyle name="Процентный 11 88 7" xfId="37338" xr:uid="{00000000-0005-0000-0000-000078840000}"/>
    <cellStyle name="Процентный 11 88 8" xfId="42678" xr:uid="{00000000-0005-0000-0000-000079840000}"/>
    <cellStyle name="Процентный 11 88 9" xfId="48018" xr:uid="{00000000-0005-0000-0000-00007A840000}"/>
    <cellStyle name="Процентный 11 89" xfId="5327" xr:uid="{00000000-0005-0000-0000-00007B840000}"/>
    <cellStyle name="Процентный 11 89 10" xfId="53390" xr:uid="{00000000-0005-0000-0000-00007C840000}"/>
    <cellStyle name="Процентный 11 89 2" xfId="10670" xr:uid="{00000000-0005-0000-0000-00007D840000}"/>
    <cellStyle name="Процентный 11 89 2 2" xfId="58731" xr:uid="{00000000-0005-0000-0000-00007E840000}"/>
    <cellStyle name="Процентный 11 89 3" xfId="16010" xr:uid="{00000000-0005-0000-0000-00007F840000}"/>
    <cellStyle name="Процентный 11 89 4" xfId="21350" xr:uid="{00000000-0005-0000-0000-000080840000}"/>
    <cellStyle name="Процентный 11 89 5" xfId="26690" xr:uid="{00000000-0005-0000-0000-000081840000}"/>
    <cellStyle name="Процентный 11 89 6" xfId="32030" xr:uid="{00000000-0005-0000-0000-000082840000}"/>
    <cellStyle name="Процентный 11 89 7" xfId="37370" xr:uid="{00000000-0005-0000-0000-000083840000}"/>
    <cellStyle name="Процентный 11 89 8" xfId="42710" xr:uid="{00000000-0005-0000-0000-000084840000}"/>
    <cellStyle name="Процентный 11 89 9" xfId="48050" xr:uid="{00000000-0005-0000-0000-000085840000}"/>
    <cellStyle name="Процентный 11 9" xfId="2762" xr:uid="{00000000-0005-0000-0000-000086840000}"/>
    <cellStyle name="Процентный 11 9 10" xfId="50826" xr:uid="{00000000-0005-0000-0000-000087840000}"/>
    <cellStyle name="Процентный 11 9 2" xfId="8105" xr:uid="{00000000-0005-0000-0000-000088840000}"/>
    <cellStyle name="Процентный 11 9 2 2" xfId="56167" xr:uid="{00000000-0005-0000-0000-000089840000}"/>
    <cellStyle name="Процентный 11 9 3" xfId="13446" xr:uid="{00000000-0005-0000-0000-00008A840000}"/>
    <cellStyle name="Процентный 11 9 4" xfId="18786" xr:uid="{00000000-0005-0000-0000-00008B840000}"/>
    <cellStyle name="Процентный 11 9 5" xfId="24126" xr:uid="{00000000-0005-0000-0000-00008C840000}"/>
    <cellStyle name="Процентный 11 9 6" xfId="29466" xr:uid="{00000000-0005-0000-0000-00008D840000}"/>
    <cellStyle name="Процентный 11 9 7" xfId="34806" xr:uid="{00000000-0005-0000-0000-00008E840000}"/>
    <cellStyle name="Процентный 11 9 8" xfId="40146" xr:uid="{00000000-0005-0000-0000-00008F840000}"/>
    <cellStyle name="Процентный 11 9 9" xfId="45486" xr:uid="{00000000-0005-0000-0000-000090840000}"/>
    <cellStyle name="Процентный 11 90" xfId="5359" xr:uid="{00000000-0005-0000-0000-000091840000}"/>
    <cellStyle name="Процентный 11 90 10" xfId="53422" xr:uid="{00000000-0005-0000-0000-000092840000}"/>
    <cellStyle name="Процентный 11 90 2" xfId="10702" xr:uid="{00000000-0005-0000-0000-000093840000}"/>
    <cellStyle name="Процентный 11 90 2 2" xfId="58763" xr:uid="{00000000-0005-0000-0000-000094840000}"/>
    <cellStyle name="Процентный 11 90 3" xfId="16042" xr:uid="{00000000-0005-0000-0000-000095840000}"/>
    <cellStyle name="Процентный 11 90 4" xfId="21382" xr:uid="{00000000-0005-0000-0000-000096840000}"/>
    <cellStyle name="Процентный 11 90 5" xfId="26722" xr:uid="{00000000-0005-0000-0000-000097840000}"/>
    <cellStyle name="Процентный 11 90 6" xfId="32062" xr:uid="{00000000-0005-0000-0000-000098840000}"/>
    <cellStyle name="Процентный 11 90 7" xfId="37402" xr:uid="{00000000-0005-0000-0000-000099840000}"/>
    <cellStyle name="Процентный 11 90 8" xfId="42742" xr:uid="{00000000-0005-0000-0000-00009A840000}"/>
    <cellStyle name="Процентный 11 90 9" xfId="48082" xr:uid="{00000000-0005-0000-0000-00009B840000}"/>
    <cellStyle name="Процентный 11 91" xfId="5391" xr:uid="{00000000-0005-0000-0000-00009C840000}"/>
    <cellStyle name="Процентный 11 91 10" xfId="53454" xr:uid="{00000000-0005-0000-0000-00009D840000}"/>
    <cellStyle name="Процентный 11 91 2" xfId="10734" xr:uid="{00000000-0005-0000-0000-00009E840000}"/>
    <cellStyle name="Процентный 11 91 2 2" xfId="58795" xr:uid="{00000000-0005-0000-0000-00009F840000}"/>
    <cellStyle name="Процентный 11 91 3" xfId="16074" xr:uid="{00000000-0005-0000-0000-0000A0840000}"/>
    <cellStyle name="Процентный 11 91 4" xfId="21414" xr:uid="{00000000-0005-0000-0000-0000A1840000}"/>
    <cellStyle name="Процентный 11 91 5" xfId="26754" xr:uid="{00000000-0005-0000-0000-0000A2840000}"/>
    <cellStyle name="Процентный 11 91 6" xfId="32094" xr:uid="{00000000-0005-0000-0000-0000A3840000}"/>
    <cellStyle name="Процентный 11 91 7" xfId="37434" xr:uid="{00000000-0005-0000-0000-0000A4840000}"/>
    <cellStyle name="Процентный 11 91 8" xfId="42774" xr:uid="{00000000-0005-0000-0000-0000A5840000}"/>
    <cellStyle name="Процентный 11 91 9" xfId="48114" xr:uid="{00000000-0005-0000-0000-0000A6840000}"/>
    <cellStyle name="Процентный 11 92" xfId="7847" xr:uid="{00000000-0005-0000-0000-0000A7840000}"/>
    <cellStyle name="Процентный 11 92 2" xfId="55909" xr:uid="{00000000-0005-0000-0000-0000A8840000}"/>
    <cellStyle name="Процентный 11 93" xfId="13188" xr:uid="{00000000-0005-0000-0000-0000A9840000}"/>
    <cellStyle name="Процентный 11 94" xfId="18528" xr:uid="{00000000-0005-0000-0000-0000AA840000}"/>
    <cellStyle name="Процентный 11 95" xfId="23868" xr:uid="{00000000-0005-0000-0000-0000AB840000}"/>
    <cellStyle name="Процентный 11 96" xfId="29208" xr:uid="{00000000-0005-0000-0000-0000AC840000}"/>
    <cellStyle name="Процентный 11 97" xfId="34548" xr:uid="{00000000-0005-0000-0000-0000AD840000}"/>
    <cellStyle name="Процентный 11 98" xfId="39888" xr:uid="{00000000-0005-0000-0000-0000AE840000}"/>
    <cellStyle name="Процентный 11 99" xfId="45228" xr:uid="{00000000-0005-0000-0000-0000AF840000}"/>
    <cellStyle name="Процентный 12" xfId="2538" xr:uid="{00000000-0005-0000-0000-0000B0840000}"/>
    <cellStyle name="Процентный 12 10" xfId="50602" xr:uid="{00000000-0005-0000-0000-0000B1840000}"/>
    <cellStyle name="Процентный 12 2" xfId="7881" xr:uid="{00000000-0005-0000-0000-0000B2840000}"/>
    <cellStyle name="Процентный 12 2 2" xfId="55943" xr:uid="{00000000-0005-0000-0000-0000B3840000}"/>
    <cellStyle name="Процентный 12 3" xfId="13222" xr:uid="{00000000-0005-0000-0000-0000B4840000}"/>
    <cellStyle name="Процентный 12 4" xfId="18562" xr:uid="{00000000-0005-0000-0000-0000B5840000}"/>
    <cellStyle name="Процентный 12 5" xfId="23902" xr:uid="{00000000-0005-0000-0000-0000B6840000}"/>
    <cellStyle name="Процентный 12 6" xfId="29242" xr:uid="{00000000-0005-0000-0000-0000B7840000}"/>
    <cellStyle name="Процентный 12 7" xfId="34582" xr:uid="{00000000-0005-0000-0000-0000B8840000}"/>
    <cellStyle name="Процентный 12 8" xfId="39922" xr:uid="{00000000-0005-0000-0000-0000B9840000}"/>
    <cellStyle name="Процентный 12 9" xfId="45262" xr:uid="{00000000-0005-0000-0000-0000BA840000}"/>
    <cellStyle name="Процентный 13" xfId="2764" xr:uid="{00000000-0005-0000-0000-0000BB840000}"/>
    <cellStyle name="Процентный 13 10" xfId="50828" xr:uid="{00000000-0005-0000-0000-0000BC840000}"/>
    <cellStyle name="Процентный 13 2" xfId="8107" xr:uid="{00000000-0005-0000-0000-0000BD840000}"/>
    <cellStyle name="Процентный 13 2 2" xfId="56169" xr:uid="{00000000-0005-0000-0000-0000BE840000}"/>
    <cellStyle name="Процентный 13 3" xfId="13448" xr:uid="{00000000-0005-0000-0000-0000BF840000}"/>
    <cellStyle name="Процентный 13 4" xfId="18788" xr:uid="{00000000-0005-0000-0000-0000C0840000}"/>
    <cellStyle name="Процентный 13 5" xfId="24128" xr:uid="{00000000-0005-0000-0000-0000C1840000}"/>
    <cellStyle name="Процентный 13 6" xfId="29468" xr:uid="{00000000-0005-0000-0000-0000C2840000}"/>
    <cellStyle name="Процентный 13 7" xfId="34808" xr:uid="{00000000-0005-0000-0000-0000C3840000}"/>
    <cellStyle name="Процентный 13 8" xfId="40148" xr:uid="{00000000-0005-0000-0000-0000C4840000}"/>
    <cellStyle name="Процентный 13 9" xfId="45488" xr:uid="{00000000-0005-0000-0000-0000C5840000}"/>
    <cellStyle name="Процентный 14" xfId="4719" xr:uid="{00000000-0005-0000-0000-0000C6840000}"/>
    <cellStyle name="Процентный 14 10" xfId="52782" xr:uid="{00000000-0005-0000-0000-0000C7840000}"/>
    <cellStyle name="Процентный 14 2" xfId="10062" xr:uid="{00000000-0005-0000-0000-0000C8840000}"/>
    <cellStyle name="Процентный 14 2 2" xfId="58123" xr:uid="{00000000-0005-0000-0000-0000C9840000}"/>
    <cellStyle name="Процентный 14 3" xfId="15402" xr:uid="{00000000-0005-0000-0000-0000CA840000}"/>
    <cellStyle name="Процентный 14 4" xfId="20742" xr:uid="{00000000-0005-0000-0000-0000CB840000}"/>
    <cellStyle name="Процентный 14 5" xfId="26082" xr:uid="{00000000-0005-0000-0000-0000CC840000}"/>
    <cellStyle name="Процентный 14 6" xfId="31422" xr:uid="{00000000-0005-0000-0000-0000CD840000}"/>
    <cellStyle name="Процентный 14 7" xfId="36762" xr:uid="{00000000-0005-0000-0000-0000CE840000}"/>
    <cellStyle name="Процентный 14 8" xfId="42102" xr:uid="{00000000-0005-0000-0000-0000CF840000}"/>
    <cellStyle name="Процентный 14 9" xfId="47442" xr:uid="{00000000-0005-0000-0000-0000D0840000}"/>
    <cellStyle name="Процентный 15" xfId="58797" xr:uid="{00000000-0005-0000-0000-0000D1840000}"/>
    <cellStyle name="Процентный 16" xfId="58799" xr:uid="{00000000-0005-0000-0000-0000D2840000}"/>
    <cellStyle name="Процентный 17" xfId="58802" xr:uid="{00000000-0005-0000-0000-0000D3840000}"/>
    <cellStyle name="Процентный 2" xfId="36" xr:uid="{00000000-0005-0000-0000-0000D4840000}"/>
    <cellStyle name="Процентный 3" xfId="46" xr:uid="{00000000-0005-0000-0000-0000D5840000}"/>
    <cellStyle name="Процентный 3 2" xfId="55" xr:uid="{00000000-0005-0000-0000-0000D6840000}"/>
    <cellStyle name="Процентный 4" xfId="50" xr:uid="{00000000-0005-0000-0000-0000D7840000}"/>
    <cellStyle name="Процентный 4 10" xfId="77" xr:uid="{00000000-0005-0000-0000-0000D8840000}"/>
    <cellStyle name="Процентный 4 10 10" xfId="42799" xr:uid="{00000000-0005-0000-0000-0000D9840000}"/>
    <cellStyle name="Процентный 4 10 11" xfId="48139" xr:uid="{00000000-0005-0000-0000-0000DA840000}"/>
    <cellStyle name="Процентный 4 10 2" xfId="544" xr:uid="{00000000-0005-0000-0000-0000DB840000}"/>
    <cellStyle name="Процентный 4 10 2 10" xfId="48606" xr:uid="{00000000-0005-0000-0000-0000DC840000}"/>
    <cellStyle name="Процентный 4 10 2 2" xfId="5885" xr:uid="{00000000-0005-0000-0000-0000DD840000}"/>
    <cellStyle name="Процентный 4 10 2 2 2" xfId="53947" xr:uid="{00000000-0005-0000-0000-0000DE840000}"/>
    <cellStyle name="Процентный 4 10 2 3" xfId="11226" xr:uid="{00000000-0005-0000-0000-0000DF840000}"/>
    <cellStyle name="Процентный 4 10 2 4" xfId="16566" xr:uid="{00000000-0005-0000-0000-0000E0840000}"/>
    <cellStyle name="Процентный 4 10 2 5" xfId="21906" xr:uid="{00000000-0005-0000-0000-0000E1840000}"/>
    <cellStyle name="Процентный 4 10 2 6" xfId="27246" xr:uid="{00000000-0005-0000-0000-0000E2840000}"/>
    <cellStyle name="Процентный 4 10 2 7" xfId="32586" xr:uid="{00000000-0005-0000-0000-0000E3840000}"/>
    <cellStyle name="Процентный 4 10 2 8" xfId="37926" xr:uid="{00000000-0005-0000-0000-0000E4840000}"/>
    <cellStyle name="Процентный 4 10 2 9" xfId="43266" xr:uid="{00000000-0005-0000-0000-0000E5840000}"/>
    <cellStyle name="Процентный 4 10 3" xfId="5418" xr:uid="{00000000-0005-0000-0000-0000E6840000}"/>
    <cellStyle name="Процентный 4 10 3 2" xfId="53480" xr:uid="{00000000-0005-0000-0000-0000E7840000}"/>
    <cellStyle name="Процентный 4 10 4" xfId="10759" xr:uid="{00000000-0005-0000-0000-0000E8840000}"/>
    <cellStyle name="Процентный 4 10 5" xfId="16099" xr:uid="{00000000-0005-0000-0000-0000E9840000}"/>
    <cellStyle name="Процентный 4 10 6" xfId="21439" xr:uid="{00000000-0005-0000-0000-0000EA840000}"/>
    <cellStyle name="Процентный 4 10 7" xfId="26779" xr:uid="{00000000-0005-0000-0000-0000EB840000}"/>
    <cellStyle name="Процентный 4 10 8" xfId="32119" xr:uid="{00000000-0005-0000-0000-0000EC840000}"/>
    <cellStyle name="Процентный 4 10 9" xfId="37459" xr:uid="{00000000-0005-0000-0000-0000ED840000}"/>
    <cellStyle name="Процентный 4 100" xfId="2114" xr:uid="{00000000-0005-0000-0000-0000EE840000}"/>
    <cellStyle name="Процентный 4 100 10" xfId="50178" xr:uid="{00000000-0005-0000-0000-0000EF840000}"/>
    <cellStyle name="Процентный 4 100 2" xfId="7457" xr:uid="{00000000-0005-0000-0000-0000F0840000}"/>
    <cellStyle name="Процентный 4 100 2 2" xfId="55519" xr:uid="{00000000-0005-0000-0000-0000F1840000}"/>
    <cellStyle name="Процентный 4 100 3" xfId="12798" xr:uid="{00000000-0005-0000-0000-0000F2840000}"/>
    <cellStyle name="Процентный 4 100 4" xfId="18138" xr:uid="{00000000-0005-0000-0000-0000F3840000}"/>
    <cellStyle name="Процентный 4 100 5" xfId="23478" xr:uid="{00000000-0005-0000-0000-0000F4840000}"/>
    <cellStyle name="Процентный 4 100 6" xfId="28818" xr:uid="{00000000-0005-0000-0000-0000F5840000}"/>
    <cellStyle name="Процентный 4 100 7" xfId="34158" xr:uid="{00000000-0005-0000-0000-0000F6840000}"/>
    <cellStyle name="Процентный 4 100 8" xfId="39498" xr:uid="{00000000-0005-0000-0000-0000F7840000}"/>
    <cellStyle name="Процентный 4 100 9" xfId="44838" xr:uid="{00000000-0005-0000-0000-0000F8840000}"/>
    <cellStyle name="Процентный 4 101" xfId="2144" xr:uid="{00000000-0005-0000-0000-0000F9840000}"/>
    <cellStyle name="Процентный 4 101 10" xfId="50208" xr:uid="{00000000-0005-0000-0000-0000FA840000}"/>
    <cellStyle name="Процентный 4 101 2" xfId="7487" xr:uid="{00000000-0005-0000-0000-0000FB840000}"/>
    <cellStyle name="Процентный 4 101 2 2" xfId="55549" xr:uid="{00000000-0005-0000-0000-0000FC840000}"/>
    <cellStyle name="Процентный 4 101 3" xfId="12828" xr:uid="{00000000-0005-0000-0000-0000FD840000}"/>
    <cellStyle name="Процентный 4 101 4" xfId="18168" xr:uid="{00000000-0005-0000-0000-0000FE840000}"/>
    <cellStyle name="Процентный 4 101 5" xfId="23508" xr:uid="{00000000-0005-0000-0000-0000FF840000}"/>
    <cellStyle name="Процентный 4 101 6" xfId="28848" xr:uid="{00000000-0005-0000-0000-000000850000}"/>
    <cellStyle name="Процентный 4 101 7" xfId="34188" xr:uid="{00000000-0005-0000-0000-000001850000}"/>
    <cellStyle name="Процентный 4 101 8" xfId="39528" xr:uid="{00000000-0005-0000-0000-000002850000}"/>
    <cellStyle name="Процентный 4 101 9" xfId="44868" xr:uid="{00000000-0005-0000-0000-000003850000}"/>
    <cellStyle name="Процентный 4 102" xfId="2174" xr:uid="{00000000-0005-0000-0000-000004850000}"/>
    <cellStyle name="Процентный 4 102 10" xfId="50238" xr:uid="{00000000-0005-0000-0000-000005850000}"/>
    <cellStyle name="Процентный 4 102 2" xfId="7517" xr:uid="{00000000-0005-0000-0000-000006850000}"/>
    <cellStyle name="Процентный 4 102 2 2" xfId="55579" xr:uid="{00000000-0005-0000-0000-000007850000}"/>
    <cellStyle name="Процентный 4 102 3" xfId="12858" xr:uid="{00000000-0005-0000-0000-000008850000}"/>
    <cellStyle name="Процентный 4 102 4" xfId="18198" xr:uid="{00000000-0005-0000-0000-000009850000}"/>
    <cellStyle name="Процентный 4 102 5" xfId="23538" xr:uid="{00000000-0005-0000-0000-00000A850000}"/>
    <cellStyle name="Процентный 4 102 6" xfId="28878" xr:uid="{00000000-0005-0000-0000-00000B850000}"/>
    <cellStyle name="Процентный 4 102 7" xfId="34218" xr:uid="{00000000-0005-0000-0000-00000C850000}"/>
    <cellStyle name="Процентный 4 102 8" xfId="39558" xr:uid="{00000000-0005-0000-0000-00000D850000}"/>
    <cellStyle name="Процентный 4 102 9" xfId="44898" xr:uid="{00000000-0005-0000-0000-00000E850000}"/>
    <cellStyle name="Процентный 4 103" xfId="2204" xr:uid="{00000000-0005-0000-0000-00000F850000}"/>
    <cellStyle name="Процентный 4 103 10" xfId="50268" xr:uid="{00000000-0005-0000-0000-000010850000}"/>
    <cellStyle name="Процентный 4 103 2" xfId="7547" xr:uid="{00000000-0005-0000-0000-000011850000}"/>
    <cellStyle name="Процентный 4 103 2 2" xfId="55609" xr:uid="{00000000-0005-0000-0000-000012850000}"/>
    <cellStyle name="Процентный 4 103 3" xfId="12888" xr:uid="{00000000-0005-0000-0000-000013850000}"/>
    <cellStyle name="Процентный 4 103 4" xfId="18228" xr:uid="{00000000-0005-0000-0000-000014850000}"/>
    <cellStyle name="Процентный 4 103 5" xfId="23568" xr:uid="{00000000-0005-0000-0000-000015850000}"/>
    <cellStyle name="Процентный 4 103 6" xfId="28908" xr:uid="{00000000-0005-0000-0000-000016850000}"/>
    <cellStyle name="Процентный 4 103 7" xfId="34248" xr:uid="{00000000-0005-0000-0000-000017850000}"/>
    <cellStyle name="Процентный 4 103 8" xfId="39588" xr:uid="{00000000-0005-0000-0000-000018850000}"/>
    <cellStyle name="Процентный 4 103 9" xfId="44928" xr:uid="{00000000-0005-0000-0000-000019850000}"/>
    <cellStyle name="Процентный 4 104" xfId="2234" xr:uid="{00000000-0005-0000-0000-00001A850000}"/>
    <cellStyle name="Процентный 4 104 10" xfId="50298" xr:uid="{00000000-0005-0000-0000-00001B850000}"/>
    <cellStyle name="Процентный 4 104 2" xfId="7577" xr:uid="{00000000-0005-0000-0000-00001C850000}"/>
    <cellStyle name="Процентный 4 104 2 2" xfId="55639" xr:uid="{00000000-0005-0000-0000-00001D850000}"/>
    <cellStyle name="Процентный 4 104 3" xfId="12918" xr:uid="{00000000-0005-0000-0000-00001E850000}"/>
    <cellStyle name="Процентный 4 104 4" xfId="18258" xr:uid="{00000000-0005-0000-0000-00001F850000}"/>
    <cellStyle name="Процентный 4 104 5" xfId="23598" xr:uid="{00000000-0005-0000-0000-000020850000}"/>
    <cellStyle name="Процентный 4 104 6" xfId="28938" xr:uid="{00000000-0005-0000-0000-000021850000}"/>
    <cellStyle name="Процентный 4 104 7" xfId="34278" xr:uid="{00000000-0005-0000-0000-000022850000}"/>
    <cellStyle name="Процентный 4 104 8" xfId="39618" xr:uid="{00000000-0005-0000-0000-000023850000}"/>
    <cellStyle name="Процентный 4 104 9" xfId="44958" xr:uid="{00000000-0005-0000-0000-000024850000}"/>
    <cellStyle name="Процентный 4 105" xfId="2264" xr:uid="{00000000-0005-0000-0000-000025850000}"/>
    <cellStyle name="Процентный 4 105 10" xfId="50328" xr:uid="{00000000-0005-0000-0000-000026850000}"/>
    <cellStyle name="Процентный 4 105 2" xfId="7607" xr:uid="{00000000-0005-0000-0000-000027850000}"/>
    <cellStyle name="Процентный 4 105 2 2" xfId="55669" xr:uid="{00000000-0005-0000-0000-000028850000}"/>
    <cellStyle name="Процентный 4 105 3" xfId="12948" xr:uid="{00000000-0005-0000-0000-000029850000}"/>
    <cellStyle name="Процентный 4 105 4" xfId="18288" xr:uid="{00000000-0005-0000-0000-00002A850000}"/>
    <cellStyle name="Процентный 4 105 5" xfId="23628" xr:uid="{00000000-0005-0000-0000-00002B850000}"/>
    <cellStyle name="Процентный 4 105 6" xfId="28968" xr:uid="{00000000-0005-0000-0000-00002C850000}"/>
    <cellStyle name="Процентный 4 105 7" xfId="34308" xr:uid="{00000000-0005-0000-0000-00002D850000}"/>
    <cellStyle name="Процентный 4 105 8" xfId="39648" xr:uid="{00000000-0005-0000-0000-00002E850000}"/>
    <cellStyle name="Процентный 4 105 9" xfId="44988" xr:uid="{00000000-0005-0000-0000-00002F850000}"/>
    <cellStyle name="Процентный 4 106" xfId="2294" xr:uid="{00000000-0005-0000-0000-000030850000}"/>
    <cellStyle name="Процентный 4 106 10" xfId="50358" xr:uid="{00000000-0005-0000-0000-000031850000}"/>
    <cellStyle name="Процентный 4 106 2" xfId="7637" xr:uid="{00000000-0005-0000-0000-000032850000}"/>
    <cellStyle name="Процентный 4 106 2 2" xfId="55699" xr:uid="{00000000-0005-0000-0000-000033850000}"/>
    <cellStyle name="Процентный 4 106 3" xfId="12978" xr:uid="{00000000-0005-0000-0000-000034850000}"/>
    <cellStyle name="Процентный 4 106 4" xfId="18318" xr:uid="{00000000-0005-0000-0000-000035850000}"/>
    <cellStyle name="Процентный 4 106 5" xfId="23658" xr:uid="{00000000-0005-0000-0000-000036850000}"/>
    <cellStyle name="Процентный 4 106 6" xfId="28998" xr:uid="{00000000-0005-0000-0000-000037850000}"/>
    <cellStyle name="Процентный 4 106 7" xfId="34338" xr:uid="{00000000-0005-0000-0000-000038850000}"/>
    <cellStyle name="Процентный 4 106 8" xfId="39678" xr:uid="{00000000-0005-0000-0000-000039850000}"/>
    <cellStyle name="Процентный 4 106 9" xfId="45018" xr:uid="{00000000-0005-0000-0000-00003A850000}"/>
    <cellStyle name="Процентный 4 107" xfId="2324" xr:uid="{00000000-0005-0000-0000-00003B850000}"/>
    <cellStyle name="Процентный 4 107 10" xfId="50388" xr:uid="{00000000-0005-0000-0000-00003C850000}"/>
    <cellStyle name="Процентный 4 107 2" xfId="7667" xr:uid="{00000000-0005-0000-0000-00003D850000}"/>
    <cellStyle name="Процентный 4 107 2 2" xfId="55729" xr:uid="{00000000-0005-0000-0000-00003E850000}"/>
    <cellStyle name="Процентный 4 107 3" xfId="13008" xr:uid="{00000000-0005-0000-0000-00003F850000}"/>
    <cellStyle name="Процентный 4 107 4" xfId="18348" xr:uid="{00000000-0005-0000-0000-000040850000}"/>
    <cellStyle name="Процентный 4 107 5" xfId="23688" xr:uid="{00000000-0005-0000-0000-000041850000}"/>
    <cellStyle name="Процентный 4 107 6" xfId="29028" xr:uid="{00000000-0005-0000-0000-000042850000}"/>
    <cellStyle name="Процентный 4 107 7" xfId="34368" xr:uid="{00000000-0005-0000-0000-000043850000}"/>
    <cellStyle name="Процентный 4 107 8" xfId="39708" xr:uid="{00000000-0005-0000-0000-000044850000}"/>
    <cellStyle name="Процентный 4 107 9" xfId="45048" xr:uid="{00000000-0005-0000-0000-000045850000}"/>
    <cellStyle name="Процентный 4 108" xfId="2354" xr:uid="{00000000-0005-0000-0000-000046850000}"/>
    <cellStyle name="Процентный 4 108 10" xfId="50418" xr:uid="{00000000-0005-0000-0000-000047850000}"/>
    <cellStyle name="Процентный 4 108 2" xfId="7697" xr:uid="{00000000-0005-0000-0000-000048850000}"/>
    <cellStyle name="Процентный 4 108 2 2" xfId="55759" xr:uid="{00000000-0005-0000-0000-000049850000}"/>
    <cellStyle name="Процентный 4 108 3" xfId="13038" xr:uid="{00000000-0005-0000-0000-00004A850000}"/>
    <cellStyle name="Процентный 4 108 4" xfId="18378" xr:uid="{00000000-0005-0000-0000-00004B850000}"/>
    <cellStyle name="Процентный 4 108 5" xfId="23718" xr:uid="{00000000-0005-0000-0000-00004C850000}"/>
    <cellStyle name="Процентный 4 108 6" xfId="29058" xr:uid="{00000000-0005-0000-0000-00004D850000}"/>
    <cellStyle name="Процентный 4 108 7" xfId="34398" xr:uid="{00000000-0005-0000-0000-00004E850000}"/>
    <cellStyle name="Процентный 4 108 8" xfId="39738" xr:uid="{00000000-0005-0000-0000-00004F850000}"/>
    <cellStyle name="Процентный 4 108 9" xfId="45078" xr:uid="{00000000-0005-0000-0000-000050850000}"/>
    <cellStyle name="Процентный 4 109" xfId="2384" xr:uid="{00000000-0005-0000-0000-000051850000}"/>
    <cellStyle name="Процентный 4 109 10" xfId="50448" xr:uid="{00000000-0005-0000-0000-000052850000}"/>
    <cellStyle name="Процентный 4 109 2" xfId="7727" xr:uid="{00000000-0005-0000-0000-000053850000}"/>
    <cellStyle name="Процентный 4 109 2 2" xfId="55789" xr:uid="{00000000-0005-0000-0000-000054850000}"/>
    <cellStyle name="Процентный 4 109 3" xfId="13068" xr:uid="{00000000-0005-0000-0000-000055850000}"/>
    <cellStyle name="Процентный 4 109 4" xfId="18408" xr:uid="{00000000-0005-0000-0000-000056850000}"/>
    <cellStyle name="Процентный 4 109 5" xfId="23748" xr:uid="{00000000-0005-0000-0000-000057850000}"/>
    <cellStyle name="Процентный 4 109 6" xfId="29088" xr:uid="{00000000-0005-0000-0000-000058850000}"/>
    <cellStyle name="Процентный 4 109 7" xfId="34428" xr:uid="{00000000-0005-0000-0000-000059850000}"/>
    <cellStyle name="Процентный 4 109 8" xfId="39768" xr:uid="{00000000-0005-0000-0000-00005A850000}"/>
    <cellStyle name="Процентный 4 109 9" xfId="45108" xr:uid="{00000000-0005-0000-0000-00005B850000}"/>
    <cellStyle name="Процентный 4 11" xfId="81" xr:uid="{00000000-0005-0000-0000-00005C850000}"/>
    <cellStyle name="Процентный 4 11 10" xfId="42803" xr:uid="{00000000-0005-0000-0000-00005D850000}"/>
    <cellStyle name="Процентный 4 11 11" xfId="48143" xr:uid="{00000000-0005-0000-0000-00005E850000}"/>
    <cellStyle name="Процентный 4 11 2" xfId="548" xr:uid="{00000000-0005-0000-0000-00005F850000}"/>
    <cellStyle name="Процентный 4 11 2 10" xfId="48610" xr:uid="{00000000-0005-0000-0000-000060850000}"/>
    <cellStyle name="Процентный 4 11 2 2" xfId="5889" xr:uid="{00000000-0005-0000-0000-000061850000}"/>
    <cellStyle name="Процентный 4 11 2 2 2" xfId="53951" xr:uid="{00000000-0005-0000-0000-000062850000}"/>
    <cellStyle name="Процентный 4 11 2 3" xfId="11230" xr:uid="{00000000-0005-0000-0000-000063850000}"/>
    <cellStyle name="Процентный 4 11 2 4" xfId="16570" xr:uid="{00000000-0005-0000-0000-000064850000}"/>
    <cellStyle name="Процентный 4 11 2 5" xfId="21910" xr:uid="{00000000-0005-0000-0000-000065850000}"/>
    <cellStyle name="Процентный 4 11 2 6" xfId="27250" xr:uid="{00000000-0005-0000-0000-000066850000}"/>
    <cellStyle name="Процентный 4 11 2 7" xfId="32590" xr:uid="{00000000-0005-0000-0000-000067850000}"/>
    <cellStyle name="Процентный 4 11 2 8" xfId="37930" xr:uid="{00000000-0005-0000-0000-000068850000}"/>
    <cellStyle name="Процентный 4 11 2 9" xfId="43270" xr:uid="{00000000-0005-0000-0000-000069850000}"/>
    <cellStyle name="Процентный 4 11 3" xfId="5422" xr:uid="{00000000-0005-0000-0000-00006A850000}"/>
    <cellStyle name="Процентный 4 11 3 2" xfId="53484" xr:uid="{00000000-0005-0000-0000-00006B850000}"/>
    <cellStyle name="Процентный 4 11 4" xfId="10763" xr:uid="{00000000-0005-0000-0000-00006C850000}"/>
    <cellStyle name="Процентный 4 11 5" xfId="16103" xr:uid="{00000000-0005-0000-0000-00006D850000}"/>
    <cellStyle name="Процентный 4 11 6" xfId="21443" xr:uid="{00000000-0005-0000-0000-00006E850000}"/>
    <cellStyle name="Процентный 4 11 7" xfId="26783" xr:uid="{00000000-0005-0000-0000-00006F850000}"/>
    <cellStyle name="Процентный 4 11 8" xfId="32123" xr:uid="{00000000-0005-0000-0000-000070850000}"/>
    <cellStyle name="Процентный 4 11 9" xfId="37463" xr:uid="{00000000-0005-0000-0000-000071850000}"/>
    <cellStyle name="Процентный 4 110" xfId="2414" xr:uid="{00000000-0005-0000-0000-000072850000}"/>
    <cellStyle name="Процентный 4 110 10" xfId="50478" xr:uid="{00000000-0005-0000-0000-000073850000}"/>
    <cellStyle name="Процентный 4 110 2" xfId="7757" xr:uid="{00000000-0005-0000-0000-000074850000}"/>
    <cellStyle name="Процентный 4 110 2 2" xfId="55819" xr:uid="{00000000-0005-0000-0000-000075850000}"/>
    <cellStyle name="Процентный 4 110 3" xfId="13098" xr:uid="{00000000-0005-0000-0000-000076850000}"/>
    <cellStyle name="Процентный 4 110 4" xfId="18438" xr:uid="{00000000-0005-0000-0000-000077850000}"/>
    <cellStyle name="Процентный 4 110 5" xfId="23778" xr:uid="{00000000-0005-0000-0000-000078850000}"/>
    <cellStyle name="Процентный 4 110 6" xfId="29118" xr:uid="{00000000-0005-0000-0000-000079850000}"/>
    <cellStyle name="Процентный 4 110 7" xfId="34458" xr:uid="{00000000-0005-0000-0000-00007A850000}"/>
    <cellStyle name="Процентный 4 110 8" xfId="39798" xr:uid="{00000000-0005-0000-0000-00007B850000}"/>
    <cellStyle name="Процентный 4 110 9" xfId="45138" xr:uid="{00000000-0005-0000-0000-00007C850000}"/>
    <cellStyle name="Процентный 4 111" xfId="2444" xr:uid="{00000000-0005-0000-0000-00007D850000}"/>
    <cellStyle name="Процентный 4 111 10" xfId="50508" xr:uid="{00000000-0005-0000-0000-00007E850000}"/>
    <cellStyle name="Процентный 4 111 2" xfId="7787" xr:uid="{00000000-0005-0000-0000-00007F850000}"/>
    <cellStyle name="Процентный 4 111 2 2" xfId="55849" xr:uid="{00000000-0005-0000-0000-000080850000}"/>
    <cellStyle name="Процентный 4 111 3" xfId="13128" xr:uid="{00000000-0005-0000-0000-000081850000}"/>
    <cellStyle name="Процентный 4 111 4" xfId="18468" xr:uid="{00000000-0005-0000-0000-000082850000}"/>
    <cellStyle name="Процентный 4 111 5" xfId="23808" xr:uid="{00000000-0005-0000-0000-000083850000}"/>
    <cellStyle name="Процентный 4 111 6" xfId="29148" xr:uid="{00000000-0005-0000-0000-000084850000}"/>
    <cellStyle name="Процентный 4 111 7" xfId="34488" xr:uid="{00000000-0005-0000-0000-000085850000}"/>
    <cellStyle name="Процентный 4 111 8" xfId="39828" xr:uid="{00000000-0005-0000-0000-000086850000}"/>
    <cellStyle name="Процентный 4 111 9" xfId="45168" xr:uid="{00000000-0005-0000-0000-000087850000}"/>
    <cellStyle name="Процентный 4 112" xfId="2474" xr:uid="{00000000-0005-0000-0000-000088850000}"/>
    <cellStyle name="Процентный 4 112 10" xfId="50538" xr:uid="{00000000-0005-0000-0000-000089850000}"/>
    <cellStyle name="Процентный 4 112 2" xfId="7817" xr:uid="{00000000-0005-0000-0000-00008A850000}"/>
    <cellStyle name="Процентный 4 112 2 2" xfId="55879" xr:uid="{00000000-0005-0000-0000-00008B850000}"/>
    <cellStyle name="Процентный 4 112 3" xfId="13158" xr:uid="{00000000-0005-0000-0000-00008C850000}"/>
    <cellStyle name="Процентный 4 112 4" xfId="18498" xr:uid="{00000000-0005-0000-0000-00008D850000}"/>
    <cellStyle name="Процентный 4 112 5" xfId="23838" xr:uid="{00000000-0005-0000-0000-00008E850000}"/>
    <cellStyle name="Процентный 4 112 6" xfId="29178" xr:uid="{00000000-0005-0000-0000-00008F850000}"/>
    <cellStyle name="Процентный 4 112 7" xfId="34518" xr:uid="{00000000-0005-0000-0000-000090850000}"/>
    <cellStyle name="Процентный 4 112 8" xfId="39858" xr:uid="{00000000-0005-0000-0000-000091850000}"/>
    <cellStyle name="Процентный 4 112 9" xfId="45198" xr:uid="{00000000-0005-0000-0000-000092850000}"/>
    <cellStyle name="Процентный 4 113" xfId="2506" xr:uid="{00000000-0005-0000-0000-000093850000}"/>
    <cellStyle name="Процентный 4 113 10" xfId="50570" xr:uid="{00000000-0005-0000-0000-000094850000}"/>
    <cellStyle name="Процентный 4 113 2" xfId="7849" xr:uid="{00000000-0005-0000-0000-000095850000}"/>
    <cellStyle name="Процентный 4 113 2 2" xfId="55911" xr:uid="{00000000-0005-0000-0000-000096850000}"/>
    <cellStyle name="Процентный 4 113 3" xfId="13190" xr:uid="{00000000-0005-0000-0000-000097850000}"/>
    <cellStyle name="Процентный 4 113 4" xfId="18530" xr:uid="{00000000-0005-0000-0000-000098850000}"/>
    <cellStyle name="Процентный 4 113 5" xfId="23870" xr:uid="{00000000-0005-0000-0000-000099850000}"/>
    <cellStyle name="Процентный 4 113 6" xfId="29210" xr:uid="{00000000-0005-0000-0000-00009A850000}"/>
    <cellStyle name="Процентный 4 113 7" xfId="34550" xr:uid="{00000000-0005-0000-0000-00009B850000}"/>
    <cellStyle name="Процентный 4 113 8" xfId="39890" xr:uid="{00000000-0005-0000-0000-00009C850000}"/>
    <cellStyle name="Процентный 4 113 9" xfId="45230" xr:uid="{00000000-0005-0000-0000-00009D850000}"/>
    <cellStyle name="Процентный 4 114" xfId="2540" xr:uid="{00000000-0005-0000-0000-00009E850000}"/>
    <cellStyle name="Процентный 4 114 10" xfId="50604" xr:uid="{00000000-0005-0000-0000-00009F850000}"/>
    <cellStyle name="Процентный 4 114 2" xfId="7883" xr:uid="{00000000-0005-0000-0000-0000A0850000}"/>
    <cellStyle name="Процентный 4 114 2 2" xfId="55945" xr:uid="{00000000-0005-0000-0000-0000A1850000}"/>
    <cellStyle name="Процентный 4 114 3" xfId="13224" xr:uid="{00000000-0005-0000-0000-0000A2850000}"/>
    <cellStyle name="Процентный 4 114 4" xfId="18564" xr:uid="{00000000-0005-0000-0000-0000A3850000}"/>
    <cellStyle name="Процентный 4 114 5" xfId="23904" xr:uid="{00000000-0005-0000-0000-0000A4850000}"/>
    <cellStyle name="Процентный 4 114 6" xfId="29244" xr:uid="{00000000-0005-0000-0000-0000A5850000}"/>
    <cellStyle name="Процентный 4 114 7" xfId="34584" xr:uid="{00000000-0005-0000-0000-0000A6850000}"/>
    <cellStyle name="Процентный 4 114 8" xfId="39924" xr:uid="{00000000-0005-0000-0000-0000A7850000}"/>
    <cellStyle name="Процентный 4 114 9" xfId="45264" xr:uid="{00000000-0005-0000-0000-0000A8850000}"/>
    <cellStyle name="Процентный 4 115" xfId="2572" xr:uid="{00000000-0005-0000-0000-0000A9850000}"/>
    <cellStyle name="Процентный 4 115 10" xfId="50636" xr:uid="{00000000-0005-0000-0000-0000AA850000}"/>
    <cellStyle name="Процентный 4 115 2" xfId="7915" xr:uid="{00000000-0005-0000-0000-0000AB850000}"/>
    <cellStyle name="Процентный 4 115 2 2" xfId="55977" xr:uid="{00000000-0005-0000-0000-0000AC850000}"/>
    <cellStyle name="Процентный 4 115 3" xfId="13256" xr:uid="{00000000-0005-0000-0000-0000AD850000}"/>
    <cellStyle name="Процентный 4 115 4" xfId="18596" xr:uid="{00000000-0005-0000-0000-0000AE850000}"/>
    <cellStyle name="Процентный 4 115 5" xfId="23936" xr:uid="{00000000-0005-0000-0000-0000AF850000}"/>
    <cellStyle name="Процентный 4 115 6" xfId="29276" xr:uid="{00000000-0005-0000-0000-0000B0850000}"/>
    <cellStyle name="Процентный 4 115 7" xfId="34616" xr:uid="{00000000-0005-0000-0000-0000B1850000}"/>
    <cellStyle name="Процентный 4 115 8" xfId="39956" xr:uid="{00000000-0005-0000-0000-0000B2850000}"/>
    <cellStyle name="Процентный 4 115 9" xfId="45296" xr:uid="{00000000-0005-0000-0000-0000B3850000}"/>
    <cellStyle name="Процентный 4 116" xfId="2604" xr:uid="{00000000-0005-0000-0000-0000B4850000}"/>
    <cellStyle name="Процентный 4 116 10" xfId="50668" xr:uid="{00000000-0005-0000-0000-0000B5850000}"/>
    <cellStyle name="Процентный 4 116 2" xfId="7947" xr:uid="{00000000-0005-0000-0000-0000B6850000}"/>
    <cellStyle name="Процентный 4 116 2 2" xfId="56009" xr:uid="{00000000-0005-0000-0000-0000B7850000}"/>
    <cellStyle name="Процентный 4 116 3" xfId="13288" xr:uid="{00000000-0005-0000-0000-0000B8850000}"/>
    <cellStyle name="Процентный 4 116 4" xfId="18628" xr:uid="{00000000-0005-0000-0000-0000B9850000}"/>
    <cellStyle name="Процентный 4 116 5" xfId="23968" xr:uid="{00000000-0005-0000-0000-0000BA850000}"/>
    <cellStyle name="Процентный 4 116 6" xfId="29308" xr:uid="{00000000-0005-0000-0000-0000BB850000}"/>
    <cellStyle name="Процентный 4 116 7" xfId="34648" xr:uid="{00000000-0005-0000-0000-0000BC850000}"/>
    <cellStyle name="Процентный 4 116 8" xfId="39988" xr:uid="{00000000-0005-0000-0000-0000BD850000}"/>
    <cellStyle name="Процентный 4 116 9" xfId="45328" xr:uid="{00000000-0005-0000-0000-0000BE850000}"/>
    <cellStyle name="Процентный 4 117" xfId="2636" xr:uid="{00000000-0005-0000-0000-0000BF850000}"/>
    <cellStyle name="Процентный 4 117 10" xfId="50700" xr:uid="{00000000-0005-0000-0000-0000C0850000}"/>
    <cellStyle name="Процентный 4 117 2" xfId="7979" xr:uid="{00000000-0005-0000-0000-0000C1850000}"/>
    <cellStyle name="Процентный 4 117 2 2" xfId="56041" xr:uid="{00000000-0005-0000-0000-0000C2850000}"/>
    <cellStyle name="Процентный 4 117 3" xfId="13320" xr:uid="{00000000-0005-0000-0000-0000C3850000}"/>
    <cellStyle name="Процентный 4 117 4" xfId="18660" xr:uid="{00000000-0005-0000-0000-0000C4850000}"/>
    <cellStyle name="Процентный 4 117 5" xfId="24000" xr:uid="{00000000-0005-0000-0000-0000C5850000}"/>
    <cellStyle name="Процентный 4 117 6" xfId="29340" xr:uid="{00000000-0005-0000-0000-0000C6850000}"/>
    <cellStyle name="Процентный 4 117 7" xfId="34680" xr:uid="{00000000-0005-0000-0000-0000C7850000}"/>
    <cellStyle name="Процентный 4 117 8" xfId="40020" xr:uid="{00000000-0005-0000-0000-0000C8850000}"/>
    <cellStyle name="Процентный 4 117 9" xfId="45360" xr:uid="{00000000-0005-0000-0000-0000C9850000}"/>
    <cellStyle name="Процентный 4 118" xfId="2668" xr:uid="{00000000-0005-0000-0000-0000CA850000}"/>
    <cellStyle name="Процентный 4 118 10" xfId="50732" xr:uid="{00000000-0005-0000-0000-0000CB850000}"/>
    <cellStyle name="Процентный 4 118 2" xfId="8011" xr:uid="{00000000-0005-0000-0000-0000CC850000}"/>
    <cellStyle name="Процентный 4 118 2 2" xfId="56073" xr:uid="{00000000-0005-0000-0000-0000CD850000}"/>
    <cellStyle name="Процентный 4 118 3" xfId="13352" xr:uid="{00000000-0005-0000-0000-0000CE850000}"/>
    <cellStyle name="Процентный 4 118 4" xfId="18692" xr:uid="{00000000-0005-0000-0000-0000CF850000}"/>
    <cellStyle name="Процентный 4 118 5" xfId="24032" xr:uid="{00000000-0005-0000-0000-0000D0850000}"/>
    <cellStyle name="Процентный 4 118 6" xfId="29372" xr:uid="{00000000-0005-0000-0000-0000D1850000}"/>
    <cellStyle name="Процентный 4 118 7" xfId="34712" xr:uid="{00000000-0005-0000-0000-0000D2850000}"/>
    <cellStyle name="Процентный 4 118 8" xfId="40052" xr:uid="{00000000-0005-0000-0000-0000D3850000}"/>
    <cellStyle name="Процентный 4 118 9" xfId="45392" xr:uid="{00000000-0005-0000-0000-0000D4850000}"/>
    <cellStyle name="Процентный 4 119" xfId="2700" xr:uid="{00000000-0005-0000-0000-0000D5850000}"/>
    <cellStyle name="Процентный 4 119 10" xfId="50764" xr:uid="{00000000-0005-0000-0000-0000D6850000}"/>
    <cellStyle name="Процентный 4 119 2" xfId="8043" xr:uid="{00000000-0005-0000-0000-0000D7850000}"/>
    <cellStyle name="Процентный 4 119 2 2" xfId="56105" xr:uid="{00000000-0005-0000-0000-0000D8850000}"/>
    <cellStyle name="Процентный 4 119 3" xfId="13384" xr:uid="{00000000-0005-0000-0000-0000D9850000}"/>
    <cellStyle name="Процентный 4 119 4" xfId="18724" xr:uid="{00000000-0005-0000-0000-0000DA850000}"/>
    <cellStyle name="Процентный 4 119 5" xfId="24064" xr:uid="{00000000-0005-0000-0000-0000DB850000}"/>
    <cellStyle name="Процентный 4 119 6" xfId="29404" xr:uid="{00000000-0005-0000-0000-0000DC850000}"/>
    <cellStyle name="Процентный 4 119 7" xfId="34744" xr:uid="{00000000-0005-0000-0000-0000DD850000}"/>
    <cellStyle name="Процентный 4 119 8" xfId="40084" xr:uid="{00000000-0005-0000-0000-0000DE850000}"/>
    <cellStyle name="Процентный 4 119 9" xfId="45424" xr:uid="{00000000-0005-0000-0000-0000DF850000}"/>
    <cellStyle name="Процентный 4 12" xfId="85" xr:uid="{00000000-0005-0000-0000-0000E0850000}"/>
    <cellStyle name="Процентный 4 12 10" xfId="42807" xr:uid="{00000000-0005-0000-0000-0000E1850000}"/>
    <cellStyle name="Процентный 4 12 11" xfId="48147" xr:uid="{00000000-0005-0000-0000-0000E2850000}"/>
    <cellStyle name="Процентный 4 12 2" xfId="552" xr:uid="{00000000-0005-0000-0000-0000E3850000}"/>
    <cellStyle name="Процентный 4 12 2 10" xfId="48614" xr:uid="{00000000-0005-0000-0000-0000E4850000}"/>
    <cellStyle name="Процентный 4 12 2 2" xfId="5893" xr:uid="{00000000-0005-0000-0000-0000E5850000}"/>
    <cellStyle name="Процентный 4 12 2 2 2" xfId="53955" xr:uid="{00000000-0005-0000-0000-0000E6850000}"/>
    <cellStyle name="Процентный 4 12 2 3" xfId="11234" xr:uid="{00000000-0005-0000-0000-0000E7850000}"/>
    <cellStyle name="Процентный 4 12 2 4" xfId="16574" xr:uid="{00000000-0005-0000-0000-0000E8850000}"/>
    <cellStyle name="Процентный 4 12 2 5" xfId="21914" xr:uid="{00000000-0005-0000-0000-0000E9850000}"/>
    <cellStyle name="Процентный 4 12 2 6" xfId="27254" xr:uid="{00000000-0005-0000-0000-0000EA850000}"/>
    <cellStyle name="Процентный 4 12 2 7" xfId="32594" xr:uid="{00000000-0005-0000-0000-0000EB850000}"/>
    <cellStyle name="Процентный 4 12 2 8" xfId="37934" xr:uid="{00000000-0005-0000-0000-0000EC850000}"/>
    <cellStyle name="Процентный 4 12 2 9" xfId="43274" xr:uid="{00000000-0005-0000-0000-0000ED850000}"/>
    <cellStyle name="Процентный 4 12 3" xfId="5426" xr:uid="{00000000-0005-0000-0000-0000EE850000}"/>
    <cellStyle name="Процентный 4 12 3 2" xfId="53488" xr:uid="{00000000-0005-0000-0000-0000EF850000}"/>
    <cellStyle name="Процентный 4 12 4" xfId="10767" xr:uid="{00000000-0005-0000-0000-0000F0850000}"/>
    <cellStyle name="Процентный 4 12 5" xfId="16107" xr:uid="{00000000-0005-0000-0000-0000F1850000}"/>
    <cellStyle name="Процентный 4 12 6" xfId="21447" xr:uid="{00000000-0005-0000-0000-0000F2850000}"/>
    <cellStyle name="Процентный 4 12 7" xfId="26787" xr:uid="{00000000-0005-0000-0000-0000F3850000}"/>
    <cellStyle name="Процентный 4 12 8" xfId="32127" xr:uid="{00000000-0005-0000-0000-0000F4850000}"/>
    <cellStyle name="Процентный 4 12 9" xfId="37467" xr:uid="{00000000-0005-0000-0000-0000F5850000}"/>
    <cellStyle name="Процентный 4 120" xfId="2732" xr:uid="{00000000-0005-0000-0000-0000F6850000}"/>
    <cellStyle name="Процентный 4 120 10" xfId="50796" xr:uid="{00000000-0005-0000-0000-0000F7850000}"/>
    <cellStyle name="Процентный 4 120 2" xfId="8075" xr:uid="{00000000-0005-0000-0000-0000F8850000}"/>
    <cellStyle name="Процентный 4 120 2 2" xfId="56137" xr:uid="{00000000-0005-0000-0000-0000F9850000}"/>
    <cellStyle name="Процентный 4 120 3" xfId="13416" xr:uid="{00000000-0005-0000-0000-0000FA850000}"/>
    <cellStyle name="Процентный 4 120 4" xfId="18756" xr:uid="{00000000-0005-0000-0000-0000FB850000}"/>
    <cellStyle name="Процентный 4 120 5" xfId="24096" xr:uid="{00000000-0005-0000-0000-0000FC850000}"/>
    <cellStyle name="Процентный 4 120 6" xfId="29436" xr:uid="{00000000-0005-0000-0000-0000FD850000}"/>
    <cellStyle name="Процентный 4 120 7" xfId="34776" xr:uid="{00000000-0005-0000-0000-0000FE850000}"/>
    <cellStyle name="Процентный 4 120 8" xfId="40116" xr:uid="{00000000-0005-0000-0000-0000FF850000}"/>
    <cellStyle name="Процентный 4 120 9" xfId="45456" xr:uid="{00000000-0005-0000-0000-000000860000}"/>
    <cellStyle name="Процентный 4 121" xfId="2766" xr:uid="{00000000-0005-0000-0000-000001860000}"/>
    <cellStyle name="Процентный 4 121 10" xfId="50830" xr:uid="{00000000-0005-0000-0000-000002860000}"/>
    <cellStyle name="Процентный 4 121 2" xfId="8109" xr:uid="{00000000-0005-0000-0000-000003860000}"/>
    <cellStyle name="Процентный 4 121 2 2" xfId="56171" xr:uid="{00000000-0005-0000-0000-000004860000}"/>
    <cellStyle name="Процентный 4 121 3" xfId="13450" xr:uid="{00000000-0005-0000-0000-000005860000}"/>
    <cellStyle name="Процентный 4 121 4" xfId="18790" xr:uid="{00000000-0005-0000-0000-000006860000}"/>
    <cellStyle name="Процентный 4 121 5" xfId="24130" xr:uid="{00000000-0005-0000-0000-000007860000}"/>
    <cellStyle name="Процентный 4 121 6" xfId="29470" xr:uid="{00000000-0005-0000-0000-000008860000}"/>
    <cellStyle name="Процентный 4 121 7" xfId="34810" xr:uid="{00000000-0005-0000-0000-000009860000}"/>
    <cellStyle name="Процентный 4 121 8" xfId="40150" xr:uid="{00000000-0005-0000-0000-00000A860000}"/>
    <cellStyle name="Процентный 4 121 9" xfId="45490" xr:uid="{00000000-0005-0000-0000-00000B860000}"/>
    <cellStyle name="Процентный 4 122" xfId="2798" xr:uid="{00000000-0005-0000-0000-00000C860000}"/>
    <cellStyle name="Процентный 4 122 10" xfId="50862" xr:uid="{00000000-0005-0000-0000-00000D860000}"/>
    <cellStyle name="Процентный 4 122 2" xfId="8141" xr:uid="{00000000-0005-0000-0000-00000E860000}"/>
    <cellStyle name="Процентный 4 122 2 2" xfId="56203" xr:uid="{00000000-0005-0000-0000-00000F860000}"/>
    <cellStyle name="Процентный 4 122 3" xfId="13482" xr:uid="{00000000-0005-0000-0000-000010860000}"/>
    <cellStyle name="Процентный 4 122 4" xfId="18822" xr:uid="{00000000-0005-0000-0000-000011860000}"/>
    <cellStyle name="Процентный 4 122 5" xfId="24162" xr:uid="{00000000-0005-0000-0000-000012860000}"/>
    <cellStyle name="Процентный 4 122 6" xfId="29502" xr:uid="{00000000-0005-0000-0000-000013860000}"/>
    <cellStyle name="Процентный 4 122 7" xfId="34842" xr:uid="{00000000-0005-0000-0000-000014860000}"/>
    <cellStyle name="Процентный 4 122 8" xfId="40182" xr:uid="{00000000-0005-0000-0000-000015860000}"/>
    <cellStyle name="Процентный 4 122 9" xfId="45522" xr:uid="{00000000-0005-0000-0000-000016860000}"/>
    <cellStyle name="Процентный 4 123" xfId="2830" xr:uid="{00000000-0005-0000-0000-000017860000}"/>
    <cellStyle name="Процентный 4 123 10" xfId="50894" xr:uid="{00000000-0005-0000-0000-000018860000}"/>
    <cellStyle name="Процентный 4 123 2" xfId="8173" xr:uid="{00000000-0005-0000-0000-000019860000}"/>
    <cellStyle name="Процентный 4 123 2 2" xfId="56235" xr:uid="{00000000-0005-0000-0000-00001A860000}"/>
    <cellStyle name="Процентный 4 123 3" xfId="13514" xr:uid="{00000000-0005-0000-0000-00001B860000}"/>
    <cellStyle name="Процентный 4 123 4" xfId="18854" xr:uid="{00000000-0005-0000-0000-00001C860000}"/>
    <cellStyle name="Процентный 4 123 5" xfId="24194" xr:uid="{00000000-0005-0000-0000-00001D860000}"/>
    <cellStyle name="Процентный 4 123 6" xfId="29534" xr:uid="{00000000-0005-0000-0000-00001E860000}"/>
    <cellStyle name="Процентный 4 123 7" xfId="34874" xr:uid="{00000000-0005-0000-0000-00001F860000}"/>
    <cellStyle name="Процентный 4 123 8" xfId="40214" xr:uid="{00000000-0005-0000-0000-000020860000}"/>
    <cellStyle name="Процентный 4 123 9" xfId="45554" xr:uid="{00000000-0005-0000-0000-000021860000}"/>
    <cellStyle name="Процентный 4 124" xfId="2862" xr:uid="{00000000-0005-0000-0000-000022860000}"/>
    <cellStyle name="Процентный 4 124 10" xfId="50926" xr:uid="{00000000-0005-0000-0000-000023860000}"/>
    <cellStyle name="Процентный 4 124 2" xfId="8205" xr:uid="{00000000-0005-0000-0000-000024860000}"/>
    <cellStyle name="Процентный 4 124 2 2" xfId="56267" xr:uid="{00000000-0005-0000-0000-000025860000}"/>
    <cellStyle name="Процентный 4 124 3" xfId="13546" xr:uid="{00000000-0005-0000-0000-000026860000}"/>
    <cellStyle name="Процентный 4 124 4" xfId="18886" xr:uid="{00000000-0005-0000-0000-000027860000}"/>
    <cellStyle name="Процентный 4 124 5" xfId="24226" xr:uid="{00000000-0005-0000-0000-000028860000}"/>
    <cellStyle name="Процентный 4 124 6" xfId="29566" xr:uid="{00000000-0005-0000-0000-000029860000}"/>
    <cellStyle name="Процентный 4 124 7" xfId="34906" xr:uid="{00000000-0005-0000-0000-00002A860000}"/>
    <cellStyle name="Процентный 4 124 8" xfId="40246" xr:uid="{00000000-0005-0000-0000-00002B860000}"/>
    <cellStyle name="Процентный 4 124 9" xfId="45586" xr:uid="{00000000-0005-0000-0000-00002C860000}"/>
    <cellStyle name="Процентный 4 125" xfId="2894" xr:uid="{00000000-0005-0000-0000-00002D860000}"/>
    <cellStyle name="Процентный 4 125 10" xfId="50958" xr:uid="{00000000-0005-0000-0000-00002E860000}"/>
    <cellStyle name="Процентный 4 125 2" xfId="8237" xr:uid="{00000000-0005-0000-0000-00002F860000}"/>
    <cellStyle name="Процентный 4 125 2 2" xfId="56299" xr:uid="{00000000-0005-0000-0000-000030860000}"/>
    <cellStyle name="Процентный 4 125 3" xfId="13578" xr:uid="{00000000-0005-0000-0000-000031860000}"/>
    <cellStyle name="Процентный 4 125 4" xfId="18918" xr:uid="{00000000-0005-0000-0000-000032860000}"/>
    <cellStyle name="Процентный 4 125 5" xfId="24258" xr:uid="{00000000-0005-0000-0000-000033860000}"/>
    <cellStyle name="Процентный 4 125 6" xfId="29598" xr:uid="{00000000-0005-0000-0000-000034860000}"/>
    <cellStyle name="Процентный 4 125 7" xfId="34938" xr:uid="{00000000-0005-0000-0000-000035860000}"/>
    <cellStyle name="Процентный 4 125 8" xfId="40278" xr:uid="{00000000-0005-0000-0000-000036860000}"/>
    <cellStyle name="Процентный 4 125 9" xfId="45618" xr:uid="{00000000-0005-0000-0000-000037860000}"/>
    <cellStyle name="Процентный 4 126" xfId="2926" xr:uid="{00000000-0005-0000-0000-000038860000}"/>
    <cellStyle name="Процентный 4 126 10" xfId="50990" xr:uid="{00000000-0005-0000-0000-000039860000}"/>
    <cellStyle name="Процентный 4 126 2" xfId="8269" xr:uid="{00000000-0005-0000-0000-00003A860000}"/>
    <cellStyle name="Процентный 4 126 2 2" xfId="56331" xr:uid="{00000000-0005-0000-0000-00003B860000}"/>
    <cellStyle name="Процентный 4 126 3" xfId="13610" xr:uid="{00000000-0005-0000-0000-00003C860000}"/>
    <cellStyle name="Процентный 4 126 4" xfId="18950" xr:uid="{00000000-0005-0000-0000-00003D860000}"/>
    <cellStyle name="Процентный 4 126 5" xfId="24290" xr:uid="{00000000-0005-0000-0000-00003E860000}"/>
    <cellStyle name="Процентный 4 126 6" xfId="29630" xr:uid="{00000000-0005-0000-0000-00003F860000}"/>
    <cellStyle name="Процентный 4 126 7" xfId="34970" xr:uid="{00000000-0005-0000-0000-000040860000}"/>
    <cellStyle name="Процентный 4 126 8" xfId="40310" xr:uid="{00000000-0005-0000-0000-000041860000}"/>
    <cellStyle name="Процентный 4 126 9" xfId="45650" xr:uid="{00000000-0005-0000-0000-000042860000}"/>
    <cellStyle name="Процентный 4 127" xfId="2958" xr:uid="{00000000-0005-0000-0000-000043860000}"/>
    <cellStyle name="Процентный 4 127 10" xfId="51022" xr:uid="{00000000-0005-0000-0000-000044860000}"/>
    <cellStyle name="Процентный 4 127 2" xfId="8301" xr:uid="{00000000-0005-0000-0000-000045860000}"/>
    <cellStyle name="Процентный 4 127 2 2" xfId="56363" xr:uid="{00000000-0005-0000-0000-000046860000}"/>
    <cellStyle name="Процентный 4 127 3" xfId="13642" xr:uid="{00000000-0005-0000-0000-000047860000}"/>
    <cellStyle name="Процентный 4 127 4" xfId="18982" xr:uid="{00000000-0005-0000-0000-000048860000}"/>
    <cellStyle name="Процентный 4 127 5" xfId="24322" xr:uid="{00000000-0005-0000-0000-000049860000}"/>
    <cellStyle name="Процентный 4 127 6" xfId="29662" xr:uid="{00000000-0005-0000-0000-00004A860000}"/>
    <cellStyle name="Процентный 4 127 7" xfId="35002" xr:uid="{00000000-0005-0000-0000-00004B860000}"/>
    <cellStyle name="Процентный 4 127 8" xfId="40342" xr:uid="{00000000-0005-0000-0000-00004C860000}"/>
    <cellStyle name="Процентный 4 127 9" xfId="45682" xr:uid="{00000000-0005-0000-0000-00004D860000}"/>
    <cellStyle name="Процентный 4 128" xfId="2990" xr:uid="{00000000-0005-0000-0000-00004E860000}"/>
    <cellStyle name="Процентный 4 128 10" xfId="51054" xr:uid="{00000000-0005-0000-0000-00004F860000}"/>
    <cellStyle name="Процентный 4 128 2" xfId="8333" xr:uid="{00000000-0005-0000-0000-000050860000}"/>
    <cellStyle name="Процентный 4 128 2 2" xfId="56395" xr:uid="{00000000-0005-0000-0000-000051860000}"/>
    <cellStyle name="Процентный 4 128 3" xfId="13674" xr:uid="{00000000-0005-0000-0000-000052860000}"/>
    <cellStyle name="Процентный 4 128 4" xfId="19014" xr:uid="{00000000-0005-0000-0000-000053860000}"/>
    <cellStyle name="Процентный 4 128 5" xfId="24354" xr:uid="{00000000-0005-0000-0000-000054860000}"/>
    <cellStyle name="Процентный 4 128 6" xfId="29694" xr:uid="{00000000-0005-0000-0000-000055860000}"/>
    <cellStyle name="Процентный 4 128 7" xfId="35034" xr:uid="{00000000-0005-0000-0000-000056860000}"/>
    <cellStyle name="Процентный 4 128 8" xfId="40374" xr:uid="{00000000-0005-0000-0000-000057860000}"/>
    <cellStyle name="Процентный 4 128 9" xfId="45714" xr:uid="{00000000-0005-0000-0000-000058860000}"/>
    <cellStyle name="Процентный 4 129" xfId="3022" xr:uid="{00000000-0005-0000-0000-000059860000}"/>
    <cellStyle name="Процентный 4 129 10" xfId="51086" xr:uid="{00000000-0005-0000-0000-00005A860000}"/>
    <cellStyle name="Процентный 4 129 2" xfId="8365" xr:uid="{00000000-0005-0000-0000-00005B860000}"/>
    <cellStyle name="Процентный 4 129 2 2" xfId="56427" xr:uid="{00000000-0005-0000-0000-00005C860000}"/>
    <cellStyle name="Процентный 4 129 3" xfId="13706" xr:uid="{00000000-0005-0000-0000-00005D860000}"/>
    <cellStyle name="Процентный 4 129 4" xfId="19046" xr:uid="{00000000-0005-0000-0000-00005E860000}"/>
    <cellStyle name="Процентный 4 129 5" xfId="24386" xr:uid="{00000000-0005-0000-0000-00005F860000}"/>
    <cellStyle name="Процентный 4 129 6" xfId="29726" xr:uid="{00000000-0005-0000-0000-000060860000}"/>
    <cellStyle name="Процентный 4 129 7" xfId="35066" xr:uid="{00000000-0005-0000-0000-000061860000}"/>
    <cellStyle name="Процентный 4 129 8" xfId="40406" xr:uid="{00000000-0005-0000-0000-000062860000}"/>
    <cellStyle name="Процентный 4 129 9" xfId="45746" xr:uid="{00000000-0005-0000-0000-000063860000}"/>
    <cellStyle name="Процентный 4 13" xfId="89" xr:uid="{00000000-0005-0000-0000-000064860000}"/>
    <cellStyle name="Процентный 4 13 10" xfId="42811" xr:uid="{00000000-0005-0000-0000-000065860000}"/>
    <cellStyle name="Процентный 4 13 11" xfId="48151" xr:uid="{00000000-0005-0000-0000-000066860000}"/>
    <cellStyle name="Процентный 4 13 2" xfId="556" xr:uid="{00000000-0005-0000-0000-000067860000}"/>
    <cellStyle name="Процентный 4 13 2 10" xfId="48618" xr:uid="{00000000-0005-0000-0000-000068860000}"/>
    <cellStyle name="Процентный 4 13 2 2" xfId="5897" xr:uid="{00000000-0005-0000-0000-000069860000}"/>
    <cellStyle name="Процентный 4 13 2 2 2" xfId="53959" xr:uid="{00000000-0005-0000-0000-00006A860000}"/>
    <cellStyle name="Процентный 4 13 2 3" xfId="11238" xr:uid="{00000000-0005-0000-0000-00006B860000}"/>
    <cellStyle name="Процентный 4 13 2 4" xfId="16578" xr:uid="{00000000-0005-0000-0000-00006C860000}"/>
    <cellStyle name="Процентный 4 13 2 5" xfId="21918" xr:uid="{00000000-0005-0000-0000-00006D860000}"/>
    <cellStyle name="Процентный 4 13 2 6" xfId="27258" xr:uid="{00000000-0005-0000-0000-00006E860000}"/>
    <cellStyle name="Процентный 4 13 2 7" xfId="32598" xr:uid="{00000000-0005-0000-0000-00006F860000}"/>
    <cellStyle name="Процентный 4 13 2 8" xfId="37938" xr:uid="{00000000-0005-0000-0000-000070860000}"/>
    <cellStyle name="Процентный 4 13 2 9" xfId="43278" xr:uid="{00000000-0005-0000-0000-000071860000}"/>
    <cellStyle name="Процентный 4 13 3" xfId="5430" xr:uid="{00000000-0005-0000-0000-000072860000}"/>
    <cellStyle name="Процентный 4 13 3 2" xfId="53492" xr:uid="{00000000-0005-0000-0000-000073860000}"/>
    <cellStyle name="Процентный 4 13 4" xfId="10771" xr:uid="{00000000-0005-0000-0000-000074860000}"/>
    <cellStyle name="Процентный 4 13 5" xfId="16111" xr:uid="{00000000-0005-0000-0000-000075860000}"/>
    <cellStyle name="Процентный 4 13 6" xfId="21451" xr:uid="{00000000-0005-0000-0000-000076860000}"/>
    <cellStyle name="Процентный 4 13 7" xfId="26791" xr:uid="{00000000-0005-0000-0000-000077860000}"/>
    <cellStyle name="Процентный 4 13 8" xfId="32131" xr:uid="{00000000-0005-0000-0000-000078860000}"/>
    <cellStyle name="Процентный 4 13 9" xfId="37471" xr:uid="{00000000-0005-0000-0000-000079860000}"/>
    <cellStyle name="Процентный 4 130" xfId="3054" xr:uid="{00000000-0005-0000-0000-00007A860000}"/>
    <cellStyle name="Процентный 4 130 10" xfId="51118" xr:uid="{00000000-0005-0000-0000-00007B860000}"/>
    <cellStyle name="Процентный 4 130 2" xfId="8397" xr:uid="{00000000-0005-0000-0000-00007C860000}"/>
    <cellStyle name="Процентный 4 130 2 2" xfId="56459" xr:uid="{00000000-0005-0000-0000-00007D860000}"/>
    <cellStyle name="Процентный 4 130 3" xfId="13738" xr:uid="{00000000-0005-0000-0000-00007E860000}"/>
    <cellStyle name="Процентный 4 130 4" xfId="19078" xr:uid="{00000000-0005-0000-0000-00007F860000}"/>
    <cellStyle name="Процентный 4 130 5" xfId="24418" xr:uid="{00000000-0005-0000-0000-000080860000}"/>
    <cellStyle name="Процентный 4 130 6" xfId="29758" xr:uid="{00000000-0005-0000-0000-000081860000}"/>
    <cellStyle name="Процентный 4 130 7" xfId="35098" xr:uid="{00000000-0005-0000-0000-000082860000}"/>
    <cellStyle name="Процентный 4 130 8" xfId="40438" xr:uid="{00000000-0005-0000-0000-000083860000}"/>
    <cellStyle name="Процентный 4 130 9" xfId="45778" xr:uid="{00000000-0005-0000-0000-000084860000}"/>
    <cellStyle name="Процентный 4 131" xfId="3086" xr:uid="{00000000-0005-0000-0000-000085860000}"/>
    <cellStyle name="Процентный 4 131 10" xfId="51150" xr:uid="{00000000-0005-0000-0000-000086860000}"/>
    <cellStyle name="Процентный 4 131 2" xfId="8429" xr:uid="{00000000-0005-0000-0000-000087860000}"/>
    <cellStyle name="Процентный 4 131 2 2" xfId="56491" xr:uid="{00000000-0005-0000-0000-000088860000}"/>
    <cellStyle name="Процентный 4 131 3" xfId="13770" xr:uid="{00000000-0005-0000-0000-000089860000}"/>
    <cellStyle name="Процентный 4 131 4" xfId="19110" xr:uid="{00000000-0005-0000-0000-00008A860000}"/>
    <cellStyle name="Процентный 4 131 5" xfId="24450" xr:uid="{00000000-0005-0000-0000-00008B860000}"/>
    <cellStyle name="Процентный 4 131 6" xfId="29790" xr:uid="{00000000-0005-0000-0000-00008C860000}"/>
    <cellStyle name="Процентный 4 131 7" xfId="35130" xr:uid="{00000000-0005-0000-0000-00008D860000}"/>
    <cellStyle name="Процентный 4 131 8" xfId="40470" xr:uid="{00000000-0005-0000-0000-00008E860000}"/>
    <cellStyle name="Процентный 4 131 9" xfId="45810" xr:uid="{00000000-0005-0000-0000-00008F860000}"/>
    <cellStyle name="Процентный 4 132" xfId="3119" xr:uid="{00000000-0005-0000-0000-000090860000}"/>
    <cellStyle name="Процентный 4 132 10" xfId="51182" xr:uid="{00000000-0005-0000-0000-000091860000}"/>
    <cellStyle name="Процентный 4 132 2" xfId="8462" xr:uid="{00000000-0005-0000-0000-000092860000}"/>
    <cellStyle name="Процентный 4 132 2 2" xfId="56523" xr:uid="{00000000-0005-0000-0000-000093860000}"/>
    <cellStyle name="Процентный 4 132 3" xfId="13802" xr:uid="{00000000-0005-0000-0000-000094860000}"/>
    <cellStyle name="Процентный 4 132 4" xfId="19142" xr:uid="{00000000-0005-0000-0000-000095860000}"/>
    <cellStyle name="Процентный 4 132 5" xfId="24482" xr:uid="{00000000-0005-0000-0000-000096860000}"/>
    <cellStyle name="Процентный 4 132 6" xfId="29822" xr:uid="{00000000-0005-0000-0000-000097860000}"/>
    <cellStyle name="Процентный 4 132 7" xfId="35162" xr:uid="{00000000-0005-0000-0000-000098860000}"/>
    <cellStyle name="Процентный 4 132 8" xfId="40502" xr:uid="{00000000-0005-0000-0000-000099860000}"/>
    <cellStyle name="Процентный 4 132 9" xfId="45842" xr:uid="{00000000-0005-0000-0000-00009A860000}"/>
    <cellStyle name="Процентный 4 133" xfId="3151" xr:uid="{00000000-0005-0000-0000-00009B860000}"/>
    <cellStyle name="Процентный 4 133 10" xfId="51214" xr:uid="{00000000-0005-0000-0000-00009C860000}"/>
    <cellStyle name="Процентный 4 133 2" xfId="8494" xr:uid="{00000000-0005-0000-0000-00009D860000}"/>
    <cellStyle name="Процентный 4 133 2 2" xfId="56555" xr:uid="{00000000-0005-0000-0000-00009E860000}"/>
    <cellStyle name="Процентный 4 133 3" xfId="13834" xr:uid="{00000000-0005-0000-0000-00009F860000}"/>
    <cellStyle name="Процентный 4 133 4" xfId="19174" xr:uid="{00000000-0005-0000-0000-0000A0860000}"/>
    <cellStyle name="Процентный 4 133 5" xfId="24514" xr:uid="{00000000-0005-0000-0000-0000A1860000}"/>
    <cellStyle name="Процентный 4 133 6" xfId="29854" xr:uid="{00000000-0005-0000-0000-0000A2860000}"/>
    <cellStyle name="Процентный 4 133 7" xfId="35194" xr:uid="{00000000-0005-0000-0000-0000A3860000}"/>
    <cellStyle name="Процентный 4 133 8" xfId="40534" xr:uid="{00000000-0005-0000-0000-0000A4860000}"/>
    <cellStyle name="Процентный 4 133 9" xfId="45874" xr:uid="{00000000-0005-0000-0000-0000A5860000}"/>
    <cellStyle name="Процентный 4 134" xfId="3183" xr:uid="{00000000-0005-0000-0000-0000A6860000}"/>
    <cellStyle name="Процентный 4 134 10" xfId="51246" xr:uid="{00000000-0005-0000-0000-0000A7860000}"/>
    <cellStyle name="Процентный 4 134 2" xfId="8526" xr:uid="{00000000-0005-0000-0000-0000A8860000}"/>
    <cellStyle name="Процентный 4 134 2 2" xfId="56587" xr:uid="{00000000-0005-0000-0000-0000A9860000}"/>
    <cellStyle name="Процентный 4 134 3" xfId="13866" xr:uid="{00000000-0005-0000-0000-0000AA860000}"/>
    <cellStyle name="Процентный 4 134 4" xfId="19206" xr:uid="{00000000-0005-0000-0000-0000AB860000}"/>
    <cellStyle name="Процентный 4 134 5" xfId="24546" xr:uid="{00000000-0005-0000-0000-0000AC860000}"/>
    <cellStyle name="Процентный 4 134 6" xfId="29886" xr:uid="{00000000-0005-0000-0000-0000AD860000}"/>
    <cellStyle name="Процентный 4 134 7" xfId="35226" xr:uid="{00000000-0005-0000-0000-0000AE860000}"/>
    <cellStyle name="Процентный 4 134 8" xfId="40566" xr:uid="{00000000-0005-0000-0000-0000AF860000}"/>
    <cellStyle name="Процентный 4 134 9" xfId="45906" xr:uid="{00000000-0005-0000-0000-0000B0860000}"/>
    <cellStyle name="Процентный 4 135" xfId="3215" xr:uid="{00000000-0005-0000-0000-0000B1860000}"/>
    <cellStyle name="Процентный 4 135 10" xfId="51278" xr:uid="{00000000-0005-0000-0000-0000B2860000}"/>
    <cellStyle name="Процентный 4 135 2" xfId="8558" xr:uid="{00000000-0005-0000-0000-0000B3860000}"/>
    <cellStyle name="Процентный 4 135 2 2" xfId="56619" xr:uid="{00000000-0005-0000-0000-0000B4860000}"/>
    <cellStyle name="Процентный 4 135 3" xfId="13898" xr:uid="{00000000-0005-0000-0000-0000B5860000}"/>
    <cellStyle name="Процентный 4 135 4" xfId="19238" xr:uid="{00000000-0005-0000-0000-0000B6860000}"/>
    <cellStyle name="Процентный 4 135 5" xfId="24578" xr:uid="{00000000-0005-0000-0000-0000B7860000}"/>
    <cellStyle name="Процентный 4 135 6" xfId="29918" xr:uid="{00000000-0005-0000-0000-0000B8860000}"/>
    <cellStyle name="Процентный 4 135 7" xfId="35258" xr:uid="{00000000-0005-0000-0000-0000B9860000}"/>
    <cellStyle name="Процентный 4 135 8" xfId="40598" xr:uid="{00000000-0005-0000-0000-0000BA860000}"/>
    <cellStyle name="Процентный 4 135 9" xfId="45938" xr:uid="{00000000-0005-0000-0000-0000BB860000}"/>
    <cellStyle name="Процентный 4 136" xfId="3247" xr:uid="{00000000-0005-0000-0000-0000BC860000}"/>
    <cellStyle name="Процентный 4 136 10" xfId="51310" xr:uid="{00000000-0005-0000-0000-0000BD860000}"/>
    <cellStyle name="Процентный 4 136 2" xfId="8590" xr:uid="{00000000-0005-0000-0000-0000BE860000}"/>
    <cellStyle name="Процентный 4 136 2 2" xfId="56651" xr:uid="{00000000-0005-0000-0000-0000BF860000}"/>
    <cellStyle name="Процентный 4 136 3" xfId="13930" xr:uid="{00000000-0005-0000-0000-0000C0860000}"/>
    <cellStyle name="Процентный 4 136 4" xfId="19270" xr:uid="{00000000-0005-0000-0000-0000C1860000}"/>
    <cellStyle name="Процентный 4 136 5" xfId="24610" xr:uid="{00000000-0005-0000-0000-0000C2860000}"/>
    <cellStyle name="Процентный 4 136 6" xfId="29950" xr:uid="{00000000-0005-0000-0000-0000C3860000}"/>
    <cellStyle name="Процентный 4 136 7" xfId="35290" xr:uid="{00000000-0005-0000-0000-0000C4860000}"/>
    <cellStyle name="Процентный 4 136 8" xfId="40630" xr:uid="{00000000-0005-0000-0000-0000C5860000}"/>
    <cellStyle name="Процентный 4 136 9" xfId="45970" xr:uid="{00000000-0005-0000-0000-0000C6860000}"/>
    <cellStyle name="Процентный 4 137" xfId="3279" xr:uid="{00000000-0005-0000-0000-0000C7860000}"/>
    <cellStyle name="Процентный 4 137 10" xfId="51342" xr:uid="{00000000-0005-0000-0000-0000C8860000}"/>
    <cellStyle name="Процентный 4 137 2" xfId="8622" xr:uid="{00000000-0005-0000-0000-0000C9860000}"/>
    <cellStyle name="Процентный 4 137 2 2" xfId="56683" xr:uid="{00000000-0005-0000-0000-0000CA860000}"/>
    <cellStyle name="Процентный 4 137 3" xfId="13962" xr:uid="{00000000-0005-0000-0000-0000CB860000}"/>
    <cellStyle name="Процентный 4 137 4" xfId="19302" xr:uid="{00000000-0005-0000-0000-0000CC860000}"/>
    <cellStyle name="Процентный 4 137 5" xfId="24642" xr:uid="{00000000-0005-0000-0000-0000CD860000}"/>
    <cellStyle name="Процентный 4 137 6" xfId="29982" xr:uid="{00000000-0005-0000-0000-0000CE860000}"/>
    <cellStyle name="Процентный 4 137 7" xfId="35322" xr:uid="{00000000-0005-0000-0000-0000CF860000}"/>
    <cellStyle name="Процентный 4 137 8" xfId="40662" xr:uid="{00000000-0005-0000-0000-0000D0860000}"/>
    <cellStyle name="Процентный 4 137 9" xfId="46002" xr:uid="{00000000-0005-0000-0000-0000D1860000}"/>
    <cellStyle name="Процентный 4 138" xfId="3311" xr:uid="{00000000-0005-0000-0000-0000D2860000}"/>
    <cellStyle name="Процентный 4 138 10" xfId="51374" xr:uid="{00000000-0005-0000-0000-0000D3860000}"/>
    <cellStyle name="Процентный 4 138 2" xfId="8654" xr:uid="{00000000-0005-0000-0000-0000D4860000}"/>
    <cellStyle name="Процентный 4 138 2 2" xfId="56715" xr:uid="{00000000-0005-0000-0000-0000D5860000}"/>
    <cellStyle name="Процентный 4 138 3" xfId="13994" xr:uid="{00000000-0005-0000-0000-0000D6860000}"/>
    <cellStyle name="Процентный 4 138 4" xfId="19334" xr:uid="{00000000-0005-0000-0000-0000D7860000}"/>
    <cellStyle name="Процентный 4 138 5" xfId="24674" xr:uid="{00000000-0005-0000-0000-0000D8860000}"/>
    <cellStyle name="Процентный 4 138 6" xfId="30014" xr:uid="{00000000-0005-0000-0000-0000D9860000}"/>
    <cellStyle name="Процентный 4 138 7" xfId="35354" xr:uid="{00000000-0005-0000-0000-0000DA860000}"/>
    <cellStyle name="Процентный 4 138 8" xfId="40694" xr:uid="{00000000-0005-0000-0000-0000DB860000}"/>
    <cellStyle name="Процентный 4 138 9" xfId="46034" xr:uid="{00000000-0005-0000-0000-0000DC860000}"/>
    <cellStyle name="Процентный 4 139" xfId="3343" xr:uid="{00000000-0005-0000-0000-0000DD860000}"/>
    <cellStyle name="Процентный 4 139 10" xfId="51406" xr:uid="{00000000-0005-0000-0000-0000DE860000}"/>
    <cellStyle name="Процентный 4 139 2" xfId="8686" xr:uid="{00000000-0005-0000-0000-0000DF860000}"/>
    <cellStyle name="Процентный 4 139 2 2" xfId="56747" xr:uid="{00000000-0005-0000-0000-0000E0860000}"/>
    <cellStyle name="Процентный 4 139 3" xfId="14026" xr:uid="{00000000-0005-0000-0000-0000E1860000}"/>
    <cellStyle name="Процентный 4 139 4" xfId="19366" xr:uid="{00000000-0005-0000-0000-0000E2860000}"/>
    <cellStyle name="Процентный 4 139 5" xfId="24706" xr:uid="{00000000-0005-0000-0000-0000E3860000}"/>
    <cellStyle name="Процентный 4 139 6" xfId="30046" xr:uid="{00000000-0005-0000-0000-0000E4860000}"/>
    <cellStyle name="Процентный 4 139 7" xfId="35386" xr:uid="{00000000-0005-0000-0000-0000E5860000}"/>
    <cellStyle name="Процентный 4 139 8" xfId="40726" xr:uid="{00000000-0005-0000-0000-0000E6860000}"/>
    <cellStyle name="Процентный 4 139 9" xfId="46066" xr:uid="{00000000-0005-0000-0000-0000E7860000}"/>
    <cellStyle name="Процентный 4 14" xfId="93" xr:uid="{00000000-0005-0000-0000-0000E8860000}"/>
    <cellStyle name="Процентный 4 14 10" xfId="42815" xr:uid="{00000000-0005-0000-0000-0000E9860000}"/>
    <cellStyle name="Процентный 4 14 11" xfId="48155" xr:uid="{00000000-0005-0000-0000-0000EA860000}"/>
    <cellStyle name="Процентный 4 14 2" xfId="560" xr:uid="{00000000-0005-0000-0000-0000EB860000}"/>
    <cellStyle name="Процентный 4 14 2 10" xfId="48622" xr:uid="{00000000-0005-0000-0000-0000EC860000}"/>
    <cellStyle name="Процентный 4 14 2 2" xfId="5901" xr:uid="{00000000-0005-0000-0000-0000ED860000}"/>
    <cellStyle name="Процентный 4 14 2 2 2" xfId="53963" xr:uid="{00000000-0005-0000-0000-0000EE860000}"/>
    <cellStyle name="Процентный 4 14 2 3" xfId="11242" xr:uid="{00000000-0005-0000-0000-0000EF860000}"/>
    <cellStyle name="Процентный 4 14 2 4" xfId="16582" xr:uid="{00000000-0005-0000-0000-0000F0860000}"/>
    <cellStyle name="Процентный 4 14 2 5" xfId="21922" xr:uid="{00000000-0005-0000-0000-0000F1860000}"/>
    <cellStyle name="Процентный 4 14 2 6" xfId="27262" xr:uid="{00000000-0005-0000-0000-0000F2860000}"/>
    <cellStyle name="Процентный 4 14 2 7" xfId="32602" xr:uid="{00000000-0005-0000-0000-0000F3860000}"/>
    <cellStyle name="Процентный 4 14 2 8" xfId="37942" xr:uid="{00000000-0005-0000-0000-0000F4860000}"/>
    <cellStyle name="Процентный 4 14 2 9" xfId="43282" xr:uid="{00000000-0005-0000-0000-0000F5860000}"/>
    <cellStyle name="Процентный 4 14 3" xfId="5434" xr:uid="{00000000-0005-0000-0000-0000F6860000}"/>
    <cellStyle name="Процентный 4 14 3 2" xfId="53496" xr:uid="{00000000-0005-0000-0000-0000F7860000}"/>
    <cellStyle name="Процентный 4 14 4" xfId="10775" xr:uid="{00000000-0005-0000-0000-0000F8860000}"/>
    <cellStyle name="Процентный 4 14 5" xfId="16115" xr:uid="{00000000-0005-0000-0000-0000F9860000}"/>
    <cellStyle name="Процентный 4 14 6" xfId="21455" xr:uid="{00000000-0005-0000-0000-0000FA860000}"/>
    <cellStyle name="Процентный 4 14 7" xfId="26795" xr:uid="{00000000-0005-0000-0000-0000FB860000}"/>
    <cellStyle name="Процентный 4 14 8" xfId="32135" xr:uid="{00000000-0005-0000-0000-0000FC860000}"/>
    <cellStyle name="Процентный 4 14 9" xfId="37475" xr:uid="{00000000-0005-0000-0000-0000FD860000}"/>
    <cellStyle name="Процентный 4 140" xfId="3375" xr:uid="{00000000-0005-0000-0000-0000FE860000}"/>
    <cellStyle name="Процентный 4 140 10" xfId="51438" xr:uid="{00000000-0005-0000-0000-0000FF860000}"/>
    <cellStyle name="Процентный 4 140 2" xfId="8718" xr:uid="{00000000-0005-0000-0000-000000870000}"/>
    <cellStyle name="Процентный 4 140 2 2" xfId="56779" xr:uid="{00000000-0005-0000-0000-000001870000}"/>
    <cellStyle name="Процентный 4 140 3" xfId="14058" xr:uid="{00000000-0005-0000-0000-000002870000}"/>
    <cellStyle name="Процентный 4 140 4" xfId="19398" xr:uid="{00000000-0005-0000-0000-000003870000}"/>
    <cellStyle name="Процентный 4 140 5" xfId="24738" xr:uid="{00000000-0005-0000-0000-000004870000}"/>
    <cellStyle name="Процентный 4 140 6" xfId="30078" xr:uid="{00000000-0005-0000-0000-000005870000}"/>
    <cellStyle name="Процентный 4 140 7" xfId="35418" xr:uid="{00000000-0005-0000-0000-000006870000}"/>
    <cellStyle name="Процентный 4 140 8" xfId="40758" xr:uid="{00000000-0005-0000-0000-000007870000}"/>
    <cellStyle name="Процентный 4 140 9" xfId="46098" xr:uid="{00000000-0005-0000-0000-000008870000}"/>
    <cellStyle name="Процентный 4 141" xfId="3407" xr:uid="{00000000-0005-0000-0000-000009870000}"/>
    <cellStyle name="Процентный 4 141 10" xfId="51470" xr:uid="{00000000-0005-0000-0000-00000A870000}"/>
    <cellStyle name="Процентный 4 141 2" xfId="8750" xr:uid="{00000000-0005-0000-0000-00000B870000}"/>
    <cellStyle name="Процентный 4 141 2 2" xfId="56811" xr:uid="{00000000-0005-0000-0000-00000C870000}"/>
    <cellStyle name="Процентный 4 141 3" xfId="14090" xr:uid="{00000000-0005-0000-0000-00000D870000}"/>
    <cellStyle name="Процентный 4 141 4" xfId="19430" xr:uid="{00000000-0005-0000-0000-00000E870000}"/>
    <cellStyle name="Процентный 4 141 5" xfId="24770" xr:uid="{00000000-0005-0000-0000-00000F870000}"/>
    <cellStyle name="Процентный 4 141 6" xfId="30110" xr:uid="{00000000-0005-0000-0000-000010870000}"/>
    <cellStyle name="Процентный 4 141 7" xfId="35450" xr:uid="{00000000-0005-0000-0000-000011870000}"/>
    <cellStyle name="Процентный 4 141 8" xfId="40790" xr:uid="{00000000-0005-0000-0000-000012870000}"/>
    <cellStyle name="Процентный 4 141 9" xfId="46130" xr:uid="{00000000-0005-0000-0000-000013870000}"/>
    <cellStyle name="Процентный 4 142" xfId="3439" xr:uid="{00000000-0005-0000-0000-000014870000}"/>
    <cellStyle name="Процентный 4 142 10" xfId="51502" xr:uid="{00000000-0005-0000-0000-000015870000}"/>
    <cellStyle name="Процентный 4 142 2" xfId="8782" xr:uid="{00000000-0005-0000-0000-000016870000}"/>
    <cellStyle name="Процентный 4 142 2 2" xfId="56843" xr:uid="{00000000-0005-0000-0000-000017870000}"/>
    <cellStyle name="Процентный 4 142 3" xfId="14122" xr:uid="{00000000-0005-0000-0000-000018870000}"/>
    <cellStyle name="Процентный 4 142 4" xfId="19462" xr:uid="{00000000-0005-0000-0000-000019870000}"/>
    <cellStyle name="Процентный 4 142 5" xfId="24802" xr:uid="{00000000-0005-0000-0000-00001A870000}"/>
    <cellStyle name="Процентный 4 142 6" xfId="30142" xr:uid="{00000000-0005-0000-0000-00001B870000}"/>
    <cellStyle name="Процентный 4 142 7" xfId="35482" xr:uid="{00000000-0005-0000-0000-00001C870000}"/>
    <cellStyle name="Процентный 4 142 8" xfId="40822" xr:uid="{00000000-0005-0000-0000-00001D870000}"/>
    <cellStyle name="Процентный 4 142 9" xfId="46162" xr:uid="{00000000-0005-0000-0000-00001E870000}"/>
    <cellStyle name="Процентный 4 143" xfId="3471" xr:uid="{00000000-0005-0000-0000-00001F870000}"/>
    <cellStyle name="Процентный 4 143 10" xfId="51534" xr:uid="{00000000-0005-0000-0000-000020870000}"/>
    <cellStyle name="Процентный 4 143 2" xfId="8814" xr:uid="{00000000-0005-0000-0000-000021870000}"/>
    <cellStyle name="Процентный 4 143 2 2" xfId="56875" xr:uid="{00000000-0005-0000-0000-000022870000}"/>
    <cellStyle name="Процентный 4 143 3" xfId="14154" xr:uid="{00000000-0005-0000-0000-000023870000}"/>
    <cellStyle name="Процентный 4 143 4" xfId="19494" xr:uid="{00000000-0005-0000-0000-000024870000}"/>
    <cellStyle name="Процентный 4 143 5" xfId="24834" xr:uid="{00000000-0005-0000-0000-000025870000}"/>
    <cellStyle name="Процентный 4 143 6" xfId="30174" xr:uid="{00000000-0005-0000-0000-000026870000}"/>
    <cellStyle name="Процентный 4 143 7" xfId="35514" xr:uid="{00000000-0005-0000-0000-000027870000}"/>
    <cellStyle name="Процентный 4 143 8" xfId="40854" xr:uid="{00000000-0005-0000-0000-000028870000}"/>
    <cellStyle name="Процентный 4 143 9" xfId="46194" xr:uid="{00000000-0005-0000-0000-000029870000}"/>
    <cellStyle name="Процентный 4 144" xfId="3503" xr:uid="{00000000-0005-0000-0000-00002A870000}"/>
    <cellStyle name="Процентный 4 144 10" xfId="51566" xr:uid="{00000000-0005-0000-0000-00002B870000}"/>
    <cellStyle name="Процентный 4 144 2" xfId="8846" xr:uid="{00000000-0005-0000-0000-00002C870000}"/>
    <cellStyle name="Процентный 4 144 2 2" xfId="56907" xr:uid="{00000000-0005-0000-0000-00002D870000}"/>
    <cellStyle name="Процентный 4 144 3" xfId="14186" xr:uid="{00000000-0005-0000-0000-00002E870000}"/>
    <cellStyle name="Процентный 4 144 4" xfId="19526" xr:uid="{00000000-0005-0000-0000-00002F870000}"/>
    <cellStyle name="Процентный 4 144 5" xfId="24866" xr:uid="{00000000-0005-0000-0000-000030870000}"/>
    <cellStyle name="Процентный 4 144 6" xfId="30206" xr:uid="{00000000-0005-0000-0000-000031870000}"/>
    <cellStyle name="Процентный 4 144 7" xfId="35546" xr:uid="{00000000-0005-0000-0000-000032870000}"/>
    <cellStyle name="Процентный 4 144 8" xfId="40886" xr:uid="{00000000-0005-0000-0000-000033870000}"/>
    <cellStyle name="Процентный 4 144 9" xfId="46226" xr:uid="{00000000-0005-0000-0000-000034870000}"/>
    <cellStyle name="Процентный 4 145" xfId="3535" xr:uid="{00000000-0005-0000-0000-000035870000}"/>
    <cellStyle name="Процентный 4 145 10" xfId="51598" xr:uid="{00000000-0005-0000-0000-000036870000}"/>
    <cellStyle name="Процентный 4 145 2" xfId="8878" xr:uid="{00000000-0005-0000-0000-000037870000}"/>
    <cellStyle name="Процентный 4 145 2 2" xfId="56939" xr:uid="{00000000-0005-0000-0000-000038870000}"/>
    <cellStyle name="Процентный 4 145 3" xfId="14218" xr:uid="{00000000-0005-0000-0000-000039870000}"/>
    <cellStyle name="Процентный 4 145 4" xfId="19558" xr:uid="{00000000-0005-0000-0000-00003A870000}"/>
    <cellStyle name="Процентный 4 145 5" xfId="24898" xr:uid="{00000000-0005-0000-0000-00003B870000}"/>
    <cellStyle name="Процентный 4 145 6" xfId="30238" xr:uid="{00000000-0005-0000-0000-00003C870000}"/>
    <cellStyle name="Процентный 4 145 7" xfId="35578" xr:uid="{00000000-0005-0000-0000-00003D870000}"/>
    <cellStyle name="Процентный 4 145 8" xfId="40918" xr:uid="{00000000-0005-0000-0000-00003E870000}"/>
    <cellStyle name="Процентный 4 145 9" xfId="46258" xr:uid="{00000000-0005-0000-0000-00003F870000}"/>
    <cellStyle name="Процентный 4 146" xfId="3567" xr:uid="{00000000-0005-0000-0000-000040870000}"/>
    <cellStyle name="Процентный 4 146 10" xfId="51630" xr:uid="{00000000-0005-0000-0000-000041870000}"/>
    <cellStyle name="Процентный 4 146 2" xfId="8910" xr:uid="{00000000-0005-0000-0000-000042870000}"/>
    <cellStyle name="Процентный 4 146 2 2" xfId="56971" xr:uid="{00000000-0005-0000-0000-000043870000}"/>
    <cellStyle name="Процентный 4 146 3" xfId="14250" xr:uid="{00000000-0005-0000-0000-000044870000}"/>
    <cellStyle name="Процентный 4 146 4" xfId="19590" xr:uid="{00000000-0005-0000-0000-000045870000}"/>
    <cellStyle name="Процентный 4 146 5" xfId="24930" xr:uid="{00000000-0005-0000-0000-000046870000}"/>
    <cellStyle name="Процентный 4 146 6" xfId="30270" xr:uid="{00000000-0005-0000-0000-000047870000}"/>
    <cellStyle name="Процентный 4 146 7" xfId="35610" xr:uid="{00000000-0005-0000-0000-000048870000}"/>
    <cellStyle name="Процентный 4 146 8" xfId="40950" xr:uid="{00000000-0005-0000-0000-000049870000}"/>
    <cellStyle name="Процентный 4 146 9" xfId="46290" xr:uid="{00000000-0005-0000-0000-00004A870000}"/>
    <cellStyle name="Процентный 4 147" xfId="3599" xr:uid="{00000000-0005-0000-0000-00004B870000}"/>
    <cellStyle name="Процентный 4 147 10" xfId="51662" xr:uid="{00000000-0005-0000-0000-00004C870000}"/>
    <cellStyle name="Процентный 4 147 2" xfId="8942" xr:uid="{00000000-0005-0000-0000-00004D870000}"/>
    <cellStyle name="Процентный 4 147 2 2" xfId="57003" xr:uid="{00000000-0005-0000-0000-00004E870000}"/>
    <cellStyle name="Процентный 4 147 3" xfId="14282" xr:uid="{00000000-0005-0000-0000-00004F870000}"/>
    <cellStyle name="Процентный 4 147 4" xfId="19622" xr:uid="{00000000-0005-0000-0000-000050870000}"/>
    <cellStyle name="Процентный 4 147 5" xfId="24962" xr:uid="{00000000-0005-0000-0000-000051870000}"/>
    <cellStyle name="Процентный 4 147 6" xfId="30302" xr:uid="{00000000-0005-0000-0000-000052870000}"/>
    <cellStyle name="Процентный 4 147 7" xfId="35642" xr:uid="{00000000-0005-0000-0000-000053870000}"/>
    <cellStyle name="Процентный 4 147 8" xfId="40982" xr:uid="{00000000-0005-0000-0000-000054870000}"/>
    <cellStyle name="Процентный 4 147 9" xfId="46322" xr:uid="{00000000-0005-0000-0000-000055870000}"/>
    <cellStyle name="Процентный 4 148" xfId="3631" xr:uid="{00000000-0005-0000-0000-000056870000}"/>
    <cellStyle name="Процентный 4 148 10" xfId="51694" xr:uid="{00000000-0005-0000-0000-000057870000}"/>
    <cellStyle name="Процентный 4 148 2" xfId="8974" xr:uid="{00000000-0005-0000-0000-000058870000}"/>
    <cellStyle name="Процентный 4 148 2 2" xfId="57035" xr:uid="{00000000-0005-0000-0000-000059870000}"/>
    <cellStyle name="Процентный 4 148 3" xfId="14314" xr:uid="{00000000-0005-0000-0000-00005A870000}"/>
    <cellStyle name="Процентный 4 148 4" xfId="19654" xr:uid="{00000000-0005-0000-0000-00005B870000}"/>
    <cellStyle name="Процентный 4 148 5" xfId="24994" xr:uid="{00000000-0005-0000-0000-00005C870000}"/>
    <cellStyle name="Процентный 4 148 6" xfId="30334" xr:uid="{00000000-0005-0000-0000-00005D870000}"/>
    <cellStyle name="Процентный 4 148 7" xfId="35674" xr:uid="{00000000-0005-0000-0000-00005E870000}"/>
    <cellStyle name="Процентный 4 148 8" xfId="41014" xr:uid="{00000000-0005-0000-0000-00005F870000}"/>
    <cellStyle name="Процентный 4 148 9" xfId="46354" xr:uid="{00000000-0005-0000-0000-000060870000}"/>
    <cellStyle name="Процентный 4 149" xfId="3663" xr:uid="{00000000-0005-0000-0000-000061870000}"/>
    <cellStyle name="Процентный 4 149 10" xfId="51726" xr:uid="{00000000-0005-0000-0000-000062870000}"/>
    <cellStyle name="Процентный 4 149 2" xfId="9006" xr:uid="{00000000-0005-0000-0000-000063870000}"/>
    <cellStyle name="Процентный 4 149 2 2" xfId="57067" xr:uid="{00000000-0005-0000-0000-000064870000}"/>
    <cellStyle name="Процентный 4 149 3" xfId="14346" xr:uid="{00000000-0005-0000-0000-000065870000}"/>
    <cellStyle name="Процентный 4 149 4" xfId="19686" xr:uid="{00000000-0005-0000-0000-000066870000}"/>
    <cellStyle name="Процентный 4 149 5" xfId="25026" xr:uid="{00000000-0005-0000-0000-000067870000}"/>
    <cellStyle name="Процентный 4 149 6" xfId="30366" xr:uid="{00000000-0005-0000-0000-000068870000}"/>
    <cellStyle name="Процентный 4 149 7" xfId="35706" xr:uid="{00000000-0005-0000-0000-000069870000}"/>
    <cellStyle name="Процентный 4 149 8" xfId="41046" xr:uid="{00000000-0005-0000-0000-00006A870000}"/>
    <cellStyle name="Процентный 4 149 9" xfId="46386" xr:uid="{00000000-0005-0000-0000-00006B870000}"/>
    <cellStyle name="Процентный 4 15" xfId="97" xr:uid="{00000000-0005-0000-0000-00006C870000}"/>
    <cellStyle name="Процентный 4 15 10" xfId="42819" xr:uid="{00000000-0005-0000-0000-00006D870000}"/>
    <cellStyle name="Процентный 4 15 11" xfId="48159" xr:uid="{00000000-0005-0000-0000-00006E870000}"/>
    <cellStyle name="Процентный 4 15 2" xfId="564" xr:uid="{00000000-0005-0000-0000-00006F870000}"/>
    <cellStyle name="Процентный 4 15 2 10" xfId="48626" xr:uid="{00000000-0005-0000-0000-000070870000}"/>
    <cellStyle name="Процентный 4 15 2 2" xfId="5905" xr:uid="{00000000-0005-0000-0000-000071870000}"/>
    <cellStyle name="Процентный 4 15 2 2 2" xfId="53967" xr:uid="{00000000-0005-0000-0000-000072870000}"/>
    <cellStyle name="Процентный 4 15 2 3" xfId="11246" xr:uid="{00000000-0005-0000-0000-000073870000}"/>
    <cellStyle name="Процентный 4 15 2 4" xfId="16586" xr:uid="{00000000-0005-0000-0000-000074870000}"/>
    <cellStyle name="Процентный 4 15 2 5" xfId="21926" xr:uid="{00000000-0005-0000-0000-000075870000}"/>
    <cellStyle name="Процентный 4 15 2 6" xfId="27266" xr:uid="{00000000-0005-0000-0000-000076870000}"/>
    <cellStyle name="Процентный 4 15 2 7" xfId="32606" xr:uid="{00000000-0005-0000-0000-000077870000}"/>
    <cellStyle name="Процентный 4 15 2 8" xfId="37946" xr:uid="{00000000-0005-0000-0000-000078870000}"/>
    <cellStyle name="Процентный 4 15 2 9" xfId="43286" xr:uid="{00000000-0005-0000-0000-000079870000}"/>
    <cellStyle name="Процентный 4 15 3" xfId="5438" xr:uid="{00000000-0005-0000-0000-00007A870000}"/>
    <cellStyle name="Процентный 4 15 3 2" xfId="53500" xr:uid="{00000000-0005-0000-0000-00007B870000}"/>
    <cellStyle name="Процентный 4 15 4" xfId="10779" xr:uid="{00000000-0005-0000-0000-00007C870000}"/>
    <cellStyle name="Процентный 4 15 5" xfId="16119" xr:uid="{00000000-0005-0000-0000-00007D870000}"/>
    <cellStyle name="Процентный 4 15 6" xfId="21459" xr:uid="{00000000-0005-0000-0000-00007E870000}"/>
    <cellStyle name="Процентный 4 15 7" xfId="26799" xr:uid="{00000000-0005-0000-0000-00007F870000}"/>
    <cellStyle name="Процентный 4 15 8" xfId="32139" xr:uid="{00000000-0005-0000-0000-000080870000}"/>
    <cellStyle name="Процентный 4 15 9" xfId="37479" xr:uid="{00000000-0005-0000-0000-000081870000}"/>
    <cellStyle name="Процентный 4 150" xfId="3695" xr:uid="{00000000-0005-0000-0000-000082870000}"/>
    <cellStyle name="Процентный 4 150 10" xfId="51758" xr:uid="{00000000-0005-0000-0000-000083870000}"/>
    <cellStyle name="Процентный 4 150 2" xfId="9038" xr:uid="{00000000-0005-0000-0000-000084870000}"/>
    <cellStyle name="Процентный 4 150 2 2" xfId="57099" xr:uid="{00000000-0005-0000-0000-000085870000}"/>
    <cellStyle name="Процентный 4 150 3" xfId="14378" xr:uid="{00000000-0005-0000-0000-000086870000}"/>
    <cellStyle name="Процентный 4 150 4" xfId="19718" xr:uid="{00000000-0005-0000-0000-000087870000}"/>
    <cellStyle name="Процентный 4 150 5" xfId="25058" xr:uid="{00000000-0005-0000-0000-000088870000}"/>
    <cellStyle name="Процентный 4 150 6" xfId="30398" xr:uid="{00000000-0005-0000-0000-000089870000}"/>
    <cellStyle name="Процентный 4 150 7" xfId="35738" xr:uid="{00000000-0005-0000-0000-00008A870000}"/>
    <cellStyle name="Процентный 4 150 8" xfId="41078" xr:uid="{00000000-0005-0000-0000-00008B870000}"/>
    <cellStyle name="Процентный 4 150 9" xfId="46418" xr:uid="{00000000-0005-0000-0000-00008C870000}"/>
    <cellStyle name="Процентный 4 151" xfId="3727" xr:uid="{00000000-0005-0000-0000-00008D870000}"/>
    <cellStyle name="Процентный 4 151 10" xfId="51790" xr:uid="{00000000-0005-0000-0000-00008E870000}"/>
    <cellStyle name="Процентный 4 151 2" xfId="9070" xr:uid="{00000000-0005-0000-0000-00008F870000}"/>
    <cellStyle name="Процентный 4 151 2 2" xfId="57131" xr:uid="{00000000-0005-0000-0000-000090870000}"/>
    <cellStyle name="Процентный 4 151 3" xfId="14410" xr:uid="{00000000-0005-0000-0000-000091870000}"/>
    <cellStyle name="Процентный 4 151 4" xfId="19750" xr:uid="{00000000-0005-0000-0000-000092870000}"/>
    <cellStyle name="Процентный 4 151 5" xfId="25090" xr:uid="{00000000-0005-0000-0000-000093870000}"/>
    <cellStyle name="Процентный 4 151 6" xfId="30430" xr:uid="{00000000-0005-0000-0000-000094870000}"/>
    <cellStyle name="Процентный 4 151 7" xfId="35770" xr:uid="{00000000-0005-0000-0000-000095870000}"/>
    <cellStyle name="Процентный 4 151 8" xfId="41110" xr:uid="{00000000-0005-0000-0000-000096870000}"/>
    <cellStyle name="Процентный 4 151 9" xfId="46450" xr:uid="{00000000-0005-0000-0000-000097870000}"/>
    <cellStyle name="Процентный 4 152" xfId="3759" xr:uid="{00000000-0005-0000-0000-000098870000}"/>
    <cellStyle name="Процентный 4 152 10" xfId="51822" xr:uid="{00000000-0005-0000-0000-000099870000}"/>
    <cellStyle name="Процентный 4 152 2" xfId="9102" xr:uid="{00000000-0005-0000-0000-00009A870000}"/>
    <cellStyle name="Процентный 4 152 2 2" xfId="57163" xr:uid="{00000000-0005-0000-0000-00009B870000}"/>
    <cellStyle name="Процентный 4 152 3" xfId="14442" xr:uid="{00000000-0005-0000-0000-00009C870000}"/>
    <cellStyle name="Процентный 4 152 4" xfId="19782" xr:uid="{00000000-0005-0000-0000-00009D870000}"/>
    <cellStyle name="Процентный 4 152 5" xfId="25122" xr:uid="{00000000-0005-0000-0000-00009E870000}"/>
    <cellStyle name="Процентный 4 152 6" xfId="30462" xr:uid="{00000000-0005-0000-0000-00009F870000}"/>
    <cellStyle name="Процентный 4 152 7" xfId="35802" xr:uid="{00000000-0005-0000-0000-0000A0870000}"/>
    <cellStyle name="Процентный 4 152 8" xfId="41142" xr:uid="{00000000-0005-0000-0000-0000A1870000}"/>
    <cellStyle name="Процентный 4 152 9" xfId="46482" xr:uid="{00000000-0005-0000-0000-0000A2870000}"/>
    <cellStyle name="Процентный 4 153" xfId="3791" xr:uid="{00000000-0005-0000-0000-0000A3870000}"/>
    <cellStyle name="Процентный 4 153 10" xfId="51854" xr:uid="{00000000-0005-0000-0000-0000A4870000}"/>
    <cellStyle name="Процентный 4 153 2" xfId="9134" xr:uid="{00000000-0005-0000-0000-0000A5870000}"/>
    <cellStyle name="Процентный 4 153 2 2" xfId="57195" xr:uid="{00000000-0005-0000-0000-0000A6870000}"/>
    <cellStyle name="Процентный 4 153 3" xfId="14474" xr:uid="{00000000-0005-0000-0000-0000A7870000}"/>
    <cellStyle name="Процентный 4 153 4" xfId="19814" xr:uid="{00000000-0005-0000-0000-0000A8870000}"/>
    <cellStyle name="Процентный 4 153 5" xfId="25154" xr:uid="{00000000-0005-0000-0000-0000A9870000}"/>
    <cellStyle name="Процентный 4 153 6" xfId="30494" xr:uid="{00000000-0005-0000-0000-0000AA870000}"/>
    <cellStyle name="Процентный 4 153 7" xfId="35834" xr:uid="{00000000-0005-0000-0000-0000AB870000}"/>
    <cellStyle name="Процентный 4 153 8" xfId="41174" xr:uid="{00000000-0005-0000-0000-0000AC870000}"/>
    <cellStyle name="Процентный 4 153 9" xfId="46514" xr:uid="{00000000-0005-0000-0000-0000AD870000}"/>
    <cellStyle name="Процентный 4 154" xfId="3823" xr:uid="{00000000-0005-0000-0000-0000AE870000}"/>
    <cellStyle name="Процентный 4 154 10" xfId="51886" xr:uid="{00000000-0005-0000-0000-0000AF870000}"/>
    <cellStyle name="Процентный 4 154 2" xfId="9166" xr:uid="{00000000-0005-0000-0000-0000B0870000}"/>
    <cellStyle name="Процентный 4 154 2 2" xfId="57227" xr:uid="{00000000-0005-0000-0000-0000B1870000}"/>
    <cellStyle name="Процентный 4 154 3" xfId="14506" xr:uid="{00000000-0005-0000-0000-0000B2870000}"/>
    <cellStyle name="Процентный 4 154 4" xfId="19846" xr:uid="{00000000-0005-0000-0000-0000B3870000}"/>
    <cellStyle name="Процентный 4 154 5" xfId="25186" xr:uid="{00000000-0005-0000-0000-0000B4870000}"/>
    <cellStyle name="Процентный 4 154 6" xfId="30526" xr:uid="{00000000-0005-0000-0000-0000B5870000}"/>
    <cellStyle name="Процентный 4 154 7" xfId="35866" xr:uid="{00000000-0005-0000-0000-0000B6870000}"/>
    <cellStyle name="Процентный 4 154 8" xfId="41206" xr:uid="{00000000-0005-0000-0000-0000B7870000}"/>
    <cellStyle name="Процентный 4 154 9" xfId="46546" xr:uid="{00000000-0005-0000-0000-0000B8870000}"/>
    <cellStyle name="Процентный 4 155" xfId="3855" xr:uid="{00000000-0005-0000-0000-0000B9870000}"/>
    <cellStyle name="Процентный 4 155 10" xfId="51918" xr:uid="{00000000-0005-0000-0000-0000BA870000}"/>
    <cellStyle name="Процентный 4 155 2" xfId="9198" xr:uid="{00000000-0005-0000-0000-0000BB870000}"/>
    <cellStyle name="Процентный 4 155 2 2" xfId="57259" xr:uid="{00000000-0005-0000-0000-0000BC870000}"/>
    <cellStyle name="Процентный 4 155 3" xfId="14538" xr:uid="{00000000-0005-0000-0000-0000BD870000}"/>
    <cellStyle name="Процентный 4 155 4" xfId="19878" xr:uid="{00000000-0005-0000-0000-0000BE870000}"/>
    <cellStyle name="Процентный 4 155 5" xfId="25218" xr:uid="{00000000-0005-0000-0000-0000BF870000}"/>
    <cellStyle name="Процентный 4 155 6" xfId="30558" xr:uid="{00000000-0005-0000-0000-0000C0870000}"/>
    <cellStyle name="Процентный 4 155 7" xfId="35898" xr:uid="{00000000-0005-0000-0000-0000C1870000}"/>
    <cellStyle name="Процентный 4 155 8" xfId="41238" xr:uid="{00000000-0005-0000-0000-0000C2870000}"/>
    <cellStyle name="Процентный 4 155 9" xfId="46578" xr:uid="{00000000-0005-0000-0000-0000C3870000}"/>
    <cellStyle name="Процентный 4 156" xfId="3887" xr:uid="{00000000-0005-0000-0000-0000C4870000}"/>
    <cellStyle name="Процентный 4 156 10" xfId="51950" xr:uid="{00000000-0005-0000-0000-0000C5870000}"/>
    <cellStyle name="Процентный 4 156 2" xfId="9230" xr:uid="{00000000-0005-0000-0000-0000C6870000}"/>
    <cellStyle name="Процентный 4 156 2 2" xfId="57291" xr:uid="{00000000-0005-0000-0000-0000C7870000}"/>
    <cellStyle name="Процентный 4 156 3" xfId="14570" xr:uid="{00000000-0005-0000-0000-0000C8870000}"/>
    <cellStyle name="Процентный 4 156 4" xfId="19910" xr:uid="{00000000-0005-0000-0000-0000C9870000}"/>
    <cellStyle name="Процентный 4 156 5" xfId="25250" xr:uid="{00000000-0005-0000-0000-0000CA870000}"/>
    <cellStyle name="Процентный 4 156 6" xfId="30590" xr:uid="{00000000-0005-0000-0000-0000CB870000}"/>
    <cellStyle name="Процентный 4 156 7" xfId="35930" xr:uid="{00000000-0005-0000-0000-0000CC870000}"/>
    <cellStyle name="Процентный 4 156 8" xfId="41270" xr:uid="{00000000-0005-0000-0000-0000CD870000}"/>
    <cellStyle name="Процентный 4 156 9" xfId="46610" xr:uid="{00000000-0005-0000-0000-0000CE870000}"/>
    <cellStyle name="Процентный 4 157" xfId="3919" xr:uid="{00000000-0005-0000-0000-0000CF870000}"/>
    <cellStyle name="Процентный 4 157 10" xfId="51982" xr:uid="{00000000-0005-0000-0000-0000D0870000}"/>
    <cellStyle name="Процентный 4 157 2" xfId="9262" xr:uid="{00000000-0005-0000-0000-0000D1870000}"/>
    <cellStyle name="Процентный 4 157 2 2" xfId="57323" xr:uid="{00000000-0005-0000-0000-0000D2870000}"/>
    <cellStyle name="Процентный 4 157 3" xfId="14602" xr:uid="{00000000-0005-0000-0000-0000D3870000}"/>
    <cellStyle name="Процентный 4 157 4" xfId="19942" xr:uid="{00000000-0005-0000-0000-0000D4870000}"/>
    <cellStyle name="Процентный 4 157 5" xfId="25282" xr:uid="{00000000-0005-0000-0000-0000D5870000}"/>
    <cellStyle name="Процентный 4 157 6" xfId="30622" xr:uid="{00000000-0005-0000-0000-0000D6870000}"/>
    <cellStyle name="Процентный 4 157 7" xfId="35962" xr:uid="{00000000-0005-0000-0000-0000D7870000}"/>
    <cellStyle name="Процентный 4 157 8" xfId="41302" xr:uid="{00000000-0005-0000-0000-0000D8870000}"/>
    <cellStyle name="Процентный 4 157 9" xfId="46642" xr:uid="{00000000-0005-0000-0000-0000D9870000}"/>
    <cellStyle name="Процентный 4 158" xfId="3951" xr:uid="{00000000-0005-0000-0000-0000DA870000}"/>
    <cellStyle name="Процентный 4 158 10" xfId="52014" xr:uid="{00000000-0005-0000-0000-0000DB870000}"/>
    <cellStyle name="Процентный 4 158 2" xfId="9294" xr:uid="{00000000-0005-0000-0000-0000DC870000}"/>
    <cellStyle name="Процентный 4 158 2 2" xfId="57355" xr:uid="{00000000-0005-0000-0000-0000DD870000}"/>
    <cellStyle name="Процентный 4 158 3" xfId="14634" xr:uid="{00000000-0005-0000-0000-0000DE870000}"/>
    <cellStyle name="Процентный 4 158 4" xfId="19974" xr:uid="{00000000-0005-0000-0000-0000DF870000}"/>
    <cellStyle name="Процентный 4 158 5" xfId="25314" xr:uid="{00000000-0005-0000-0000-0000E0870000}"/>
    <cellStyle name="Процентный 4 158 6" xfId="30654" xr:uid="{00000000-0005-0000-0000-0000E1870000}"/>
    <cellStyle name="Процентный 4 158 7" xfId="35994" xr:uid="{00000000-0005-0000-0000-0000E2870000}"/>
    <cellStyle name="Процентный 4 158 8" xfId="41334" xr:uid="{00000000-0005-0000-0000-0000E3870000}"/>
    <cellStyle name="Процентный 4 158 9" xfId="46674" xr:uid="{00000000-0005-0000-0000-0000E4870000}"/>
    <cellStyle name="Процентный 4 159" xfId="3983" xr:uid="{00000000-0005-0000-0000-0000E5870000}"/>
    <cellStyle name="Процентный 4 159 10" xfId="52046" xr:uid="{00000000-0005-0000-0000-0000E6870000}"/>
    <cellStyle name="Процентный 4 159 2" xfId="9326" xr:uid="{00000000-0005-0000-0000-0000E7870000}"/>
    <cellStyle name="Процентный 4 159 2 2" xfId="57387" xr:uid="{00000000-0005-0000-0000-0000E8870000}"/>
    <cellStyle name="Процентный 4 159 3" xfId="14666" xr:uid="{00000000-0005-0000-0000-0000E9870000}"/>
    <cellStyle name="Процентный 4 159 4" xfId="20006" xr:uid="{00000000-0005-0000-0000-0000EA870000}"/>
    <cellStyle name="Процентный 4 159 5" xfId="25346" xr:uid="{00000000-0005-0000-0000-0000EB870000}"/>
    <cellStyle name="Процентный 4 159 6" xfId="30686" xr:uid="{00000000-0005-0000-0000-0000EC870000}"/>
    <cellStyle name="Процентный 4 159 7" xfId="36026" xr:uid="{00000000-0005-0000-0000-0000ED870000}"/>
    <cellStyle name="Процентный 4 159 8" xfId="41366" xr:uid="{00000000-0005-0000-0000-0000EE870000}"/>
    <cellStyle name="Процентный 4 159 9" xfId="46706" xr:uid="{00000000-0005-0000-0000-0000EF870000}"/>
    <cellStyle name="Процентный 4 16" xfId="105" xr:uid="{00000000-0005-0000-0000-0000F0870000}"/>
    <cellStyle name="Процентный 4 16 10" xfId="42827" xr:uid="{00000000-0005-0000-0000-0000F1870000}"/>
    <cellStyle name="Процентный 4 16 11" xfId="48167" xr:uid="{00000000-0005-0000-0000-0000F2870000}"/>
    <cellStyle name="Процентный 4 16 2" xfId="572" xr:uid="{00000000-0005-0000-0000-0000F3870000}"/>
    <cellStyle name="Процентный 4 16 2 10" xfId="48634" xr:uid="{00000000-0005-0000-0000-0000F4870000}"/>
    <cellStyle name="Процентный 4 16 2 2" xfId="5913" xr:uid="{00000000-0005-0000-0000-0000F5870000}"/>
    <cellStyle name="Процентный 4 16 2 2 2" xfId="53975" xr:uid="{00000000-0005-0000-0000-0000F6870000}"/>
    <cellStyle name="Процентный 4 16 2 3" xfId="11254" xr:uid="{00000000-0005-0000-0000-0000F7870000}"/>
    <cellStyle name="Процентный 4 16 2 4" xfId="16594" xr:uid="{00000000-0005-0000-0000-0000F8870000}"/>
    <cellStyle name="Процентный 4 16 2 5" xfId="21934" xr:uid="{00000000-0005-0000-0000-0000F9870000}"/>
    <cellStyle name="Процентный 4 16 2 6" xfId="27274" xr:uid="{00000000-0005-0000-0000-0000FA870000}"/>
    <cellStyle name="Процентный 4 16 2 7" xfId="32614" xr:uid="{00000000-0005-0000-0000-0000FB870000}"/>
    <cellStyle name="Процентный 4 16 2 8" xfId="37954" xr:uid="{00000000-0005-0000-0000-0000FC870000}"/>
    <cellStyle name="Процентный 4 16 2 9" xfId="43294" xr:uid="{00000000-0005-0000-0000-0000FD870000}"/>
    <cellStyle name="Процентный 4 16 3" xfId="5446" xr:uid="{00000000-0005-0000-0000-0000FE870000}"/>
    <cellStyle name="Процентный 4 16 3 2" xfId="53508" xr:uid="{00000000-0005-0000-0000-0000FF870000}"/>
    <cellStyle name="Процентный 4 16 4" xfId="10787" xr:uid="{00000000-0005-0000-0000-000000880000}"/>
    <cellStyle name="Процентный 4 16 5" xfId="16127" xr:uid="{00000000-0005-0000-0000-000001880000}"/>
    <cellStyle name="Процентный 4 16 6" xfId="21467" xr:uid="{00000000-0005-0000-0000-000002880000}"/>
    <cellStyle name="Процентный 4 16 7" xfId="26807" xr:uid="{00000000-0005-0000-0000-000003880000}"/>
    <cellStyle name="Процентный 4 16 8" xfId="32147" xr:uid="{00000000-0005-0000-0000-000004880000}"/>
    <cellStyle name="Процентный 4 16 9" xfId="37487" xr:uid="{00000000-0005-0000-0000-000005880000}"/>
    <cellStyle name="Процентный 4 160" xfId="4015" xr:uid="{00000000-0005-0000-0000-000006880000}"/>
    <cellStyle name="Процентный 4 160 10" xfId="52078" xr:uid="{00000000-0005-0000-0000-000007880000}"/>
    <cellStyle name="Процентный 4 160 2" xfId="9358" xr:uid="{00000000-0005-0000-0000-000008880000}"/>
    <cellStyle name="Процентный 4 160 2 2" xfId="57419" xr:uid="{00000000-0005-0000-0000-000009880000}"/>
    <cellStyle name="Процентный 4 160 3" xfId="14698" xr:uid="{00000000-0005-0000-0000-00000A880000}"/>
    <cellStyle name="Процентный 4 160 4" xfId="20038" xr:uid="{00000000-0005-0000-0000-00000B880000}"/>
    <cellStyle name="Процентный 4 160 5" xfId="25378" xr:uid="{00000000-0005-0000-0000-00000C880000}"/>
    <cellStyle name="Процентный 4 160 6" xfId="30718" xr:uid="{00000000-0005-0000-0000-00000D880000}"/>
    <cellStyle name="Процентный 4 160 7" xfId="36058" xr:uid="{00000000-0005-0000-0000-00000E880000}"/>
    <cellStyle name="Процентный 4 160 8" xfId="41398" xr:uid="{00000000-0005-0000-0000-00000F880000}"/>
    <cellStyle name="Процентный 4 160 9" xfId="46738" xr:uid="{00000000-0005-0000-0000-000010880000}"/>
    <cellStyle name="Процентный 4 161" xfId="4047" xr:uid="{00000000-0005-0000-0000-000011880000}"/>
    <cellStyle name="Процентный 4 161 10" xfId="52110" xr:uid="{00000000-0005-0000-0000-000012880000}"/>
    <cellStyle name="Процентный 4 161 2" xfId="9390" xr:uid="{00000000-0005-0000-0000-000013880000}"/>
    <cellStyle name="Процентный 4 161 2 2" xfId="57451" xr:uid="{00000000-0005-0000-0000-000014880000}"/>
    <cellStyle name="Процентный 4 161 3" xfId="14730" xr:uid="{00000000-0005-0000-0000-000015880000}"/>
    <cellStyle name="Процентный 4 161 4" xfId="20070" xr:uid="{00000000-0005-0000-0000-000016880000}"/>
    <cellStyle name="Процентный 4 161 5" xfId="25410" xr:uid="{00000000-0005-0000-0000-000017880000}"/>
    <cellStyle name="Процентный 4 161 6" xfId="30750" xr:uid="{00000000-0005-0000-0000-000018880000}"/>
    <cellStyle name="Процентный 4 161 7" xfId="36090" xr:uid="{00000000-0005-0000-0000-000019880000}"/>
    <cellStyle name="Процентный 4 161 8" xfId="41430" xr:uid="{00000000-0005-0000-0000-00001A880000}"/>
    <cellStyle name="Процентный 4 161 9" xfId="46770" xr:uid="{00000000-0005-0000-0000-00001B880000}"/>
    <cellStyle name="Процентный 4 162" xfId="4079" xr:uid="{00000000-0005-0000-0000-00001C880000}"/>
    <cellStyle name="Процентный 4 162 10" xfId="52142" xr:uid="{00000000-0005-0000-0000-00001D880000}"/>
    <cellStyle name="Процентный 4 162 2" xfId="9422" xr:uid="{00000000-0005-0000-0000-00001E880000}"/>
    <cellStyle name="Процентный 4 162 2 2" xfId="57483" xr:uid="{00000000-0005-0000-0000-00001F880000}"/>
    <cellStyle name="Процентный 4 162 3" xfId="14762" xr:uid="{00000000-0005-0000-0000-000020880000}"/>
    <cellStyle name="Процентный 4 162 4" xfId="20102" xr:uid="{00000000-0005-0000-0000-000021880000}"/>
    <cellStyle name="Процентный 4 162 5" xfId="25442" xr:uid="{00000000-0005-0000-0000-000022880000}"/>
    <cellStyle name="Процентный 4 162 6" xfId="30782" xr:uid="{00000000-0005-0000-0000-000023880000}"/>
    <cellStyle name="Процентный 4 162 7" xfId="36122" xr:uid="{00000000-0005-0000-0000-000024880000}"/>
    <cellStyle name="Процентный 4 162 8" xfId="41462" xr:uid="{00000000-0005-0000-0000-000025880000}"/>
    <cellStyle name="Процентный 4 162 9" xfId="46802" xr:uid="{00000000-0005-0000-0000-000026880000}"/>
    <cellStyle name="Процентный 4 163" xfId="4111" xr:uid="{00000000-0005-0000-0000-000027880000}"/>
    <cellStyle name="Процентный 4 163 10" xfId="52174" xr:uid="{00000000-0005-0000-0000-000028880000}"/>
    <cellStyle name="Процентный 4 163 2" xfId="9454" xr:uid="{00000000-0005-0000-0000-000029880000}"/>
    <cellStyle name="Процентный 4 163 2 2" xfId="57515" xr:uid="{00000000-0005-0000-0000-00002A880000}"/>
    <cellStyle name="Процентный 4 163 3" xfId="14794" xr:uid="{00000000-0005-0000-0000-00002B880000}"/>
    <cellStyle name="Процентный 4 163 4" xfId="20134" xr:uid="{00000000-0005-0000-0000-00002C880000}"/>
    <cellStyle name="Процентный 4 163 5" xfId="25474" xr:uid="{00000000-0005-0000-0000-00002D880000}"/>
    <cellStyle name="Процентный 4 163 6" xfId="30814" xr:uid="{00000000-0005-0000-0000-00002E880000}"/>
    <cellStyle name="Процентный 4 163 7" xfId="36154" xr:uid="{00000000-0005-0000-0000-00002F880000}"/>
    <cellStyle name="Процентный 4 163 8" xfId="41494" xr:uid="{00000000-0005-0000-0000-000030880000}"/>
    <cellStyle name="Процентный 4 163 9" xfId="46834" xr:uid="{00000000-0005-0000-0000-000031880000}"/>
    <cellStyle name="Процентный 4 164" xfId="4143" xr:uid="{00000000-0005-0000-0000-000032880000}"/>
    <cellStyle name="Процентный 4 164 10" xfId="52206" xr:uid="{00000000-0005-0000-0000-000033880000}"/>
    <cellStyle name="Процентный 4 164 2" xfId="9486" xr:uid="{00000000-0005-0000-0000-000034880000}"/>
    <cellStyle name="Процентный 4 164 2 2" xfId="57547" xr:uid="{00000000-0005-0000-0000-000035880000}"/>
    <cellStyle name="Процентный 4 164 3" xfId="14826" xr:uid="{00000000-0005-0000-0000-000036880000}"/>
    <cellStyle name="Процентный 4 164 4" xfId="20166" xr:uid="{00000000-0005-0000-0000-000037880000}"/>
    <cellStyle name="Процентный 4 164 5" xfId="25506" xr:uid="{00000000-0005-0000-0000-000038880000}"/>
    <cellStyle name="Процентный 4 164 6" xfId="30846" xr:uid="{00000000-0005-0000-0000-000039880000}"/>
    <cellStyle name="Процентный 4 164 7" xfId="36186" xr:uid="{00000000-0005-0000-0000-00003A880000}"/>
    <cellStyle name="Процентный 4 164 8" xfId="41526" xr:uid="{00000000-0005-0000-0000-00003B880000}"/>
    <cellStyle name="Процентный 4 164 9" xfId="46866" xr:uid="{00000000-0005-0000-0000-00003C880000}"/>
    <cellStyle name="Процентный 4 165" xfId="4175" xr:uid="{00000000-0005-0000-0000-00003D880000}"/>
    <cellStyle name="Процентный 4 165 10" xfId="52238" xr:uid="{00000000-0005-0000-0000-00003E880000}"/>
    <cellStyle name="Процентный 4 165 2" xfId="9518" xr:uid="{00000000-0005-0000-0000-00003F880000}"/>
    <cellStyle name="Процентный 4 165 2 2" xfId="57579" xr:uid="{00000000-0005-0000-0000-000040880000}"/>
    <cellStyle name="Процентный 4 165 3" xfId="14858" xr:uid="{00000000-0005-0000-0000-000041880000}"/>
    <cellStyle name="Процентный 4 165 4" xfId="20198" xr:uid="{00000000-0005-0000-0000-000042880000}"/>
    <cellStyle name="Процентный 4 165 5" xfId="25538" xr:uid="{00000000-0005-0000-0000-000043880000}"/>
    <cellStyle name="Процентный 4 165 6" xfId="30878" xr:uid="{00000000-0005-0000-0000-000044880000}"/>
    <cellStyle name="Процентный 4 165 7" xfId="36218" xr:uid="{00000000-0005-0000-0000-000045880000}"/>
    <cellStyle name="Процентный 4 165 8" xfId="41558" xr:uid="{00000000-0005-0000-0000-000046880000}"/>
    <cellStyle name="Процентный 4 165 9" xfId="46898" xr:uid="{00000000-0005-0000-0000-000047880000}"/>
    <cellStyle name="Процентный 4 166" xfId="4207" xr:uid="{00000000-0005-0000-0000-000048880000}"/>
    <cellStyle name="Процентный 4 166 10" xfId="52270" xr:uid="{00000000-0005-0000-0000-000049880000}"/>
    <cellStyle name="Процентный 4 166 2" xfId="9550" xr:uid="{00000000-0005-0000-0000-00004A880000}"/>
    <cellStyle name="Процентный 4 166 2 2" xfId="57611" xr:uid="{00000000-0005-0000-0000-00004B880000}"/>
    <cellStyle name="Процентный 4 166 3" xfId="14890" xr:uid="{00000000-0005-0000-0000-00004C880000}"/>
    <cellStyle name="Процентный 4 166 4" xfId="20230" xr:uid="{00000000-0005-0000-0000-00004D880000}"/>
    <cellStyle name="Процентный 4 166 5" xfId="25570" xr:uid="{00000000-0005-0000-0000-00004E880000}"/>
    <cellStyle name="Процентный 4 166 6" xfId="30910" xr:uid="{00000000-0005-0000-0000-00004F880000}"/>
    <cellStyle name="Процентный 4 166 7" xfId="36250" xr:uid="{00000000-0005-0000-0000-000050880000}"/>
    <cellStyle name="Процентный 4 166 8" xfId="41590" xr:uid="{00000000-0005-0000-0000-000051880000}"/>
    <cellStyle name="Процентный 4 166 9" xfId="46930" xr:uid="{00000000-0005-0000-0000-000052880000}"/>
    <cellStyle name="Процентный 4 167" xfId="4239" xr:uid="{00000000-0005-0000-0000-000053880000}"/>
    <cellStyle name="Процентный 4 167 10" xfId="52302" xr:uid="{00000000-0005-0000-0000-000054880000}"/>
    <cellStyle name="Процентный 4 167 2" xfId="9582" xr:uid="{00000000-0005-0000-0000-000055880000}"/>
    <cellStyle name="Процентный 4 167 2 2" xfId="57643" xr:uid="{00000000-0005-0000-0000-000056880000}"/>
    <cellStyle name="Процентный 4 167 3" xfId="14922" xr:uid="{00000000-0005-0000-0000-000057880000}"/>
    <cellStyle name="Процентный 4 167 4" xfId="20262" xr:uid="{00000000-0005-0000-0000-000058880000}"/>
    <cellStyle name="Процентный 4 167 5" xfId="25602" xr:uid="{00000000-0005-0000-0000-000059880000}"/>
    <cellStyle name="Процентный 4 167 6" xfId="30942" xr:uid="{00000000-0005-0000-0000-00005A880000}"/>
    <cellStyle name="Процентный 4 167 7" xfId="36282" xr:uid="{00000000-0005-0000-0000-00005B880000}"/>
    <cellStyle name="Процентный 4 167 8" xfId="41622" xr:uid="{00000000-0005-0000-0000-00005C880000}"/>
    <cellStyle name="Процентный 4 167 9" xfId="46962" xr:uid="{00000000-0005-0000-0000-00005D880000}"/>
    <cellStyle name="Процентный 4 168" xfId="4271" xr:uid="{00000000-0005-0000-0000-00005E880000}"/>
    <cellStyle name="Процентный 4 168 10" xfId="52334" xr:uid="{00000000-0005-0000-0000-00005F880000}"/>
    <cellStyle name="Процентный 4 168 2" xfId="9614" xr:uid="{00000000-0005-0000-0000-000060880000}"/>
    <cellStyle name="Процентный 4 168 2 2" xfId="57675" xr:uid="{00000000-0005-0000-0000-000061880000}"/>
    <cellStyle name="Процентный 4 168 3" xfId="14954" xr:uid="{00000000-0005-0000-0000-000062880000}"/>
    <cellStyle name="Процентный 4 168 4" xfId="20294" xr:uid="{00000000-0005-0000-0000-000063880000}"/>
    <cellStyle name="Процентный 4 168 5" xfId="25634" xr:uid="{00000000-0005-0000-0000-000064880000}"/>
    <cellStyle name="Процентный 4 168 6" xfId="30974" xr:uid="{00000000-0005-0000-0000-000065880000}"/>
    <cellStyle name="Процентный 4 168 7" xfId="36314" xr:uid="{00000000-0005-0000-0000-000066880000}"/>
    <cellStyle name="Процентный 4 168 8" xfId="41654" xr:uid="{00000000-0005-0000-0000-000067880000}"/>
    <cellStyle name="Процентный 4 168 9" xfId="46994" xr:uid="{00000000-0005-0000-0000-000068880000}"/>
    <cellStyle name="Процентный 4 169" xfId="4303" xr:uid="{00000000-0005-0000-0000-000069880000}"/>
    <cellStyle name="Процентный 4 169 10" xfId="52366" xr:uid="{00000000-0005-0000-0000-00006A880000}"/>
    <cellStyle name="Процентный 4 169 2" xfId="9646" xr:uid="{00000000-0005-0000-0000-00006B880000}"/>
    <cellStyle name="Процентный 4 169 2 2" xfId="57707" xr:uid="{00000000-0005-0000-0000-00006C880000}"/>
    <cellStyle name="Процентный 4 169 3" xfId="14986" xr:uid="{00000000-0005-0000-0000-00006D880000}"/>
    <cellStyle name="Процентный 4 169 4" xfId="20326" xr:uid="{00000000-0005-0000-0000-00006E880000}"/>
    <cellStyle name="Процентный 4 169 5" xfId="25666" xr:uid="{00000000-0005-0000-0000-00006F880000}"/>
    <cellStyle name="Процентный 4 169 6" xfId="31006" xr:uid="{00000000-0005-0000-0000-000070880000}"/>
    <cellStyle name="Процентный 4 169 7" xfId="36346" xr:uid="{00000000-0005-0000-0000-000071880000}"/>
    <cellStyle name="Процентный 4 169 8" xfId="41686" xr:uid="{00000000-0005-0000-0000-000072880000}"/>
    <cellStyle name="Процентный 4 169 9" xfId="47026" xr:uid="{00000000-0005-0000-0000-000073880000}"/>
    <cellStyle name="Процентный 4 17" xfId="113" xr:uid="{00000000-0005-0000-0000-000074880000}"/>
    <cellStyle name="Процентный 4 17 10" xfId="42835" xr:uid="{00000000-0005-0000-0000-000075880000}"/>
    <cellStyle name="Процентный 4 17 11" xfId="48175" xr:uid="{00000000-0005-0000-0000-000076880000}"/>
    <cellStyle name="Процентный 4 17 2" xfId="580" xr:uid="{00000000-0005-0000-0000-000077880000}"/>
    <cellStyle name="Процентный 4 17 2 10" xfId="48642" xr:uid="{00000000-0005-0000-0000-000078880000}"/>
    <cellStyle name="Процентный 4 17 2 2" xfId="5921" xr:uid="{00000000-0005-0000-0000-000079880000}"/>
    <cellStyle name="Процентный 4 17 2 2 2" xfId="53983" xr:uid="{00000000-0005-0000-0000-00007A880000}"/>
    <cellStyle name="Процентный 4 17 2 3" xfId="11262" xr:uid="{00000000-0005-0000-0000-00007B880000}"/>
    <cellStyle name="Процентный 4 17 2 4" xfId="16602" xr:uid="{00000000-0005-0000-0000-00007C880000}"/>
    <cellStyle name="Процентный 4 17 2 5" xfId="21942" xr:uid="{00000000-0005-0000-0000-00007D880000}"/>
    <cellStyle name="Процентный 4 17 2 6" xfId="27282" xr:uid="{00000000-0005-0000-0000-00007E880000}"/>
    <cellStyle name="Процентный 4 17 2 7" xfId="32622" xr:uid="{00000000-0005-0000-0000-00007F880000}"/>
    <cellStyle name="Процентный 4 17 2 8" xfId="37962" xr:uid="{00000000-0005-0000-0000-000080880000}"/>
    <cellStyle name="Процентный 4 17 2 9" xfId="43302" xr:uid="{00000000-0005-0000-0000-000081880000}"/>
    <cellStyle name="Процентный 4 17 3" xfId="5454" xr:uid="{00000000-0005-0000-0000-000082880000}"/>
    <cellStyle name="Процентный 4 17 3 2" xfId="53516" xr:uid="{00000000-0005-0000-0000-000083880000}"/>
    <cellStyle name="Процентный 4 17 4" xfId="10795" xr:uid="{00000000-0005-0000-0000-000084880000}"/>
    <cellStyle name="Процентный 4 17 5" xfId="16135" xr:uid="{00000000-0005-0000-0000-000085880000}"/>
    <cellStyle name="Процентный 4 17 6" xfId="21475" xr:uid="{00000000-0005-0000-0000-000086880000}"/>
    <cellStyle name="Процентный 4 17 7" xfId="26815" xr:uid="{00000000-0005-0000-0000-000087880000}"/>
    <cellStyle name="Процентный 4 17 8" xfId="32155" xr:uid="{00000000-0005-0000-0000-000088880000}"/>
    <cellStyle name="Процентный 4 17 9" xfId="37495" xr:uid="{00000000-0005-0000-0000-000089880000}"/>
    <cellStyle name="Процентный 4 170" xfId="4335" xr:uid="{00000000-0005-0000-0000-00008A880000}"/>
    <cellStyle name="Процентный 4 170 10" xfId="52398" xr:uid="{00000000-0005-0000-0000-00008B880000}"/>
    <cellStyle name="Процентный 4 170 2" xfId="9678" xr:uid="{00000000-0005-0000-0000-00008C880000}"/>
    <cellStyle name="Процентный 4 170 2 2" xfId="57739" xr:uid="{00000000-0005-0000-0000-00008D880000}"/>
    <cellStyle name="Процентный 4 170 3" xfId="15018" xr:uid="{00000000-0005-0000-0000-00008E880000}"/>
    <cellStyle name="Процентный 4 170 4" xfId="20358" xr:uid="{00000000-0005-0000-0000-00008F880000}"/>
    <cellStyle name="Процентный 4 170 5" xfId="25698" xr:uid="{00000000-0005-0000-0000-000090880000}"/>
    <cellStyle name="Процентный 4 170 6" xfId="31038" xr:uid="{00000000-0005-0000-0000-000091880000}"/>
    <cellStyle name="Процентный 4 170 7" xfId="36378" xr:uid="{00000000-0005-0000-0000-000092880000}"/>
    <cellStyle name="Процентный 4 170 8" xfId="41718" xr:uid="{00000000-0005-0000-0000-000093880000}"/>
    <cellStyle name="Процентный 4 170 9" xfId="47058" xr:uid="{00000000-0005-0000-0000-000094880000}"/>
    <cellStyle name="Процентный 4 171" xfId="4367" xr:uid="{00000000-0005-0000-0000-000095880000}"/>
    <cellStyle name="Процентный 4 171 10" xfId="52430" xr:uid="{00000000-0005-0000-0000-000096880000}"/>
    <cellStyle name="Процентный 4 171 2" xfId="9710" xr:uid="{00000000-0005-0000-0000-000097880000}"/>
    <cellStyle name="Процентный 4 171 2 2" xfId="57771" xr:uid="{00000000-0005-0000-0000-000098880000}"/>
    <cellStyle name="Процентный 4 171 3" xfId="15050" xr:uid="{00000000-0005-0000-0000-000099880000}"/>
    <cellStyle name="Процентный 4 171 4" xfId="20390" xr:uid="{00000000-0005-0000-0000-00009A880000}"/>
    <cellStyle name="Процентный 4 171 5" xfId="25730" xr:uid="{00000000-0005-0000-0000-00009B880000}"/>
    <cellStyle name="Процентный 4 171 6" xfId="31070" xr:uid="{00000000-0005-0000-0000-00009C880000}"/>
    <cellStyle name="Процентный 4 171 7" xfId="36410" xr:uid="{00000000-0005-0000-0000-00009D880000}"/>
    <cellStyle name="Процентный 4 171 8" xfId="41750" xr:uid="{00000000-0005-0000-0000-00009E880000}"/>
    <cellStyle name="Процентный 4 171 9" xfId="47090" xr:uid="{00000000-0005-0000-0000-00009F880000}"/>
    <cellStyle name="Процентный 4 172" xfId="4399" xr:uid="{00000000-0005-0000-0000-0000A0880000}"/>
    <cellStyle name="Процентный 4 172 10" xfId="52462" xr:uid="{00000000-0005-0000-0000-0000A1880000}"/>
    <cellStyle name="Процентный 4 172 2" xfId="9742" xr:uid="{00000000-0005-0000-0000-0000A2880000}"/>
    <cellStyle name="Процентный 4 172 2 2" xfId="57803" xr:uid="{00000000-0005-0000-0000-0000A3880000}"/>
    <cellStyle name="Процентный 4 172 3" xfId="15082" xr:uid="{00000000-0005-0000-0000-0000A4880000}"/>
    <cellStyle name="Процентный 4 172 4" xfId="20422" xr:uid="{00000000-0005-0000-0000-0000A5880000}"/>
    <cellStyle name="Процентный 4 172 5" xfId="25762" xr:uid="{00000000-0005-0000-0000-0000A6880000}"/>
    <cellStyle name="Процентный 4 172 6" xfId="31102" xr:uid="{00000000-0005-0000-0000-0000A7880000}"/>
    <cellStyle name="Процентный 4 172 7" xfId="36442" xr:uid="{00000000-0005-0000-0000-0000A8880000}"/>
    <cellStyle name="Процентный 4 172 8" xfId="41782" xr:uid="{00000000-0005-0000-0000-0000A9880000}"/>
    <cellStyle name="Процентный 4 172 9" xfId="47122" xr:uid="{00000000-0005-0000-0000-0000AA880000}"/>
    <cellStyle name="Процентный 4 173" xfId="4431" xr:uid="{00000000-0005-0000-0000-0000AB880000}"/>
    <cellStyle name="Процентный 4 173 10" xfId="52494" xr:uid="{00000000-0005-0000-0000-0000AC880000}"/>
    <cellStyle name="Процентный 4 173 2" xfId="9774" xr:uid="{00000000-0005-0000-0000-0000AD880000}"/>
    <cellStyle name="Процентный 4 173 2 2" xfId="57835" xr:uid="{00000000-0005-0000-0000-0000AE880000}"/>
    <cellStyle name="Процентный 4 173 3" xfId="15114" xr:uid="{00000000-0005-0000-0000-0000AF880000}"/>
    <cellStyle name="Процентный 4 173 4" xfId="20454" xr:uid="{00000000-0005-0000-0000-0000B0880000}"/>
    <cellStyle name="Процентный 4 173 5" xfId="25794" xr:uid="{00000000-0005-0000-0000-0000B1880000}"/>
    <cellStyle name="Процентный 4 173 6" xfId="31134" xr:uid="{00000000-0005-0000-0000-0000B2880000}"/>
    <cellStyle name="Процентный 4 173 7" xfId="36474" xr:uid="{00000000-0005-0000-0000-0000B3880000}"/>
    <cellStyle name="Процентный 4 173 8" xfId="41814" xr:uid="{00000000-0005-0000-0000-0000B4880000}"/>
    <cellStyle name="Процентный 4 173 9" xfId="47154" xr:uid="{00000000-0005-0000-0000-0000B5880000}"/>
    <cellStyle name="Процентный 4 174" xfId="4463" xr:uid="{00000000-0005-0000-0000-0000B6880000}"/>
    <cellStyle name="Процентный 4 174 10" xfId="52526" xr:uid="{00000000-0005-0000-0000-0000B7880000}"/>
    <cellStyle name="Процентный 4 174 2" xfId="9806" xr:uid="{00000000-0005-0000-0000-0000B8880000}"/>
    <cellStyle name="Процентный 4 174 2 2" xfId="57867" xr:uid="{00000000-0005-0000-0000-0000B9880000}"/>
    <cellStyle name="Процентный 4 174 3" xfId="15146" xr:uid="{00000000-0005-0000-0000-0000BA880000}"/>
    <cellStyle name="Процентный 4 174 4" xfId="20486" xr:uid="{00000000-0005-0000-0000-0000BB880000}"/>
    <cellStyle name="Процентный 4 174 5" xfId="25826" xr:uid="{00000000-0005-0000-0000-0000BC880000}"/>
    <cellStyle name="Процентный 4 174 6" xfId="31166" xr:uid="{00000000-0005-0000-0000-0000BD880000}"/>
    <cellStyle name="Процентный 4 174 7" xfId="36506" xr:uid="{00000000-0005-0000-0000-0000BE880000}"/>
    <cellStyle name="Процентный 4 174 8" xfId="41846" xr:uid="{00000000-0005-0000-0000-0000BF880000}"/>
    <cellStyle name="Процентный 4 174 9" xfId="47186" xr:uid="{00000000-0005-0000-0000-0000C0880000}"/>
    <cellStyle name="Процентный 4 175" xfId="4495" xr:uid="{00000000-0005-0000-0000-0000C1880000}"/>
    <cellStyle name="Процентный 4 175 10" xfId="52558" xr:uid="{00000000-0005-0000-0000-0000C2880000}"/>
    <cellStyle name="Процентный 4 175 2" xfId="9838" xr:uid="{00000000-0005-0000-0000-0000C3880000}"/>
    <cellStyle name="Процентный 4 175 2 2" xfId="57899" xr:uid="{00000000-0005-0000-0000-0000C4880000}"/>
    <cellStyle name="Процентный 4 175 3" xfId="15178" xr:uid="{00000000-0005-0000-0000-0000C5880000}"/>
    <cellStyle name="Процентный 4 175 4" xfId="20518" xr:uid="{00000000-0005-0000-0000-0000C6880000}"/>
    <cellStyle name="Процентный 4 175 5" xfId="25858" xr:uid="{00000000-0005-0000-0000-0000C7880000}"/>
    <cellStyle name="Процентный 4 175 6" xfId="31198" xr:uid="{00000000-0005-0000-0000-0000C8880000}"/>
    <cellStyle name="Процентный 4 175 7" xfId="36538" xr:uid="{00000000-0005-0000-0000-0000C9880000}"/>
    <cellStyle name="Процентный 4 175 8" xfId="41878" xr:uid="{00000000-0005-0000-0000-0000CA880000}"/>
    <cellStyle name="Процентный 4 175 9" xfId="47218" xr:uid="{00000000-0005-0000-0000-0000CB880000}"/>
    <cellStyle name="Процентный 4 176" xfId="4527" xr:uid="{00000000-0005-0000-0000-0000CC880000}"/>
    <cellStyle name="Процентный 4 176 10" xfId="52590" xr:uid="{00000000-0005-0000-0000-0000CD880000}"/>
    <cellStyle name="Процентный 4 176 2" xfId="9870" xr:uid="{00000000-0005-0000-0000-0000CE880000}"/>
    <cellStyle name="Процентный 4 176 2 2" xfId="57931" xr:uid="{00000000-0005-0000-0000-0000CF880000}"/>
    <cellStyle name="Процентный 4 176 3" xfId="15210" xr:uid="{00000000-0005-0000-0000-0000D0880000}"/>
    <cellStyle name="Процентный 4 176 4" xfId="20550" xr:uid="{00000000-0005-0000-0000-0000D1880000}"/>
    <cellStyle name="Процентный 4 176 5" xfId="25890" xr:uid="{00000000-0005-0000-0000-0000D2880000}"/>
    <cellStyle name="Процентный 4 176 6" xfId="31230" xr:uid="{00000000-0005-0000-0000-0000D3880000}"/>
    <cellStyle name="Процентный 4 176 7" xfId="36570" xr:uid="{00000000-0005-0000-0000-0000D4880000}"/>
    <cellStyle name="Процентный 4 176 8" xfId="41910" xr:uid="{00000000-0005-0000-0000-0000D5880000}"/>
    <cellStyle name="Процентный 4 176 9" xfId="47250" xr:uid="{00000000-0005-0000-0000-0000D6880000}"/>
    <cellStyle name="Процентный 4 177" xfId="4559" xr:uid="{00000000-0005-0000-0000-0000D7880000}"/>
    <cellStyle name="Процентный 4 177 10" xfId="52622" xr:uid="{00000000-0005-0000-0000-0000D8880000}"/>
    <cellStyle name="Процентный 4 177 2" xfId="9902" xr:uid="{00000000-0005-0000-0000-0000D9880000}"/>
    <cellStyle name="Процентный 4 177 2 2" xfId="57963" xr:uid="{00000000-0005-0000-0000-0000DA880000}"/>
    <cellStyle name="Процентный 4 177 3" xfId="15242" xr:uid="{00000000-0005-0000-0000-0000DB880000}"/>
    <cellStyle name="Процентный 4 177 4" xfId="20582" xr:uid="{00000000-0005-0000-0000-0000DC880000}"/>
    <cellStyle name="Процентный 4 177 5" xfId="25922" xr:uid="{00000000-0005-0000-0000-0000DD880000}"/>
    <cellStyle name="Процентный 4 177 6" xfId="31262" xr:uid="{00000000-0005-0000-0000-0000DE880000}"/>
    <cellStyle name="Процентный 4 177 7" xfId="36602" xr:uid="{00000000-0005-0000-0000-0000DF880000}"/>
    <cellStyle name="Процентный 4 177 8" xfId="41942" xr:uid="{00000000-0005-0000-0000-0000E0880000}"/>
    <cellStyle name="Процентный 4 177 9" xfId="47282" xr:uid="{00000000-0005-0000-0000-0000E1880000}"/>
    <cellStyle name="Процентный 4 178" xfId="4591" xr:uid="{00000000-0005-0000-0000-0000E2880000}"/>
    <cellStyle name="Процентный 4 178 10" xfId="52654" xr:uid="{00000000-0005-0000-0000-0000E3880000}"/>
    <cellStyle name="Процентный 4 178 2" xfId="9934" xr:uid="{00000000-0005-0000-0000-0000E4880000}"/>
    <cellStyle name="Процентный 4 178 2 2" xfId="57995" xr:uid="{00000000-0005-0000-0000-0000E5880000}"/>
    <cellStyle name="Процентный 4 178 3" xfId="15274" xr:uid="{00000000-0005-0000-0000-0000E6880000}"/>
    <cellStyle name="Процентный 4 178 4" xfId="20614" xr:uid="{00000000-0005-0000-0000-0000E7880000}"/>
    <cellStyle name="Процентный 4 178 5" xfId="25954" xr:uid="{00000000-0005-0000-0000-0000E8880000}"/>
    <cellStyle name="Процентный 4 178 6" xfId="31294" xr:uid="{00000000-0005-0000-0000-0000E9880000}"/>
    <cellStyle name="Процентный 4 178 7" xfId="36634" xr:uid="{00000000-0005-0000-0000-0000EA880000}"/>
    <cellStyle name="Процентный 4 178 8" xfId="41974" xr:uid="{00000000-0005-0000-0000-0000EB880000}"/>
    <cellStyle name="Процентный 4 178 9" xfId="47314" xr:uid="{00000000-0005-0000-0000-0000EC880000}"/>
    <cellStyle name="Процентный 4 179" xfId="4623" xr:uid="{00000000-0005-0000-0000-0000ED880000}"/>
    <cellStyle name="Процентный 4 179 10" xfId="52686" xr:uid="{00000000-0005-0000-0000-0000EE880000}"/>
    <cellStyle name="Процентный 4 179 2" xfId="9966" xr:uid="{00000000-0005-0000-0000-0000EF880000}"/>
    <cellStyle name="Процентный 4 179 2 2" xfId="58027" xr:uid="{00000000-0005-0000-0000-0000F0880000}"/>
    <cellStyle name="Процентный 4 179 3" xfId="15306" xr:uid="{00000000-0005-0000-0000-0000F1880000}"/>
    <cellStyle name="Процентный 4 179 4" xfId="20646" xr:uid="{00000000-0005-0000-0000-0000F2880000}"/>
    <cellStyle name="Процентный 4 179 5" xfId="25986" xr:uid="{00000000-0005-0000-0000-0000F3880000}"/>
    <cellStyle name="Процентный 4 179 6" xfId="31326" xr:uid="{00000000-0005-0000-0000-0000F4880000}"/>
    <cellStyle name="Процентный 4 179 7" xfId="36666" xr:uid="{00000000-0005-0000-0000-0000F5880000}"/>
    <cellStyle name="Процентный 4 179 8" xfId="42006" xr:uid="{00000000-0005-0000-0000-0000F6880000}"/>
    <cellStyle name="Процентный 4 179 9" xfId="47346" xr:uid="{00000000-0005-0000-0000-0000F7880000}"/>
    <cellStyle name="Процентный 4 18" xfId="123" xr:uid="{00000000-0005-0000-0000-0000F8880000}"/>
    <cellStyle name="Процентный 4 18 10" xfId="42845" xr:uid="{00000000-0005-0000-0000-0000F9880000}"/>
    <cellStyle name="Процентный 4 18 11" xfId="48185" xr:uid="{00000000-0005-0000-0000-0000FA880000}"/>
    <cellStyle name="Процентный 4 18 2" xfId="590" xr:uid="{00000000-0005-0000-0000-0000FB880000}"/>
    <cellStyle name="Процентный 4 18 2 10" xfId="48652" xr:uid="{00000000-0005-0000-0000-0000FC880000}"/>
    <cellStyle name="Процентный 4 18 2 2" xfId="5931" xr:uid="{00000000-0005-0000-0000-0000FD880000}"/>
    <cellStyle name="Процентный 4 18 2 2 2" xfId="53993" xr:uid="{00000000-0005-0000-0000-0000FE880000}"/>
    <cellStyle name="Процентный 4 18 2 3" xfId="11272" xr:uid="{00000000-0005-0000-0000-0000FF880000}"/>
    <cellStyle name="Процентный 4 18 2 4" xfId="16612" xr:uid="{00000000-0005-0000-0000-000000890000}"/>
    <cellStyle name="Процентный 4 18 2 5" xfId="21952" xr:uid="{00000000-0005-0000-0000-000001890000}"/>
    <cellStyle name="Процентный 4 18 2 6" xfId="27292" xr:uid="{00000000-0005-0000-0000-000002890000}"/>
    <cellStyle name="Процентный 4 18 2 7" xfId="32632" xr:uid="{00000000-0005-0000-0000-000003890000}"/>
    <cellStyle name="Процентный 4 18 2 8" xfId="37972" xr:uid="{00000000-0005-0000-0000-000004890000}"/>
    <cellStyle name="Процентный 4 18 2 9" xfId="43312" xr:uid="{00000000-0005-0000-0000-000005890000}"/>
    <cellStyle name="Процентный 4 18 3" xfId="5464" xr:uid="{00000000-0005-0000-0000-000006890000}"/>
    <cellStyle name="Процентный 4 18 3 2" xfId="53526" xr:uid="{00000000-0005-0000-0000-000007890000}"/>
    <cellStyle name="Процентный 4 18 4" xfId="10805" xr:uid="{00000000-0005-0000-0000-000008890000}"/>
    <cellStyle name="Процентный 4 18 5" xfId="16145" xr:uid="{00000000-0005-0000-0000-000009890000}"/>
    <cellStyle name="Процентный 4 18 6" xfId="21485" xr:uid="{00000000-0005-0000-0000-00000A890000}"/>
    <cellStyle name="Процентный 4 18 7" xfId="26825" xr:uid="{00000000-0005-0000-0000-00000B890000}"/>
    <cellStyle name="Процентный 4 18 8" xfId="32165" xr:uid="{00000000-0005-0000-0000-00000C890000}"/>
    <cellStyle name="Процентный 4 18 9" xfId="37505" xr:uid="{00000000-0005-0000-0000-00000D890000}"/>
    <cellStyle name="Процентный 4 180" xfId="4655" xr:uid="{00000000-0005-0000-0000-00000E890000}"/>
    <cellStyle name="Процентный 4 180 10" xfId="52718" xr:uid="{00000000-0005-0000-0000-00000F890000}"/>
    <cellStyle name="Процентный 4 180 2" xfId="9998" xr:uid="{00000000-0005-0000-0000-000010890000}"/>
    <cellStyle name="Процентный 4 180 2 2" xfId="58059" xr:uid="{00000000-0005-0000-0000-000011890000}"/>
    <cellStyle name="Процентный 4 180 3" xfId="15338" xr:uid="{00000000-0005-0000-0000-000012890000}"/>
    <cellStyle name="Процентный 4 180 4" xfId="20678" xr:uid="{00000000-0005-0000-0000-000013890000}"/>
    <cellStyle name="Процентный 4 180 5" xfId="26018" xr:uid="{00000000-0005-0000-0000-000014890000}"/>
    <cellStyle name="Процентный 4 180 6" xfId="31358" xr:uid="{00000000-0005-0000-0000-000015890000}"/>
    <cellStyle name="Процентный 4 180 7" xfId="36698" xr:uid="{00000000-0005-0000-0000-000016890000}"/>
    <cellStyle name="Процентный 4 180 8" xfId="42038" xr:uid="{00000000-0005-0000-0000-000017890000}"/>
    <cellStyle name="Процентный 4 180 9" xfId="47378" xr:uid="{00000000-0005-0000-0000-000018890000}"/>
    <cellStyle name="Процентный 4 181" xfId="4687" xr:uid="{00000000-0005-0000-0000-000019890000}"/>
    <cellStyle name="Процентный 4 181 10" xfId="52750" xr:uid="{00000000-0005-0000-0000-00001A890000}"/>
    <cellStyle name="Процентный 4 181 2" xfId="10030" xr:uid="{00000000-0005-0000-0000-00001B890000}"/>
    <cellStyle name="Процентный 4 181 2 2" xfId="58091" xr:uid="{00000000-0005-0000-0000-00001C890000}"/>
    <cellStyle name="Процентный 4 181 3" xfId="15370" xr:uid="{00000000-0005-0000-0000-00001D890000}"/>
    <cellStyle name="Процентный 4 181 4" xfId="20710" xr:uid="{00000000-0005-0000-0000-00001E890000}"/>
    <cellStyle name="Процентный 4 181 5" xfId="26050" xr:uid="{00000000-0005-0000-0000-00001F890000}"/>
    <cellStyle name="Процентный 4 181 6" xfId="31390" xr:uid="{00000000-0005-0000-0000-000020890000}"/>
    <cellStyle name="Процентный 4 181 7" xfId="36730" xr:uid="{00000000-0005-0000-0000-000021890000}"/>
    <cellStyle name="Процентный 4 181 8" xfId="42070" xr:uid="{00000000-0005-0000-0000-000022890000}"/>
    <cellStyle name="Процентный 4 181 9" xfId="47410" xr:uid="{00000000-0005-0000-0000-000023890000}"/>
    <cellStyle name="Процентный 4 182" xfId="4721" xr:uid="{00000000-0005-0000-0000-000024890000}"/>
    <cellStyle name="Процентный 4 182 10" xfId="52784" xr:uid="{00000000-0005-0000-0000-000025890000}"/>
    <cellStyle name="Процентный 4 182 2" xfId="10064" xr:uid="{00000000-0005-0000-0000-000026890000}"/>
    <cellStyle name="Процентный 4 182 2 2" xfId="58125" xr:uid="{00000000-0005-0000-0000-000027890000}"/>
    <cellStyle name="Процентный 4 182 3" xfId="15404" xr:uid="{00000000-0005-0000-0000-000028890000}"/>
    <cellStyle name="Процентный 4 182 4" xfId="20744" xr:uid="{00000000-0005-0000-0000-000029890000}"/>
    <cellStyle name="Процентный 4 182 5" xfId="26084" xr:uid="{00000000-0005-0000-0000-00002A890000}"/>
    <cellStyle name="Процентный 4 182 6" xfId="31424" xr:uid="{00000000-0005-0000-0000-00002B890000}"/>
    <cellStyle name="Процентный 4 182 7" xfId="36764" xr:uid="{00000000-0005-0000-0000-00002C890000}"/>
    <cellStyle name="Процентный 4 182 8" xfId="42104" xr:uid="{00000000-0005-0000-0000-00002D890000}"/>
    <cellStyle name="Процентный 4 182 9" xfId="47444" xr:uid="{00000000-0005-0000-0000-00002E890000}"/>
    <cellStyle name="Процентный 4 183" xfId="4753" xr:uid="{00000000-0005-0000-0000-00002F890000}"/>
    <cellStyle name="Процентный 4 183 10" xfId="52816" xr:uid="{00000000-0005-0000-0000-000030890000}"/>
    <cellStyle name="Процентный 4 183 2" xfId="10096" xr:uid="{00000000-0005-0000-0000-000031890000}"/>
    <cellStyle name="Процентный 4 183 2 2" xfId="58157" xr:uid="{00000000-0005-0000-0000-000032890000}"/>
    <cellStyle name="Процентный 4 183 3" xfId="15436" xr:uid="{00000000-0005-0000-0000-000033890000}"/>
    <cellStyle name="Процентный 4 183 4" xfId="20776" xr:uid="{00000000-0005-0000-0000-000034890000}"/>
    <cellStyle name="Процентный 4 183 5" xfId="26116" xr:uid="{00000000-0005-0000-0000-000035890000}"/>
    <cellStyle name="Процентный 4 183 6" xfId="31456" xr:uid="{00000000-0005-0000-0000-000036890000}"/>
    <cellStyle name="Процентный 4 183 7" xfId="36796" xr:uid="{00000000-0005-0000-0000-000037890000}"/>
    <cellStyle name="Процентный 4 183 8" xfId="42136" xr:uid="{00000000-0005-0000-0000-000038890000}"/>
    <cellStyle name="Процентный 4 183 9" xfId="47476" xr:uid="{00000000-0005-0000-0000-000039890000}"/>
    <cellStyle name="Процентный 4 184" xfId="4785" xr:uid="{00000000-0005-0000-0000-00003A890000}"/>
    <cellStyle name="Процентный 4 184 10" xfId="52848" xr:uid="{00000000-0005-0000-0000-00003B890000}"/>
    <cellStyle name="Процентный 4 184 2" xfId="10128" xr:uid="{00000000-0005-0000-0000-00003C890000}"/>
    <cellStyle name="Процентный 4 184 2 2" xfId="58189" xr:uid="{00000000-0005-0000-0000-00003D890000}"/>
    <cellStyle name="Процентный 4 184 3" xfId="15468" xr:uid="{00000000-0005-0000-0000-00003E890000}"/>
    <cellStyle name="Процентный 4 184 4" xfId="20808" xr:uid="{00000000-0005-0000-0000-00003F890000}"/>
    <cellStyle name="Процентный 4 184 5" xfId="26148" xr:uid="{00000000-0005-0000-0000-000040890000}"/>
    <cellStyle name="Процентный 4 184 6" xfId="31488" xr:uid="{00000000-0005-0000-0000-000041890000}"/>
    <cellStyle name="Процентный 4 184 7" xfId="36828" xr:uid="{00000000-0005-0000-0000-000042890000}"/>
    <cellStyle name="Процентный 4 184 8" xfId="42168" xr:uid="{00000000-0005-0000-0000-000043890000}"/>
    <cellStyle name="Процентный 4 184 9" xfId="47508" xr:uid="{00000000-0005-0000-0000-000044890000}"/>
    <cellStyle name="Процентный 4 185" xfId="4817" xr:uid="{00000000-0005-0000-0000-000045890000}"/>
    <cellStyle name="Процентный 4 185 10" xfId="52880" xr:uid="{00000000-0005-0000-0000-000046890000}"/>
    <cellStyle name="Процентный 4 185 2" xfId="10160" xr:uid="{00000000-0005-0000-0000-000047890000}"/>
    <cellStyle name="Процентный 4 185 2 2" xfId="58221" xr:uid="{00000000-0005-0000-0000-000048890000}"/>
    <cellStyle name="Процентный 4 185 3" xfId="15500" xr:uid="{00000000-0005-0000-0000-000049890000}"/>
    <cellStyle name="Процентный 4 185 4" xfId="20840" xr:uid="{00000000-0005-0000-0000-00004A890000}"/>
    <cellStyle name="Процентный 4 185 5" xfId="26180" xr:uid="{00000000-0005-0000-0000-00004B890000}"/>
    <cellStyle name="Процентный 4 185 6" xfId="31520" xr:uid="{00000000-0005-0000-0000-00004C890000}"/>
    <cellStyle name="Процентный 4 185 7" xfId="36860" xr:uid="{00000000-0005-0000-0000-00004D890000}"/>
    <cellStyle name="Процентный 4 185 8" xfId="42200" xr:uid="{00000000-0005-0000-0000-00004E890000}"/>
    <cellStyle name="Процентный 4 185 9" xfId="47540" xr:uid="{00000000-0005-0000-0000-00004F890000}"/>
    <cellStyle name="Процентный 4 186" xfId="4849" xr:uid="{00000000-0005-0000-0000-000050890000}"/>
    <cellStyle name="Процентный 4 186 10" xfId="52912" xr:uid="{00000000-0005-0000-0000-000051890000}"/>
    <cellStyle name="Процентный 4 186 2" xfId="10192" xr:uid="{00000000-0005-0000-0000-000052890000}"/>
    <cellStyle name="Процентный 4 186 2 2" xfId="58253" xr:uid="{00000000-0005-0000-0000-000053890000}"/>
    <cellStyle name="Процентный 4 186 3" xfId="15532" xr:uid="{00000000-0005-0000-0000-000054890000}"/>
    <cellStyle name="Процентный 4 186 4" xfId="20872" xr:uid="{00000000-0005-0000-0000-000055890000}"/>
    <cellStyle name="Процентный 4 186 5" xfId="26212" xr:uid="{00000000-0005-0000-0000-000056890000}"/>
    <cellStyle name="Процентный 4 186 6" xfId="31552" xr:uid="{00000000-0005-0000-0000-000057890000}"/>
    <cellStyle name="Процентный 4 186 7" xfId="36892" xr:uid="{00000000-0005-0000-0000-000058890000}"/>
    <cellStyle name="Процентный 4 186 8" xfId="42232" xr:uid="{00000000-0005-0000-0000-000059890000}"/>
    <cellStyle name="Процентный 4 186 9" xfId="47572" xr:uid="{00000000-0005-0000-0000-00005A890000}"/>
    <cellStyle name="Процентный 4 187" xfId="4881" xr:uid="{00000000-0005-0000-0000-00005B890000}"/>
    <cellStyle name="Процентный 4 187 10" xfId="52944" xr:uid="{00000000-0005-0000-0000-00005C890000}"/>
    <cellStyle name="Процентный 4 187 2" xfId="10224" xr:uid="{00000000-0005-0000-0000-00005D890000}"/>
    <cellStyle name="Процентный 4 187 2 2" xfId="58285" xr:uid="{00000000-0005-0000-0000-00005E890000}"/>
    <cellStyle name="Процентный 4 187 3" xfId="15564" xr:uid="{00000000-0005-0000-0000-00005F890000}"/>
    <cellStyle name="Процентный 4 187 4" xfId="20904" xr:uid="{00000000-0005-0000-0000-000060890000}"/>
    <cellStyle name="Процентный 4 187 5" xfId="26244" xr:uid="{00000000-0005-0000-0000-000061890000}"/>
    <cellStyle name="Процентный 4 187 6" xfId="31584" xr:uid="{00000000-0005-0000-0000-000062890000}"/>
    <cellStyle name="Процентный 4 187 7" xfId="36924" xr:uid="{00000000-0005-0000-0000-000063890000}"/>
    <cellStyle name="Процентный 4 187 8" xfId="42264" xr:uid="{00000000-0005-0000-0000-000064890000}"/>
    <cellStyle name="Процентный 4 187 9" xfId="47604" xr:uid="{00000000-0005-0000-0000-000065890000}"/>
    <cellStyle name="Процентный 4 188" xfId="4913" xr:uid="{00000000-0005-0000-0000-000066890000}"/>
    <cellStyle name="Процентный 4 188 10" xfId="52976" xr:uid="{00000000-0005-0000-0000-000067890000}"/>
    <cellStyle name="Процентный 4 188 2" xfId="10256" xr:uid="{00000000-0005-0000-0000-000068890000}"/>
    <cellStyle name="Процентный 4 188 2 2" xfId="58317" xr:uid="{00000000-0005-0000-0000-000069890000}"/>
    <cellStyle name="Процентный 4 188 3" xfId="15596" xr:uid="{00000000-0005-0000-0000-00006A890000}"/>
    <cellStyle name="Процентный 4 188 4" xfId="20936" xr:uid="{00000000-0005-0000-0000-00006B890000}"/>
    <cellStyle name="Процентный 4 188 5" xfId="26276" xr:uid="{00000000-0005-0000-0000-00006C890000}"/>
    <cellStyle name="Процентный 4 188 6" xfId="31616" xr:uid="{00000000-0005-0000-0000-00006D890000}"/>
    <cellStyle name="Процентный 4 188 7" xfId="36956" xr:uid="{00000000-0005-0000-0000-00006E890000}"/>
    <cellStyle name="Процентный 4 188 8" xfId="42296" xr:uid="{00000000-0005-0000-0000-00006F890000}"/>
    <cellStyle name="Процентный 4 188 9" xfId="47636" xr:uid="{00000000-0005-0000-0000-000070890000}"/>
    <cellStyle name="Процентный 4 189" xfId="4945" xr:uid="{00000000-0005-0000-0000-000071890000}"/>
    <cellStyle name="Процентный 4 189 10" xfId="53008" xr:uid="{00000000-0005-0000-0000-000072890000}"/>
    <cellStyle name="Процентный 4 189 2" xfId="10288" xr:uid="{00000000-0005-0000-0000-000073890000}"/>
    <cellStyle name="Процентный 4 189 2 2" xfId="58349" xr:uid="{00000000-0005-0000-0000-000074890000}"/>
    <cellStyle name="Процентный 4 189 3" xfId="15628" xr:uid="{00000000-0005-0000-0000-000075890000}"/>
    <cellStyle name="Процентный 4 189 4" xfId="20968" xr:uid="{00000000-0005-0000-0000-000076890000}"/>
    <cellStyle name="Процентный 4 189 5" xfId="26308" xr:uid="{00000000-0005-0000-0000-000077890000}"/>
    <cellStyle name="Процентный 4 189 6" xfId="31648" xr:uid="{00000000-0005-0000-0000-000078890000}"/>
    <cellStyle name="Процентный 4 189 7" xfId="36988" xr:uid="{00000000-0005-0000-0000-000079890000}"/>
    <cellStyle name="Процентный 4 189 8" xfId="42328" xr:uid="{00000000-0005-0000-0000-00007A890000}"/>
    <cellStyle name="Процентный 4 189 9" xfId="47668" xr:uid="{00000000-0005-0000-0000-00007B890000}"/>
    <cellStyle name="Процентный 4 19" xfId="133" xr:uid="{00000000-0005-0000-0000-00007C890000}"/>
    <cellStyle name="Процентный 4 19 10" xfId="42855" xr:uid="{00000000-0005-0000-0000-00007D890000}"/>
    <cellStyle name="Процентный 4 19 11" xfId="48195" xr:uid="{00000000-0005-0000-0000-00007E890000}"/>
    <cellStyle name="Процентный 4 19 2" xfId="600" xr:uid="{00000000-0005-0000-0000-00007F890000}"/>
    <cellStyle name="Процентный 4 19 2 10" xfId="48662" xr:uid="{00000000-0005-0000-0000-000080890000}"/>
    <cellStyle name="Процентный 4 19 2 2" xfId="5941" xr:uid="{00000000-0005-0000-0000-000081890000}"/>
    <cellStyle name="Процентный 4 19 2 2 2" xfId="54003" xr:uid="{00000000-0005-0000-0000-000082890000}"/>
    <cellStyle name="Процентный 4 19 2 3" xfId="11282" xr:uid="{00000000-0005-0000-0000-000083890000}"/>
    <cellStyle name="Процентный 4 19 2 4" xfId="16622" xr:uid="{00000000-0005-0000-0000-000084890000}"/>
    <cellStyle name="Процентный 4 19 2 5" xfId="21962" xr:uid="{00000000-0005-0000-0000-000085890000}"/>
    <cellStyle name="Процентный 4 19 2 6" xfId="27302" xr:uid="{00000000-0005-0000-0000-000086890000}"/>
    <cellStyle name="Процентный 4 19 2 7" xfId="32642" xr:uid="{00000000-0005-0000-0000-000087890000}"/>
    <cellStyle name="Процентный 4 19 2 8" xfId="37982" xr:uid="{00000000-0005-0000-0000-000088890000}"/>
    <cellStyle name="Процентный 4 19 2 9" xfId="43322" xr:uid="{00000000-0005-0000-0000-000089890000}"/>
    <cellStyle name="Процентный 4 19 3" xfId="5474" xr:uid="{00000000-0005-0000-0000-00008A890000}"/>
    <cellStyle name="Процентный 4 19 3 2" xfId="53536" xr:uid="{00000000-0005-0000-0000-00008B890000}"/>
    <cellStyle name="Процентный 4 19 4" xfId="10815" xr:uid="{00000000-0005-0000-0000-00008C890000}"/>
    <cellStyle name="Процентный 4 19 5" xfId="16155" xr:uid="{00000000-0005-0000-0000-00008D890000}"/>
    <cellStyle name="Процентный 4 19 6" xfId="21495" xr:uid="{00000000-0005-0000-0000-00008E890000}"/>
    <cellStyle name="Процентный 4 19 7" xfId="26835" xr:uid="{00000000-0005-0000-0000-00008F890000}"/>
    <cellStyle name="Процентный 4 19 8" xfId="32175" xr:uid="{00000000-0005-0000-0000-000090890000}"/>
    <cellStyle name="Процентный 4 19 9" xfId="37515" xr:uid="{00000000-0005-0000-0000-000091890000}"/>
    <cellStyle name="Процентный 4 190" xfId="4977" xr:uid="{00000000-0005-0000-0000-000092890000}"/>
    <cellStyle name="Процентный 4 190 10" xfId="53040" xr:uid="{00000000-0005-0000-0000-000093890000}"/>
    <cellStyle name="Процентный 4 190 2" xfId="10320" xr:uid="{00000000-0005-0000-0000-000094890000}"/>
    <cellStyle name="Процентный 4 190 2 2" xfId="58381" xr:uid="{00000000-0005-0000-0000-000095890000}"/>
    <cellStyle name="Процентный 4 190 3" xfId="15660" xr:uid="{00000000-0005-0000-0000-000096890000}"/>
    <cellStyle name="Процентный 4 190 4" xfId="21000" xr:uid="{00000000-0005-0000-0000-000097890000}"/>
    <cellStyle name="Процентный 4 190 5" xfId="26340" xr:uid="{00000000-0005-0000-0000-000098890000}"/>
    <cellStyle name="Процентный 4 190 6" xfId="31680" xr:uid="{00000000-0005-0000-0000-000099890000}"/>
    <cellStyle name="Процентный 4 190 7" xfId="37020" xr:uid="{00000000-0005-0000-0000-00009A890000}"/>
    <cellStyle name="Процентный 4 190 8" xfId="42360" xr:uid="{00000000-0005-0000-0000-00009B890000}"/>
    <cellStyle name="Процентный 4 190 9" xfId="47700" xr:uid="{00000000-0005-0000-0000-00009C890000}"/>
    <cellStyle name="Процентный 4 191" xfId="5009" xr:uid="{00000000-0005-0000-0000-00009D890000}"/>
    <cellStyle name="Процентный 4 191 10" xfId="53072" xr:uid="{00000000-0005-0000-0000-00009E890000}"/>
    <cellStyle name="Процентный 4 191 2" xfId="10352" xr:uid="{00000000-0005-0000-0000-00009F890000}"/>
    <cellStyle name="Процентный 4 191 2 2" xfId="58413" xr:uid="{00000000-0005-0000-0000-0000A0890000}"/>
    <cellStyle name="Процентный 4 191 3" xfId="15692" xr:uid="{00000000-0005-0000-0000-0000A1890000}"/>
    <cellStyle name="Процентный 4 191 4" xfId="21032" xr:uid="{00000000-0005-0000-0000-0000A2890000}"/>
    <cellStyle name="Процентный 4 191 5" xfId="26372" xr:uid="{00000000-0005-0000-0000-0000A3890000}"/>
    <cellStyle name="Процентный 4 191 6" xfId="31712" xr:uid="{00000000-0005-0000-0000-0000A4890000}"/>
    <cellStyle name="Процентный 4 191 7" xfId="37052" xr:uid="{00000000-0005-0000-0000-0000A5890000}"/>
    <cellStyle name="Процентный 4 191 8" xfId="42392" xr:uid="{00000000-0005-0000-0000-0000A6890000}"/>
    <cellStyle name="Процентный 4 191 9" xfId="47732" xr:uid="{00000000-0005-0000-0000-0000A7890000}"/>
    <cellStyle name="Процентный 4 192" xfId="5041" xr:uid="{00000000-0005-0000-0000-0000A8890000}"/>
    <cellStyle name="Процентный 4 192 10" xfId="53104" xr:uid="{00000000-0005-0000-0000-0000A9890000}"/>
    <cellStyle name="Процентный 4 192 2" xfId="10384" xr:uid="{00000000-0005-0000-0000-0000AA890000}"/>
    <cellStyle name="Процентный 4 192 2 2" xfId="58445" xr:uid="{00000000-0005-0000-0000-0000AB890000}"/>
    <cellStyle name="Процентный 4 192 3" xfId="15724" xr:uid="{00000000-0005-0000-0000-0000AC890000}"/>
    <cellStyle name="Процентный 4 192 4" xfId="21064" xr:uid="{00000000-0005-0000-0000-0000AD890000}"/>
    <cellStyle name="Процентный 4 192 5" xfId="26404" xr:uid="{00000000-0005-0000-0000-0000AE890000}"/>
    <cellStyle name="Процентный 4 192 6" xfId="31744" xr:uid="{00000000-0005-0000-0000-0000AF890000}"/>
    <cellStyle name="Процентный 4 192 7" xfId="37084" xr:uid="{00000000-0005-0000-0000-0000B0890000}"/>
    <cellStyle name="Процентный 4 192 8" xfId="42424" xr:uid="{00000000-0005-0000-0000-0000B1890000}"/>
    <cellStyle name="Процентный 4 192 9" xfId="47764" xr:uid="{00000000-0005-0000-0000-0000B2890000}"/>
    <cellStyle name="Процентный 4 193" xfId="5073" xr:uid="{00000000-0005-0000-0000-0000B3890000}"/>
    <cellStyle name="Процентный 4 193 10" xfId="53136" xr:uid="{00000000-0005-0000-0000-0000B4890000}"/>
    <cellStyle name="Процентный 4 193 2" xfId="10416" xr:uid="{00000000-0005-0000-0000-0000B5890000}"/>
    <cellStyle name="Процентный 4 193 2 2" xfId="58477" xr:uid="{00000000-0005-0000-0000-0000B6890000}"/>
    <cellStyle name="Процентный 4 193 3" xfId="15756" xr:uid="{00000000-0005-0000-0000-0000B7890000}"/>
    <cellStyle name="Процентный 4 193 4" xfId="21096" xr:uid="{00000000-0005-0000-0000-0000B8890000}"/>
    <cellStyle name="Процентный 4 193 5" xfId="26436" xr:uid="{00000000-0005-0000-0000-0000B9890000}"/>
    <cellStyle name="Процентный 4 193 6" xfId="31776" xr:uid="{00000000-0005-0000-0000-0000BA890000}"/>
    <cellStyle name="Процентный 4 193 7" xfId="37116" xr:uid="{00000000-0005-0000-0000-0000BB890000}"/>
    <cellStyle name="Процентный 4 193 8" xfId="42456" xr:uid="{00000000-0005-0000-0000-0000BC890000}"/>
    <cellStyle name="Процентный 4 193 9" xfId="47796" xr:uid="{00000000-0005-0000-0000-0000BD890000}"/>
    <cellStyle name="Процентный 4 194" xfId="5105" xr:uid="{00000000-0005-0000-0000-0000BE890000}"/>
    <cellStyle name="Процентный 4 194 10" xfId="53168" xr:uid="{00000000-0005-0000-0000-0000BF890000}"/>
    <cellStyle name="Процентный 4 194 2" xfId="10448" xr:uid="{00000000-0005-0000-0000-0000C0890000}"/>
    <cellStyle name="Процентный 4 194 2 2" xfId="58509" xr:uid="{00000000-0005-0000-0000-0000C1890000}"/>
    <cellStyle name="Процентный 4 194 3" xfId="15788" xr:uid="{00000000-0005-0000-0000-0000C2890000}"/>
    <cellStyle name="Процентный 4 194 4" xfId="21128" xr:uid="{00000000-0005-0000-0000-0000C3890000}"/>
    <cellStyle name="Процентный 4 194 5" xfId="26468" xr:uid="{00000000-0005-0000-0000-0000C4890000}"/>
    <cellStyle name="Процентный 4 194 6" xfId="31808" xr:uid="{00000000-0005-0000-0000-0000C5890000}"/>
    <cellStyle name="Процентный 4 194 7" xfId="37148" xr:uid="{00000000-0005-0000-0000-0000C6890000}"/>
    <cellStyle name="Процентный 4 194 8" xfId="42488" xr:uid="{00000000-0005-0000-0000-0000C7890000}"/>
    <cellStyle name="Процентный 4 194 9" xfId="47828" xr:uid="{00000000-0005-0000-0000-0000C8890000}"/>
    <cellStyle name="Процентный 4 195" xfId="5137" xr:uid="{00000000-0005-0000-0000-0000C9890000}"/>
    <cellStyle name="Процентный 4 195 10" xfId="53200" xr:uid="{00000000-0005-0000-0000-0000CA890000}"/>
    <cellStyle name="Процентный 4 195 2" xfId="10480" xr:uid="{00000000-0005-0000-0000-0000CB890000}"/>
    <cellStyle name="Процентный 4 195 2 2" xfId="58541" xr:uid="{00000000-0005-0000-0000-0000CC890000}"/>
    <cellStyle name="Процентный 4 195 3" xfId="15820" xr:uid="{00000000-0005-0000-0000-0000CD890000}"/>
    <cellStyle name="Процентный 4 195 4" xfId="21160" xr:uid="{00000000-0005-0000-0000-0000CE890000}"/>
    <cellStyle name="Процентный 4 195 5" xfId="26500" xr:uid="{00000000-0005-0000-0000-0000CF890000}"/>
    <cellStyle name="Процентный 4 195 6" xfId="31840" xr:uid="{00000000-0005-0000-0000-0000D0890000}"/>
    <cellStyle name="Процентный 4 195 7" xfId="37180" xr:uid="{00000000-0005-0000-0000-0000D1890000}"/>
    <cellStyle name="Процентный 4 195 8" xfId="42520" xr:uid="{00000000-0005-0000-0000-0000D2890000}"/>
    <cellStyle name="Процентный 4 195 9" xfId="47860" xr:uid="{00000000-0005-0000-0000-0000D3890000}"/>
    <cellStyle name="Процентный 4 196" xfId="5169" xr:uid="{00000000-0005-0000-0000-0000D4890000}"/>
    <cellStyle name="Процентный 4 196 10" xfId="53232" xr:uid="{00000000-0005-0000-0000-0000D5890000}"/>
    <cellStyle name="Процентный 4 196 2" xfId="10512" xr:uid="{00000000-0005-0000-0000-0000D6890000}"/>
    <cellStyle name="Процентный 4 196 2 2" xfId="58573" xr:uid="{00000000-0005-0000-0000-0000D7890000}"/>
    <cellStyle name="Процентный 4 196 3" xfId="15852" xr:uid="{00000000-0005-0000-0000-0000D8890000}"/>
    <cellStyle name="Процентный 4 196 4" xfId="21192" xr:uid="{00000000-0005-0000-0000-0000D9890000}"/>
    <cellStyle name="Процентный 4 196 5" xfId="26532" xr:uid="{00000000-0005-0000-0000-0000DA890000}"/>
    <cellStyle name="Процентный 4 196 6" xfId="31872" xr:uid="{00000000-0005-0000-0000-0000DB890000}"/>
    <cellStyle name="Процентный 4 196 7" xfId="37212" xr:uid="{00000000-0005-0000-0000-0000DC890000}"/>
    <cellStyle name="Процентный 4 196 8" xfId="42552" xr:uid="{00000000-0005-0000-0000-0000DD890000}"/>
    <cellStyle name="Процентный 4 196 9" xfId="47892" xr:uid="{00000000-0005-0000-0000-0000DE890000}"/>
    <cellStyle name="Процентный 4 197" xfId="5201" xr:uid="{00000000-0005-0000-0000-0000DF890000}"/>
    <cellStyle name="Процентный 4 197 10" xfId="53264" xr:uid="{00000000-0005-0000-0000-0000E0890000}"/>
    <cellStyle name="Процентный 4 197 2" xfId="10544" xr:uid="{00000000-0005-0000-0000-0000E1890000}"/>
    <cellStyle name="Процентный 4 197 2 2" xfId="58605" xr:uid="{00000000-0005-0000-0000-0000E2890000}"/>
    <cellStyle name="Процентный 4 197 3" xfId="15884" xr:uid="{00000000-0005-0000-0000-0000E3890000}"/>
    <cellStyle name="Процентный 4 197 4" xfId="21224" xr:uid="{00000000-0005-0000-0000-0000E4890000}"/>
    <cellStyle name="Процентный 4 197 5" xfId="26564" xr:uid="{00000000-0005-0000-0000-0000E5890000}"/>
    <cellStyle name="Процентный 4 197 6" xfId="31904" xr:uid="{00000000-0005-0000-0000-0000E6890000}"/>
    <cellStyle name="Процентный 4 197 7" xfId="37244" xr:uid="{00000000-0005-0000-0000-0000E7890000}"/>
    <cellStyle name="Процентный 4 197 8" xfId="42584" xr:uid="{00000000-0005-0000-0000-0000E8890000}"/>
    <cellStyle name="Процентный 4 197 9" xfId="47924" xr:uid="{00000000-0005-0000-0000-0000E9890000}"/>
    <cellStyle name="Процентный 4 198" xfId="5233" xr:uid="{00000000-0005-0000-0000-0000EA890000}"/>
    <cellStyle name="Процентный 4 198 10" xfId="53296" xr:uid="{00000000-0005-0000-0000-0000EB890000}"/>
    <cellStyle name="Процентный 4 198 2" xfId="10576" xr:uid="{00000000-0005-0000-0000-0000EC890000}"/>
    <cellStyle name="Процентный 4 198 2 2" xfId="58637" xr:uid="{00000000-0005-0000-0000-0000ED890000}"/>
    <cellStyle name="Процентный 4 198 3" xfId="15916" xr:uid="{00000000-0005-0000-0000-0000EE890000}"/>
    <cellStyle name="Процентный 4 198 4" xfId="21256" xr:uid="{00000000-0005-0000-0000-0000EF890000}"/>
    <cellStyle name="Процентный 4 198 5" xfId="26596" xr:uid="{00000000-0005-0000-0000-0000F0890000}"/>
    <cellStyle name="Процентный 4 198 6" xfId="31936" xr:uid="{00000000-0005-0000-0000-0000F1890000}"/>
    <cellStyle name="Процентный 4 198 7" xfId="37276" xr:uid="{00000000-0005-0000-0000-0000F2890000}"/>
    <cellStyle name="Процентный 4 198 8" xfId="42616" xr:uid="{00000000-0005-0000-0000-0000F3890000}"/>
    <cellStyle name="Процентный 4 198 9" xfId="47956" xr:uid="{00000000-0005-0000-0000-0000F4890000}"/>
    <cellStyle name="Процентный 4 199" xfId="5265" xr:uid="{00000000-0005-0000-0000-0000F5890000}"/>
    <cellStyle name="Процентный 4 199 10" xfId="53328" xr:uid="{00000000-0005-0000-0000-0000F6890000}"/>
    <cellStyle name="Процентный 4 199 2" xfId="10608" xr:uid="{00000000-0005-0000-0000-0000F7890000}"/>
    <cellStyle name="Процентный 4 199 2 2" xfId="58669" xr:uid="{00000000-0005-0000-0000-0000F8890000}"/>
    <cellStyle name="Процентный 4 199 3" xfId="15948" xr:uid="{00000000-0005-0000-0000-0000F9890000}"/>
    <cellStyle name="Процентный 4 199 4" xfId="21288" xr:uid="{00000000-0005-0000-0000-0000FA890000}"/>
    <cellStyle name="Процентный 4 199 5" xfId="26628" xr:uid="{00000000-0005-0000-0000-0000FB890000}"/>
    <cellStyle name="Процентный 4 199 6" xfId="31968" xr:uid="{00000000-0005-0000-0000-0000FC890000}"/>
    <cellStyle name="Процентный 4 199 7" xfId="37308" xr:uid="{00000000-0005-0000-0000-0000FD890000}"/>
    <cellStyle name="Процентный 4 199 8" xfId="42648" xr:uid="{00000000-0005-0000-0000-0000FE890000}"/>
    <cellStyle name="Процентный 4 199 9" xfId="47988" xr:uid="{00000000-0005-0000-0000-0000FF890000}"/>
    <cellStyle name="Процентный 4 2" xfId="57" xr:uid="{00000000-0005-0000-0000-0000008A0000}"/>
    <cellStyle name="Процентный 4 2 10" xfId="177" xr:uid="{00000000-0005-0000-0000-0000018A0000}"/>
    <cellStyle name="Процентный 4 2 10 10" xfId="42899" xr:uid="{00000000-0005-0000-0000-0000028A0000}"/>
    <cellStyle name="Процентный 4 2 10 11" xfId="48239" xr:uid="{00000000-0005-0000-0000-0000038A0000}"/>
    <cellStyle name="Процентный 4 2 10 2" xfId="644" xr:uid="{00000000-0005-0000-0000-0000048A0000}"/>
    <cellStyle name="Процентный 4 2 10 2 10" xfId="48706" xr:uid="{00000000-0005-0000-0000-0000058A0000}"/>
    <cellStyle name="Процентный 4 2 10 2 2" xfId="5985" xr:uid="{00000000-0005-0000-0000-0000068A0000}"/>
    <cellStyle name="Процентный 4 2 10 2 2 2" xfId="54047" xr:uid="{00000000-0005-0000-0000-0000078A0000}"/>
    <cellStyle name="Процентный 4 2 10 2 3" xfId="11326" xr:uid="{00000000-0005-0000-0000-0000088A0000}"/>
    <cellStyle name="Процентный 4 2 10 2 4" xfId="16666" xr:uid="{00000000-0005-0000-0000-0000098A0000}"/>
    <cellStyle name="Процентный 4 2 10 2 5" xfId="22006" xr:uid="{00000000-0005-0000-0000-00000A8A0000}"/>
    <cellStyle name="Процентный 4 2 10 2 6" xfId="27346" xr:uid="{00000000-0005-0000-0000-00000B8A0000}"/>
    <cellStyle name="Процентный 4 2 10 2 7" xfId="32686" xr:uid="{00000000-0005-0000-0000-00000C8A0000}"/>
    <cellStyle name="Процентный 4 2 10 2 8" xfId="38026" xr:uid="{00000000-0005-0000-0000-00000D8A0000}"/>
    <cellStyle name="Процентный 4 2 10 2 9" xfId="43366" xr:uid="{00000000-0005-0000-0000-00000E8A0000}"/>
    <cellStyle name="Процентный 4 2 10 3" xfId="5518" xr:uid="{00000000-0005-0000-0000-00000F8A0000}"/>
    <cellStyle name="Процентный 4 2 10 3 2" xfId="53580" xr:uid="{00000000-0005-0000-0000-0000108A0000}"/>
    <cellStyle name="Процентный 4 2 10 4" xfId="10859" xr:uid="{00000000-0005-0000-0000-0000118A0000}"/>
    <cellStyle name="Процентный 4 2 10 5" xfId="16199" xr:uid="{00000000-0005-0000-0000-0000128A0000}"/>
    <cellStyle name="Процентный 4 2 10 6" xfId="21539" xr:uid="{00000000-0005-0000-0000-0000138A0000}"/>
    <cellStyle name="Процентный 4 2 10 7" xfId="26879" xr:uid="{00000000-0005-0000-0000-0000148A0000}"/>
    <cellStyle name="Процентный 4 2 10 8" xfId="32219" xr:uid="{00000000-0005-0000-0000-0000158A0000}"/>
    <cellStyle name="Процентный 4 2 10 9" xfId="37559" xr:uid="{00000000-0005-0000-0000-0000168A0000}"/>
    <cellStyle name="Процентный 4 2 100" xfId="2510" xr:uid="{00000000-0005-0000-0000-0000178A0000}"/>
    <cellStyle name="Процентный 4 2 100 10" xfId="50574" xr:uid="{00000000-0005-0000-0000-0000188A0000}"/>
    <cellStyle name="Процентный 4 2 100 2" xfId="7853" xr:uid="{00000000-0005-0000-0000-0000198A0000}"/>
    <cellStyle name="Процентный 4 2 100 2 2" xfId="55915" xr:uid="{00000000-0005-0000-0000-00001A8A0000}"/>
    <cellStyle name="Процентный 4 2 100 3" xfId="13194" xr:uid="{00000000-0005-0000-0000-00001B8A0000}"/>
    <cellStyle name="Процентный 4 2 100 4" xfId="18534" xr:uid="{00000000-0005-0000-0000-00001C8A0000}"/>
    <cellStyle name="Процентный 4 2 100 5" xfId="23874" xr:uid="{00000000-0005-0000-0000-00001D8A0000}"/>
    <cellStyle name="Процентный 4 2 100 6" xfId="29214" xr:uid="{00000000-0005-0000-0000-00001E8A0000}"/>
    <cellStyle name="Процентный 4 2 100 7" xfId="34554" xr:uid="{00000000-0005-0000-0000-00001F8A0000}"/>
    <cellStyle name="Процентный 4 2 100 8" xfId="39894" xr:uid="{00000000-0005-0000-0000-0000208A0000}"/>
    <cellStyle name="Процентный 4 2 100 9" xfId="45234" xr:uid="{00000000-0005-0000-0000-0000218A0000}"/>
    <cellStyle name="Процентный 4 2 101" xfId="2544" xr:uid="{00000000-0005-0000-0000-0000228A0000}"/>
    <cellStyle name="Процентный 4 2 101 10" xfId="50608" xr:uid="{00000000-0005-0000-0000-0000238A0000}"/>
    <cellStyle name="Процентный 4 2 101 2" xfId="7887" xr:uid="{00000000-0005-0000-0000-0000248A0000}"/>
    <cellStyle name="Процентный 4 2 101 2 2" xfId="55949" xr:uid="{00000000-0005-0000-0000-0000258A0000}"/>
    <cellStyle name="Процентный 4 2 101 3" xfId="13228" xr:uid="{00000000-0005-0000-0000-0000268A0000}"/>
    <cellStyle name="Процентный 4 2 101 4" xfId="18568" xr:uid="{00000000-0005-0000-0000-0000278A0000}"/>
    <cellStyle name="Процентный 4 2 101 5" xfId="23908" xr:uid="{00000000-0005-0000-0000-0000288A0000}"/>
    <cellStyle name="Процентный 4 2 101 6" xfId="29248" xr:uid="{00000000-0005-0000-0000-0000298A0000}"/>
    <cellStyle name="Процентный 4 2 101 7" xfId="34588" xr:uid="{00000000-0005-0000-0000-00002A8A0000}"/>
    <cellStyle name="Процентный 4 2 101 8" xfId="39928" xr:uid="{00000000-0005-0000-0000-00002B8A0000}"/>
    <cellStyle name="Процентный 4 2 101 9" xfId="45268" xr:uid="{00000000-0005-0000-0000-00002C8A0000}"/>
    <cellStyle name="Процентный 4 2 102" xfId="2576" xr:uid="{00000000-0005-0000-0000-00002D8A0000}"/>
    <cellStyle name="Процентный 4 2 102 10" xfId="50640" xr:uid="{00000000-0005-0000-0000-00002E8A0000}"/>
    <cellStyle name="Процентный 4 2 102 2" xfId="7919" xr:uid="{00000000-0005-0000-0000-00002F8A0000}"/>
    <cellStyle name="Процентный 4 2 102 2 2" xfId="55981" xr:uid="{00000000-0005-0000-0000-0000308A0000}"/>
    <cellStyle name="Процентный 4 2 102 3" xfId="13260" xr:uid="{00000000-0005-0000-0000-0000318A0000}"/>
    <cellStyle name="Процентный 4 2 102 4" xfId="18600" xr:uid="{00000000-0005-0000-0000-0000328A0000}"/>
    <cellStyle name="Процентный 4 2 102 5" xfId="23940" xr:uid="{00000000-0005-0000-0000-0000338A0000}"/>
    <cellStyle name="Процентный 4 2 102 6" xfId="29280" xr:uid="{00000000-0005-0000-0000-0000348A0000}"/>
    <cellStyle name="Процентный 4 2 102 7" xfId="34620" xr:uid="{00000000-0005-0000-0000-0000358A0000}"/>
    <cellStyle name="Процентный 4 2 102 8" xfId="39960" xr:uid="{00000000-0005-0000-0000-0000368A0000}"/>
    <cellStyle name="Процентный 4 2 102 9" xfId="45300" xr:uid="{00000000-0005-0000-0000-0000378A0000}"/>
    <cellStyle name="Процентный 4 2 103" xfId="2608" xr:uid="{00000000-0005-0000-0000-0000388A0000}"/>
    <cellStyle name="Процентный 4 2 103 10" xfId="50672" xr:uid="{00000000-0005-0000-0000-0000398A0000}"/>
    <cellStyle name="Процентный 4 2 103 2" xfId="7951" xr:uid="{00000000-0005-0000-0000-00003A8A0000}"/>
    <cellStyle name="Процентный 4 2 103 2 2" xfId="56013" xr:uid="{00000000-0005-0000-0000-00003B8A0000}"/>
    <cellStyle name="Процентный 4 2 103 3" xfId="13292" xr:uid="{00000000-0005-0000-0000-00003C8A0000}"/>
    <cellStyle name="Процентный 4 2 103 4" xfId="18632" xr:uid="{00000000-0005-0000-0000-00003D8A0000}"/>
    <cellStyle name="Процентный 4 2 103 5" xfId="23972" xr:uid="{00000000-0005-0000-0000-00003E8A0000}"/>
    <cellStyle name="Процентный 4 2 103 6" xfId="29312" xr:uid="{00000000-0005-0000-0000-00003F8A0000}"/>
    <cellStyle name="Процентный 4 2 103 7" xfId="34652" xr:uid="{00000000-0005-0000-0000-0000408A0000}"/>
    <cellStyle name="Процентный 4 2 103 8" xfId="39992" xr:uid="{00000000-0005-0000-0000-0000418A0000}"/>
    <cellStyle name="Процентный 4 2 103 9" xfId="45332" xr:uid="{00000000-0005-0000-0000-0000428A0000}"/>
    <cellStyle name="Процентный 4 2 104" xfId="2640" xr:uid="{00000000-0005-0000-0000-0000438A0000}"/>
    <cellStyle name="Процентный 4 2 104 10" xfId="50704" xr:uid="{00000000-0005-0000-0000-0000448A0000}"/>
    <cellStyle name="Процентный 4 2 104 2" xfId="7983" xr:uid="{00000000-0005-0000-0000-0000458A0000}"/>
    <cellStyle name="Процентный 4 2 104 2 2" xfId="56045" xr:uid="{00000000-0005-0000-0000-0000468A0000}"/>
    <cellStyle name="Процентный 4 2 104 3" xfId="13324" xr:uid="{00000000-0005-0000-0000-0000478A0000}"/>
    <cellStyle name="Процентный 4 2 104 4" xfId="18664" xr:uid="{00000000-0005-0000-0000-0000488A0000}"/>
    <cellStyle name="Процентный 4 2 104 5" xfId="24004" xr:uid="{00000000-0005-0000-0000-0000498A0000}"/>
    <cellStyle name="Процентный 4 2 104 6" xfId="29344" xr:uid="{00000000-0005-0000-0000-00004A8A0000}"/>
    <cellStyle name="Процентный 4 2 104 7" xfId="34684" xr:uid="{00000000-0005-0000-0000-00004B8A0000}"/>
    <cellStyle name="Процентный 4 2 104 8" xfId="40024" xr:uid="{00000000-0005-0000-0000-00004C8A0000}"/>
    <cellStyle name="Процентный 4 2 104 9" xfId="45364" xr:uid="{00000000-0005-0000-0000-00004D8A0000}"/>
    <cellStyle name="Процентный 4 2 105" xfId="2672" xr:uid="{00000000-0005-0000-0000-00004E8A0000}"/>
    <cellStyle name="Процентный 4 2 105 10" xfId="50736" xr:uid="{00000000-0005-0000-0000-00004F8A0000}"/>
    <cellStyle name="Процентный 4 2 105 2" xfId="8015" xr:uid="{00000000-0005-0000-0000-0000508A0000}"/>
    <cellStyle name="Процентный 4 2 105 2 2" xfId="56077" xr:uid="{00000000-0005-0000-0000-0000518A0000}"/>
    <cellStyle name="Процентный 4 2 105 3" xfId="13356" xr:uid="{00000000-0005-0000-0000-0000528A0000}"/>
    <cellStyle name="Процентный 4 2 105 4" xfId="18696" xr:uid="{00000000-0005-0000-0000-0000538A0000}"/>
    <cellStyle name="Процентный 4 2 105 5" xfId="24036" xr:uid="{00000000-0005-0000-0000-0000548A0000}"/>
    <cellStyle name="Процентный 4 2 105 6" xfId="29376" xr:uid="{00000000-0005-0000-0000-0000558A0000}"/>
    <cellStyle name="Процентный 4 2 105 7" xfId="34716" xr:uid="{00000000-0005-0000-0000-0000568A0000}"/>
    <cellStyle name="Процентный 4 2 105 8" xfId="40056" xr:uid="{00000000-0005-0000-0000-0000578A0000}"/>
    <cellStyle name="Процентный 4 2 105 9" xfId="45396" xr:uid="{00000000-0005-0000-0000-0000588A0000}"/>
    <cellStyle name="Процентный 4 2 106" xfId="2704" xr:uid="{00000000-0005-0000-0000-0000598A0000}"/>
    <cellStyle name="Процентный 4 2 106 10" xfId="50768" xr:uid="{00000000-0005-0000-0000-00005A8A0000}"/>
    <cellStyle name="Процентный 4 2 106 2" xfId="8047" xr:uid="{00000000-0005-0000-0000-00005B8A0000}"/>
    <cellStyle name="Процентный 4 2 106 2 2" xfId="56109" xr:uid="{00000000-0005-0000-0000-00005C8A0000}"/>
    <cellStyle name="Процентный 4 2 106 3" xfId="13388" xr:uid="{00000000-0005-0000-0000-00005D8A0000}"/>
    <cellStyle name="Процентный 4 2 106 4" xfId="18728" xr:uid="{00000000-0005-0000-0000-00005E8A0000}"/>
    <cellStyle name="Процентный 4 2 106 5" xfId="24068" xr:uid="{00000000-0005-0000-0000-00005F8A0000}"/>
    <cellStyle name="Процентный 4 2 106 6" xfId="29408" xr:uid="{00000000-0005-0000-0000-0000608A0000}"/>
    <cellStyle name="Процентный 4 2 106 7" xfId="34748" xr:uid="{00000000-0005-0000-0000-0000618A0000}"/>
    <cellStyle name="Процентный 4 2 106 8" xfId="40088" xr:uid="{00000000-0005-0000-0000-0000628A0000}"/>
    <cellStyle name="Процентный 4 2 106 9" xfId="45428" xr:uid="{00000000-0005-0000-0000-0000638A0000}"/>
    <cellStyle name="Процентный 4 2 107" xfId="2736" xr:uid="{00000000-0005-0000-0000-0000648A0000}"/>
    <cellStyle name="Процентный 4 2 107 10" xfId="50800" xr:uid="{00000000-0005-0000-0000-0000658A0000}"/>
    <cellStyle name="Процентный 4 2 107 2" xfId="8079" xr:uid="{00000000-0005-0000-0000-0000668A0000}"/>
    <cellStyle name="Процентный 4 2 107 2 2" xfId="56141" xr:uid="{00000000-0005-0000-0000-0000678A0000}"/>
    <cellStyle name="Процентный 4 2 107 3" xfId="13420" xr:uid="{00000000-0005-0000-0000-0000688A0000}"/>
    <cellStyle name="Процентный 4 2 107 4" xfId="18760" xr:uid="{00000000-0005-0000-0000-0000698A0000}"/>
    <cellStyle name="Процентный 4 2 107 5" xfId="24100" xr:uid="{00000000-0005-0000-0000-00006A8A0000}"/>
    <cellStyle name="Процентный 4 2 107 6" xfId="29440" xr:uid="{00000000-0005-0000-0000-00006B8A0000}"/>
    <cellStyle name="Процентный 4 2 107 7" xfId="34780" xr:uid="{00000000-0005-0000-0000-00006C8A0000}"/>
    <cellStyle name="Процентный 4 2 107 8" xfId="40120" xr:uid="{00000000-0005-0000-0000-00006D8A0000}"/>
    <cellStyle name="Процентный 4 2 107 9" xfId="45460" xr:uid="{00000000-0005-0000-0000-00006E8A0000}"/>
    <cellStyle name="Процентный 4 2 108" xfId="2770" xr:uid="{00000000-0005-0000-0000-00006F8A0000}"/>
    <cellStyle name="Процентный 4 2 108 10" xfId="50834" xr:uid="{00000000-0005-0000-0000-0000708A0000}"/>
    <cellStyle name="Процентный 4 2 108 2" xfId="8113" xr:uid="{00000000-0005-0000-0000-0000718A0000}"/>
    <cellStyle name="Процентный 4 2 108 2 2" xfId="56175" xr:uid="{00000000-0005-0000-0000-0000728A0000}"/>
    <cellStyle name="Процентный 4 2 108 3" xfId="13454" xr:uid="{00000000-0005-0000-0000-0000738A0000}"/>
    <cellStyle name="Процентный 4 2 108 4" xfId="18794" xr:uid="{00000000-0005-0000-0000-0000748A0000}"/>
    <cellStyle name="Процентный 4 2 108 5" xfId="24134" xr:uid="{00000000-0005-0000-0000-0000758A0000}"/>
    <cellStyle name="Процентный 4 2 108 6" xfId="29474" xr:uid="{00000000-0005-0000-0000-0000768A0000}"/>
    <cellStyle name="Процентный 4 2 108 7" xfId="34814" xr:uid="{00000000-0005-0000-0000-0000778A0000}"/>
    <cellStyle name="Процентный 4 2 108 8" xfId="40154" xr:uid="{00000000-0005-0000-0000-0000788A0000}"/>
    <cellStyle name="Процентный 4 2 108 9" xfId="45494" xr:uid="{00000000-0005-0000-0000-0000798A0000}"/>
    <cellStyle name="Процентный 4 2 109" xfId="2802" xr:uid="{00000000-0005-0000-0000-00007A8A0000}"/>
    <cellStyle name="Процентный 4 2 109 10" xfId="50866" xr:uid="{00000000-0005-0000-0000-00007B8A0000}"/>
    <cellStyle name="Процентный 4 2 109 2" xfId="8145" xr:uid="{00000000-0005-0000-0000-00007C8A0000}"/>
    <cellStyle name="Процентный 4 2 109 2 2" xfId="56207" xr:uid="{00000000-0005-0000-0000-00007D8A0000}"/>
    <cellStyle name="Процентный 4 2 109 3" xfId="13486" xr:uid="{00000000-0005-0000-0000-00007E8A0000}"/>
    <cellStyle name="Процентный 4 2 109 4" xfId="18826" xr:uid="{00000000-0005-0000-0000-00007F8A0000}"/>
    <cellStyle name="Процентный 4 2 109 5" xfId="24166" xr:uid="{00000000-0005-0000-0000-0000808A0000}"/>
    <cellStyle name="Процентный 4 2 109 6" xfId="29506" xr:uid="{00000000-0005-0000-0000-0000818A0000}"/>
    <cellStyle name="Процентный 4 2 109 7" xfId="34846" xr:uid="{00000000-0005-0000-0000-0000828A0000}"/>
    <cellStyle name="Процентный 4 2 109 8" xfId="40186" xr:uid="{00000000-0005-0000-0000-0000838A0000}"/>
    <cellStyle name="Процентный 4 2 109 9" xfId="45526" xr:uid="{00000000-0005-0000-0000-0000848A0000}"/>
    <cellStyle name="Процентный 4 2 11" xfId="187" xr:uid="{00000000-0005-0000-0000-0000858A0000}"/>
    <cellStyle name="Процентный 4 2 11 10" xfId="42909" xr:uid="{00000000-0005-0000-0000-0000868A0000}"/>
    <cellStyle name="Процентный 4 2 11 11" xfId="48249" xr:uid="{00000000-0005-0000-0000-0000878A0000}"/>
    <cellStyle name="Процентный 4 2 11 2" xfId="654" xr:uid="{00000000-0005-0000-0000-0000888A0000}"/>
    <cellStyle name="Процентный 4 2 11 2 10" xfId="48716" xr:uid="{00000000-0005-0000-0000-0000898A0000}"/>
    <cellStyle name="Процентный 4 2 11 2 2" xfId="5995" xr:uid="{00000000-0005-0000-0000-00008A8A0000}"/>
    <cellStyle name="Процентный 4 2 11 2 2 2" xfId="54057" xr:uid="{00000000-0005-0000-0000-00008B8A0000}"/>
    <cellStyle name="Процентный 4 2 11 2 3" xfId="11336" xr:uid="{00000000-0005-0000-0000-00008C8A0000}"/>
    <cellStyle name="Процентный 4 2 11 2 4" xfId="16676" xr:uid="{00000000-0005-0000-0000-00008D8A0000}"/>
    <cellStyle name="Процентный 4 2 11 2 5" xfId="22016" xr:uid="{00000000-0005-0000-0000-00008E8A0000}"/>
    <cellStyle name="Процентный 4 2 11 2 6" xfId="27356" xr:uid="{00000000-0005-0000-0000-00008F8A0000}"/>
    <cellStyle name="Процентный 4 2 11 2 7" xfId="32696" xr:uid="{00000000-0005-0000-0000-0000908A0000}"/>
    <cellStyle name="Процентный 4 2 11 2 8" xfId="38036" xr:uid="{00000000-0005-0000-0000-0000918A0000}"/>
    <cellStyle name="Процентный 4 2 11 2 9" xfId="43376" xr:uid="{00000000-0005-0000-0000-0000928A0000}"/>
    <cellStyle name="Процентный 4 2 11 3" xfId="5528" xr:uid="{00000000-0005-0000-0000-0000938A0000}"/>
    <cellStyle name="Процентный 4 2 11 3 2" xfId="53590" xr:uid="{00000000-0005-0000-0000-0000948A0000}"/>
    <cellStyle name="Процентный 4 2 11 4" xfId="10869" xr:uid="{00000000-0005-0000-0000-0000958A0000}"/>
    <cellStyle name="Процентный 4 2 11 5" xfId="16209" xr:uid="{00000000-0005-0000-0000-0000968A0000}"/>
    <cellStyle name="Процентный 4 2 11 6" xfId="21549" xr:uid="{00000000-0005-0000-0000-0000978A0000}"/>
    <cellStyle name="Процентный 4 2 11 7" xfId="26889" xr:uid="{00000000-0005-0000-0000-0000988A0000}"/>
    <cellStyle name="Процентный 4 2 11 8" xfId="32229" xr:uid="{00000000-0005-0000-0000-0000998A0000}"/>
    <cellStyle name="Процентный 4 2 11 9" xfId="37569" xr:uid="{00000000-0005-0000-0000-00009A8A0000}"/>
    <cellStyle name="Процентный 4 2 110" xfId="2834" xr:uid="{00000000-0005-0000-0000-00009B8A0000}"/>
    <cellStyle name="Процентный 4 2 110 10" xfId="50898" xr:uid="{00000000-0005-0000-0000-00009C8A0000}"/>
    <cellStyle name="Процентный 4 2 110 2" xfId="8177" xr:uid="{00000000-0005-0000-0000-00009D8A0000}"/>
    <cellStyle name="Процентный 4 2 110 2 2" xfId="56239" xr:uid="{00000000-0005-0000-0000-00009E8A0000}"/>
    <cellStyle name="Процентный 4 2 110 3" xfId="13518" xr:uid="{00000000-0005-0000-0000-00009F8A0000}"/>
    <cellStyle name="Процентный 4 2 110 4" xfId="18858" xr:uid="{00000000-0005-0000-0000-0000A08A0000}"/>
    <cellStyle name="Процентный 4 2 110 5" xfId="24198" xr:uid="{00000000-0005-0000-0000-0000A18A0000}"/>
    <cellStyle name="Процентный 4 2 110 6" xfId="29538" xr:uid="{00000000-0005-0000-0000-0000A28A0000}"/>
    <cellStyle name="Процентный 4 2 110 7" xfId="34878" xr:uid="{00000000-0005-0000-0000-0000A38A0000}"/>
    <cellStyle name="Процентный 4 2 110 8" xfId="40218" xr:uid="{00000000-0005-0000-0000-0000A48A0000}"/>
    <cellStyle name="Процентный 4 2 110 9" xfId="45558" xr:uid="{00000000-0005-0000-0000-0000A58A0000}"/>
    <cellStyle name="Процентный 4 2 111" xfId="2866" xr:uid="{00000000-0005-0000-0000-0000A68A0000}"/>
    <cellStyle name="Процентный 4 2 111 10" xfId="50930" xr:uid="{00000000-0005-0000-0000-0000A78A0000}"/>
    <cellStyle name="Процентный 4 2 111 2" xfId="8209" xr:uid="{00000000-0005-0000-0000-0000A88A0000}"/>
    <cellStyle name="Процентный 4 2 111 2 2" xfId="56271" xr:uid="{00000000-0005-0000-0000-0000A98A0000}"/>
    <cellStyle name="Процентный 4 2 111 3" xfId="13550" xr:uid="{00000000-0005-0000-0000-0000AA8A0000}"/>
    <cellStyle name="Процентный 4 2 111 4" xfId="18890" xr:uid="{00000000-0005-0000-0000-0000AB8A0000}"/>
    <cellStyle name="Процентный 4 2 111 5" xfId="24230" xr:uid="{00000000-0005-0000-0000-0000AC8A0000}"/>
    <cellStyle name="Процентный 4 2 111 6" xfId="29570" xr:uid="{00000000-0005-0000-0000-0000AD8A0000}"/>
    <cellStyle name="Процентный 4 2 111 7" xfId="34910" xr:uid="{00000000-0005-0000-0000-0000AE8A0000}"/>
    <cellStyle name="Процентный 4 2 111 8" xfId="40250" xr:uid="{00000000-0005-0000-0000-0000AF8A0000}"/>
    <cellStyle name="Процентный 4 2 111 9" xfId="45590" xr:uid="{00000000-0005-0000-0000-0000B08A0000}"/>
    <cellStyle name="Процентный 4 2 112" xfId="2898" xr:uid="{00000000-0005-0000-0000-0000B18A0000}"/>
    <cellStyle name="Процентный 4 2 112 10" xfId="50962" xr:uid="{00000000-0005-0000-0000-0000B28A0000}"/>
    <cellStyle name="Процентный 4 2 112 2" xfId="8241" xr:uid="{00000000-0005-0000-0000-0000B38A0000}"/>
    <cellStyle name="Процентный 4 2 112 2 2" xfId="56303" xr:uid="{00000000-0005-0000-0000-0000B48A0000}"/>
    <cellStyle name="Процентный 4 2 112 3" xfId="13582" xr:uid="{00000000-0005-0000-0000-0000B58A0000}"/>
    <cellStyle name="Процентный 4 2 112 4" xfId="18922" xr:uid="{00000000-0005-0000-0000-0000B68A0000}"/>
    <cellStyle name="Процентный 4 2 112 5" xfId="24262" xr:uid="{00000000-0005-0000-0000-0000B78A0000}"/>
    <cellStyle name="Процентный 4 2 112 6" xfId="29602" xr:uid="{00000000-0005-0000-0000-0000B88A0000}"/>
    <cellStyle name="Процентный 4 2 112 7" xfId="34942" xr:uid="{00000000-0005-0000-0000-0000B98A0000}"/>
    <cellStyle name="Процентный 4 2 112 8" xfId="40282" xr:uid="{00000000-0005-0000-0000-0000BA8A0000}"/>
    <cellStyle name="Процентный 4 2 112 9" xfId="45622" xr:uid="{00000000-0005-0000-0000-0000BB8A0000}"/>
    <cellStyle name="Процентный 4 2 113" xfId="2930" xr:uid="{00000000-0005-0000-0000-0000BC8A0000}"/>
    <cellStyle name="Процентный 4 2 113 10" xfId="50994" xr:uid="{00000000-0005-0000-0000-0000BD8A0000}"/>
    <cellStyle name="Процентный 4 2 113 2" xfId="8273" xr:uid="{00000000-0005-0000-0000-0000BE8A0000}"/>
    <cellStyle name="Процентный 4 2 113 2 2" xfId="56335" xr:uid="{00000000-0005-0000-0000-0000BF8A0000}"/>
    <cellStyle name="Процентный 4 2 113 3" xfId="13614" xr:uid="{00000000-0005-0000-0000-0000C08A0000}"/>
    <cellStyle name="Процентный 4 2 113 4" xfId="18954" xr:uid="{00000000-0005-0000-0000-0000C18A0000}"/>
    <cellStyle name="Процентный 4 2 113 5" xfId="24294" xr:uid="{00000000-0005-0000-0000-0000C28A0000}"/>
    <cellStyle name="Процентный 4 2 113 6" xfId="29634" xr:uid="{00000000-0005-0000-0000-0000C38A0000}"/>
    <cellStyle name="Процентный 4 2 113 7" xfId="34974" xr:uid="{00000000-0005-0000-0000-0000C48A0000}"/>
    <cellStyle name="Процентный 4 2 113 8" xfId="40314" xr:uid="{00000000-0005-0000-0000-0000C58A0000}"/>
    <cellStyle name="Процентный 4 2 113 9" xfId="45654" xr:uid="{00000000-0005-0000-0000-0000C68A0000}"/>
    <cellStyle name="Процентный 4 2 114" xfId="2962" xr:uid="{00000000-0005-0000-0000-0000C78A0000}"/>
    <cellStyle name="Процентный 4 2 114 10" xfId="51026" xr:uid="{00000000-0005-0000-0000-0000C88A0000}"/>
    <cellStyle name="Процентный 4 2 114 2" xfId="8305" xr:uid="{00000000-0005-0000-0000-0000C98A0000}"/>
    <cellStyle name="Процентный 4 2 114 2 2" xfId="56367" xr:uid="{00000000-0005-0000-0000-0000CA8A0000}"/>
    <cellStyle name="Процентный 4 2 114 3" xfId="13646" xr:uid="{00000000-0005-0000-0000-0000CB8A0000}"/>
    <cellStyle name="Процентный 4 2 114 4" xfId="18986" xr:uid="{00000000-0005-0000-0000-0000CC8A0000}"/>
    <cellStyle name="Процентный 4 2 114 5" xfId="24326" xr:uid="{00000000-0005-0000-0000-0000CD8A0000}"/>
    <cellStyle name="Процентный 4 2 114 6" xfId="29666" xr:uid="{00000000-0005-0000-0000-0000CE8A0000}"/>
    <cellStyle name="Процентный 4 2 114 7" xfId="35006" xr:uid="{00000000-0005-0000-0000-0000CF8A0000}"/>
    <cellStyle name="Процентный 4 2 114 8" xfId="40346" xr:uid="{00000000-0005-0000-0000-0000D08A0000}"/>
    <cellStyle name="Процентный 4 2 114 9" xfId="45686" xr:uid="{00000000-0005-0000-0000-0000D18A0000}"/>
    <cellStyle name="Процентный 4 2 115" xfId="2994" xr:uid="{00000000-0005-0000-0000-0000D28A0000}"/>
    <cellStyle name="Процентный 4 2 115 10" xfId="51058" xr:uid="{00000000-0005-0000-0000-0000D38A0000}"/>
    <cellStyle name="Процентный 4 2 115 2" xfId="8337" xr:uid="{00000000-0005-0000-0000-0000D48A0000}"/>
    <cellStyle name="Процентный 4 2 115 2 2" xfId="56399" xr:uid="{00000000-0005-0000-0000-0000D58A0000}"/>
    <cellStyle name="Процентный 4 2 115 3" xfId="13678" xr:uid="{00000000-0005-0000-0000-0000D68A0000}"/>
    <cellStyle name="Процентный 4 2 115 4" xfId="19018" xr:uid="{00000000-0005-0000-0000-0000D78A0000}"/>
    <cellStyle name="Процентный 4 2 115 5" xfId="24358" xr:uid="{00000000-0005-0000-0000-0000D88A0000}"/>
    <cellStyle name="Процентный 4 2 115 6" xfId="29698" xr:uid="{00000000-0005-0000-0000-0000D98A0000}"/>
    <cellStyle name="Процентный 4 2 115 7" xfId="35038" xr:uid="{00000000-0005-0000-0000-0000DA8A0000}"/>
    <cellStyle name="Процентный 4 2 115 8" xfId="40378" xr:uid="{00000000-0005-0000-0000-0000DB8A0000}"/>
    <cellStyle name="Процентный 4 2 115 9" xfId="45718" xr:uid="{00000000-0005-0000-0000-0000DC8A0000}"/>
    <cellStyle name="Процентный 4 2 116" xfId="3026" xr:uid="{00000000-0005-0000-0000-0000DD8A0000}"/>
    <cellStyle name="Процентный 4 2 116 10" xfId="51090" xr:uid="{00000000-0005-0000-0000-0000DE8A0000}"/>
    <cellStyle name="Процентный 4 2 116 2" xfId="8369" xr:uid="{00000000-0005-0000-0000-0000DF8A0000}"/>
    <cellStyle name="Процентный 4 2 116 2 2" xfId="56431" xr:uid="{00000000-0005-0000-0000-0000E08A0000}"/>
    <cellStyle name="Процентный 4 2 116 3" xfId="13710" xr:uid="{00000000-0005-0000-0000-0000E18A0000}"/>
    <cellStyle name="Процентный 4 2 116 4" xfId="19050" xr:uid="{00000000-0005-0000-0000-0000E28A0000}"/>
    <cellStyle name="Процентный 4 2 116 5" xfId="24390" xr:uid="{00000000-0005-0000-0000-0000E38A0000}"/>
    <cellStyle name="Процентный 4 2 116 6" xfId="29730" xr:uid="{00000000-0005-0000-0000-0000E48A0000}"/>
    <cellStyle name="Процентный 4 2 116 7" xfId="35070" xr:uid="{00000000-0005-0000-0000-0000E58A0000}"/>
    <cellStyle name="Процентный 4 2 116 8" xfId="40410" xr:uid="{00000000-0005-0000-0000-0000E68A0000}"/>
    <cellStyle name="Процентный 4 2 116 9" xfId="45750" xr:uid="{00000000-0005-0000-0000-0000E78A0000}"/>
    <cellStyle name="Процентный 4 2 117" xfId="3058" xr:uid="{00000000-0005-0000-0000-0000E88A0000}"/>
    <cellStyle name="Процентный 4 2 117 10" xfId="51122" xr:uid="{00000000-0005-0000-0000-0000E98A0000}"/>
    <cellStyle name="Процентный 4 2 117 2" xfId="8401" xr:uid="{00000000-0005-0000-0000-0000EA8A0000}"/>
    <cellStyle name="Процентный 4 2 117 2 2" xfId="56463" xr:uid="{00000000-0005-0000-0000-0000EB8A0000}"/>
    <cellStyle name="Процентный 4 2 117 3" xfId="13742" xr:uid="{00000000-0005-0000-0000-0000EC8A0000}"/>
    <cellStyle name="Процентный 4 2 117 4" xfId="19082" xr:uid="{00000000-0005-0000-0000-0000ED8A0000}"/>
    <cellStyle name="Процентный 4 2 117 5" xfId="24422" xr:uid="{00000000-0005-0000-0000-0000EE8A0000}"/>
    <cellStyle name="Процентный 4 2 117 6" xfId="29762" xr:uid="{00000000-0005-0000-0000-0000EF8A0000}"/>
    <cellStyle name="Процентный 4 2 117 7" xfId="35102" xr:uid="{00000000-0005-0000-0000-0000F08A0000}"/>
    <cellStyle name="Процентный 4 2 117 8" xfId="40442" xr:uid="{00000000-0005-0000-0000-0000F18A0000}"/>
    <cellStyle name="Процентный 4 2 117 9" xfId="45782" xr:uid="{00000000-0005-0000-0000-0000F28A0000}"/>
    <cellStyle name="Процентный 4 2 118" xfId="3090" xr:uid="{00000000-0005-0000-0000-0000F38A0000}"/>
    <cellStyle name="Процентный 4 2 118 10" xfId="51154" xr:uid="{00000000-0005-0000-0000-0000F48A0000}"/>
    <cellStyle name="Процентный 4 2 118 2" xfId="8433" xr:uid="{00000000-0005-0000-0000-0000F58A0000}"/>
    <cellStyle name="Процентный 4 2 118 2 2" xfId="56495" xr:uid="{00000000-0005-0000-0000-0000F68A0000}"/>
    <cellStyle name="Процентный 4 2 118 3" xfId="13774" xr:uid="{00000000-0005-0000-0000-0000F78A0000}"/>
    <cellStyle name="Процентный 4 2 118 4" xfId="19114" xr:uid="{00000000-0005-0000-0000-0000F88A0000}"/>
    <cellStyle name="Процентный 4 2 118 5" xfId="24454" xr:uid="{00000000-0005-0000-0000-0000F98A0000}"/>
    <cellStyle name="Процентный 4 2 118 6" xfId="29794" xr:uid="{00000000-0005-0000-0000-0000FA8A0000}"/>
    <cellStyle name="Процентный 4 2 118 7" xfId="35134" xr:uid="{00000000-0005-0000-0000-0000FB8A0000}"/>
    <cellStyle name="Процентный 4 2 118 8" xfId="40474" xr:uid="{00000000-0005-0000-0000-0000FC8A0000}"/>
    <cellStyle name="Процентный 4 2 118 9" xfId="45814" xr:uid="{00000000-0005-0000-0000-0000FD8A0000}"/>
    <cellStyle name="Процентный 4 2 119" xfId="3123" xr:uid="{00000000-0005-0000-0000-0000FE8A0000}"/>
    <cellStyle name="Процентный 4 2 119 10" xfId="51186" xr:uid="{00000000-0005-0000-0000-0000FF8A0000}"/>
    <cellStyle name="Процентный 4 2 119 2" xfId="8466" xr:uid="{00000000-0005-0000-0000-0000008B0000}"/>
    <cellStyle name="Процентный 4 2 119 2 2" xfId="56527" xr:uid="{00000000-0005-0000-0000-0000018B0000}"/>
    <cellStyle name="Процентный 4 2 119 3" xfId="13806" xr:uid="{00000000-0005-0000-0000-0000028B0000}"/>
    <cellStyle name="Процентный 4 2 119 4" xfId="19146" xr:uid="{00000000-0005-0000-0000-0000038B0000}"/>
    <cellStyle name="Процентный 4 2 119 5" xfId="24486" xr:uid="{00000000-0005-0000-0000-0000048B0000}"/>
    <cellStyle name="Процентный 4 2 119 6" xfId="29826" xr:uid="{00000000-0005-0000-0000-0000058B0000}"/>
    <cellStyle name="Процентный 4 2 119 7" xfId="35166" xr:uid="{00000000-0005-0000-0000-0000068B0000}"/>
    <cellStyle name="Процентный 4 2 119 8" xfId="40506" xr:uid="{00000000-0005-0000-0000-0000078B0000}"/>
    <cellStyle name="Процентный 4 2 119 9" xfId="45846" xr:uid="{00000000-0005-0000-0000-0000088B0000}"/>
    <cellStyle name="Процентный 4 2 12" xfId="197" xr:uid="{00000000-0005-0000-0000-0000098B0000}"/>
    <cellStyle name="Процентный 4 2 12 10" xfId="42919" xr:uid="{00000000-0005-0000-0000-00000A8B0000}"/>
    <cellStyle name="Процентный 4 2 12 11" xfId="48259" xr:uid="{00000000-0005-0000-0000-00000B8B0000}"/>
    <cellStyle name="Процентный 4 2 12 2" xfId="664" xr:uid="{00000000-0005-0000-0000-00000C8B0000}"/>
    <cellStyle name="Процентный 4 2 12 2 10" xfId="48726" xr:uid="{00000000-0005-0000-0000-00000D8B0000}"/>
    <cellStyle name="Процентный 4 2 12 2 2" xfId="6005" xr:uid="{00000000-0005-0000-0000-00000E8B0000}"/>
    <cellStyle name="Процентный 4 2 12 2 2 2" xfId="54067" xr:uid="{00000000-0005-0000-0000-00000F8B0000}"/>
    <cellStyle name="Процентный 4 2 12 2 3" xfId="11346" xr:uid="{00000000-0005-0000-0000-0000108B0000}"/>
    <cellStyle name="Процентный 4 2 12 2 4" xfId="16686" xr:uid="{00000000-0005-0000-0000-0000118B0000}"/>
    <cellStyle name="Процентный 4 2 12 2 5" xfId="22026" xr:uid="{00000000-0005-0000-0000-0000128B0000}"/>
    <cellStyle name="Процентный 4 2 12 2 6" xfId="27366" xr:uid="{00000000-0005-0000-0000-0000138B0000}"/>
    <cellStyle name="Процентный 4 2 12 2 7" xfId="32706" xr:uid="{00000000-0005-0000-0000-0000148B0000}"/>
    <cellStyle name="Процентный 4 2 12 2 8" xfId="38046" xr:uid="{00000000-0005-0000-0000-0000158B0000}"/>
    <cellStyle name="Процентный 4 2 12 2 9" xfId="43386" xr:uid="{00000000-0005-0000-0000-0000168B0000}"/>
    <cellStyle name="Процентный 4 2 12 3" xfId="5538" xr:uid="{00000000-0005-0000-0000-0000178B0000}"/>
    <cellStyle name="Процентный 4 2 12 3 2" xfId="53600" xr:uid="{00000000-0005-0000-0000-0000188B0000}"/>
    <cellStyle name="Процентный 4 2 12 4" xfId="10879" xr:uid="{00000000-0005-0000-0000-0000198B0000}"/>
    <cellStyle name="Процентный 4 2 12 5" xfId="16219" xr:uid="{00000000-0005-0000-0000-00001A8B0000}"/>
    <cellStyle name="Процентный 4 2 12 6" xfId="21559" xr:uid="{00000000-0005-0000-0000-00001B8B0000}"/>
    <cellStyle name="Процентный 4 2 12 7" xfId="26899" xr:uid="{00000000-0005-0000-0000-00001C8B0000}"/>
    <cellStyle name="Процентный 4 2 12 8" xfId="32239" xr:uid="{00000000-0005-0000-0000-00001D8B0000}"/>
    <cellStyle name="Процентный 4 2 12 9" xfId="37579" xr:uid="{00000000-0005-0000-0000-00001E8B0000}"/>
    <cellStyle name="Процентный 4 2 120" xfId="3155" xr:uid="{00000000-0005-0000-0000-00001F8B0000}"/>
    <cellStyle name="Процентный 4 2 120 10" xfId="51218" xr:uid="{00000000-0005-0000-0000-0000208B0000}"/>
    <cellStyle name="Процентный 4 2 120 2" xfId="8498" xr:uid="{00000000-0005-0000-0000-0000218B0000}"/>
    <cellStyle name="Процентный 4 2 120 2 2" xfId="56559" xr:uid="{00000000-0005-0000-0000-0000228B0000}"/>
    <cellStyle name="Процентный 4 2 120 3" xfId="13838" xr:uid="{00000000-0005-0000-0000-0000238B0000}"/>
    <cellStyle name="Процентный 4 2 120 4" xfId="19178" xr:uid="{00000000-0005-0000-0000-0000248B0000}"/>
    <cellStyle name="Процентный 4 2 120 5" xfId="24518" xr:uid="{00000000-0005-0000-0000-0000258B0000}"/>
    <cellStyle name="Процентный 4 2 120 6" xfId="29858" xr:uid="{00000000-0005-0000-0000-0000268B0000}"/>
    <cellStyle name="Процентный 4 2 120 7" xfId="35198" xr:uid="{00000000-0005-0000-0000-0000278B0000}"/>
    <cellStyle name="Процентный 4 2 120 8" xfId="40538" xr:uid="{00000000-0005-0000-0000-0000288B0000}"/>
    <cellStyle name="Процентный 4 2 120 9" xfId="45878" xr:uid="{00000000-0005-0000-0000-0000298B0000}"/>
    <cellStyle name="Процентный 4 2 121" xfId="3187" xr:uid="{00000000-0005-0000-0000-00002A8B0000}"/>
    <cellStyle name="Процентный 4 2 121 10" xfId="51250" xr:uid="{00000000-0005-0000-0000-00002B8B0000}"/>
    <cellStyle name="Процентный 4 2 121 2" xfId="8530" xr:uid="{00000000-0005-0000-0000-00002C8B0000}"/>
    <cellStyle name="Процентный 4 2 121 2 2" xfId="56591" xr:uid="{00000000-0005-0000-0000-00002D8B0000}"/>
    <cellStyle name="Процентный 4 2 121 3" xfId="13870" xr:uid="{00000000-0005-0000-0000-00002E8B0000}"/>
    <cellStyle name="Процентный 4 2 121 4" xfId="19210" xr:uid="{00000000-0005-0000-0000-00002F8B0000}"/>
    <cellStyle name="Процентный 4 2 121 5" xfId="24550" xr:uid="{00000000-0005-0000-0000-0000308B0000}"/>
    <cellStyle name="Процентный 4 2 121 6" xfId="29890" xr:uid="{00000000-0005-0000-0000-0000318B0000}"/>
    <cellStyle name="Процентный 4 2 121 7" xfId="35230" xr:uid="{00000000-0005-0000-0000-0000328B0000}"/>
    <cellStyle name="Процентный 4 2 121 8" xfId="40570" xr:uid="{00000000-0005-0000-0000-0000338B0000}"/>
    <cellStyle name="Процентный 4 2 121 9" xfId="45910" xr:uid="{00000000-0005-0000-0000-0000348B0000}"/>
    <cellStyle name="Процентный 4 2 122" xfId="3219" xr:uid="{00000000-0005-0000-0000-0000358B0000}"/>
    <cellStyle name="Процентный 4 2 122 10" xfId="51282" xr:uid="{00000000-0005-0000-0000-0000368B0000}"/>
    <cellStyle name="Процентный 4 2 122 2" xfId="8562" xr:uid="{00000000-0005-0000-0000-0000378B0000}"/>
    <cellStyle name="Процентный 4 2 122 2 2" xfId="56623" xr:uid="{00000000-0005-0000-0000-0000388B0000}"/>
    <cellStyle name="Процентный 4 2 122 3" xfId="13902" xr:uid="{00000000-0005-0000-0000-0000398B0000}"/>
    <cellStyle name="Процентный 4 2 122 4" xfId="19242" xr:uid="{00000000-0005-0000-0000-00003A8B0000}"/>
    <cellStyle name="Процентный 4 2 122 5" xfId="24582" xr:uid="{00000000-0005-0000-0000-00003B8B0000}"/>
    <cellStyle name="Процентный 4 2 122 6" xfId="29922" xr:uid="{00000000-0005-0000-0000-00003C8B0000}"/>
    <cellStyle name="Процентный 4 2 122 7" xfId="35262" xr:uid="{00000000-0005-0000-0000-00003D8B0000}"/>
    <cellStyle name="Процентный 4 2 122 8" xfId="40602" xr:uid="{00000000-0005-0000-0000-00003E8B0000}"/>
    <cellStyle name="Процентный 4 2 122 9" xfId="45942" xr:uid="{00000000-0005-0000-0000-00003F8B0000}"/>
    <cellStyle name="Процентный 4 2 123" xfId="3251" xr:uid="{00000000-0005-0000-0000-0000408B0000}"/>
    <cellStyle name="Процентный 4 2 123 10" xfId="51314" xr:uid="{00000000-0005-0000-0000-0000418B0000}"/>
    <cellStyle name="Процентный 4 2 123 2" xfId="8594" xr:uid="{00000000-0005-0000-0000-0000428B0000}"/>
    <cellStyle name="Процентный 4 2 123 2 2" xfId="56655" xr:uid="{00000000-0005-0000-0000-0000438B0000}"/>
    <cellStyle name="Процентный 4 2 123 3" xfId="13934" xr:uid="{00000000-0005-0000-0000-0000448B0000}"/>
    <cellStyle name="Процентный 4 2 123 4" xfId="19274" xr:uid="{00000000-0005-0000-0000-0000458B0000}"/>
    <cellStyle name="Процентный 4 2 123 5" xfId="24614" xr:uid="{00000000-0005-0000-0000-0000468B0000}"/>
    <cellStyle name="Процентный 4 2 123 6" xfId="29954" xr:uid="{00000000-0005-0000-0000-0000478B0000}"/>
    <cellStyle name="Процентный 4 2 123 7" xfId="35294" xr:uid="{00000000-0005-0000-0000-0000488B0000}"/>
    <cellStyle name="Процентный 4 2 123 8" xfId="40634" xr:uid="{00000000-0005-0000-0000-0000498B0000}"/>
    <cellStyle name="Процентный 4 2 123 9" xfId="45974" xr:uid="{00000000-0005-0000-0000-00004A8B0000}"/>
    <cellStyle name="Процентный 4 2 124" xfId="3283" xr:uid="{00000000-0005-0000-0000-00004B8B0000}"/>
    <cellStyle name="Процентный 4 2 124 10" xfId="51346" xr:uid="{00000000-0005-0000-0000-00004C8B0000}"/>
    <cellStyle name="Процентный 4 2 124 2" xfId="8626" xr:uid="{00000000-0005-0000-0000-00004D8B0000}"/>
    <cellStyle name="Процентный 4 2 124 2 2" xfId="56687" xr:uid="{00000000-0005-0000-0000-00004E8B0000}"/>
    <cellStyle name="Процентный 4 2 124 3" xfId="13966" xr:uid="{00000000-0005-0000-0000-00004F8B0000}"/>
    <cellStyle name="Процентный 4 2 124 4" xfId="19306" xr:uid="{00000000-0005-0000-0000-0000508B0000}"/>
    <cellStyle name="Процентный 4 2 124 5" xfId="24646" xr:uid="{00000000-0005-0000-0000-0000518B0000}"/>
    <cellStyle name="Процентный 4 2 124 6" xfId="29986" xr:uid="{00000000-0005-0000-0000-0000528B0000}"/>
    <cellStyle name="Процентный 4 2 124 7" xfId="35326" xr:uid="{00000000-0005-0000-0000-0000538B0000}"/>
    <cellStyle name="Процентный 4 2 124 8" xfId="40666" xr:uid="{00000000-0005-0000-0000-0000548B0000}"/>
    <cellStyle name="Процентный 4 2 124 9" xfId="46006" xr:uid="{00000000-0005-0000-0000-0000558B0000}"/>
    <cellStyle name="Процентный 4 2 125" xfId="3315" xr:uid="{00000000-0005-0000-0000-0000568B0000}"/>
    <cellStyle name="Процентный 4 2 125 10" xfId="51378" xr:uid="{00000000-0005-0000-0000-0000578B0000}"/>
    <cellStyle name="Процентный 4 2 125 2" xfId="8658" xr:uid="{00000000-0005-0000-0000-0000588B0000}"/>
    <cellStyle name="Процентный 4 2 125 2 2" xfId="56719" xr:uid="{00000000-0005-0000-0000-0000598B0000}"/>
    <cellStyle name="Процентный 4 2 125 3" xfId="13998" xr:uid="{00000000-0005-0000-0000-00005A8B0000}"/>
    <cellStyle name="Процентный 4 2 125 4" xfId="19338" xr:uid="{00000000-0005-0000-0000-00005B8B0000}"/>
    <cellStyle name="Процентный 4 2 125 5" xfId="24678" xr:uid="{00000000-0005-0000-0000-00005C8B0000}"/>
    <cellStyle name="Процентный 4 2 125 6" xfId="30018" xr:uid="{00000000-0005-0000-0000-00005D8B0000}"/>
    <cellStyle name="Процентный 4 2 125 7" xfId="35358" xr:uid="{00000000-0005-0000-0000-00005E8B0000}"/>
    <cellStyle name="Процентный 4 2 125 8" xfId="40698" xr:uid="{00000000-0005-0000-0000-00005F8B0000}"/>
    <cellStyle name="Процентный 4 2 125 9" xfId="46038" xr:uid="{00000000-0005-0000-0000-0000608B0000}"/>
    <cellStyle name="Процентный 4 2 126" xfId="3347" xr:uid="{00000000-0005-0000-0000-0000618B0000}"/>
    <cellStyle name="Процентный 4 2 126 10" xfId="51410" xr:uid="{00000000-0005-0000-0000-0000628B0000}"/>
    <cellStyle name="Процентный 4 2 126 2" xfId="8690" xr:uid="{00000000-0005-0000-0000-0000638B0000}"/>
    <cellStyle name="Процентный 4 2 126 2 2" xfId="56751" xr:uid="{00000000-0005-0000-0000-0000648B0000}"/>
    <cellStyle name="Процентный 4 2 126 3" xfId="14030" xr:uid="{00000000-0005-0000-0000-0000658B0000}"/>
    <cellStyle name="Процентный 4 2 126 4" xfId="19370" xr:uid="{00000000-0005-0000-0000-0000668B0000}"/>
    <cellStyle name="Процентный 4 2 126 5" xfId="24710" xr:uid="{00000000-0005-0000-0000-0000678B0000}"/>
    <cellStyle name="Процентный 4 2 126 6" xfId="30050" xr:uid="{00000000-0005-0000-0000-0000688B0000}"/>
    <cellStyle name="Процентный 4 2 126 7" xfId="35390" xr:uid="{00000000-0005-0000-0000-0000698B0000}"/>
    <cellStyle name="Процентный 4 2 126 8" xfId="40730" xr:uid="{00000000-0005-0000-0000-00006A8B0000}"/>
    <cellStyle name="Процентный 4 2 126 9" xfId="46070" xr:uid="{00000000-0005-0000-0000-00006B8B0000}"/>
    <cellStyle name="Процентный 4 2 127" xfId="3379" xr:uid="{00000000-0005-0000-0000-00006C8B0000}"/>
    <cellStyle name="Процентный 4 2 127 10" xfId="51442" xr:uid="{00000000-0005-0000-0000-00006D8B0000}"/>
    <cellStyle name="Процентный 4 2 127 2" xfId="8722" xr:uid="{00000000-0005-0000-0000-00006E8B0000}"/>
    <cellStyle name="Процентный 4 2 127 2 2" xfId="56783" xr:uid="{00000000-0005-0000-0000-00006F8B0000}"/>
    <cellStyle name="Процентный 4 2 127 3" xfId="14062" xr:uid="{00000000-0005-0000-0000-0000708B0000}"/>
    <cellStyle name="Процентный 4 2 127 4" xfId="19402" xr:uid="{00000000-0005-0000-0000-0000718B0000}"/>
    <cellStyle name="Процентный 4 2 127 5" xfId="24742" xr:uid="{00000000-0005-0000-0000-0000728B0000}"/>
    <cellStyle name="Процентный 4 2 127 6" xfId="30082" xr:uid="{00000000-0005-0000-0000-0000738B0000}"/>
    <cellStyle name="Процентный 4 2 127 7" xfId="35422" xr:uid="{00000000-0005-0000-0000-0000748B0000}"/>
    <cellStyle name="Процентный 4 2 127 8" xfId="40762" xr:uid="{00000000-0005-0000-0000-0000758B0000}"/>
    <cellStyle name="Процентный 4 2 127 9" xfId="46102" xr:uid="{00000000-0005-0000-0000-0000768B0000}"/>
    <cellStyle name="Процентный 4 2 128" xfId="3411" xr:uid="{00000000-0005-0000-0000-0000778B0000}"/>
    <cellStyle name="Процентный 4 2 128 10" xfId="51474" xr:uid="{00000000-0005-0000-0000-0000788B0000}"/>
    <cellStyle name="Процентный 4 2 128 2" xfId="8754" xr:uid="{00000000-0005-0000-0000-0000798B0000}"/>
    <cellStyle name="Процентный 4 2 128 2 2" xfId="56815" xr:uid="{00000000-0005-0000-0000-00007A8B0000}"/>
    <cellStyle name="Процентный 4 2 128 3" xfId="14094" xr:uid="{00000000-0005-0000-0000-00007B8B0000}"/>
    <cellStyle name="Процентный 4 2 128 4" xfId="19434" xr:uid="{00000000-0005-0000-0000-00007C8B0000}"/>
    <cellStyle name="Процентный 4 2 128 5" xfId="24774" xr:uid="{00000000-0005-0000-0000-00007D8B0000}"/>
    <cellStyle name="Процентный 4 2 128 6" xfId="30114" xr:uid="{00000000-0005-0000-0000-00007E8B0000}"/>
    <cellStyle name="Процентный 4 2 128 7" xfId="35454" xr:uid="{00000000-0005-0000-0000-00007F8B0000}"/>
    <cellStyle name="Процентный 4 2 128 8" xfId="40794" xr:uid="{00000000-0005-0000-0000-0000808B0000}"/>
    <cellStyle name="Процентный 4 2 128 9" xfId="46134" xr:uid="{00000000-0005-0000-0000-0000818B0000}"/>
    <cellStyle name="Процентный 4 2 129" xfId="3443" xr:uid="{00000000-0005-0000-0000-0000828B0000}"/>
    <cellStyle name="Процентный 4 2 129 10" xfId="51506" xr:uid="{00000000-0005-0000-0000-0000838B0000}"/>
    <cellStyle name="Процентный 4 2 129 2" xfId="8786" xr:uid="{00000000-0005-0000-0000-0000848B0000}"/>
    <cellStyle name="Процентный 4 2 129 2 2" xfId="56847" xr:uid="{00000000-0005-0000-0000-0000858B0000}"/>
    <cellStyle name="Процентный 4 2 129 3" xfId="14126" xr:uid="{00000000-0005-0000-0000-0000868B0000}"/>
    <cellStyle name="Процентный 4 2 129 4" xfId="19466" xr:uid="{00000000-0005-0000-0000-0000878B0000}"/>
    <cellStyle name="Процентный 4 2 129 5" xfId="24806" xr:uid="{00000000-0005-0000-0000-0000888B0000}"/>
    <cellStyle name="Процентный 4 2 129 6" xfId="30146" xr:uid="{00000000-0005-0000-0000-0000898B0000}"/>
    <cellStyle name="Процентный 4 2 129 7" xfId="35486" xr:uid="{00000000-0005-0000-0000-00008A8B0000}"/>
    <cellStyle name="Процентный 4 2 129 8" xfId="40826" xr:uid="{00000000-0005-0000-0000-00008B8B0000}"/>
    <cellStyle name="Процентный 4 2 129 9" xfId="46166" xr:uid="{00000000-0005-0000-0000-00008C8B0000}"/>
    <cellStyle name="Процентный 4 2 13" xfId="207" xr:uid="{00000000-0005-0000-0000-00008D8B0000}"/>
    <cellStyle name="Процентный 4 2 13 10" xfId="42929" xr:uid="{00000000-0005-0000-0000-00008E8B0000}"/>
    <cellStyle name="Процентный 4 2 13 11" xfId="48269" xr:uid="{00000000-0005-0000-0000-00008F8B0000}"/>
    <cellStyle name="Процентный 4 2 13 2" xfId="674" xr:uid="{00000000-0005-0000-0000-0000908B0000}"/>
    <cellStyle name="Процентный 4 2 13 2 10" xfId="48736" xr:uid="{00000000-0005-0000-0000-0000918B0000}"/>
    <cellStyle name="Процентный 4 2 13 2 2" xfId="6015" xr:uid="{00000000-0005-0000-0000-0000928B0000}"/>
    <cellStyle name="Процентный 4 2 13 2 2 2" xfId="54077" xr:uid="{00000000-0005-0000-0000-0000938B0000}"/>
    <cellStyle name="Процентный 4 2 13 2 3" xfId="11356" xr:uid="{00000000-0005-0000-0000-0000948B0000}"/>
    <cellStyle name="Процентный 4 2 13 2 4" xfId="16696" xr:uid="{00000000-0005-0000-0000-0000958B0000}"/>
    <cellStyle name="Процентный 4 2 13 2 5" xfId="22036" xr:uid="{00000000-0005-0000-0000-0000968B0000}"/>
    <cellStyle name="Процентный 4 2 13 2 6" xfId="27376" xr:uid="{00000000-0005-0000-0000-0000978B0000}"/>
    <cellStyle name="Процентный 4 2 13 2 7" xfId="32716" xr:uid="{00000000-0005-0000-0000-0000988B0000}"/>
    <cellStyle name="Процентный 4 2 13 2 8" xfId="38056" xr:uid="{00000000-0005-0000-0000-0000998B0000}"/>
    <cellStyle name="Процентный 4 2 13 2 9" xfId="43396" xr:uid="{00000000-0005-0000-0000-00009A8B0000}"/>
    <cellStyle name="Процентный 4 2 13 3" xfId="5548" xr:uid="{00000000-0005-0000-0000-00009B8B0000}"/>
    <cellStyle name="Процентный 4 2 13 3 2" xfId="53610" xr:uid="{00000000-0005-0000-0000-00009C8B0000}"/>
    <cellStyle name="Процентный 4 2 13 4" xfId="10889" xr:uid="{00000000-0005-0000-0000-00009D8B0000}"/>
    <cellStyle name="Процентный 4 2 13 5" xfId="16229" xr:uid="{00000000-0005-0000-0000-00009E8B0000}"/>
    <cellStyle name="Процентный 4 2 13 6" xfId="21569" xr:uid="{00000000-0005-0000-0000-00009F8B0000}"/>
    <cellStyle name="Процентный 4 2 13 7" xfId="26909" xr:uid="{00000000-0005-0000-0000-0000A08B0000}"/>
    <cellStyle name="Процентный 4 2 13 8" xfId="32249" xr:uid="{00000000-0005-0000-0000-0000A18B0000}"/>
    <cellStyle name="Процентный 4 2 13 9" xfId="37589" xr:uid="{00000000-0005-0000-0000-0000A28B0000}"/>
    <cellStyle name="Процентный 4 2 130" xfId="3475" xr:uid="{00000000-0005-0000-0000-0000A38B0000}"/>
    <cellStyle name="Процентный 4 2 130 10" xfId="51538" xr:uid="{00000000-0005-0000-0000-0000A48B0000}"/>
    <cellStyle name="Процентный 4 2 130 2" xfId="8818" xr:uid="{00000000-0005-0000-0000-0000A58B0000}"/>
    <cellStyle name="Процентный 4 2 130 2 2" xfId="56879" xr:uid="{00000000-0005-0000-0000-0000A68B0000}"/>
    <cellStyle name="Процентный 4 2 130 3" xfId="14158" xr:uid="{00000000-0005-0000-0000-0000A78B0000}"/>
    <cellStyle name="Процентный 4 2 130 4" xfId="19498" xr:uid="{00000000-0005-0000-0000-0000A88B0000}"/>
    <cellStyle name="Процентный 4 2 130 5" xfId="24838" xr:uid="{00000000-0005-0000-0000-0000A98B0000}"/>
    <cellStyle name="Процентный 4 2 130 6" xfId="30178" xr:uid="{00000000-0005-0000-0000-0000AA8B0000}"/>
    <cellStyle name="Процентный 4 2 130 7" xfId="35518" xr:uid="{00000000-0005-0000-0000-0000AB8B0000}"/>
    <cellStyle name="Процентный 4 2 130 8" xfId="40858" xr:uid="{00000000-0005-0000-0000-0000AC8B0000}"/>
    <cellStyle name="Процентный 4 2 130 9" xfId="46198" xr:uid="{00000000-0005-0000-0000-0000AD8B0000}"/>
    <cellStyle name="Процентный 4 2 131" xfId="3507" xr:uid="{00000000-0005-0000-0000-0000AE8B0000}"/>
    <cellStyle name="Процентный 4 2 131 10" xfId="51570" xr:uid="{00000000-0005-0000-0000-0000AF8B0000}"/>
    <cellStyle name="Процентный 4 2 131 2" xfId="8850" xr:uid="{00000000-0005-0000-0000-0000B08B0000}"/>
    <cellStyle name="Процентный 4 2 131 2 2" xfId="56911" xr:uid="{00000000-0005-0000-0000-0000B18B0000}"/>
    <cellStyle name="Процентный 4 2 131 3" xfId="14190" xr:uid="{00000000-0005-0000-0000-0000B28B0000}"/>
    <cellStyle name="Процентный 4 2 131 4" xfId="19530" xr:uid="{00000000-0005-0000-0000-0000B38B0000}"/>
    <cellStyle name="Процентный 4 2 131 5" xfId="24870" xr:uid="{00000000-0005-0000-0000-0000B48B0000}"/>
    <cellStyle name="Процентный 4 2 131 6" xfId="30210" xr:uid="{00000000-0005-0000-0000-0000B58B0000}"/>
    <cellStyle name="Процентный 4 2 131 7" xfId="35550" xr:uid="{00000000-0005-0000-0000-0000B68B0000}"/>
    <cellStyle name="Процентный 4 2 131 8" xfId="40890" xr:uid="{00000000-0005-0000-0000-0000B78B0000}"/>
    <cellStyle name="Процентный 4 2 131 9" xfId="46230" xr:uid="{00000000-0005-0000-0000-0000B88B0000}"/>
    <cellStyle name="Процентный 4 2 132" xfId="3539" xr:uid="{00000000-0005-0000-0000-0000B98B0000}"/>
    <cellStyle name="Процентный 4 2 132 10" xfId="51602" xr:uid="{00000000-0005-0000-0000-0000BA8B0000}"/>
    <cellStyle name="Процентный 4 2 132 2" xfId="8882" xr:uid="{00000000-0005-0000-0000-0000BB8B0000}"/>
    <cellStyle name="Процентный 4 2 132 2 2" xfId="56943" xr:uid="{00000000-0005-0000-0000-0000BC8B0000}"/>
    <cellStyle name="Процентный 4 2 132 3" xfId="14222" xr:uid="{00000000-0005-0000-0000-0000BD8B0000}"/>
    <cellStyle name="Процентный 4 2 132 4" xfId="19562" xr:uid="{00000000-0005-0000-0000-0000BE8B0000}"/>
    <cellStyle name="Процентный 4 2 132 5" xfId="24902" xr:uid="{00000000-0005-0000-0000-0000BF8B0000}"/>
    <cellStyle name="Процентный 4 2 132 6" xfId="30242" xr:uid="{00000000-0005-0000-0000-0000C08B0000}"/>
    <cellStyle name="Процентный 4 2 132 7" xfId="35582" xr:uid="{00000000-0005-0000-0000-0000C18B0000}"/>
    <cellStyle name="Процентный 4 2 132 8" xfId="40922" xr:uid="{00000000-0005-0000-0000-0000C28B0000}"/>
    <cellStyle name="Процентный 4 2 132 9" xfId="46262" xr:uid="{00000000-0005-0000-0000-0000C38B0000}"/>
    <cellStyle name="Процентный 4 2 133" xfId="3571" xr:uid="{00000000-0005-0000-0000-0000C48B0000}"/>
    <cellStyle name="Процентный 4 2 133 10" xfId="51634" xr:uid="{00000000-0005-0000-0000-0000C58B0000}"/>
    <cellStyle name="Процентный 4 2 133 2" xfId="8914" xr:uid="{00000000-0005-0000-0000-0000C68B0000}"/>
    <cellStyle name="Процентный 4 2 133 2 2" xfId="56975" xr:uid="{00000000-0005-0000-0000-0000C78B0000}"/>
    <cellStyle name="Процентный 4 2 133 3" xfId="14254" xr:uid="{00000000-0005-0000-0000-0000C88B0000}"/>
    <cellStyle name="Процентный 4 2 133 4" xfId="19594" xr:uid="{00000000-0005-0000-0000-0000C98B0000}"/>
    <cellStyle name="Процентный 4 2 133 5" xfId="24934" xr:uid="{00000000-0005-0000-0000-0000CA8B0000}"/>
    <cellStyle name="Процентный 4 2 133 6" xfId="30274" xr:uid="{00000000-0005-0000-0000-0000CB8B0000}"/>
    <cellStyle name="Процентный 4 2 133 7" xfId="35614" xr:uid="{00000000-0005-0000-0000-0000CC8B0000}"/>
    <cellStyle name="Процентный 4 2 133 8" xfId="40954" xr:uid="{00000000-0005-0000-0000-0000CD8B0000}"/>
    <cellStyle name="Процентный 4 2 133 9" xfId="46294" xr:uid="{00000000-0005-0000-0000-0000CE8B0000}"/>
    <cellStyle name="Процентный 4 2 134" xfId="3603" xr:uid="{00000000-0005-0000-0000-0000CF8B0000}"/>
    <cellStyle name="Процентный 4 2 134 10" xfId="51666" xr:uid="{00000000-0005-0000-0000-0000D08B0000}"/>
    <cellStyle name="Процентный 4 2 134 2" xfId="8946" xr:uid="{00000000-0005-0000-0000-0000D18B0000}"/>
    <cellStyle name="Процентный 4 2 134 2 2" xfId="57007" xr:uid="{00000000-0005-0000-0000-0000D28B0000}"/>
    <cellStyle name="Процентный 4 2 134 3" xfId="14286" xr:uid="{00000000-0005-0000-0000-0000D38B0000}"/>
    <cellStyle name="Процентный 4 2 134 4" xfId="19626" xr:uid="{00000000-0005-0000-0000-0000D48B0000}"/>
    <cellStyle name="Процентный 4 2 134 5" xfId="24966" xr:uid="{00000000-0005-0000-0000-0000D58B0000}"/>
    <cellStyle name="Процентный 4 2 134 6" xfId="30306" xr:uid="{00000000-0005-0000-0000-0000D68B0000}"/>
    <cellStyle name="Процентный 4 2 134 7" xfId="35646" xr:uid="{00000000-0005-0000-0000-0000D78B0000}"/>
    <cellStyle name="Процентный 4 2 134 8" xfId="40986" xr:uid="{00000000-0005-0000-0000-0000D88B0000}"/>
    <cellStyle name="Процентный 4 2 134 9" xfId="46326" xr:uid="{00000000-0005-0000-0000-0000D98B0000}"/>
    <cellStyle name="Процентный 4 2 135" xfId="3635" xr:uid="{00000000-0005-0000-0000-0000DA8B0000}"/>
    <cellStyle name="Процентный 4 2 135 10" xfId="51698" xr:uid="{00000000-0005-0000-0000-0000DB8B0000}"/>
    <cellStyle name="Процентный 4 2 135 2" xfId="8978" xr:uid="{00000000-0005-0000-0000-0000DC8B0000}"/>
    <cellStyle name="Процентный 4 2 135 2 2" xfId="57039" xr:uid="{00000000-0005-0000-0000-0000DD8B0000}"/>
    <cellStyle name="Процентный 4 2 135 3" xfId="14318" xr:uid="{00000000-0005-0000-0000-0000DE8B0000}"/>
    <cellStyle name="Процентный 4 2 135 4" xfId="19658" xr:uid="{00000000-0005-0000-0000-0000DF8B0000}"/>
    <cellStyle name="Процентный 4 2 135 5" xfId="24998" xr:uid="{00000000-0005-0000-0000-0000E08B0000}"/>
    <cellStyle name="Процентный 4 2 135 6" xfId="30338" xr:uid="{00000000-0005-0000-0000-0000E18B0000}"/>
    <cellStyle name="Процентный 4 2 135 7" xfId="35678" xr:uid="{00000000-0005-0000-0000-0000E28B0000}"/>
    <cellStyle name="Процентный 4 2 135 8" xfId="41018" xr:uid="{00000000-0005-0000-0000-0000E38B0000}"/>
    <cellStyle name="Процентный 4 2 135 9" xfId="46358" xr:uid="{00000000-0005-0000-0000-0000E48B0000}"/>
    <cellStyle name="Процентный 4 2 136" xfId="3667" xr:uid="{00000000-0005-0000-0000-0000E58B0000}"/>
    <cellStyle name="Процентный 4 2 136 10" xfId="51730" xr:uid="{00000000-0005-0000-0000-0000E68B0000}"/>
    <cellStyle name="Процентный 4 2 136 2" xfId="9010" xr:uid="{00000000-0005-0000-0000-0000E78B0000}"/>
    <cellStyle name="Процентный 4 2 136 2 2" xfId="57071" xr:uid="{00000000-0005-0000-0000-0000E88B0000}"/>
    <cellStyle name="Процентный 4 2 136 3" xfId="14350" xr:uid="{00000000-0005-0000-0000-0000E98B0000}"/>
    <cellStyle name="Процентный 4 2 136 4" xfId="19690" xr:uid="{00000000-0005-0000-0000-0000EA8B0000}"/>
    <cellStyle name="Процентный 4 2 136 5" xfId="25030" xr:uid="{00000000-0005-0000-0000-0000EB8B0000}"/>
    <cellStyle name="Процентный 4 2 136 6" xfId="30370" xr:uid="{00000000-0005-0000-0000-0000EC8B0000}"/>
    <cellStyle name="Процентный 4 2 136 7" xfId="35710" xr:uid="{00000000-0005-0000-0000-0000ED8B0000}"/>
    <cellStyle name="Процентный 4 2 136 8" xfId="41050" xr:uid="{00000000-0005-0000-0000-0000EE8B0000}"/>
    <cellStyle name="Процентный 4 2 136 9" xfId="46390" xr:uid="{00000000-0005-0000-0000-0000EF8B0000}"/>
    <cellStyle name="Процентный 4 2 137" xfId="3699" xr:uid="{00000000-0005-0000-0000-0000F08B0000}"/>
    <cellStyle name="Процентный 4 2 137 10" xfId="51762" xr:uid="{00000000-0005-0000-0000-0000F18B0000}"/>
    <cellStyle name="Процентный 4 2 137 2" xfId="9042" xr:uid="{00000000-0005-0000-0000-0000F28B0000}"/>
    <cellStyle name="Процентный 4 2 137 2 2" xfId="57103" xr:uid="{00000000-0005-0000-0000-0000F38B0000}"/>
    <cellStyle name="Процентный 4 2 137 3" xfId="14382" xr:uid="{00000000-0005-0000-0000-0000F48B0000}"/>
    <cellStyle name="Процентный 4 2 137 4" xfId="19722" xr:uid="{00000000-0005-0000-0000-0000F58B0000}"/>
    <cellStyle name="Процентный 4 2 137 5" xfId="25062" xr:uid="{00000000-0005-0000-0000-0000F68B0000}"/>
    <cellStyle name="Процентный 4 2 137 6" xfId="30402" xr:uid="{00000000-0005-0000-0000-0000F78B0000}"/>
    <cellStyle name="Процентный 4 2 137 7" xfId="35742" xr:uid="{00000000-0005-0000-0000-0000F88B0000}"/>
    <cellStyle name="Процентный 4 2 137 8" xfId="41082" xr:uid="{00000000-0005-0000-0000-0000F98B0000}"/>
    <cellStyle name="Процентный 4 2 137 9" xfId="46422" xr:uid="{00000000-0005-0000-0000-0000FA8B0000}"/>
    <cellStyle name="Процентный 4 2 138" xfId="3731" xr:uid="{00000000-0005-0000-0000-0000FB8B0000}"/>
    <cellStyle name="Процентный 4 2 138 10" xfId="51794" xr:uid="{00000000-0005-0000-0000-0000FC8B0000}"/>
    <cellStyle name="Процентный 4 2 138 2" xfId="9074" xr:uid="{00000000-0005-0000-0000-0000FD8B0000}"/>
    <cellStyle name="Процентный 4 2 138 2 2" xfId="57135" xr:uid="{00000000-0005-0000-0000-0000FE8B0000}"/>
    <cellStyle name="Процентный 4 2 138 3" xfId="14414" xr:uid="{00000000-0005-0000-0000-0000FF8B0000}"/>
    <cellStyle name="Процентный 4 2 138 4" xfId="19754" xr:uid="{00000000-0005-0000-0000-0000008C0000}"/>
    <cellStyle name="Процентный 4 2 138 5" xfId="25094" xr:uid="{00000000-0005-0000-0000-0000018C0000}"/>
    <cellStyle name="Процентный 4 2 138 6" xfId="30434" xr:uid="{00000000-0005-0000-0000-0000028C0000}"/>
    <cellStyle name="Процентный 4 2 138 7" xfId="35774" xr:uid="{00000000-0005-0000-0000-0000038C0000}"/>
    <cellStyle name="Процентный 4 2 138 8" xfId="41114" xr:uid="{00000000-0005-0000-0000-0000048C0000}"/>
    <cellStyle name="Процентный 4 2 138 9" xfId="46454" xr:uid="{00000000-0005-0000-0000-0000058C0000}"/>
    <cellStyle name="Процентный 4 2 139" xfId="3763" xr:uid="{00000000-0005-0000-0000-0000068C0000}"/>
    <cellStyle name="Процентный 4 2 139 10" xfId="51826" xr:uid="{00000000-0005-0000-0000-0000078C0000}"/>
    <cellStyle name="Процентный 4 2 139 2" xfId="9106" xr:uid="{00000000-0005-0000-0000-0000088C0000}"/>
    <cellStyle name="Процентный 4 2 139 2 2" xfId="57167" xr:uid="{00000000-0005-0000-0000-0000098C0000}"/>
    <cellStyle name="Процентный 4 2 139 3" xfId="14446" xr:uid="{00000000-0005-0000-0000-00000A8C0000}"/>
    <cellStyle name="Процентный 4 2 139 4" xfId="19786" xr:uid="{00000000-0005-0000-0000-00000B8C0000}"/>
    <cellStyle name="Процентный 4 2 139 5" xfId="25126" xr:uid="{00000000-0005-0000-0000-00000C8C0000}"/>
    <cellStyle name="Процентный 4 2 139 6" xfId="30466" xr:uid="{00000000-0005-0000-0000-00000D8C0000}"/>
    <cellStyle name="Процентный 4 2 139 7" xfId="35806" xr:uid="{00000000-0005-0000-0000-00000E8C0000}"/>
    <cellStyle name="Процентный 4 2 139 8" xfId="41146" xr:uid="{00000000-0005-0000-0000-00000F8C0000}"/>
    <cellStyle name="Процентный 4 2 139 9" xfId="46486" xr:uid="{00000000-0005-0000-0000-0000108C0000}"/>
    <cellStyle name="Процентный 4 2 14" xfId="217" xr:uid="{00000000-0005-0000-0000-0000118C0000}"/>
    <cellStyle name="Процентный 4 2 14 10" xfId="42939" xr:uid="{00000000-0005-0000-0000-0000128C0000}"/>
    <cellStyle name="Процентный 4 2 14 11" xfId="48279" xr:uid="{00000000-0005-0000-0000-0000138C0000}"/>
    <cellStyle name="Процентный 4 2 14 2" xfId="684" xr:uid="{00000000-0005-0000-0000-0000148C0000}"/>
    <cellStyle name="Процентный 4 2 14 2 10" xfId="48746" xr:uid="{00000000-0005-0000-0000-0000158C0000}"/>
    <cellStyle name="Процентный 4 2 14 2 2" xfId="6025" xr:uid="{00000000-0005-0000-0000-0000168C0000}"/>
    <cellStyle name="Процентный 4 2 14 2 2 2" xfId="54087" xr:uid="{00000000-0005-0000-0000-0000178C0000}"/>
    <cellStyle name="Процентный 4 2 14 2 3" xfId="11366" xr:uid="{00000000-0005-0000-0000-0000188C0000}"/>
    <cellStyle name="Процентный 4 2 14 2 4" xfId="16706" xr:uid="{00000000-0005-0000-0000-0000198C0000}"/>
    <cellStyle name="Процентный 4 2 14 2 5" xfId="22046" xr:uid="{00000000-0005-0000-0000-00001A8C0000}"/>
    <cellStyle name="Процентный 4 2 14 2 6" xfId="27386" xr:uid="{00000000-0005-0000-0000-00001B8C0000}"/>
    <cellStyle name="Процентный 4 2 14 2 7" xfId="32726" xr:uid="{00000000-0005-0000-0000-00001C8C0000}"/>
    <cellStyle name="Процентный 4 2 14 2 8" xfId="38066" xr:uid="{00000000-0005-0000-0000-00001D8C0000}"/>
    <cellStyle name="Процентный 4 2 14 2 9" xfId="43406" xr:uid="{00000000-0005-0000-0000-00001E8C0000}"/>
    <cellStyle name="Процентный 4 2 14 3" xfId="5558" xr:uid="{00000000-0005-0000-0000-00001F8C0000}"/>
    <cellStyle name="Процентный 4 2 14 3 2" xfId="53620" xr:uid="{00000000-0005-0000-0000-0000208C0000}"/>
    <cellStyle name="Процентный 4 2 14 4" xfId="10899" xr:uid="{00000000-0005-0000-0000-0000218C0000}"/>
    <cellStyle name="Процентный 4 2 14 5" xfId="16239" xr:uid="{00000000-0005-0000-0000-0000228C0000}"/>
    <cellStyle name="Процентный 4 2 14 6" xfId="21579" xr:uid="{00000000-0005-0000-0000-0000238C0000}"/>
    <cellStyle name="Процентный 4 2 14 7" xfId="26919" xr:uid="{00000000-0005-0000-0000-0000248C0000}"/>
    <cellStyle name="Процентный 4 2 14 8" xfId="32259" xr:uid="{00000000-0005-0000-0000-0000258C0000}"/>
    <cellStyle name="Процентный 4 2 14 9" xfId="37599" xr:uid="{00000000-0005-0000-0000-0000268C0000}"/>
    <cellStyle name="Процентный 4 2 140" xfId="3795" xr:uid="{00000000-0005-0000-0000-0000278C0000}"/>
    <cellStyle name="Процентный 4 2 140 10" xfId="51858" xr:uid="{00000000-0005-0000-0000-0000288C0000}"/>
    <cellStyle name="Процентный 4 2 140 2" xfId="9138" xr:uid="{00000000-0005-0000-0000-0000298C0000}"/>
    <cellStyle name="Процентный 4 2 140 2 2" xfId="57199" xr:uid="{00000000-0005-0000-0000-00002A8C0000}"/>
    <cellStyle name="Процентный 4 2 140 3" xfId="14478" xr:uid="{00000000-0005-0000-0000-00002B8C0000}"/>
    <cellStyle name="Процентный 4 2 140 4" xfId="19818" xr:uid="{00000000-0005-0000-0000-00002C8C0000}"/>
    <cellStyle name="Процентный 4 2 140 5" xfId="25158" xr:uid="{00000000-0005-0000-0000-00002D8C0000}"/>
    <cellStyle name="Процентный 4 2 140 6" xfId="30498" xr:uid="{00000000-0005-0000-0000-00002E8C0000}"/>
    <cellStyle name="Процентный 4 2 140 7" xfId="35838" xr:uid="{00000000-0005-0000-0000-00002F8C0000}"/>
    <cellStyle name="Процентный 4 2 140 8" xfId="41178" xr:uid="{00000000-0005-0000-0000-0000308C0000}"/>
    <cellStyle name="Процентный 4 2 140 9" xfId="46518" xr:uid="{00000000-0005-0000-0000-0000318C0000}"/>
    <cellStyle name="Процентный 4 2 141" xfId="3827" xr:uid="{00000000-0005-0000-0000-0000328C0000}"/>
    <cellStyle name="Процентный 4 2 141 10" xfId="51890" xr:uid="{00000000-0005-0000-0000-0000338C0000}"/>
    <cellStyle name="Процентный 4 2 141 2" xfId="9170" xr:uid="{00000000-0005-0000-0000-0000348C0000}"/>
    <cellStyle name="Процентный 4 2 141 2 2" xfId="57231" xr:uid="{00000000-0005-0000-0000-0000358C0000}"/>
    <cellStyle name="Процентный 4 2 141 3" xfId="14510" xr:uid="{00000000-0005-0000-0000-0000368C0000}"/>
    <cellStyle name="Процентный 4 2 141 4" xfId="19850" xr:uid="{00000000-0005-0000-0000-0000378C0000}"/>
    <cellStyle name="Процентный 4 2 141 5" xfId="25190" xr:uid="{00000000-0005-0000-0000-0000388C0000}"/>
    <cellStyle name="Процентный 4 2 141 6" xfId="30530" xr:uid="{00000000-0005-0000-0000-0000398C0000}"/>
    <cellStyle name="Процентный 4 2 141 7" xfId="35870" xr:uid="{00000000-0005-0000-0000-00003A8C0000}"/>
    <cellStyle name="Процентный 4 2 141 8" xfId="41210" xr:uid="{00000000-0005-0000-0000-00003B8C0000}"/>
    <cellStyle name="Процентный 4 2 141 9" xfId="46550" xr:uid="{00000000-0005-0000-0000-00003C8C0000}"/>
    <cellStyle name="Процентный 4 2 142" xfId="3859" xr:uid="{00000000-0005-0000-0000-00003D8C0000}"/>
    <cellStyle name="Процентный 4 2 142 10" xfId="51922" xr:uid="{00000000-0005-0000-0000-00003E8C0000}"/>
    <cellStyle name="Процентный 4 2 142 2" xfId="9202" xr:uid="{00000000-0005-0000-0000-00003F8C0000}"/>
    <cellStyle name="Процентный 4 2 142 2 2" xfId="57263" xr:uid="{00000000-0005-0000-0000-0000408C0000}"/>
    <cellStyle name="Процентный 4 2 142 3" xfId="14542" xr:uid="{00000000-0005-0000-0000-0000418C0000}"/>
    <cellStyle name="Процентный 4 2 142 4" xfId="19882" xr:uid="{00000000-0005-0000-0000-0000428C0000}"/>
    <cellStyle name="Процентный 4 2 142 5" xfId="25222" xr:uid="{00000000-0005-0000-0000-0000438C0000}"/>
    <cellStyle name="Процентный 4 2 142 6" xfId="30562" xr:uid="{00000000-0005-0000-0000-0000448C0000}"/>
    <cellStyle name="Процентный 4 2 142 7" xfId="35902" xr:uid="{00000000-0005-0000-0000-0000458C0000}"/>
    <cellStyle name="Процентный 4 2 142 8" xfId="41242" xr:uid="{00000000-0005-0000-0000-0000468C0000}"/>
    <cellStyle name="Процентный 4 2 142 9" xfId="46582" xr:uid="{00000000-0005-0000-0000-0000478C0000}"/>
    <cellStyle name="Процентный 4 2 143" xfId="3891" xr:uid="{00000000-0005-0000-0000-0000488C0000}"/>
    <cellStyle name="Процентный 4 2 143 10" xfId="51954" xr:uid="{00000000-0005-0000-0000-0000498C0000}"/>
    <cellStyle name="Процентный 4 2 143 2" xfId="9234" xr:uid="{00000000-0005-0000-0000-00004A8C0000}"/>
    <cellStyle name="Процентный 4 2 143 2 2" xfId="57295" xr:uid="{00000000-0005-0000-0000-00004B8C0000}"/>
    <cellStyle name="Процентный 4 2 143 3" xfId="14574" xr:uid="{00000000-0005-0000-0000-00004C8C0000}"/>
    <cellStyle name="Процентный 4 2 143 4" xfId="19914" xr:uid="{00000000-0005-0000-0000-00004D8C0000}"/>
    <cellStyle name="Процентный 4 2 143 5" xfId="25254" xr:uid="{00000000-0005-0000-0000-00004E8C0000}"/>
    <cellStyle name="Процентный 4 2 143 6" xfId="30594" xr:uid="{00000000-0005-0000-0000-00004F8C0000}"/>
    <cellStyle name="Процентный 4 2 143 7" xfId="35934" xr:uid="{00000000-0005-0000-0000-0000508C0000}"/>
    <cellStyle name="Процентный 4 2 143 8" xfId="41274" xr:uid="{00000000-0005-0000-0000-0000518C0000}"/>
    <cellStyle name="Процентный 4 2 143 9" xfId="46614" xr:uid="{00000000-0005-0000-0000-0000528C0000}"/>
    <cellStyle name="Процентный 4 2 144" xfId="3923" xr:uid="{00000000-0005-0000-0000-0000538C0000}"/>
    <cellStyle name="Процентный 4 2 144 10" xfId="51986" xr:uid="{00000000-0005-0000-0000-0000548C0000}"/>
    <cellStyle name="Процентный 4 2 144 2" xfId="9266" xr:uid="{00000000-0005-0000-0000-0000558C0000}"/>
    <cellStyle name="Процентный 4 2 144 2 2" xfId="57327" xr:uid="{00000000-0005-0000-0000-0000568C0000}"/>
    <cellStyle name="Процентный 4 2 144 3" xfId="14606" xr:uid="{00000000-0005-0000-0000-0000578C0000}"/>
    <cellStyle name="Процентный 4 2 144 4" xfId="19946" xr:uid="{00000000-0005-0000-0000-0000588C0000}"/>
    <cellStyle name="Процентный 4 2 144 5" xfId="25286" xr:uid="{00000000-0005-0000-0000-0000598C0000}"/>
    <cellStyle name="Процентный 4 2 144 6" xfId="30626" xr:uid="{00000000-0005-0000-0000-00005A8C0000}"/>
    <cellStyle name="Процентный 4 2 144 7" xfId="35966" xr:uid="{00000000-0005-0000-0000-00005B8C0000}"/>
    <cellStyle name="Процентный 4 2 144 8" xfId="41306" xr:uid="{00000000-0005-0000-0000-00005C8C0000}"/>
    <cellStyle name="Процентный 4 2 144 9" xfId="46646" xr:uid="{00000000-0005-0000-0000-00005D8C0000}"/>
    <cellStyle name="Процентный 4 2 145" xfId="3955" xr:uid="{00000000-0005-0000-0000-00005E8C0000}"/>
    <cellStyle name="Процентный 4 2 145 10" xfId="52018" xr:uid="{00000000-0005-0000-0000-00005F8C0000}"/>
    <cellStyle name="Процентный 4 2 145 2" xfId="9298" xr:uid="{00000000-0005-0000-0000-0000608C0000}"/>
    <cellStyle name="Процентный 4 2 145 2 2" xfId="57359" xr:uid="{00000000-0005-0000-0000-0000618C0000}"/>
    <cellStyle name="Процентный 4 2 145 3" xfId="14638" xr:uid="{00000000-0005-0000-0000-0000628C0000}"/>
    <cellStyle name="Процентный 4 2 145 4" xfId="19978" xr:uid="{00000000-0005-0000-0000-0000638C0000}"/>
    <cellStyle name="Процентный 4 2 145 5" xfId="25318" xr:uid="{00000000-0005-0000-0000-0000648C0000}"/>
    <cellStyle name="Процентный 4 2 145 6" xfId="30658" xr:uid="{00000000-0005-0000-0000-0000658C0000}"/>
    <cellStyle name="Процентный 4 2 145 7" xfId="35998" xr:uid="{00000000-0005-0000-0000-0000668C0000}"/>
    <cellStyle name="Процентный 4 2 145 8" xfId="41338" xr:uid="{00000000-0005-0000-0000-0000678C0000}"/>
    <cellStyle name="Процентный 4 2 145 9" xfId="46678" xr:uid="{00000000-0005-0000-0000-0000688C0000}"/>
    <cellStyle name="Процентный 4 2 146" xfId="3987" xr:uid="{00000000-0005-0000-0000-0000698C0000}"/>
    <cellStyle name="Процентный 4 2 146 10" xfId="52050" xr:uid="{00000000-0005-0000-0000-00006A8C0000}"/>
    <cellStyle name="Процентный 4 2 146 2" xfId="9330" xr:uid="{00000000-0005-0000-0000-00006B8C0000}"/>
    <cellStyle name="Процентный 4 2 146 2 2" xfId="57391" xr:uid="{00000000-0005-0000-0000-00006C8C0000}"/>
    <cellStyle name="Процентный 4 2 146 3" xfId="14670" xr:uid="{00000000-0005-0000-0000-00006D8C0000}"/>
    <cellStyle name="Процентный 4 2 146 4" xfId="20010" xr:uid="{00000000-0005-0000-0000-00006E8C0000}"/>
    <cellStyle name="Процентный 4 2 146 5" xfId="25350" xr:uid="{00000000-0005-0000-0000-00006F8C0000}"/>
    <cellStyle name="Процентный 4 2 146 6" xfId="30690" xr:uid="{00000000-0005-0000-0000-0000708C0000}"/>
    <cellStyle name="Процентный 4 2 146 7" xfId="36030" xr:uid="{00000000-0005-0000-0000-0000718C0000}"/>
    <cellStyle name="Процентный 4 2 146 8" xfId="41370" xr:uid="{00000000-0005-0000-0000-0000728C0000}"/>
    <cellStyle name="Процентный 4 2 146 9" xfId="46710" xr:uid="{00000000-0005-0000-0000-0000738C0000}"/>
    <cellStyle name="Процентный 4 2 147" xfId="4019" xr:uid="{00000000-0005-0000-0000-0000748C0000}"/>
    <cellStyle name="Процентный 4 2 147 10" xfId="52082" xr:uid="{00000000-0005-0000-0000-0000758C0000}"/>
    <cellStyle name="Процентный 4 2 147 2" xfId="9362" xr:uid="{00000000-0005-0000-0000-0000768C0000}"/>
    <cellStyle name="Процентный 4 2 147 2 2" xfId="57423" xr:uid="{00000000-0005-0000-0000-0000778C0000}"/>
    <cellStyle name="Процентный 4 2 147 3" xfId="14702" xr:uid="{00000000-0005-0000-0000-0000788C0000}"/>
    <cellStyle name="Процентный 4 2 147 4" xfId="20042" xr:uid="{00000000-0005-0000-0000-0000798C0000}"/>
    <cellStyle name="Процентный 4 2 147 5" xfId="25382" xr:uid="{00000000-0005-0000-0000-00007A8C0000}"/>
    <cellStyle name="Процентный 4 2 147 6" xfId="30722" xr:uid="{00000000-0005-0000-0000-00007B8C0000}"/>
    <cellStyle name="Процентный 4 2 147 7" xfId="36062" xr:uid="{00000000-0005-0000-0000-00007C8C0000}"/>
    <cellStyle name="Процентный 4 2 147 8" xfId="41402" xr:uid="{00000000-0005-0000-0000-00007D8C0000}"/>
    <cellStyle name="Процентный 4 2 147 9" xfId="46742" xr:uid="{00000000-0005-0000-0000-00007E8C0000}"/>
    <cellStyle name="Процентный 4 2 148" xfId="4051" xr:uid="{00000000-0005-0000-0000-00007F8C0000}"/>
    <cellStyle name="Процентный 4 2 148 10" xfId="52114" xr:uid="{00000000-0005-0000-0000-0000808C0000}"/>
    <cellStyle name="Процентный 4 2 148 2" xfId="9394" xr:uid="{00000000-0005-0000-0000-0000818C0000}"/>
    <cellStyle name="Процентный 4 2 148 2 2" xfId="57455" xr:uid="{00000000-0005-0000-0000-0000828C0000}"/>
    <cellStyle name="Процентный 4 2 148 3" xfId="14734" xr:uid="{00000000-0005-0000-0000-0000838C0000}"/>
    <cellStyle name="Процентный 4 2 148 4" xfId="20074" xr:uid="{00000000-0005-0000-0000-0000848C0000}"/>
    <cellStyle name="Процентный 4 2 148 5" xfId="25414" xr:uid="{00000000-0005-0000-0000-0000858C0000}"/>
    <cellStyle name="Процентный 4 2 148 6" xfId="30754" xr:uid="{00000000-0005-0000-0000-0000868C0000}"/>
    <cellStyle name="Процентный 4 2 148 7" xfId="36094" xr:uid="{00000000-0005-0000-0000-0000878C0000}"/>
    <cellStyle name="Процентный 4 2 148 8" xfId="41434" xr:uid="{00000000-0005-0000-0000-0000888C0000}"/>
    <cellStyle name="Процентный 4 2 148 9" xfId="46774" xr:uid="{00000000-0005-0000-0000-0000898C0000}"/>
    <cellStyle name="Процентный 4 2 149" xfId="4083" xr:uid="{00000000-0005-0000-0000-00008A8C0000}"/>
    <cellStyle name="Процентный 4 2 149 10" xfId="52146" xr:uid="{00000000-0005-0000-0000-00008B8C0000}"/>
    <cellStyle name="Процентный 4 2 149 2" xfId="9426" xr:uid="{00000000-0005-0000-0000-00008C8C0000}"/>
    <cellStyle name="Процентный 4 2 149 2 2" xfId="57487" xr:uid="{00000000-0005-0000-0000-00008D8C0000}"/>
    <cellStyle name="Процентный 4 2 149 3" xfId="14766" xr:uid="{00000000-0005-0000-0000-00008E8C0000}"/>
    <cellStyle name="Процентный 4 2 149 4" xfId="20106" xr:uid="{00000000-0005-0000-0000-00008F8C0000}"/>
    <cellStyle name="Процентный 4 2 149 5" xfId="25446" xr:uid="{00000000-0005-0000-0000-0000908C0000}"/>
    <cellStyle name="Процентный 4 2 149 6" xfId="30786" xr:uid="{00000000-0005-0000-0000-0000918C0000}"/>
    <cellStyle name="Процентный 4 2 149 7" xfId="36126" xr:uid="{00000000-0005-0000-0000-0000928C0000}"/>
    <cellStyle name="Процентный 4 2 149 8" xfId="41466" xr:uid="{00000000-0005-0000-0000-0000938C0000}"/>
    <cellStyle name="Процентный 4 2 149 9" xfId="46806" xr:uid="{00000000-0005-0000-0000-0000948C0000}"/>
    <cellStyle name="Процентный 4 2 15" xfId="227" xr:uid="{00000000-0005-0000-0000-0000958C0000}"/>
    <cellStyle name="Процентный 4 2 15 10" xfId="42949" xr:uid="{00000000-0005-0000-0000-0000968C0000}"/>
    <cellStyle name="Процентный 4 2 15 11" xfId="48289" xr:uid="{00000000-0005-0000-0000-0000978C0000}"/>
    <cellStyle name="Процентный 4 2 15 2" xfId="694" xr:uid="{00000000-0005-0000-0000-0000988C0000}"/>
    <cellStyle name="Процентный 4 2 15 2 10" xfId="48756" xr:uid="{00000000-0005-0000-0000-0000998C0000}"/>
    <cellStyle name="Процентный 4 2 15 2 2" xfId="6035" xr:uid="{00000000-0005-0000-0000-00009A8C0000}"/>
    <cellStyle name="Процентный 4 2 15 2 2 2" xfId="54097" xr:uid="{00000000-0005-0000-0000-00009B8C0000}"/>
    <cellStyle name="Процентный 4 2 15 2 3" xfId="11376" xr:uid="{00000000-0005-0000-0000-00009C8C0000}"/>
    <cellStyle name="Процентный 4 2 15 2 4" xfId="16716" xr:uid="{00000000-0005-0000-0000-00009D8C0000}"/>
    <cellStyle name="Процентный 4 2 15 2 5" xfId="22056" xr:uid="{00000000-0005-0000-0000-00009E8C0000}"/>
    <cellStyle name="Процентный 4 2 15 2 6" xfId="27396" xr:uid="{00000000-0005-0000-0000-00009F8C0000}"/>
    <cellStyle name="Процентный 4 2 15 2 7" xfId="32736" xr:uid="{00000000-0005-0000-0000-0000A08C0000}"/>
    <cellStyle name="Процентный 4 2 15 2 8" xfId="38076" xr:uid="{00000000-0005-0000-0000-0000A18C0000}"/>
    <cellStyle name="Процентный 4 2 15 2 9" xfId="43416" xr:uid="{00000000-0005-0000-0000-0000A28C0000}"/>
    <cellStyle name="Процентный 4 2 15 3" xfId="5568" xr:uid="{00000000-0005-0000-0000-0000A38C0000}"/>
    <cellStyle name="Процентный 4 2 15 3 2" xfId="53630" xr:uid="{00000000-0005-0000-0000-0000A48C0000}"/>
    <cellStyle name="Процентный 4 2 15 4" xfId="10909" xr:uid="{00000000-0005-0000-0000-0000A58C0000}"/>
    <cellStyle name="Процентный 4 2 15 5" xfId="16249" xr:uid="{00000000-0005-0000-0000-0000A68C0000}"/>
    <cellStyle name="Процентный 4 2 15 6" xfId="21589" xr:uid="{00000000-0005-0000-0000-0000A78C0000}"/>
    <cellStyle name="Процентный 4 2 15 7" xfId="26929" xr:uid="{00000000-0005-0000-0000-0000A88C0000}"/>
    <cellStyle name="Процентный 4 2 15 8" xfId="32269" xr:uid="{00000000-0005-0000-0000-0000A98C0000}"/>
    <cellStyle name="Процентный 4 2 15 9" xfId="37609" xr:uid="{00000000-0005-0000-0000-0000AA8C0000}"/>
    <cellStyle name="Процентный 4 2 150" xfId="4115" xr:uid="{00000000-0005-0000-0000-0000AB8C0000}"/>
    <cellStyle name="Процентный 4 2 150 10" xfId="52178" xr:uid="{00000000-0005-0000-0000-0000AC8C0000}"/>
    <cellStyle name="Процентный 4 2 150 2" xfId="9458" xr:uid="{00000000-0005-0000-0000-0000AD8C0000}"/>
    <cellStyle name="Процентный 4 2 150 2 2" xfId="57519" xr:uid="{00000000-0005-0000-0000-0000AE8C0000}"/>
    <cellStyle name="Процентный 4 2 150 3" xfId="14798" xr:uid="{00000000-0005-0000-0000-0000AF8C0000}"/>
    <cellStyle name="Процентный 4 2 150 4" xfId="20138" xr:uid="{00000000-0005-0000-0000-0000B08C0000}"/>
    <cellStyle name="Процентный 4 2 150 5" xfId="25478" xr:uid="{00000000-0005-0000-0000-0000B18C0000}"/>
    <cellStyle name="Процентный 4 2 150 6" xfId="30818" xr:uid="{00000000-0005-0000-0000-0000B28C0000}"/>
    <cellStyle name="Процентный 4 2 150 7" xfId="36158" xr:uid="{00000000-0005-0000-0000-0000B38C0000}"/>
    <cellStyle name="Процентный 4 2 150 8" xfId="41498" xr:uid="{00000000-0005-0000-0000-0000B48C0000}"/>
    <cellStyle name="Процентный 4 2 150 9" xfId="46838" xr:uid="{00000000-0005-0000-0000-0000B58C0000}"/>
    <cellStyle name="Процентный 4 2 151" xfId="4147" xr:uid="{00000000-0005-0000-0000-0000B68C0000}"/>
    <cellStyle name="Процентный 4 2 151 10" xfId="52210" xr:uid="{00000000-0005-0000-0000-0000B78C0000}"/>
    <cellStyle name="Процентный 4 2 151 2" xfId="9490" xr:uid="{00000000-0005-0000-0000-0000B88C0000}"/>
    <cellStyle name="Процентный 4 2 151 2 2" xfId="57551" xr:uid="{00000000-0005-0000-0000-0000B98C0000}"/>
    <cellStyle name="Процентный 4 2 151 3" xfId="14830" xr:uid="{00000000-0005-0000-0000-0000BA8C0000}"/>
    <cellStyle name="Процентный 4 2 151 4" xfId="20170" xr:uid="{00000000-0005-0000-0000-0000BB8C0000}"/>
    <cellStyle name="Процентный 4 2 151 5" xfId="25510" xr:uid="{00000000-0005-0000-0000-0000BC8C0000}"/>
    <cellStyle name="Процентный 4 2 151 6" xfId="30850" xr:uid="{00000000-0005-0000-0000-0000BD8C0000}"/>
    <cellStyle name="Процентный 4 2 151 7" xfId="36190" xr:uid="{00000000-0005-0000-0000-0000BE8C0000}"/>
    <cellStyle name="Процентный 4 2 151 8" xfId="41530" xr:uid="{00000000-0005-0000-0000-0000BF8C0000}"/>
    <cellStyle name="Процентный 4 2 151 9" xfId="46870" xr:uid="{00000000-0005-0000-0000-0000C08C0000}"/>
    <cellStyle name="Процентный 4 2 152" xfId="4179" xr:uid="{00000000-0005-0000-0000-0000C18C0000}"/>
    <cellStyle name="Процентный 4 2 152 10" xfId="52242" xr:uid="{00000000-0005-0000-0000-0000C28C0000}"/>
    <cellStyle name="Процентный 4 2 152 2" xfId="9522" xr:uid="{00000000-0005-0000-0000-0000C38C0000}"/>
    <cellStyle name="Процентный 4 2 152 2 2" xfId="57583" xr:uid="{00000000-0005-0000-0000-0000C48C0000}"/>
    <cellStyle name="Процентный 4 2 152 3" xfId="14862" xr:uid="{00000000-0005-0000-0000-0000C58C0000}"/>
    <cellStyle name="Процентный 4 2 152 4" xfId="20202" xr:uid="{00000000-0005-0000-0000-0000C68C0000}"/>
    <cellStyle name="Процентный 4 2 152 5" xfId="25542" xr:uid="{00000000-0005-0000-0000-0000C78C0000}"/>
    <cellStyle name="Процентный 4 2 152 6" xfId="30882" xr:uid="{00000000-0005-0000-0000-0000C88C0000}"/>
    <cellStyle name="Процентный 4 2 152 7" xfId="36222" xr:uid="{00000000-0005-0000-0000-0000C98C0000}"/>
    <cellStyle name="Процентный 4 2 152 8" xfId="41562" xr:uid="{00000000-0005-0000-0000-0000CA8C0000}"/>
    <cellStyle name="Процентный 4 2 152 9" xfId="46902" xr:uid="{00000000-0005-0000-0000-0000CB8C0000}"/>
    <cellStyle name="Процентный 4 2 153" xfId="4211" xr:uid="{00000000-0005-0000-0000-0000CC8C0000}"/>
    <cellStyle name="Процентный 4 2 153 10" xfId="52274" xr:uid="{00000000-0005-0000-0000-0000CD8C0000}"/>
    <cellStyle name="Процентный 4 2 153 2" xfId="9554" xr:uid="{00000000-0005-0000-0000-0000CE8C0000}"/>
    <cellStyle name="Процентный 4 2 153 2 2" xfId="57615" xr:uid="{00000000-0005-0000-0000-0000CF8C0000}"/>
    <cellStyle name="Процентный 4 2 153 3" xfId="14894" xr:uid="{00000000-0005-0000-0000-0000D08C0000}"/>
    <cellStyle name="Процентный 4 2 153 4" xfId="20234" xr:uid="{00000000-0005-0000-0000-0000D18C0000}"/>
    <cellStyle name="Процентный 4 2 153 5" xfId="25574" xr:uid="{00000000-0005-0000-0000-0000D28C0000}"/>
    <cellStyle name="Процентный 4 2 153 6" xfId="30914" xr:uid="{00000000-0005-0000-0000-0000D38C0000}"/>
    <cellStyle name="Процентный 4 2 153 7" xfId="36254" xr:uid="{00000000-0005-0000-0000-0000D48C0000}"/>
    <cellStyle name="Процентный 4 2 153 8" xfId="41594" xr:uid="{00000000-0005-0000-0000-0000D58C0000}"/>
    <cellStyle name="Процентный 4 2 153 9" xfId="46934" xr:uid="{00000000-0005-0000-0000-0000D68C0000}"/>
    <cellStyle name="Процентный 4 2 154" xfId="4243" xr:uid="{00000000-0005-0000-0000-0000D78C0000}"/>
    <cellStyle name="Процентный 4 2 154 10" xfId="52306" xr:uid="{00000000-0005-0000-0000-0000D88C0000}"/>
    <cellStyle name="Процентный 4 2 154 2" xfId="9586" xr:uid="{00000000-0005-0000-0000-0000D98C0000}"/>
    <cellStyle name="Процентный 4 2 154 2 2" xfId="57647" xr:uid="{00000000-0005-0000-0000-0000DA8C0000}"/>
    <cellStyle name="Процентный 4 2 154 3" xfId="14926" xr:uid="{00000000-0005-0000-0000-0000DB8C0000}"/>
    <cellStyle name="Процентный 4 2 154 4" xfId="20266" xr:uid="{00000000-0005-0000-0000-0000DC8C0000}"/>
    <cellStyle name="Процентный 4 2 154 5" xfId="25606" xr:uid="{00000000-0005-0000-0000-0000DD8C0000}"/>
    <cellStyle name="Процентный 4 2 154 6" xfId="30946" xr:uid="{00000000-0005-0000-0000-0000DE8C0000}"/>
    <cellStyle name="Процентный 4 2 154 7" xfId="36286" xr:uid="{00000000-0005-0000-0000-0000DF8C0000}"/>
    <cellStyle name="Процентный 4 2 154 8" xfId="41626" xr:uid="{00000000-0005-0000-0000-0000E08C0000}"/>
    <cellStyle name="Процентный 4 2 154 9" xfId="46966" xr:uid="{00000000-0005-0000-0000-0000E18C0000}"/>
    <cellStyle name="Процентный 4 2 155" xfId="4275" xr:uid="{00000000-0005-0000-0000-0000E28C0000}"/>
    <cellStyle name="Процентный 4 2 155 10" xfId="52338" xr:uid="{00000000-0005-0000-0000-0000E38C0000}"/>
    <cellStyle name="Процентный 4 2 155 2" xfId="9618" xr:uid="{00000000-0005-0000-0000-0000E48C0000}"/>
    <cellStyle name="Процентный 4 2 155 2 2" xfId="57679" xr:uid="{00000000-0005-0000-0000-0000E58C0000}"/>
    <cellStyle name="Процентный 4 2 155 3" xfId="14958" xr:uid="{00000000-0005-0000-0000-0000E68C0000}"/>
    <cellStyle name="Процентный 4 2 155 4" xfId="20298" xr:uid="{00000000-0005-0000-0000-0000E78C0000}"/>
    <cellStyle name="Процентный 4 2 155 5" xfId="25638" xr:uid="{00000000-0005-0000-0000-0000E88C0000}"/>
    <cellStyle name="Процентный 4 2 155 6" xfId="30978" xr:uid="{00000000-0005-0000-0000-0000E98C0000}"/>
    <cellStyle name="Процентный 4 2 155 7" xfId="36318" xr:uid="{00000000-0005-0000-0000-0000EA8C0000}"/>
    <cellStyle name="Процентный 4 2 155 8" xfId="41658" xr:uid="{00000000-0005-0000-0000-0000EB8C0000}"/>
    <cellStyle name="Процентный 4 2 155 9" xfId="46998" xr:uid="{00000000-0005-0000-0000-0000EC8C0000}"/>
    <cellStyle name="Процентный 4 2 156" xfId="4307" xr:uid="{00000000-0005-0000-0000-0000ED8C0000}"/>
    <cellStyle name="Процентный 4 2 156 10" xfId="52370" xr:uid="{00000000-0005-0000-0000-0000EE8C0000}"/>
    <cellStyle name="Процентный 4 2 156 2" xfId="9650" xr:uid="{00000000-0005-0000-0000-0000EF8C0000}"/>
    <cellStyle name="Процентный 4 2 156 2 2" xfId="57711" xr:uid="{00000000-0005-0000-0000-0000F08C0000}"/>
    <cellStyle name="Процентный 4 2 156 3" xfId="14990" xr:uid="{00000000-0005-0000-0000-0000F18C0000}"/>
    <cellStyle name="Процентный 4 2 156 4" xfId="20330" xr:uid="{00000000-0005-0000-0000-0000F28C0000}"/>
    <cellStyle name="Процентный 4 2 156 5" xfId="25670" xr:uid="{00000000-0005-0000-0000-0000F38C0000}"/>
    <cellStyle name="Процентный 4 2 156 6" xfId="31010" xr:uid="{00000000-0005-0000-0000-0000F48C0000}"/>
    <cellStyle name="Процентный 4 2 156 7" xfId="36350" xr:uid="{00000000-0005-0000-0000-0000F58C0000}"/>
    <cellStyle name="Процентный 4 2 156 8" xfId="41690" xr:uid="{00000000-0005-0000-0000-0000F68C0000}"/>
    <cellStyle name="Процентный 4 2 156 9" xfId="47030" xr:uid="{00000000-0005-0000-0000-0000F78C0000}"/>
    <cellStyle name="Процентный 4 2 157" xfId="4339" xr:uid="{00000000-0005-0000-0000-0000F88C0000}"/>
    <cellStyle name="Процентный 4 2 157 10" xfId="52402" xr:uid="{00000000-0005-0000-0000-0000F98C0000}"/>
    <cellStyle name="Процентный 4 2 157 2" xfId="9682" xr:uid="{00000000-0005-0000-0000-0000FA8C0000}"/>
    <cellStyle name="Процентный 4 2 157 2 2" xfId="57743" xr:uid="{00000000-0005-0000-0000-0000FB8C0000}"/>
    <cellStyle name="Процентный 4 2 157 3" xfId="15022" xr:uid="{00000000-0005-0000-0000-0000FC8C0000}"/>
    <cellStyle name="Процентный 4 2 157 4" xfId="20362" xr:uid="{00000000-0005-0000-0000-0000FD8C0000}"/>
    <cellStyle name="Процентный 4 2 157 5" xfId="25702" xr:uid="{00000000-0005-0000-0000-0000FE8C0000}"/>
    <cellStyle name="Процентный 4 2 157 6" xfId="31042" xr:uid="{00000000-0005-0000-0000-0000FF8C0000}"/>
    <cellStyle name="Процентный 4 2 157 7" xfId="36382" xr:uid="{00000000-0005-0000-0000-0000008D0000}"/>
    <cellStyle name="Процентный 4 2 157 8" xfId="41722" xr:uid="{00000000-0005-0000-0000-0000018D0000}"/>
    <cellStyle name="Процентный 4 2 157 9" xfId="47062" xr:uid="{00000000-0005-0000-0000-0000028D0000}"/>
    <cellStyle name="Процентный 4 2 158" xfId="4371" xr:uid="{00000000-0005-0000-0000-0000038D0000}"/>
    <cellStyle name="Процентный 4 2 158 10" xfId="52434" xr:uid="{00000000-0005-0000-0000-0000048D0000}"/>
    <cellStyle name="Процентный 4 2 158 2" xfId="9714" xr:uid="{00000000-0005-0000-0000-0000058D0000}"/>
    <cellStyle name="Процентный 4 2 158 2 2" xfId="57775" xr:uid="{00000000-0005-0000-0000-0000068D0000}"/>
    <cellStyle name="Процентный 4 2 158 3" xfId="15054" xr:uid="{00000000-0005-0000-0000-0000078D0000}"/>
    <cellStyle name="Процентный 4 2 158 4" xfId="20394" xr:uid="{00000000-0005-0000-0000-0000088D0000}"/>
    <cellStyle name="Процентный 4 2 158 5" xfId="25734" xr:uid="{00000000-0005-0000-0000-0000098D0000}"/>
    <cellStyle name="Процентный 4 2 158 6" xfId="31074" xr:uid="{00000000-0005-0000-0000-00000A8D0000}"/>
    <cellStyle name="Процентный 4 2 158 7" xfId="36414" xr:uid="{00000000-0005-0000-0000-00000B8D0000}"/>
    <cellStyle name="Процентный 4 2 158 8" xfId="41754" xr:uid="{00000000-0005-0000-0000-00000C8D0000}"/>
    <cellStyle name="Процентный 4 2 158 9" xfId="47094" xr:uid="{00000000-0005-0000-0000-00000D8D0000}"/>
    <cellStyle name="Процентный 4 2 159" xfId="4403" xr:uid="{00000000-0005-0000-0000-00000E8D0000}"/>
    <cellStyle name="Процентный 4 2 159 10" xfId="52466" xr:uid="{00000000-0005-0000-0000-00000F8D0000}"/>
    <cellStyle name="Процентный 4 2 159 2" xfId="9746" xr:uid="{00000000-0005-0000-0000-0000108D0000}"/>
    <cellStyle name="Процентный 4 2 159 2 2" xfId="57807" xr:uid="{00000000-0005-0000-0000-0000118D0000}"/>
    <cellStyle name="Процентный 4 2 159 3" xfId="15086" xr:uid="{00000000-0005-0000-0000-0000128D0000}"/>
    <cellStyle name="Процентный 4 2 159 4" xfId="20426" xr:uid="{00000000-0005-0000-0000-0000138D0000}"/>
    <cellStyle name="Процентный 4 2 159 5" xfId="25766" xr:uid="{00000000-0005-0000-0000-0000148D0000}"/>
    <cellStyle name="Процентный 4 2 159 6" xfId="31106" xr:uid="{00000000-0005-0000-0000-0000158D0000}"/>
    <cellStyle name="Процентный 4 2 159 7" xfId="36446" xr:uid="{00000000-0005-0000-0000-0000168D0000}"/>
    <cellStyle name="Процентный 4 2 159 8" xfId="41786" xr:uid="{00000000-0005-0000-0000-0000178D0000}"/>
    <cellStyle name="Процентный 4 2 159 9" xfId="47126" xr:uid="{00000000-0005-0000-0000-0000188D0000}"/>
    <cellStyle name="Процентный 4 2 16" xfId="237" xr:uid="{00000000-0005-0000-0000-0000198D0000}"/>
    <cellStyle name="Процентный 4 2 16 10" xfId="42959" xr:uid="{00000000-0005-0000-0000-00001A8D0000}"/>
    <cellStyle name="Процентный 4 2 16 11" xfId="48299" xr:uid="{00000000-0005-0000-0000-00001B8D0000}"/>
    <cellStyle name="Процентный 4 2 16 2" xfId="704" xr:uid="{00000000-0005-0000-0000-00001C8D0000}"/>
    <cellStyle name="Процентный 4 2 16 2 10" xfId="48766" xr:uid="{00000000-0005-0000-0000-00001D8D0000}"/>
    <cellStyle name="Процентный 4 2 16 2 2" xfId="6045" xr:uid="{00000000-0005-0000-0000-00001E8D0000}"/>
    <cellStyle name="Процентный 4 2 16 2 2 2" xfId="54107" xr:uid="{00000000-0005-0000-0000-00001F8D0000}"/>
    <cellStyle name="Процентный 4 2 16 2 3" xfId="11386" xr:uid="{00000000-0005-0000-0000-0000208D0000}"/>
    <cellStyle name="Процентный 4 2 16 2 4" xfId="16726" xr:uid="{00000000-0005-0000-0000-0000218D0000}"/>
    <cellStyle name="Процентный 4 2 16 2 5" xfId="22066" xr:uid="{00000000-0005-0000-0000-0000228D0000}"/>
    <cellStyle name="Процентный 4 2 16 2 6" xfId="27406" xr:uid="{00000000-0005-0000-0000-0000238D0000}"/>
    <cellStyle name="Процентный 4 2 16 2 7" xfId="32746" xr:uid="{00000000-0005-0000-0000-0000248D0000}"/>
    <cellStyle name="Процентный 4 2 16 2 8" xfId="38086" xr:uid="{00000000-0005-0000-0000-0000258D0000}"/>
    <cellStyle name="Процентный 4 2 16 2 9" xfId="43426" xr:uid="{00000000-0005-0000-0000-0000268D0000}"/>
    <cellStyle name="Процентный 4 2 16 3" xfId="5578" xr:uid="{00000000-0005-0000-0000-0000278D0000}"/>
    <cellStyle name="Процентный 4 2 16 3 2" xfId="53640" xr:uid="{00000000-0005-0000-0000-0000288D0000}"/>
    <cellStyle name="Процентный 4 2 16 4" xfId="10919" xr:uid="{00000000-0005-0000-0000-0000298D0000}"/>
    <cellStyle name="Процентный 4 2 16 5" xfId="16259" xr:uid="{00000000-0005-0000-0000-00002A8D0000}"/>
    <cellStyle name="Процентный 4 2 16 6" xfId="21599" xr:uid="{00000000-0005-0000-0000-00002B8D0000}"/>
    <cellStyle name="Процентный 4 2 16 7" xfId="26939" xr:uid="{00000000-0005-0000-0000-00002C8D0000}"/>
    <cellStyle name="Процентный 4 2 16 8" xfId="32279" xr:uid="{00000000-0005-0000-0000-00002D8D0000}"/>
    <cellStyle name="Процентный 4 2 16 9" xfId="37619" xr:uid="{00000000-0005-0000-0000-00002E8D0000}"/>
    <cellStyle name="Процентный 4 2 160" xfId="4435" xr:uid="{00000000-0005-0000-0000-00002F8D0000}"/>
    <cellStyle name="Процентный 4 2 160 10" xfId="52498" xr:uid="{00000000-0005-0000-0000-0000308D0000}"/>
    <cellStyle name="Процентный 4 2 160 2" xfId="9778" xr:uid="{00000000-0005-0000-0000-0000318D0000}"/>
    <cellStyle name="Процентный 4 2 160 2 2" xfId="57839" xr:uid="{00000000-0005-0000-0000-0000328D0000}"/>
    <cellStyle name="Процентный 4 2 160 3" xfId="15118" xr:uid="{00000000-0005-0000-0000-0000338D0000}"/>
    <cellStyle name="Процентный 4 2 160 4" xfId="20458" xr:uid="{00000000-0005-0000-0000-0000348D0000}"/>
    <cellStyle name="Процентный 4 2 160 5" xfId="25798" xr:uid="{00000000-0005-0000-0000-0000358D0000}"/>
    <cellStyle name="Процентный 4 2 160 6" xfId="31138" xr:uid="{00000000-0005-0000-0000-0000368D0000}"/>
    <cellStyle name="Процентный 4 2 160 7" xfId="36478" xr:uid="{00000000-0005-0000-0000-0000378D0000}"/>
    <cellStyle name="Процентный 4 2 160 8" xfId="41818" xr:uid="{00000000-0005-0000-0000-0000388D0000}"/>
    <cellStyle name="Процентный 4 2 160 9" xfId="47158" xr:uid="{00000000-0005-0000-0000-0000398D0000}"/>
    <cellStyle name="Процентный 4 2 161" xfId="4467" xr:uid="{00000000-0005-0000-0000-00003A8D0000}"/>
    <cellStyle name="Процентный 4 2 161 10" xfId="52530" xr:uid="{00000000-0005-0000-0000-00003B8D0000}"/>
    <cellStyle name="Процентный 4 2 161 2" xfId="9810" xr:uid="{00000000-0005-0000-0000-00003C8D0000}"/>
    <cellStyle name="Процентный 4 2 161 2 2" xfId="57871" xr:uid="{00000000-0005-0000-0000-00003D8D0000}"/>
    <cellStyle name="Процентный 4 2 161 3" xfId="15150" xr:uid="{00000000-0005-0000-0000-00003E8D0000}"/>
    <cellStyle name="Процентный 4 2 161 4" xfId="20490" xr:uid="{00000000-0005-0000-0000-00003F8D0000}"/>
    <cellStyle name="Процентный 4 2 161 5" xfId="25830" xr:uid="{00000000-0005-0000-0000-0000408D0000}"/>
    <cellStyle name="Процентный 4 2 161 6" xfId="31170" xr:uid="{00000000-0005-0000-0000-0000418D0000}"/>
    <cellStyle name="Процентный 4 2 161 7" xfId="36510" xr:uid="{00000000-0005-0000-0000-0000428D0000}"/>
    <cellStyle name="Процентный 4 2 161 8" xfId="41850" xr:uid="{00000000-0005-0000-0000-0000438D0000}"/>
    <cellStyle name="Процентный 4 2 161 9" xfId="47190" xr:uid="{00000000-0005-0000-0000-0000448D0000}"/>
    <cellStyle name="Процентный 4 2 162" xfId="4499" xr:uid="{00000000-0005-0000-0000-0000458D0000}"/>
    <cellStyle name="Процентный 4 2 162 10" xfId="52562" xr:uid="{00000000-0005-0000-0000-0000468D0000}"/>
    <cellStyle name="Процентный 4 2 162 2" xfId="9842" xr:uid="{00000000-0005-0000-0000-0000478D0000}"/>
    <cellStyle name="Процентный 4 2 162 2 2" xfId="57903" xr:uid="{00000000-0005-0000-0000-0000488D0000}"/>
    <cellStyle name="Процентный 4 2 162 3" xfId="15182" xr:uid="{00000000-0005-0000-0000-0000498D0000}"/>
    <cellStyle name="Процентный 4 2 162 4" xfId="20522" xr:uid="{00000000-0005-0000-0000-00004A8D0000}"/>
    <cellStyle name="Процентный 4 2 162 5" xfId="25862" xr:uid="{00000000-0005-0000-0000-00004B8D0000}"/>
    <cellStyle name="Процентный 4 2 162 6" xfId="31202" xr:uid="{00000000-0005-0000-0000-00004C8D0000}"/>
    <cellStyle name="Процентный 4 2 162 7" xfId="36542" xr:uid="{00000000-0005-0000-0000-00004D8D0000}"/>
    <cellStyle name="Процентный 4 2 162 8" xfId="41882" xr:uid="{00000000-0005-0000-0000-00004E8D0000}"/>
    <cellStyle name="Процентный 4 2 162 9" xfId="47222" xr:uid="{00000000-0005-0000-0000-00004F8D0000}"/>
    <cellStyle name="Процентный 4 2 163" xfId="4531" xr:uid="{00000000-0005-0000-0000-0000508D0000}"/>
    <cellStyle name="Процентный 4 2 163 10" xfId="52594" xr:uid="{00000000-0005-0000-0000-0000518D0000}"/>
    <cellStyle name="Процентный 4 2 163 2" xfId="9874" xr:uid="{00000000-0005-0000-0000-0000528D0000}"/>
    <cellStyle name="Процентный 4 2 163 2 2" xfId="57935" xr:uid="{00000000-0005-0000-0000-0000538D0000}"/>
    <cellStyle name="Процентный 4 2 163 3" xfId="15214" xr:uid="{00000000-0005-0000-0000-0000548D0000}"/>
    <cellStyle name="Процентный 4 2 163 4" xfId="20554" xr:uid="{00000000-0005-0000-0000-0000558D0000}"/>
    <cellStyle name="Процентный 4 2 163 5" xfId="25894" xr:uid="{00000000-0005-0000-0000-0000568D0000}"/>
    <cellStyle name="Процентный 4 2 163 6" xfId="31234" xr:uid="{00000000-0005-0000-0000-0000578D0000}"/>
    <cellStyle name="Процентный 4 2 163 7" xfId="36574" xr:uid="{00000000-0005-0000-0000-0000588D0000}"/>
    <cellStyle name="Процентный 4 2 163 8" xfId="41914" xr:uid="{00000000-0005-0000-0000-0000598D0000}"/>
    <cellStyle name="Процентный 4 2 163 9" xfId="47254" xr:uid="{00000000-0005-0000-0000-00005A8D0000}"/>
    <cellStyle name="Процентный 4 2 164" xfId="4563" xr:uid="{00000000-0005-0000-0000-00005B8D0000}"/>
    <cellStyle name="Процентный 4 2 164 10" xfId="52626" xr:uid="{00000000-0005-0000-0000-00005C8D0000}"/>
    <cellStyle name="Процентный 4 2 164 2" xfId="9906" xr:uid="{00000000-0005-0000-0000-00005D8D0000}"/>
    <cellStyle name="Процентный 4 2 164 2 2" xfId="57967" xr:uid="{00000000-0005-0000-0000-00005E8D0000}"/>
    <cellStyle name="Процентный 4 2 164 3" xfId="15246" xr:uid="{00000000-0005-0000-0000-00005F8D0000}"/>
    <cellStyle name="Процентный 4 2 164 4" xfId="20586" xr:uid="{00000000-0005-0000-0000-0000608D0000}"/>
    <cellStyle name="Процентный 4 2 164 5" xfId="25926" xr:uid="{00000000-0005-0000-0000-0000618D0000}"/>
    <cellStyle name="Процентный 4 2 164 6" xfId="31266" xr:uid="{00000000-0005-0000-0000-0000628D0000}"/>
    <cellStyle name="Процентный 4 2 164 7" xfId="36606" xr:uid="{00000000-0005-0000-0000-0000638D0000}"/>
    <cellStyle name="Процентный 4 2 164 8" xfId="41946" xr:uid="{00000000-0005-0000-0000-0000648D0000}"/>
    <cellStyle name="Процентный 4 2 164 9" xfId="47286" xr:uid="{00000000-0005-0000-0000-0000658D0000}"/>
    <cellStyle name="Процентный 4 2 165" xfId="4595" xr:uid="{00000000-0005-0000-0000-0000668D0000}"/>
    <cellStyle name="Процентный 4 2 165 10" xfId="52658" xr:uid="{00000000-0005-0000-0000-0000678D0000}"/>
    <cellStyle name="Процентный 4 2 165 2" xfId="9938" xr:uid="{00000000-0005-0000-0000-0000688D0000}"/>
    <cellStyle name="Процентный 4 2 165 2 2" xfId="57999" xr:uid="{00000000-0005-0000-0000-0000698D0000}"/>
    <cellStyle name="Процентный 4 2 165 3" xfId="15278" xr:uid="{00000000-0005-0000-0000-00006A8D0000}"/>
    <cellStyle name="Процентный 4 2 165 4" xfId="20618" xr:uid="{00000000-0005-0000-0000-00006B8D0000}"/>
    <cellStyle name="Процентный 4 2 165 5" xfId="25958" xr:uid="{00000000-0005-0000-0000-00006C8D0000}"/>
    <cellStyle name="Процентный 4 2 165 6" xfId="31298" xr:uid="{00000000-0005-0000-0000-00006D8D0000}"/>
    <cellStyle name="Процентный 4 2 165 7" xfId="36638" xr:uid="{00000000-0005-0000-0000-00006E8D0000}"/>
    <cellStyle name="Процентный 4 2 165 8" xfId="41978" xr:uid="{00000000-0005-0000-0000-00006F8D0000}"/>
    <cellStyle name="Процентный 4 2 165 9" xfId="47318" xr:uid="{00000000-0005-0000-0000-0000708D0000}"/>
    <cellStyle name="Процентный 4 2 166" xfId="4627" xr:uid="{00000000-0005-0000-0000-0000718D0000}"/>
    <cellStyle name="Процентный 4 2 166 10" xfId="52690" xr:uid="{00000000-0005-0000-0000-0000728D0000}"/>
    <cellStyle name="Процентный 4 2 166 2" xfId="9970" xr:uid="{00000000-0005-0000-0000-0000738D0000}"/>
    <cellStyle name="Процентный 4 2 166 2 2" xfId="58031" xr:uid="{00000000-0005-0000-0000-0000748D0000}"/>
    <cellStyle name="Процентный 4 2 166 3" xfId="15310" xr:uid="{00000000-0005-0000-0000-0000758D0000}"/>
    <cellStyle name="Процентный 4 2 166 4" xfId="20650" xr:uid="{00000000-0005-0000-0000-0000768D0000}"/>
    <cellStyle name="Процентный 4 2 166 5" xfId="25990" xr:uid="{00000000-0005-0000-0000-0000778D0000}"/>
    <cellStyle name="Процентный 4 2 166 6" xfId="31330" xr:uid="{00000000-0005-0000-0000-0000788D0000}"/>
    <cellStyle name="Процентный 4 2 166 7" xfId="36670" xr:uid="{00000000-0005-0000-0000-0000798D0000}"/>
    <cellStyle name="Процентный 4 2 166 8" xfId="42010" xr:uid="{00000000-0005-0000-0000-00007A8D0000}"/>
    <cellStyle name="Процентный 4 2 166 9" xfId="47350" xr:uid="{00000000-0005-0000-0000-00007B8D0000}"/>
    <cellStyle name="Процентный 4 2 167" xfId="4659" xr:uid="{00000000-0005-0000-0000-00007C8D0000}"/>
    <cellStyle name="Процентный 4 2 167 10" xfId="52722" xr:uid="{00000000-0005-0000-0000-00007D8D0000}"/>
    <cellStyle name="Процентный 4 2 167 2" xfId="10002" xr:uid="{00000000-0005-0000-0000-00007E8D0000}"/>
    <cellStyle name="Процентный 4 2 167 2 2" xfId="58063" xr:uid="{00000000-0005-0000-0000-00007F8D0000}"/>
    <cellStyle name="Процентный 4 2 167 3" xfId="15342" xr:uid="{00000000-0005-0000-0000-0000808D0000}"/>
    <cellStyle name="Процентный 4 2 167 4" xfId="20682" xr:uid="{00000000-0005-0000-0000-0000818D0000}"/>
    <cellStyle name="Процентный 4 2 167 5" xfId="26022" xr:uid="{00000000-0005-0000-0000-0000828D0000}"/>
    <cellStyle name="Процентный 4 2 167 6" xfId="31362" xr:uid="{00000000-0005-0000-0000-0000838D0000}"/>
    <cellStyle name="Процентный 4 2 167 7" xfId="36702" xr:uid="{00000000-0005-0000-0000-0000848D0000}"/>
    <cellStyle name="Процентный 4 2 167 8" xfId="42042" xr:uid="{00000000-0005-0000-0000-0000858D0000}"/>
    <cellStyle name="Процентный 4 2 167 9" xfId="47382" xr:uid="{00000000-0005-0000-0000-0000868D0000}"/>
    <cellStyle name="Процентный 4 2 168" xfId="4691" xr:uid="{00000000-0005-0000-0000-0000878D0000}"/>
    <cellStyle name="Процентный 4 2 168 10" xfId="52754" xr:uid="{00000000-0005-0000-0000-0000888D0000}"/>
    <cellStyle name="Процентный 4 2 168 2" xfId="10034" xr:uid="{00000000-0005-0000-0000-0000898D0000}"/>
    <cellStyle name="Процентный 4 2 168 2 2" xfId="58095" xr:uid="{00000000-0005-0000-0000-00008A8D0000}"/>
    <cellStyle name="Процентный 4 2 168 3" xfId="15374" xr:uid="{00000000-0005-0000-0000-00008B8D0000}"/>
    <cellStyle name="Процентный 4 2 168 4" xfId="20714" xr:uid="{00000000-0005-0000-0000-00008C8D0000}"/>
    <cellStyle name="Процентный 4 2 168 5" xfId="26054" xr:uid="{00000000-0005-0000-0000-00008D8D0000}"/>
    <cellStyle name="Процентный 4 2 168 6" xfId="31394" xr:uid="{00000000-0005-0000-0000-00008E8D0000}"/>
    <cellStyle name="Процентный 4 2 168 7" xfId="36734" xr:uid="{00000000-0005-0000-0000-00008F8D0000}"/>
    <cellStyle name="Процентный 4 2 168 8" xfId="42074" xr:uid="{00000000-0005-0000-0000-0000908D0000}"/>
    <cellStyle name="Процентный 4 2 168 9" xfId="47414" xr:uid="{00000000-0005-0000-0000-0000918D0000}"/>
    <cellStyle name="Процентный 4 2 169" xfId="4725" xr:uid="{00000000-0005-0000-0000-0000928D0000}"/>
    <cellStyle name="Процентный 4 2 169 10" xfId="52788" xr:uid="{00000000-0005-0000-0000-0000938D0000}"/>
    <cellStyle name="Процентный 4 2 169 2" xfId="10068" xr:uid="{00000000-0005-0000-0000-0000948D0000}"/>
    <cellStyle name="Процентный 4 2 169 2 2" xfId="58129" xr:uid="{00000000-0005-0000-0000-0000958D0000}"/>
    <cellStyle name="Процентный 4 2 169 3" xfId="15408" xr:uid="{00000000-0005-0000-0000-0000968D0000}"/>
    <cellStyle name="Процентный 4 2 169 4" xfId="20748" xr:uid="{00000000-0005-0000-0000-0000978D0000}"/>
    <cellStyle name="Процентный 4 2 169 5" xfId="26088" xr:uid="{00000000-0005-0000-0000-0000988D0000}"/>
    <cellStyle name="Процентный 4 2 169 6" xfId="31428" xr:uid="{00000000-0005-0000-0000-0000998D0000}"/>
    <cellStyle name="Процентный 4 2 169 7" xfId="36768" xr:uid="{00000000-0005-0000-0000-00009A8D0000}"/>
    <cellStyle name="Процентный 4 2 169 8" xfId="42108" xr:uid="{00000000-0005-0000-0000-00009B8D0000}"/>
    <cellStyle name="Процентный 4 2 169 9" xfId="47448" xr:uid="{00000000-0005-0000-0000-00009C8D0000}"/>
    <cellStyle name="Процентный 4 2 17" xfId="247" xr:uid="{00000000-0005-0000-0000-00009D8D0000}"/>
    <cellStyle name="Процентный 4 2 17 10" xfId="42969" xr:uid="{00000000-0005-0000-0000-00009E8D0000}"/>
    <cellStyle name="Процентный 4 2 17 11" xfId="48309" xr:uid="{00000000-0005-0000-0000-00009F8D0000}"/>
    <cellStyle name="Процентный 4 2 17 2" xfId="714" xr:uid="{00000000-0005-0000-0000-0000A08D0000}"/>
    <cellStyle name="Процентный 4 2 17 2 10" xfId="48776" xr:uid="{00000000-0005-0000-0000-0000A18D0000}"/>
    <cellStyle name="Процентный 4 2 17 2 2" xfId="6055" xr:uid="{00000000-0005-0000-0000-0000A28D0000}"/>
    <cellStyle name="Процентный 4 2 17 2 2 2" xfId="54117" xr:uid="{00000000-0005-0000-0000-0000A38D0000}"/>
    <cellStyle name="Процентный 4 2 17 2 3" xfId="11396" xr:uid="{00000000-0005-0000-0000-0000A48D0000}"/>
    <cellStyle name="Процентный 4 2 17 2 4" xfId="16736" xr:uid="{00000000-0005-0000-0000-0000A58D0000}"/>
    <cellStyle name="Процентный 4 2 17 2 5" xfId="22076" xr:uid="{00000000-0005-0000-0000-0000A68D0000}"/>
    <cellStyle name="Процентный 4 2 17 2 6" xfId="27416" xr:uid="{00000000-0005-0000-0000-0000A78D0000}"/>
    <cellStyle name="Процентный 4 2 17 2 7" xfId="32756" xr:uid="{00000000-0005-0000-0000-0000A88D0000}"/>
    <cellStyle name="Процентный 4 2 17 2 8" xfId="38096" xr:uid="{00000000-0005-0000-0000-0000A98D0000}"/>
    <cellStyle name="Процентный 4 2 17 2 9" xfId="43436" xr:uid="{00000000-0005-0000-0000-0000AA8D0000}"/>
    <cellStyle name="Процентный 4 2 17 3" xfId="5588" xr:uid="{00000000-0005-0000-0000-0000AB8D0000}"/>
    <cellStyle name="Процентный 4 2 17 3 2" xfId="53650" xr:uid="{00000000-0005-0000-0000-0000AC8D0000}"/>
    <cellStyle name="Процентный 4 2 17 4" xfId="10929" xr:uid="{00000000-0005-0000-0000-0000AD8D0000}"/>
    <cellStyle name="Процентный 4 2 17 5" xfId="16269" xr:uid="{00000000-0005-0000-0000-0000AE8D0000}"/>
    <cellStyle name="Процентный 4 2 17 6" xfId="21609" xr:uid="{00000000-0005-0000-0000-0000AF8D0000}"/>
    <cellStyle name="Процентный 4 2 17 7" xfId="26949" xr:uid="{00000000-0005-0000-0000-0000B08D0000}"/>
    <cellStyle name="Процентный 4 2 17 8" xfId="32289" xr:uid="{00000000-0005-0000-0000-0000B18D0000}"/>
    <cellStyle name="Процентный 4 2 17 9" xfId="37629" xr:uid="{00000000-0005-0000-0000-0000B28D0000}"/>
    <cellStyle name="Процентный 4 2 170" xfId="4757" xr:uid="{00000000-0005-0000-0000-0000B38D0000}"/>
    <cellStyle name="Процентный 4 2 170 10" xfId="52820" xr:uid="{00000000-0005-0000-0000-0000B48D0000}"/>
    <cellStyle name="Процентный 4 2 170 2" xfId="10100" xr:uid="{00000000-0005-0000-0000-0000B58D0000}"/>
    <cellStyle name="Процентный 4 2 170 2 2" xfId="58161" xr:uid="{00000000-0005-0000-0000-0000B68D0000}"/>
    <cellStyle name="Процентный 4 2 170 3" xfId="15440" xr:uid="{00000000-0005-0000-0000-0000B78D0000}"/>
    <cellStyle name="Процентный 4 2 170 4" xfId="20780" xr:uid="{00000000-0005-0000-0000-0000B88D0000}"/>
    <cellStyle name="Процентный 4 2 170 5" xfId="26120" xr:uid="{00000000-0005-0000-0000-0000B98D0000}"/>
    <cellStyle name="Процентный 4 2 170 6" xfId="31460" xr:uid="{00000000-0005-0000-0000-0000BA8D0000}"/>
    <cellStyle name="Процентный 4 2 170 7" xfId="36800" xr:uid="{00000000-0005-0000-0000-0000BB8D0000}"/>
    <cellStyle name="Процентный 4 2 170 8" xfId="42140" xr:uid="{00000000-0005-0000-0000-0000BC8D0000}"/>
    <cellStyle name="Процентный 4 2 170 9" xfId="47480" xr:uid="{00000000-0005-0000-0000-0000BD8D0000}"/>
    <cellStyle name="Процентный 4 2 171" xfId="4789" xr:uid="{00000000-0005-0000-0000-0000BE8D0000}"/>
    <cellStyle name="Процентный 4 2 171 10" xfId="52852" xr:uid="{00000000-0005-0000-0000-0000BF8D0000}"/>
    <cellStyle name="Процентный 4 2 171 2" xfId="10132" xr:uid="{00000000-0005-0000-0000-0000C08D0000}"/>
    <cellStyle name="Процентный 4 2 171 2 2" xfId="58193" xr:uid="{00000000-0005-0000-0000-0000C18D0000}"/>
    <cellStyle name="Процентный 4 2 171 3" xfId="15472" xr:uid="{00000000-0005-0000-0000-0000C28D0000}"/>
    <cellStyle name="Процентный 4 2 171 4" xfId="20812" xr:uid="{00000000-0005-0000-0000-0000C38D0000}"/>
    <cellStyle name="Процентный 4 2 171 5" xfId="26152" xr:uid="{00000000-0005-0000-0000-0000C48D0000}"/>
    <cellStyle name="Процентный 4 2 171 6" xfId="31492" xr:uid="{00000000-0005-0000-0000-0000C58D0000}"/>
    <cellStyle name="Процентный 4 2 171 7" xfId="36832" xr:uid="{00000000-0005-0000-0000-0000C68D0000}"/>
    <cellStyle name="Процентный 4 2 171 8" xfId="42172" xr:uid="{00000000-0005-0000-0000-0000C78D0000}"/>
    <cellStyle name="Процентный 4 2 171 9" xfId="47512" xr:uid="{00000000-0005-0000-0000-0000C88D0000}"/>
    <cellStyle name="Процентный 4 2 172" xfId="4821" xr:uid="{00000000-0005-0000-0000-0000C98D0000}"/>
    <cellStyle name="Процентный 4 2 172 10" xfId="52884" xr:uid="{00000000-0005-0000-0000-0000CA8D0000}"/>
    <cellStyle name="Процентный 4 2 172 2" xfId="10164" xr:uid="{00000000-0005-0000-0000-0000CB8D0000}"/>
    <cellStyle name="Процентный 4 2 172 2 2" xfId="58225" xr:uid="{00000000-0005-0000-0000-0000CC8D0000}"/>
    <cellStyle name="Процентный 4 2 172 3" xfId="15504" xr:uid="{00000000-0005-0000-0000-0000CD8D0000}"/>
    <cellStyle name="Процентный 4 2 172 4" xfId="20844" xr:uid="{00000000-0005-0000-0000-0000CE8D0000}"/>
    <cellStyle name="Процентный 4 2 172 5" xfId="26184" xr:uid="{00000000-0005-0000-0000-0000CF8D0000}"/>
    <cellStyle name="Процентный 4 2 172 6" xfId="31524" xr:uid="{00000000-0005-0000-0000-0000D08D0000}"/>
    <cellStyle name="Процентный 4 2 172 7" xfId="36864" xr:uid="{00000000-0005-0000-0000-0000D18D0000}"/>
    <cellStyle name="Процентный 4 2 172 8" xfId="42204" xr:uid="{00000000-0005-0000-0000-0000D28D0000}"/>
    <cellStyle name="Процентный 4 2 172 9" xfId="47544" xr:uid="{00000000-0005-0000-0000-0000D38D0000}"/>
    <cellStyle name="Процентный 4 2 173" xfId="4853" xr:uid="{00000000-0005-0000-0000-0000D48D0000}"/>
    <cellStyle name="Процентный 4 2 173 10" xfId="52916" xr:uid="{00000000-0005-0000-0000-0000D58D0000}"/>
    <cellStyle name="Процентный 4 2 173 2" xfId="10196" xr:uid="{00000000-0005-0000-0000-0000D68D0000}"/>
    <cellStyle name="Процентный 4 2 173 2 2" xfId="58257" xr:uid="{00000000-0005-0000-0000-0000D78D0000}"/>
    <cellStyle name="Процентный 4 2 173 3" xfId="15536" xr:uid="{00000000-0005-0000-0000-0000D88D0000}"/>
    <cellStyle name="Процентный 4 2 173 4" xfId="20876" xr:uid="{00000000-0005-0000-0000-0000D98D0000}"/>
    <cellStyle name="Процентный 4 2 173 5" xfId="26216" xr:uid="{00000000-0005-0000-0000-0000DA8D0000}"/>
    <cellStyle name="Процентный 4 2 173 6" xfId="31556" xr:uid="{00000000-0005-0000-0000-0000DB8D0000}"/>
    <cellStyle name="Процентный 4 2 173 7" xfId="36896" xr:uid="{00000000-0005-0000-0000-0000DC8D0000}"/>
    <cellStyle name="Процентный 4 2 173 8" xfId="42236" xr:uid="{00000000-0005-0000-0000-0000DD8D0000}"/>
    <cellStyle name="Процентный 4 2 173 9" xfId="47576" xr:uid="{00000000-0005-0000-0000-0000DE8D0000}"/>
    <cellStyle name="Процентный 4 2 174" xfId="4885" xr:uid="{00000000-0005-0000-0000-0000DF8D0000}"/>
    <cellStyle name="Процентный 4 2 174 10" xfId="52948" xr:uid="{00000000-0005-0000-0000-0000E08D0000}"/>
    <cellStyle name="Процентный 4 2 174 2" xfId="10228" xr:uid="{00000000-0005-0000-0000-0000E18D0000}"/>
    <cellStyle name="Процентный 4 2 174 2 2" xfId="58289" xr:uid="{00000000-0005-0000-0000-0000E28D0000}"/>
    <cellStyle name="Процентный 4 2 174 3" xfId="15568" xr:uid="{00000000-0005-0000-0000-0000E38D0000}"/>
    <cellStyle name="Процентный 4 2 174 4" xfId="20908" xr:uid="{00000000-0005-0000-0000-0000E48D0000}"/>
    <cellStyle name="Процентный 4 2 174 5" xfId="26248" xr:uid="{00000000-0005-0000-0000-0000E58D0000}"/>
    <cellStyle name="Процентный 4 2 174 6" xfId="31588" xr:uid="{00000000-0005-0000-0000-0000E68D0000}"/>
    <cellStyle name="Процентный 4 2 174 7" xfId="36928" xr:uid="{00000000-0005-0000-0000-0000E78D0000}"/>
    <cellStyle name="Процентный 4 2 174 8" xfId="42268" xr:uid="{00000000-0005-0000-0000-0000E88D0000}"/>
    <cellStyle name="Процентный 4 2 174 9" xfId="47608" xr:uid="{00000000-0005-0000-0000-0000E98D0000}"/>
    <cellStyle name="Процентный 4 2 175" xfId="4917" xr:uid="{00000000-0005-0000-0000-0000EA8D0000}"/>
    <cellStyle name="Процентный 4 2 175 10" xfId="52980" xr:uid="{00000000-0005-0000-0000-0000EB8D0000}"/>
    <cellStyle name="Процентный 4 2 175 2" xfId="10260" xr:uid="{00000000-0005-0000-0000-0000EC8D0000}"/>
    <cellStyle name="Процентный 4 2 175 2 2" xfId="58321" xr:uid="{00000000-0005-0000-0000-0000ED8D0000}"/>
    <cellStyle name="Процентный 4 2 175 3" xfId="15600" xr:uid="{00000000-0005-0000-0000-0000EE8D0000}"/>
    <cellStyle name="Процентный 4 2 175 4" xfId="20940" xr:uid="{00000000-0005-0000-0000-0000EF8D0000}"/>
    <cellStyle name="Процентный 4 2 175 5" xfId="26280" xr:uid="{00000000-0005-0000-0000-0000F08D0000}"/>
    <cellStyle name="Процентный 4 2 175 6" xfId="31620" xr:uid="{00000000-0005-0000-0000-0000F18D0000}"/>
    <cellStyle name="Процентный 4 2 175 7" xfId="36960" xr:uid="{00000000-0005-0000-0000-0000F28D0000}"/>
    <cellStyle name="Процентный 4 2 175 8" xfId="42300" xr:uid="{00000000-0005-0000-0000-0000F38D0000}"/>
    <cellStyle name="Процентный 4 2 175 9" xfId="47640" xr:uid="{00000000-0005-0000-0000-0000F48D0000}"/>
    <cellStyle name="Процентный 4 2 176" xfId="4949" xr:uid="{00000000-0005-0000-0000-0000F58D0000}"/>
    <cellStyle name="Процентный 4 2 176 10" xfId="53012" xr:uid="{00000000-0005-0000-0000-0000F68D0000}"/>
    <cellStyle name="Процентный 4 2 176 2" xfId="10292" xr:uid="{00000000-0005-0000-0000-0000F78D0000}"/>
    <cellStyle name="Процентный 4 2 176 2 2" xfId="58353" xr:uid="{00000000-0005-0000-0000-0000F88D0000}"/>
    <cellStyle name="Процентный 4 2 176 3" xfId="15632" xr:uid="{00000000-0005-0000-0000-0000F98D0000}"/>
    <cellStyle name="Процентный 4 2 176 4" xfId="20972" xr:uid="{00000000-0005-0000-0000-0000FA8D0000}"/>
    <cellStyle name="Процентный 4 2 176 5" xfId="26312" xr:uid="{00000000-0005-0000-0000-0000FB8D0000}"/>
    <cellStyle name="Процентный 4 2 176 6" xfId="31652" xr:uid="{00000000-0005-0000-0000-0000FC8D0000}"/>
    <cellStyle name="Процентный 4 2 176 7" xfId="36992" xr:uid="{00000000-0005-0000-0000-0000FD8D0000}"/>
    <cellStyle name="Процентный 4 2 176 8" xfId="42332" xr:uid="{00000000-0005-0000-0000-0000FE8D0000}"/>
    <cellStyle name="Процентный 4 2 176 9" xfId="47672" xr:uid="{00000000-0005-0000-0000-0000FF8D0000}"/>
    <cellStyle name="Процентный 4 2 177" xfId="4981" xr:uid="{00000000-0005-0000-0000-0000008E0000}"/>
    <cellStyle name="Процентный 4 2 177 10" xfId="53044" xr:uid="{00000000-0005-0000-0000-0000018E0000}"/>
    <cellStyle name="Процентный 4 2 177 2" xfId="10324" xr:uid="{00000000-0005-0000-0000-0000028E0000}"/>
    <cellStyle name="Процентный 4 2 177 2 2" xfId="58385" xr:uid="{00000000-0005-0000-0000-0000038E0000}"/>
    <cellStyle name="Процентный 4 2 177 3" xfId="15664" xr:uid="{00000000-0005-0000-0000-0000048E0000}"/>
    <cellStyle name="Процентный 4 2 177 4" xfId="21004" xr:uid="{00000000-0005-0000-0000-0000058E0000}"/>
    <cellStyle name="Процентный 4 2 177 5" xfId="26344" xr:uid="{00000000-0005-0000-0000-0000068E0000}"/>
    <cellStyle name="Процентный 4 2 177 6" xfId="31684" xr:uid="{00000000-0005-0000-0000-0000078E0000}"/>
    <cellStyle name="Процентный 4 2 177 7" xfId="37024" xr:uid="{00000000-0005-0000-0000-0000088E0000}"/>
    <cellStyle name="Процентный 4 2 177 8" xfId="42364" xr:uid="{00000000-0005-0000-0000-0000098E0000}"/>
    <cellStyle name="Процентный 4 2 177 9" xfId="47704" xr:uid="{00000000-0005-0000-0000-00000A8E0000}"/>
    <cellStyle name="Процентный 4 2 178" xfId="5013" xr:uid="{00000000-0005-0000-0000-00000B8E0000}"/>
    <cellStyle name="Процентный 4 2 178 10" xfId="53076" xr:uid="{00000000-0005-0000-0000-00000C8E0000}"/>
    <cellStyle name="Процентный 4 2 178 2" xfId="10356" xr:uid="{00000000-0005-0000-0000-00000D8E0000}"/>
    <cellStyle name="Процентный 4 2 178 2 2" xfId="58417" xr:uid="{00000000-0005-0000-0000-00000E8E0000}"/>
    <cellStyle name="Процентный 4 2 178 3" xfId="15696" xr:uid="{00000000-0005-0000-0000-00000F8E0000}"/>
    <cellStyle name="Процентный 4 2 178 4" xfId="21036" xr:uid="{00000000-0005-0000-0000-0000108E0000}"/>
    <cellStyle name="Процентный 4 2 178 5" xfId="26376" xr:uid="{00000000-0005-0000-0000-0000118E0000}"/>
    <cellStyle name="Процентный 4 2 178 6" xfId="31716" xr:uid="{00000000-0005-0000-0000-0000128E0000}"/>
    <cellStyle name="Процентный 4 2 178 7" xfId="37056" xr:uid="{00000000-0005-0000-0000-0000138E0000}"/>
    <cellStyle name="Процентный 4 2 178 8" xfId="42396" xr:uid="{00000000-0005-0000-0000-0000148E0000}"/>
    <cellStyle name="Процентный 4 2 178 9" xfId="47736" xr:uid="{00000000-0005-0000-0000-0000158E0000}"/>
    <cellStyle name="Процентный 4 2 179" xfId="5045" xr:uid="{00000000-0005-0000-0000-0000168E0000}"/>
    <cellStyle name="Процентный 4 2 179 10" xfId="53108" xr:uid="{00000000-0005-0000-0000-0000178E0000}"/>
    <cellStyle name="Процентный 4 2 179 2" xfId="10388" xr:uid="{00000000-0005-0000-0000-0000188E0000}"/>
    <cellStyle name="Процентный 4 2 179 2 2" xfId="58449" xr:uid="{00000000-0005-0000-0000-0000198E0000}"/>
    <cellStyle name="Процентный 4 2 179 3" xfId="15728" xr:uid="{00000000-0005-0000-0000-00001A8E0000}"/>
    <cellStyle name="Процентный 4 2 179 4" xfId="21068" xr:uid="{00000000-0005-0000-0000-00001B8E0000}"/>
    <cellStyle name="Процентный 4 2 179 5" xfId="26408" xr:uid="{00000000-0005-0000-0000-00001C8E0000}"/>
    <cellStyle name="Процентный 4 2 179 6" xfId="31748" xr:uid="{00000000-0005-0000-0000-00001D8E0000}"/>
    <cellStyle name="Процентный 4 2 179 7" xfId="37088" xr:uid="{00000000-0005-0000-0000-00001E8E0000}"/>
    <cellStyle name="Процентный 4 2 179 8" xfId="42428" xr:uid="{00000000-0005-0000-0000-00001F8E0000}"/>
    <cellStyle name="Процентный 4 2 179 9" xfId="47768" xr:uid="{00000000-0005-0000-0000-0000208E0000}"/>
    <cellStyle name="Процентный 4 2 18" xfId="257" xr:uid="{00000000-0005-0000-0000-0000218E0000}"/>
    <cellStyle name="Процентный 4 2 18 10" xfId="42979" xr:uid="{00000000-0005-0000-0000-0000228E0000}"/>
    <cellStyle name="Процентный 4 2 18 11" xfId="48319" xr:uid="{00000000-0005-0000-0000-0000238E0000}"/>
    <cellStyle name="Процентный 4 2 18 2" xfId="724" xr:uid="{00000000-0005-0000-0000-0000248E0000}"/>
    <cellStyle name="Процентный 4 2 18 2 10" xfId="48786" xr:uid="{00000000-0005-0000-0000-0000258E0000}"/>
    <cellStyle name="Процентный 4 2 18 2 2" xfId="6065" xr:uid="{00000000-0005-0000-0000-0000268E0000}"/>
    <cellStyle name="Процентный 4 2 18 2 2 2" xfId="54127" xr:uid="{00000000-0005-0000-0000-0000278E0000}"/>
    <cellStyle name="Процентный 4 2 18 2 3" xfId="11406" xr:uid="{00000000-0005-0000-0000-0000288E0000}"/>
    <cellStyle name="Процентный 4 2 18 2 4" xfId="16746" xr:uid="{00000000-0005-0000-0000-0000298E0000}"/>
    <cellStyle name="Процентный 4 2 18 2 5" xfId="22086" xr:uid="{00000000-0005-0000-0000-00002A8E0000}"/>
    <cellStyle name="Процентный 4 2 18 2 6" xfId="27426" xr:uid="{00000000-0005-0000-0000-00002B8E0000}"/>
    <cellStyle name="Процентный 4 2 18 2 7" xfId="32766" xr:uid="{00000000-0005-0000-0000-00002C8E0000}"/>
    <cellStyle name="Процентный 4 2 18 2 8" xfId="38106" xr:uid="{00000000-0005-0000-0000-00002D8E0000}"/>
    <cellStyle name="Процентный 4 2 18 2 9" xfId="43446" xr:uid="{00000000-0005-0000-0000-00002E8E0000}"/>
    <cellStyle name="Процентный 4 2 18 3" xfId="5598" xr:uid="{00000000-0005-0000-0000-00002F8E0000}"/>
    <cellStyle name="Процентный 4 2 18 3 2" xfId="53660" xr:uid="{00000000-0005-0000-0000-0000308E0000}"/>
    <cellStyle name="Процентный 4 2 18 4" xfId="10939" xr:uid="{00000000-0005-0000-0000-0000318E0000}"/>
    <cellStyle name="Процентный 4 2 18 5" xfId="16279" xr:uid="{00000000-0005-0000-0000-0000328E0000}"/>
    <cellStyle name="Процентный 4 2 18 6" xfId="21619" xr:uid="{00000000-0005-0000-0000-0000338E0000}"/>
    <cellStyle name="Процентный 4 2 18 7" xfId="26959" xr:uid="{00000000-0005-0000-0000-0000348E0000}"/>
    <cellStyle name="Процентный 4 2 18 8" xfId="32299" xr:uid="{00000000-0005-0000-0000-0000358E0000}"/>
    <cellStyle name="Процентный 4 2 18 9" xfId="37639" xr:uid="{00000000-0005-0000-0000-0000368E0000}"/>
    <cellStyle name="Процентный 4 2 180" xfId="5077" xr:uid="{00000000-0005-0000-0000-0000378E0000}"/>
    <cellStyle name="Процентный 4 2 180 10" xfId="53140" xr:uid="{00000000-0005-0000-0000-0000388E0000}"/>
    <cellStyle name="Процентный 4 2 180 2" xfId="10420" xr:uid="{00000000-0005-0000-0000-0000398E0000}"/>
    <cellStyle name="Процентный 4 2 180 2 2" xfId="58481" xr:uid="{00000000-0005-0000-0000-00003A8E0000}"/>
    <cellStyle name="Процентный 4 2 180 3" xfId="15760" xr:uid="{00000000-0005-0000-0000-00003B8E0000}"/>
    <cellStyle name="Процентный 4 2 180 4" xfId="21100" xr:uid="{00000000-0005-0000-0000-00003C8E0000}"/>
    <cellStyle name="Процентный 4 2 180 5" xfId="26440" xr:uid="{00000000-0005-0000-0000-00003D8E0000}"/>
    <cellStyle name="Процентный 4 2 180 6" xfId="31780" xr:uid="{00000000-0005-0000-0000-00003E8E0000}"/>
    <cellStyle name="Процентный 4 2 180 7" xfId="37120" xr:uid="{00000000-0005-0000-0000-00003F8E0000}"/>
    <cellStyle name="Процентный 4 2 180 8" xfId="42460" xr:uid="{00000000-0005-0000-0000-0000408E0000}"/>
    <cellStyle name="Процентный 4 2 180 9" xfId="47800" xr:uid="{00000000-0005-0000-0000-0000418E0000}"/>
    <cellStyle name="Процентный 4 2 181" xfId="5109" xr:uid="{00000000-0005-0000-0000-0000428E0000}"/>
    <cellStyle name="Процентный 4 2 181 10" xfId="53172" xr:uid="{00000000-0005-0000-0000-0000438E0000}"/>
    <cellStyle name="Процентный 4 2 181 2" xfId="10452" xr:uid="{00000000-0005-0000-0000-0000448E0000}"/>
    <cellStyle name="Процентный 4 2 181 2 2" xfId="58513" xr:uid="{00000000-0005-0000-0000-0000458E0000}"/>
    <cellStyle name="Процентный 4 2 181 3" xfId="15792" xr:uid="{00000000-0005-0000-0000-0000468E0000}"/>
    <cellStyle name="Процентный 4 2 181 4" xfId="21132" xr:uid="{00000000-0005-0000-0000-0000478E0000}"/>
    <cellStyle name="Процентный 4 2 181 5" xfId="26472" xr:uid="{00000000-0005-0000-0000-0000488E0000}"/>
    <cellStyle name="Процентный 4 2 181 6" xfId="31812" xr:uid="{00000000-0005-0000-0000-0000498E0000}"/>
    <cellStyle name="Процентный 4 2 181 7" xfId="37152" xr:uid="{00000000-0005-0000-0000-00004A8E0000}"/>
    <cellStyle name="Процентный 4 2 181 8" xfId="42492" xr:uid="{00000000-0005-0000-0000-00004B8E0000}"/>
    <cellStyle name="Процентный 4 2 181 9" xfId="47832" xr:uid="{00000000-0005-0000-0000-00004C8E0000}"/>
    <cellStyle name="Процентный 4 2 182" xfId="5141" xr:uid="{00000000-0005-0000-0000-00004D8E0000}"/>
    <cellStyle name="Процентный 4 2 182 10" xfId="53204" xr:uid="{00000000-0005-0000-0000-00004E8E0000}"/>
    <cellStyle name="Процентный 4 2 182 2" xfId="10484" xr:uid="{00000000-0005-0000-0000-00004F8E0000}"/>
    <cellStyle name="Процентный 4 2 182 2 2" xfId="58545" xr:uid="{00000000-0005-0000-0000-0000508E0000}"/>
    <cellStyle name="Процентный 4 2 182 3" xfId="15824" xr:uid="{00000000-0005-0000-0000-0000518E0000}"/>
    <cellStyle name="Процентный 4 2 182 4" xfId="21164" xr:uid="{00000000-0005-0000-0000-0000528E0000}"/>
    <cellStyle name="Процентный 4 2 182 5" xfId="26504" xr:uid="{00000000-0005-0000-0000-0000538E0000}"/>
    <cellStyle name="Процентный 4 2 182 6" xfId="31844" xr:uid="{00000000-0005-0000-0000-0000548E0000}"/>
    <cellStyle name="Процентный 4 2 182 7" xfId="37184" xr:uid="{00000000-0005-0000-0000-0000558E0000}"/>
    <cellStyle name="Процентный 4 2 182 8" xfId="42524" xr:uid="{00000000-0005-0000-0000-0000568E0000}"/>
    <cellStyle name="Процентный 4 2 182 9" xfId="47864" xr:uid="{00000000-0005-0000-0000-0000578E0000}"/>
    <cellStyle name="Процентный 4 2 183" xfId="5173" xr:uid="{00000000-0005-0000-0000-0000588E0000}"/>
    <cellStyle name="Процентный 4 2 183 10" xfId="53236" xr:uid="{00000000-0005-0000-0000-0000598E0000}"/>
    <cellStyle name="Процентный 4 2 183 2" xfId="10516" xr:uid="{00000000-0005-0000-0000-00005A8E0000}"/>
    <cellStyle name="Процентный 4 2 183 2 2" xfId="58577" xr:uid="{00000000-0005-0000-0000-00005B8E0000}"/>
    <cellStyle name="Процентный 4 2 183 3" xfId="15856" xr:uid="{00000000-0005-0000-0000-00005C8E0000}"/>
    <cellStyle name="Процентный 4 2 183 4" xfId="21196" xr:uid="{00000000-0005-0000-0000-00005D8E0000}"/>
    <cellStyle name="Процентный 4 2 183 5" xfId="26536" xr:uid="{00000000-0005-0000-0000-00005E8E0000}"/>
    <cellStyle name="Процентный 4 2 183 6" xfId="31876" xr:uid="{00000000-0005-0000-0000-00005F8E0000}"/>
    <cellStyle name="Процентный 4 2 183 7" xfId="37216" xr:uid="{00000000-0005-0000-0000-0000608E0000}"/>
    <cellStyle name="Процентный 4 2 183 8" xfId="42556" xr:uid="{00000000-0005-0000-0000-0000618E0000}"/>
    <cellStyle name="Процентный 4 2 183 9" xfId="47896" xr:uid="{00000000-0005-0000-0000-0000628E0000}"/>
    <cellStyle name="Процентный 4 2 184" xfId="5205" xr:uid="{00000000-0005-0000-0000-0000638E0000}"/>
    <cellStyle name="Процентный 4 2 184 10" xfId="53268" xr:uid="{00000000-0005-0000-0000-0000648E0000}"/>
    <cellStyle name="Процентный 4 2 184 2" xfId="10548" xr:uid="{00000000-0005-0000-0000-0000658E0000}"/>
    <cellStyle name="Процентный 4 2 184 2 2" xfId="58609" xr:uid="{00000000-0005-0000-0000-0000668E0000}"/>
    <cellStyle name="Процентный 4 2 184 3" xfId="15888" xr:uid="{00000000-0005-0000-0000-0000678E0000}"/>
    <cellStyle name="Процентный 4 2 184 4" xfId="21228" xr:uid="{00000000-0005-0000-0000-0000688E0000}"/>
    <cellStyle name="Процентный 4 2 184 5" xfId="26568" xr:uid="{00000000-0005-0000-0000-0000698E0000}"/>
    <cellStyle name="Процентный 4 2 184 6" xfId="31908" xr:uid="{00000000-0005-0000-0000-00006A8E0000}"/>
    <cellStyle name="Процентный 4 2 184 7" xfId="37248" xr:uid="{00000000-0005-0000-0000-00006B8E0000}"/>
    <cellStyle name="Процентный 4 2 184 8" xfId="42588" xr:uid="{00000000-0005-0000-0000-00006C8E0000}"/>
    <cellStyle name="Процентный 4 2 184 9" xfId="47928" xr:uid="{00000000-0005-0000-0000-00006D8E0000}"/>
    <cellStyle name="Процентный 4 2 185" xfId="5237" xr:uid="{00000000-0005-0000-0000-00006E8E0000}"/>
    <cellStyle name="Процентный 4 2 185 10" xfId="53300" xr:uid="{00000000-0005-0000-0000-00006F8E0000}"/>
    <cellStyle name="Процентный 4 2 185 2" xfId="10580" xr:uid="{00000000-0005-0000-0000-0000708E0000}"/>
    <cellStyle name="Процентный 4 2 185 2 2" xfId="58641" xr:uid="{00000000-0005-0000-0000-0000718E0000}"/>
    <cellStyle name="Процентный 4 2 185 3" xfId="15920" xr:uid="{00000000-0005-0000-0000-0000728E0000}"/>
    <cellStyle name="Процентный 4 2 185 4" xfId="21260" xr:uid="{00000000-0005-0000-0000-0000738E0000}"/>
    <cellStyle name="Процентный 4 2 185 5" xfId="26600" xr:uid="{00000000-0005-0000-0000-0000748E0000}"/>
    <cellStyle name="Процентный 4 2 185 6" xfId="31940" xr:uid="{00000000-0005-0000-0000-0000758E0000}"/>
    <cellStyle name="Процентный 4 2 185 7" xfId="37280" xr:uid="{00000000-0005-0000-0000-0000768E0000}"/>
    <cellStyle name="Процентный 4 2 185 8" xfId="42620" xr:uid="{00000000-0005-0000-0000-0000778E0000}"/>
    <cellStyle name="Процентный 4 2 185 9" xfId="47960" xr:uid="{00000000-0005-0000-0000-0000788E0000}"/>
    <cellStyle name="Процентный 4 2 186" xfId="5269" xr:uid="{00000000-0005-0000-0000-0000798E0000}"/>
    <cellStyle name="Процентный 4 2 186 10" xfId="53332" xr:uid="{00000000-0005-0000-0000-00007A8E0000}"/>
    <cellStyle name="Процентный 4 2 186 2" xfId="10612" xr:uid="{00000000-0005-0000-0000-00007B8E0000}"/>
    <cellStyle name="Процентный 4 2 186 2 2" xfId="58673" xr:uid="{00000000-0005-0000-0000-00007C8E0000}"/>
    <cellStyle name="Процентный 4 2 186 3" xfId="15952" xr:uid="{00000000-0005-0000-0000-00007D8E0000}"/>
    <cellStyle name="Процентный 4 2 186 4" xfId="21292" xr:uid="{00000000-0005-0000-0000-00007E8E0000}"/>
    <cellStyle name="Процентный 4 2 186 5" xfId="26632" xr:uid="{00000000-0005-0000-0000-00007F8E0000}"/>
    <cellStyle name="Процентный 4 2 186 6" xfId="31972" xr:uid="{00000000-0005-0000-0000-0000808E0000}"/>
    <cellStyle name="Процентный 4 2 186 7" xfId="37312" xr:uid="{00000000-0005-0000-0000-0000818E0000}"/>
    <cellStyle name="Процентный 4 2 186 8" xfId="42652" xr:uid="{00000000-0005-0000-0000-0000828E0000}"/>
    <cellStyle name="Процентный 4 2 186 9" xfId="47992" xr:uid="{00000000-0005-0000-0000-0000838E0000}"/>
    <cellStyle name="Процентный 4 2 187" xfId="5301" xr:uid="{00000000-0005-0000-0000-0000848E0000}"/>
    <cellStyle name="Процентный 4 2 187 10" xfId="53364" xr:uid="{00000000-0005-0000-0000-0000858E0000}"/>
    <cellStyle name="Процентный 4 2 187 2" xfId="10644" xr:uid="{00000000-0005-0000-0000-0000868E0000}"/>
    <cellStyle name="Процентный 4 2 187 2 2" xfId="58705" xr:uid="{00000000-0005-0000-0000-0000878E0000}"/>
    <cellStyle name="Процентный 4 2 187 3" xfId="15984" xr:uid="{00000000-0005-0000-0000-0000888E0000}"/>
    <cellStyle name="Процентный 4 2 187 4" xfId="21324" xr:uid="{00000000-0005-0000-0000-0000898E0000}"/>
    <cellStyle name="Процентный 4 2 187 5" xfId="26664" xr:uid="{00000000-0005-0000-0000-00008A8E0000}"/>
    <cellStyle name="Процентный 4 2 187 6" xfId="32004" xr:uid="{00000000-0005-0000-0000-00008B8E0000}"/>
    <cellStyle name="Процентный 4 2 187 7" xfId="37344" xr:uid="{00000000-0005-0000-0000-00008C8E0000}"/>
    <cellStyle name="Процентный 4 2 187 8" xfId="42684" xr:uid="{00000000-0005-0000-0000-00008D8E0000}"/>
    <cellStyle name="Процентный 4 2 187 9" xfId="48024" xr:uid="{00000000-0005-0000-0000-00008E8E0000}"/>
    <cellStyle name="Процентный 4 2 188" xfId="5333" xr:uid="{00000000-0005-0000-0000-00008F8E0000}"/>
    <cellStyle name="Процентный 4 2 188 10" xfId="53396" xr:uid="{00000000-0005-0000-0000-0000908E0000}"/>
    <cellStyle name="Процентный 4 2 188 2" xfId="10676" xr:uid="{00000000-0005-0000-0000-0000918E0000}"/>
    <cellStyle name="Процентный 4 2 188 2 2" xfId="58737" xr:uid="{00000000-0005-0000-0000-0000928E0000}"/>
    <cellStyle name="Процентный 4 2 188 3" xfId="16016" xr:uid="{00000000-0005-0000-0000-0000938E0000}"/>
    <cellStyle name="Процентный 4 2 188 4" xfId="21356" xr:uid="{00000000-0005-0000-0000-0000948E0000}"/>
    <cellStyle name="Процентный 4 2 188 5" xfId="26696" xr:uid="{00000000-0005-0000-0000-0000958E0000}"/>
    <cellStyle name="Процентный 4 2 188 6" xfId="32036" xr:uid="{00000000-0005-0000-0000-0000968E0000}"/>
    <cellStyle name="Процентный 4 2 188 7" xfId="37376" xr:uid="{00000000-0005-0000-0000-0000978E0000}"/>
    <cellStyle name="Процентный 4 2 188 8" xfId="42716" xr:uid="{00000000-0005-0000-0000-0000988E0000}"/>
    <cellStyle name="Процентный 4 2 188 9" xfId="48056" xr:uid="{00000000-0005-0000-0000-0000998E0000}"/>
    <cellStyle name="Процентный 4 2 189" xfId="5365" xr:uid="{00000000-0005-0000-0000-00009A8E0000}"/>
    <cellStyle name="Процентный 4 2 189 10" xfId="53428" xr:uid="{00000000-0005-0000-0000-00009B8E0000}"/>
    <cellStyle name="Процентный 4 2 189 2" xfId="10708" xr:uid="{00000000-0005-0000-0000-00009C8E0000}"/>
    <cellStyle name="Процентный 4 2 189 2 2" xfId="58769" xr:uid="{00000000-0005-0000-0000-00009D8E0000}"/>
    <cellStyle name="Процентный 4 2 189 3" xfId="16048" xr:uid="{00000000-0005-0000-0000-00009E8E0000}"/>
    <cellStyle name="Процентный 4 2 189 4" xfId="21388" xr:uid="{00000000-0005-0000-0000-00009F8E0000}"/>
    <cellStyle name="Процентный 4 2 189 5" xfId="26728" xr:uid="{00000000-0005-0000-0000-0000A08E0000}"/>
    <cellStyle name="Процентный 4 2 189 6" xfId="32068" xr:uid="{00000000-0005-0000-0000-0000A18E0000}"/>
    <cellStyle name="Процентный 4 2 189 7" xfId="37408" xr:uid="{00000000-0005-0000-0000-0000A28E0000}"/>
    <cellStyle name="Процентный 4 2 189 8" xfId="42748" xr:uid="{00000000-0005-0000-0000-0000A38E0000}"/>
    <cellStyle name="Процентный 4 2 189 9" xfId="48088" xr:uid="{00000000-0005-0000-0000-0000A48E0000}"/>
    <cellStyle name="Процентный 4 2 19" xfId="267" xr:uid="{00000000-0005-0000-0000-0000A58E0000}"/>
    <cellStyle name="Процентный 4 2 19 10" xfId="42989" xr:uid="{00000000-0005-0000-0000-0000A68E0000}"/>
    <cellStyle name="Процентный 4 2 19 11" xfId="48329" xr:uid="{00000000-0005-0000-0000-0000A78E0000}"/>
    <cellStyle name="Процентный 4 2 19 2" xfId="734" xr:uid="{00000000-0005-0000-0000-0000A88E0000}"/>
    <cellStyle name="Процентный 4 2 19 2 10" xfId="48796" xr:uid="{00000000-0005-0000-0000-0000A98E0000}"/>
    <cellStyle name="Процентный 4 2 19 2 2" xfId="6075" xr:uid="{00000000-0005-0000-0000-0000AA8E0000}"/>
    <cellStyle name="Процентный 4 2 19 2 2 2" xfId="54137" xr:uid="{00000000-0005-0000-0000-0000AB8E0000}"/>
    <cellStyle name="Процентный 4 2 19 2 3" xfId="11416" xr:uid="{00000000-0005-0000-0000-0000AC8E0000}"/>
    <cellStyle name="Процентный 4 2 19 2 4" xfId="16756" xr:uid="{00000000-0005-0000-0000-0000AD8E0000}"/>
    <cellStyle name="Процентный 4 2 19 2 5" xfId="22096" xr:uid="{00000000-0005-0000-0000-0000AE8E0000}"/>
    <cellStyle name="Процентный 4 2 19 2 6" xfId="27436" xr:uid="{00000000-0005-0000-0000-0000AF8E0000}"/>
    <cellStyle name="Процентный 4 2 19 2 7" xfId="32776" xr:uid="{00000000-0005-0000-0000-0000B08E0000}"/>
    <cellStyle name="Процентный 4 2 19 2 8" xfId="38116" xr:uid="{00000000-0005-0000-0000-0000B18E0000}"/>
    <cellStyle name="Процентный 4 2 19 2 9" xfId="43456" xr:uid="{00000000-0005-0000-0000-0000B28E0000}"/>
    <cellStyle name="Процентный 4 2 19 3" xfId="5608" xr:uid="{00000000-0005-0000-0000-0000B38E0000}"/>
    <cellStyle name="Процентный 4 2 19 3 2" xfId="53670" xr:uid="{00000000-0005-0000-0000-0000B48E0000}"/>
    <cellStyle name="Процентный 4 2 19 4" xfId="10949" xr:uid="{00000000-0005-0000-0000-0000B58E0000}"/>
    <cellStyle name="Процентный 4 2 19 5" xfId="16289" xr:uid="{00000000-0005-0000-0000-0000B68E0000}"/>
    <cellStyle name="Процентный 4 2 19 6" xfId="21629" xr:uid="{00000000-0005-0000-0000-0000B78E0000}"/>
    <cellStyle name="Процентный 4 2 19 7" xfId="26969" xr:uid="{00000000-0005-0000-0000-0000B88E0000}"/>
    <cellStyle name="Процентный 4 2 19 8" xfId="32309" xr:uid="{00000000-0005-0000-0000-0000B98E0000}"/>
    <cellStyle name="Процентный 4 2 19 9" xfId="37649" xr:uid="{00000000-0005-0000-0000-0000BA8E0000}"/>
    <cellStyle name="Процентный 4 2 190" xfId="5398" xr:uid="{00000000-0005-0000-0000-0000BB8E0000}"/>
    <cellStyle name="Процентный 4 2 190 2" xfId="53460" xr:uid="{00000000-0005-0000-0000-0000BC8E0000}"/>
    <cellStyle name="Процентный 4 2 191" xfId="10739" xr:uid="{00000000-0005-0000-0000-0000BD8E0000}"/>
    <cellStyle name="Процентный 4 2 192" xfId="16079" xr:uid="{00000000-0005-0000-0000-0000BE8E0000}"/>
    <cellStyle name="Процентный 4 2 193" xfId="21419" xr:uid="{00000000-0005-0000-0000-0000BF8E0000}"/>
    <cellStyle name="Процентный 4 2 194" xfId="26759" xr:uid="{00000000-0005-0000-0000-0000C08E0000}"/>
    <cellStyle name="Процентный 4 2 195" xfId="32099" xr:uid="{00000000-0005-0000-0000-0000C18E0000}"/>
    <cellStyle name="Процентный 4 2 196" xfId="37439" xr:uid="{00000000-0005-0000-0000-0000C28E0000}"/>
    <cellStyle name="Процентный 4 2 197" xfId="42779" xr:uid="{00000000-0005-0000-0000-0000C38E0000}"/>
    <cellStyle name="Процентный 4 2 198" xfId="48119" xr:uid="{00000000-0005-0000-0000-0000C48E0000}"/>
    <cellStyle name="Процентный 4 2 2" xfId="101" xr:uid="{00000000-0005-0000-0000-0000C58E0000}"/>
    <cellStyle name="Процентный 4 2 2 10" xfId="1181" xr:uid="{00000000-0005-0000-0000-0000C68E0000}"/>
    <cellStyle name="Процентный 4 2 2 10 10" xfId="49244" xr:uid="{00000000-0005-0000-0000-0000C78E0000}"/>
    <cellStyle name="Процентный 4 2 2 10 2" xfId="6523" xr:uid="{00000000-0005-0000-0000-0000C88E0000}"/>
    <cellStyle name="Процентный 4 2 2 10 2 2" xfId="54585" xr:uid="{00000000-0005-0000-0000-0000C98E0000}"/>
    <cellStyle name="Процентный 4 2 2 10 3" xfId="11864" xr:uid="{00000000-0005-0000-0000-0000CA8E0000}"/>
    <cellStyle name="Процентный 4 2 2 10 4" xfId="17204" xr:uid="{00000000-0005-0000-0000-0000CB8E0000}"/>
    <cellStyle name="Процентный 4 2 2 10 5" xfId="22544" xr:uid="{00000000-0005-0000-0000-0000CC8E0000}"/>
    <cellStyle name="Процентный 4 2 2 10 6" xfId="27884" xr:uid="{00000000-0005-0000-0000-0000CD8E0000}"/>
    <cellStyle name="Процентный 4 2 2 10 7" xfId="33224" xr:uid="{00000000-0005-0000-0000-0000CE8E0000}"/>
    <cellStyle name="Процентный 4 2 2 10 8" xfId="38564" xr:uid="{00000000-0005-0000-0000-0000CF8E0000}"/>
    <cellStyle name="Процентный 4 2 2 10 9" xfId="43904" xr:uid="{00000000-0005-0000-0000-0000D08E0000}"/>
    <cellStyle name="Процентный 4 2 2 100" xfId="3839" xr:uid="{00000000-0005-0000-0000-0000D18E0000}"/>
    <cellStyle name="Процентный 4 2 2 100 10" xfId="51902" xr:uid="{00000000-0005-0000-0000-0000D28E0000}"/>
    <cellStyle name="Процентный 4 2 2 100 2" xfId="9182" xr:uid="{00000000-0005-0000-0000-0000D38E0000}"/>
    <cellStyle name="Процентный 4 2 2 100 2 2" xfId="57243" xr:uid="{00000000-0005-0000-0000-0000D48E0000}"/>
    <cellStyle name="Процентный 4 2 2 100 3" xfId="14522" xr:uid="{00000000-0005-0000-0000-0000D58E0000}"/>
    <cellStyle name="Процентный 4 2 2 100 4" xfId="19862" xr:uid="{00000000-0005-0000-0000-0000D68E0000}"/>
    <cellStyle name="Процентный 4 2 2 100 5" xfId="25202" xr:uid="{00000000-0005-0000-0000-0000D78E0000}"/>
    <cellStyle name="Процентный 4 2 2 100 6" xfId="30542" xr:uid="{00000000-0005-0000-0000-0000D88E0000}"/>
    <cellStyle name="Процентный 4 2 2 100 7" xfId="35882" xr:uid="{00000000-0005-0000-0000-0000D98E0000}"/>
    <cellStyle name="Процентный 4 2 2 100 8" xfId="41222" xr:uid="{00000000-0005-0000-0000-0000DA8E0000}"/>
    <cellStyle name="Процентный 4 2 2 100 9" xfId="46562" xr:uid="{00000000-0005-0000-0000-0000DB8E0000}"/>
    <cellStyle name="Процентный 4 2 2 101" xfId="3871" xr:uid="{00000000-0005-0000-0000-0000DC8E0000}"/>
    <cellStyle name="Процентный 4 2 2 101 10" xfId="51934" xr:uid="{00000000-0005-0000-0000-0000DD8E0000}"/>
    <cellStyle name="Процентный 4 2 2 101 2" xfId="9214" xr:uid="{00000000-0005-0000-0000-0000DE8E0000}"/>
    <cellStyle name="Процентный 4 2 2 101 2 2" xfId="57275" xr:uid="{00000000-0005-0000-0000-0000DF8E0000}"/>
    <cellStyle name="Процентный 4 2 2 101 3" xfId="14554" xr:uid="{00000000-0005-0000-0000-0000E08E0000}"/>
    <cellStyle name="Процентный 4 2 2 101 4" xfId="19894" xr:uid="{00000000-0005-0000-0000-0000E18E0000}"/>
    <cellStyle name="Процентный 4 2 2 101 5" xfId="25234" xr:uid="{00000000-0005-0000-0000-0000E28E0000}"/>
    <cellStyle name="Процентный 4 2 2 101 6" xfId="30574" xr:uid="{00000000-0005-0000-0000-0000E38E0000}"/>
    <cellStyle name="Процентный 4 2 2 101 7" xfId="35914" xr:uid="{00000000-0005-0000-0000-0000E48E0000}"/>
    <cellStyle name="Процентный 4 2 2 101 8" xfId="41254" xr:uid="{00000000-0005-0000-0000-0000E58E0000}"/>
    <cellStyle name="Процентный 4 2 2 101 9" xfId="46594" xr:uid="{00000000-0005-0000-0000-0000E68E0000}"/>
    <cellStyle name="Процентный 4 2 2 102" xfId="3903" xr:uid="{00000000-0005-0000-0000-0000E78E0000}"/>
    <cellStyle name="Процентный 4 2 2 102 10" xfId="51966" xr:uid="{00000000-0005-0000-0000-0000E88E0000}"/>
    <cellStyle name="Процентный 4 2 2 102 2" xfId="9246" xr:uid="{00000000-0005-0000-0000-0000E98E0000}"/>
    <cellStyle name="Процентный 4 2 2 102 2 2" xfId="57307" xr:uid="{00000000-0005-0000-0000-0000EA8E0000}"/>
    <cellStyle name="Процентный 4 2 2 102 3" xfId="14586" xr:uid="{00000000-0005-0000-0000-0000EB8E0000}"/>
    <cellStyle name="Процентный 4 2 2 102 4" xfId="19926" xr:uid="{00000000-0005-0000-0000-0000EC8E0000}"/>
    <cellStyle name="Процентный 4 2 2 102 5" xfId="25266" xr:uid="{00000000-0005-0000-0000-0000ED8E0000}"/>
    <cellStyle name="Процентный 4 2 2 102 6" xfId="30606" xr:uid="{00000000-0005-0000-0000-0000EE8E0000}"/>
    <cellStyle name="Процентный 4 2 2 102 7" xfId="35946" xr:uid="{00000000-0005-0000-0000-0000EF8E0000}"/>
    <cellStyle name="Процентный 4 2 2 102 8" xfId="41286" xr:uid="{00000000-0005-0000-0000-0000F08E0000}"/>
    <cellStyle name="Процентный 4 2 2 102 9" xfId="46626" xr:uid="{00000000-0005-0000-0000-0000F18E0000}"/>
    <cellStyle name="Процентный 4 2 2 103" xfId="3935" xr:uid="{00000000-0005-0000-0000-0000F28E0000}"/>
    <cellStyle name="Процентный 4 2 2 103 10" xfId="51998" xr:uid="{00000000-0005-0000-0000-0000F38E0000}"/>
    <cellStyle name="Процентный 4 2 2 103 2" xfId="9278" xr:uid="{00000000-0005-0000-0000-0000F48E0000}"/>
    <cellStyle name="Процентный 4 2 2 103 2 2" xfId="57339" xr:uid="{00000000-0005-0000-0000-0000F58E0000}"/>
    <cellStyle name="Процентный 4 2 2 103 3" xfId="14618" xr:uid="{00000000-0005-0000-0000-0000F68E0000}"/>
    <cellStyle name="Процентный 4 2 2 103 4" xfId="19958" xr:uid="{00000000-0005-0000-0000-0000F78E0000}"/>
    <cellStyle name="Процентный 4 2 2 103 5" xfId="25298" xr:uid="{00000000-0005-0000-0000-0000F88E0000}"/>
    <cellStyle name="Процентный 4 2 2 103 6" xfId="30638" xr:uid="{00000000-0005-0000-0000-0000F98E0000}"/>
    <cellStyle name="Процентный 4 2 2 103 7" xfId="35978" xr:uid="{00000000-0005-0000-0000-0000FA8E0000}"/>
    <cellStyle name="Процентный 4 2 2 103 8" xfId="41318" xr:uid="{00000000-0005-0000-0000-0000FB8E0000}"/>
    <cellStyle name="Процентный 4 2 2 103 9" xfId="46658" xr:uid="{00000000-0005-0000-0000-0000FC8E0000}"/>
    <cellStyle name="Процентный 4 2 2 104" xfId="3967" xr:uid="{00000000-0005-0000-0000-0000FD8E0000}"/>
    <cellStyle name="Процентный 4 2 2 104 10" xfId="52030" xr:uid="{00000000-0005-0000-0000-0000FE8E0000}"/>
    <cellStyle name="Процентный 4 2 2 104 2" xfId="9310" xr:uid="{00000000-0005-0000-0000-0000FF8E0000}"/>
    <cellStyle name="Процентный 4 2 2 104 2 2" xfId="57371" xr:uid="{00000000-0005-0000-0000-0000008F0000}"/>
    <cellStyle name="Процентный 4 2 2 104 3" xfId="14650" xr:uid="{00000000-0005-0000-0000-0000018F0000}"/>
    <cellStyle name="Процентный 4 2 2 104 4" xfId="19990" xr:uid="{00000000-0005-0000-0000-0000028F0000}"/>
    <cellStyle name="Процентный 4 2 2 104 5" xfId="25330" xr:uid="{00000000-0005-0000-0000-0000038F0000}"/>
    <cellStyle name="Процентный 4 2 2 104 6" xfId="30670" xr:uid="{00000000-0005-0000-0000-0000048F0000}"/>
    <cellStyle name="Процентный 4 2 2 104 7" xfId="36010" xr:uid="{00000000-0005-0000-0000-0000058F0000}"/>
    <cellStyle name="Процентный 4 2 2 104 8" xfId="41350" xr:uid="{00000000-0005-0000-0000-0000068F0000}"/>
    <cellStyle name="Процентный 4 2 2 104 9" xfId="46690" xr:uid="{00000000-0005-0000-0000-0000078F0000}"/>
    <cellStyle name="Процентный 4 2 2 105" xfId="3999" xr:uid="{00000000-0005-0000-0000-0000088F0000}"/>
    <cellStyle name="Процентный 4 2 2 105 10" xfId="52062" xr:uid="{00000000-0005-0000-0000-0000098F0000}"/>
    <cellStyle name="Процентный 4 2 2 105 2" xfId="9342" xr:uid="{00000000-0005-0000-0000-00000A8F0000}"/>
    <cellStyle name="Процентный 4 2 2 105 2 2" xfId="57403" xr:uid="{00000000-0005-0000-0000-00000B8F0000}"/>
    <cellStyle name="Процентный 4 2 2 105 3" xfId="14682" xr:uid="{00000000-0005-0000-0000-00000C8F0000}"/>
    <cellStyle name="Процентный 4 2 2 105 4" xfId="20022" xr:uid="{00000000-0005-0000-0000-00000D8F0000}"/>
    <cellStyle name="Процентный 4 2 2 105 5" xfId="25362" xr:uid="{00000000-0005-0000-0000-00000E8F0000}"/>
    <cellStyle name="Процентный 4 2 2 105 6" xfId="30702" xr:uid="{00000000-0005-0000-0000-00000F8F0000}"/>
    <cellStyle name="Процентный 4 2 2 105 7" xfId="36042" xr:uid="{00000000-0005-0000-0000-0000108F0000}"/>
    <cellStyle name="Процентный 4 2 2 105 8" xfId="41382" xr:uid="{00000000-0005-0000-0000-0000118F0000}"/>
    <cellStyle name="Процентный 4 2 2 105 9" xfId="46722" xr:uid="{00000000-0005-0000-0000-0000128F0000}"/>
    <cellStyle name="Процентный 4 2 2 106" xfId="4031" xr:uid="{00000000-0005-0000-0000-0000138F0000}"/>
    <cellStyle name="Процентный 4 2 2 106 10" xfId="52094" xr:uid="{00000000-0005-0000-0000-0000148F0000}"/>
    <cellStyle name="Процентный 4 2 2 106 2" xfId="9374" xr:uid="{00000000-0005-0000-0000-0000158F0000}"/>
    <cellStyle name="Процентный 4 2 2 106 2 2" xfId="57435" xr:uid="{00000000-0005-0000-0000-0000168F0000}"/>
    <cellStyle name="Процентный 4 2 2 106 3" xfId="14714" xr:uid="{00000000-0005-0000-0000-0000178F0000}"/>
    <cellStyle name="Процентный 4 2 2 106 4" xfId="20054" xr:uid="{00000000-0005-0000-0000-0000188F0000}"/>
    <cellStyle name="Процентный 4 2 2 106 5" xfId="25394" xr:uid="{00000000-0005-0000-0000-0000198F0000}"/>
    <cellStyle name="Процентный 4 2 2 106 6" xfId="30734" xr:uid="{00000000-0005-0000-0000-00001A8F0000}"/>
    <cellStyle name="Процентный 4 2 2 106 7" xfId="36074" xr:uid="{00000000-0005-0000-0000-00001B8F0000}"/>
    <cellStyle name="Процентный 4 2 2 106 8" xfId="41414" xr:uid="{00000000-0005-0000-0000-00001C8F0000}"/>
    <cellStyle name="Процентный 4 2 2 106 9" xfId="46754" xr:uid="{00000000-0005-0000-0000-00001D8F0000}"/>
    <cellStyle name="Процентный 4 2 2 107" xfId="4063" xr:uid="{00000000-0005-0000-0000-00001E8F0000}"/>
    <cellStyle name="Процентный 4 2 2 107 10" xfId="52126" xr:uid="{00000000-0005-0000-0000-00001F8F0000}"/>
    <cellStyle name="Процентный 4 2 2 107 2" xfId="9406" xr:uid="{00000000-0005-0000-0000-0000208F0000}"/>
    <cellStyle name="Процентный 4 2 2 107 2 2" xfId="57467" xr:uid="{00000000-0005-0000-0000-0000218F0000}"/>
    <cellStyle name="Процентный 4 2 2 107 3" xfId="14746" xr:uid="{00000000-0005-0000-0000-0000228F0000}"/>
    <cellStyle name="Процентный 4 2 2 107 4" xfId="20086" xr:uid="{00000000-0005-0000-0000-0000238F0000}"/>
    <cellStyle name="Процентный 4 2 2 107 5" xfId="25426" xr:uid="{00000000-0005-0000-0000-0000248F0000}"/>
    <cellStyle name="Процентный 4 2 2 107 6" xfId="30766" xr:uid="{00000000-0005-0000-0000-0000258F0000}"/>
    <cellStyle name="Процентный 4 2 2 107 7" xfId="36106" xr:uid="{00000000-0005-0000-0000-0000268F0000}"/>
    <cellStyle name="Процентный 4 2 2 107 8" xfId="41446" xr:uid="{00000000-0005-0000-0000-0000278F0000}"/>
    <cellStyle name="Процентный 4 2 2 107 9" xfId="46786" xr:uid="{00000000-0005-0000-0000-0000288F0000}"/>
    <cellStyle name="Процентный 4 2 2 108" xfId="4095" xr:uid="{00000000-0005-0000-0000-0000298F0000}"/>
    <cellStyle name="Процентный 4 2 2 108 10" xfId="52158" xr:uid="{00000000-0005-0000-0000-00002A8F0000}"/>
    <cellStyle name="Процентный 4 2 2 108 2" xfId="9438" xr:uid="{00000000-0005-0000-0000-00002B8F0000}"/>
    <cellStyle name="Процентный 4 2 2 108 2 2" xfId="57499" xr:uid="{00000000-0005-0000-0000-00002C8F0000}"/>
    <cellStyle name="Процентный 4 2 2 108 3" xfId="14778" xr:uid="{00000000-0005-0000-0000-00002D8F0000}"/>
    <cellStyle name="Процентный 4 2 2 108 4" xfId="20118" xr:uid="{00000000-0005-0000-0000-00002E8F0000}"/>
    <cellStyle name="Процентный 4 2 2 108 5" xfId="25458" xr:uid="{00000000-0005-0000-0000-00002F8F0000}"/>
    <cellStyle name="Процентный 4 2 2 108 6" xfId="30798" xr:uid="{00000000-0005-0000-0000-0000308F0000}"/>
    <cellStyle name="Процентный 4 2 2 108 7" xfId="36138" xr:uid="{00000000-0005-0000-0000-0000318F0000}"/>
    <cellStyle name="Процентный 4 2 2 108 8" xfId="41478" xr:uid="{00000000-0005-0000-0000-0000328F0000}"/>
    <cellStyle name="Процентный 4 2 2 108 9" xfId="46818" xr:uid="{00000000-0005-0000-0000-0000338F0000}"/>
    <cellStyle name="Процентный 4 2 2 109" xfId="4127" xr:uid="{00000000-0005-0000-0000-0000348F0000}"/>
    <cellStyle name="Процентный 4 2 2 109 10" xfId="52190" xr:uid="{00000000-0005-0000-0000-0000358F0000}"/>
    <cellStyle name="Процентный 4 2 2 109 2" xfId="9470" xr:uid="{00000000-0005-0000-0000-0000368F0000}"/>
    <cellStyle name="Процентный 4 2 2 109 2 2" xfId="57531" xr:uid="{00000000-0005-0000-0000-0000378F0000}"/>
    <cellStyle name="Процентный 4 2 2 109 3" xfId="14810" xr:uid="{00000000-0005-0000-0000-0000388F0000}"/>
    <cellStyle name="Процентный 4 2 2 109 4" xfId="20150" xr:uid="{00000000-0005-0000-0000-0000398F0000}"/>
    <cellStyle name="Процентный 4 2 2 109 5" xfId="25490" xr:uid="{00000000-0005-0000-0000-00003A8F0000}"/>
    <cellStyle name="Процентный 4 2 2 109 6" xfId="30830" xr:uid="{00000000-0005-0000-0000-00003B8F0000}"/>
    <cellStyle name="Процентный 4 2 2 109 7" xfId="36170" xr:uid="{00000000-0005-0000-0000-00003C8F0000}"/>
    <cellStyle name="Процентный 4 2 2 109 8" xfId="41510" xr:uid="{00000000-0005-0000-0000-00003D8F0000}"/>
    <cellStyle name="Процентный 4 2 2 109 9" xfId="46850" xr:uid="{00000000-0005-0000-0000-00003E8F0000}"/>
    <cellStyle name="Процентный 4 2 2 11" xfId="1207" xr:uid="{00000000-0005-0000-0000-00003F8F0000}"/>
    <cellStyle name="Процентный 4 2 2 11 10" xfId="49270" xr:uid="{00000000-0005-0000-0000-0000408F0000}"/>
    <cellStyle name="Процентный 4 2 2 11 2" xfId="6549" xr:uid="{00000000-0005-0000-0000-0000418F0000}"/>
    <cellStyle name="Процентный 4 2 2 11 2 2" xfId="54611" xr:uid="{00000000-0005-0000-0000-0000428F0000}"/>
    <cellStyle name="Процентный 4 2 2 11 3" xfId="11890" xr:uid="{00000000-0005-0000-0000-0000438F0000}"/>
    <cellStyle name="Процентный 4 2 2 11 4" xfId="17230" xr:uid="{00000000-0005-0000-0000-0000448F0000}"/>
    <cellStyle name="Процентный 4 2 2 11 5" xfId="22570" xr:uid="{00000000-0005-0000-0000-0000458F0000}"/>
    <cellStyle name="Процентный 4 2 2 11 6" xfId="27910" xr:uid="{00000000-0005-0000-0000-0000468F0000}"/>
    <cellStyle name="Процентный 4 2 2 11 7" xfId="33250" xr:uid="{00000000-0005-0000-0000-0000478F0000}"/>
    <cellStyle name="Процентный 4 2 2 11 8" xfId="38590" xr:uid="{00000000-0005-0000-0000-0000488F0000}"/>
    <cellStyle name="Процентный 4 2 2 11 9" xfId="43930" xr:uid="{00000000-0005-0000-0000-0000498F0000}"/>
    <cellStyle name="Процентный 4 2 2 110" xfId="4159" xr:uid="{00000000-0005-0000-0000-00004A8F0000}"/>
    <cellStyle name="Процентный 4 2 2 110 10" xfId="52222" xr:uid="{00000000-0005-0000-0000-00004B8F0000}"/>
    <cellStyle name="Процентный 4 2 2 110 2" xfId="9502" xr:uid="{00000000-0005-0000-0000-00004C8F0000}"/>
    <cellStyle name="Процентный 4 2 2 110 2 2" xfId="57563" xr:uid="{00000000-0005-0000-0000-00004D8F0000}"/>
    <cellStyle name="Процентный 4 2 2 110 3" xfId="14842" xr:uid="{00000000-0005-0000-0000-00004E8F0000}"/>
    <cellStyle name="Процентный 4 2 2 110 4" xfId="20182" xr:uid="{00000000-0005-0000-0000-00004F8F0000}"/>
    <cellStyle name="Процентный 4 2 2 110 5" xfId="25522" xr:uid="{00000000-0005-0000-0000-0000508F0000}"/>
    <cellStyle name="Процентный 4 2 2 110 6" xfId="30862" xr:uid="{00000000-0005-0000-0000-0000518F0000}"/>
    <cellStyle name="Процентный 4 2 2 110 7" xfId="36202" xr:uid="{00000000-0005-0000-0000-0000528F0000}"/>
    <cellStyle name="Процентный 4 2 2 110 8" xfId="41542" xr:uid="{00000000-0005-0000-0000-0000538F0000}"/>
    <cellStyle name="Процентный 4 2 2 110 9" xfId="46882" xr:uid="{00000000-0005-0000-0000-0000548F0000}"/>
    <cellStyle name="Процентный 4 2 2 111" xfId="4191" xr:uid="{00000000-0005-0000-0000-0000558F0000}"/>
    <cellStyle name="Процентный 4 2 2 111 10" xfId="52254" xr:uid="{00000000-0005-0000-0000-0000568F0000}"/>
    <cellStyle name="Процентный 4 2 2 111 2" xfId="9534" xr:uid="{00000000-0005-0000-0000-0000578F0000}"/>
    <cellStyle name="Процентный 4 2 2 111 2 2" xfId="57595" xr:uid="{00000000-0005-0000-0000-0000588F0000}"/>
    <cellStyle name="Процентный 4 2 2 111 3" xfId="14874" xr:uid="{00000000-0005-0000-0000-0000598F0000}"/>
    <cellStyle name="Процентный 4 2 2 111 4" xfId="20214" xr:uid="{00000000-0005-0000-0000-00005A8F0000}"/>
    <cellStyle name="Процентный 4 2 2 111 5" xfId="25554" xr:uid="{00000000-0005-0000-0000-00005B8F0000}"/>
    <cellStyle name="Процентный 4 2 2 111 6" xfId="30894" xr:uid="{00000000-0005-0000-0000-00005C8F0000}"/>
    <cellStyle name="Процентный 4 2 2 111 7" xfId="36234" xr:uid="{00000000-0005-0000-0000-00005D8F0000}"/>
    <cellStyle name="Процентный 4 2 2 111 8" xfId="41574" xr:uid="{00000000-0005-0000-0000-00005E8F0000}"/>
    <cellStyle name="Процентный 4 2 2 111 9" xfId="46914" xr:uid="{00000000-0005-0000-0000-00005F8F0000}"/>
    <cellStyle name="Процентный 4 2 2 112" xfId="4223" xr:uid="{00000000-0005-0000-0000-0000608F0000}"/>
    <cellStyle name="Процентный 4 2 2 112 10" xfId="52286" xr:uid="{00000000-0005-0000-0000-0000618F0000}"/>
    <cellStyle name="Процентный 4 2 2 112 2" xfId="9566" xr:uid="{00000000-0005-0000-0000-0000628F0000}"/>
    <cellStyle name="Процентный 4 2 2 112 2 2" xfId="57627" xr:uid="{00000000-0005-0000-0000-0000638F0000}"/>
    <cellStyle name="Процентный 4 2 2 112 3" xfId="14906" xr:uid="{00000000-0005-0000-0000-0000648F0000}"/>
    <cellStyle name="Процентный 4 2 2 112 4" xfId="20246" xr:uid="{00000000-0005-0000-0000-0000658F0000}"/>
    <cellStyle name="Процентный 4 2 2 112 5" xfId="25586" xr:uid="{00000000-0005-0000-0000-0000668F0000}"/>
    <cellStyle name="Процентный 4 2 2 112 6" xfId="30926" xr:uid="{00000000-0005-0000-0000-0000678F0000}"/>
    <cellStyle name="Процентный 4 2 2 112 7" xfId="36266" xr:uid="{00000000-0005-0000-0000-0000688F0000}"/>
    <cellStyle name="Процентный 4 2 2 112 8" xfId="41606" xr:uid="{00000000-0005-0000-0000-0000698F0000}"/>
    <cellStyle name="Процентный 4 2 2 112 9" xfId="46946" xr:uid="{00000000-0005-0000-0000-00006A8F0000}"/>
    <cellStyle name="Процентный 4 2 2 113" xfId="4255" xr:uid="{00000000-0005-0000-0000-00006B8F0000}"/>
    <cellStyle name="Процентный 4 2 2 113 10" xfId="52318" xr:uid="{00000000-0005-0000-0000-00006C8F0000}"/>
    <cellStyle name="Процентный 4 2 2 113 2" xfId="9598" xr:uid="{00000000-0005-0000-0000-00006D8F0000}"/>
    <cellStyle name="Процентный 4 2 2 113 2 2" xfId="57659" xr:uid="{00000000-0005-0000-0000-00006E8F0000}"/>
    <cellStyle name="Процентный 4 2 2 113 3" xfId="14938" xr:uid="{00000000-0005-0000-0000-00006F8F0000}"/>
    <cellStyle name="Процентный 4 2 2 113 4" xfId="20278" xr:uid="{00000000-0005-0000-0000-0000708F0000}"/>
    <cellStyle name="Процентный 4 2 2 113 5" xfId="25618" xr:uid="{00000000-0005-0000-0000-0000718F0000}"/>
    <cellStyle name="Процентный 4 2 2 113 6" xfId="30958" xr:uid="{00000000-0005-0000-0000-0000728F0000}"/>
    <cellStyle name="Процентный 4 2 2 113 7" xfId="36298" xr:uid="{00000000-0005-0000-0000-0000738F0000}"/>
    <cellStyle name="Процентный 4 2 2 113 8" xfId="41638" xr:uid="{00000000-0005-0000-0000-0000748F0000}"/>
    <cellStyle name="Процентный 4 2 2 113 9" xfId="46978" xr:uid="{00000000-0005-0000-0000-0000758F0000}"/>
    <cellStyle name="Процентный 4 2 2 114" xfId="4287" xr:uid="{00000000-0005-0000-0000-0000768F0000}"/>
    <cellStyle name="Процентный 4 2 2 114 10" xfId="52350" xr:uid="{00000000-0005-0000-0000-0000778F0000}"/>
    <cellStyle name="Процентный 4 2 2 114 2" xfId="9630" xr:uid="{00000000-0005-0000-0000-0000788F0000}"/>
    <cellStyle name="Процентный 4 2 2 114 2 2" xfId="57691" xr:uid="{00000000-0005-0000-0000-0000798F0000}"/>
    <cellStyle name="Процентный 4 2 2 114 3" xfId="14970" xr:uid="{00000000-0005-0000-0000-00007A8F0000}"/>
    <cellStyle name="Процентный 4 2 2 114 4" xfId="20310" xr:uid="{00000000-0005-0000-0000-00007B8F0000}"/>
    <cellStyle name="Процентный 4 2 2 114 5" xfId="25650" xr:uid="{00000000-0005-0000-0000-00007C8F0000}"/>
    <cellStyle name="Процентный 4 2 2 114 6" xfId="30990" xr:uid="{00000000-0005-0000-0000-00007D8F0000}"/>
    <cellStyle name="Процентный 4 2 2 114 7" xfId="36330" xr:uid="{00000000-0005-0000-0000-00007E8F0000}"/>
    <cellStyle name="Процентный 4 2 2 114 8" xfId="41670" xr:uid="{00000000-0005-0000-0000-00007F8F0000}"/>
    <cellStyle name="Процентный 4 2 2 114 9" xfId="47010" xr:uid="{00000000-0005-0000-0000-0000808F0000}"/>
    <cellStyle name="Процентный 4 2 2 115" xfId="4319" xr:uid="{00000000-0005-0000-0000-0000818F0000}"/>
    <cellStyle name="Процентный 4 2 2 115 10" xfId="52382" xr:uid="{00000000-0005-0000-0000-0000828F0000}"/>
    <cellStyle name="Процентный 4 2 2 115 2" xfId="9662" xr:uid="{00000000-0005-0000-0000-0000838F0000}"/>
    <cellStyle name="Процентный 4 2 2 115 2 2" xfId="57723" xr:uid="{00000000-0005-0000-0000-0000848F0000}"/>
    <cellStyle name="Процентный 4 2 2 115 3" xfId="15002" xr:uid="{00000000-0005-0000-0000-0000858F0000}"/>
    <cellStyle name="Процентный 4 2 2 115 4" xfId="20342" xr:uid="{00000000-0005-0000-0000-0000868F0000}"/>
    <cellStyle name="Процентный 4 2 2 115 5" xfId="25682" xr:uid="{00000000-0005-0000-0000-0000878F0000}"/>
    <cellStyle name="Процентный 4 2 2 115 6" xfId="31022" xr:uid="{00000000-0005-0000-0000-0000888F0000}"/>
    <cellStyle name="Процентный 4 2 2 115 7" xfId="36362" xr:uid="{00000000-0005-0000-0000-0000898F0000}"/>
    <cellStyle name="Процентный 4 2 2 115 8" xfId="41702" xr:uid="{00000000-0005-0000-0000-00008A8F0000}"/>
    <cellStyle name="Процентный 4 2 2 115 9" xfId="47042" xr:uid="{00000000-0005-0000-0000-00008B8F0000}"/>
    <cellStyle name="Процентный 4 2 2 116" xfId="4351" xr:uid="{00000000-0005-0000-0000-00008C8F0000}"/>
    <cellStyle name="Процентный 4 2 2 116 10" xfId="52414" xr:uid="{00000000-0005-0000-0000-00008D8F0000}"/>
    <cellStyle name="Процентный 4 2 2 116 2" xfId="9694" xr:uid="{00000000-0005-0000-0000-00008E8F0000}"/>
    <cellStyle name="Процентный 4 2 2 116 2 2" xfId="57755" xr:uid="{00000000-0005-0000-0000-00008F8F0000}"/>
    <cellStyle name="Процентный 4 2 2 116 3" xfId="15034" xr:uid="{00000000-0005-0000-0000-0000908F0000}"/>
    <cellStyle name="Процентный 4 2 2 116 4" xfId="20374" xr:uid="{00000000-0005-0000-0000-0000918F0000}"/>
    <cellStyle name="Процентный 4 2 2 116 5" xfId="25714" xr:uid="{00000000-0005-0000-0000-0000928F0000}"/>
    <cellStyle name="Процентный 4 2 2 116 6" xfId="31054" xr:uid="{00000000-0005-0000-0000-0000938F0000}"/>
    <cellStyle name="Процентный 4 2 2 116 7" xfId="36394" xr:uid="{00000000-0005-0000-0000-0000948F0000}"/>
    <cellStyle name="Процентный 4 2 2 116 8" xfId="41734" xr:uid="{00000000-0005-0000-0000-0000958F0000}"/>
    <cellStyle name="Процентный 4 2 2 116 9" xfId="47074" xr:uid="{00000000-0005-0000-0000-0000968F0000}"/>
    <cellStyle name="Процентный 4 2 2 117" xfId="4383" xr:uid="{00000000-0005-0000-0000-0000978F0000}"/>
    <cellStyle name="Процентный 4 2 2 117 10" xfId="52446" xr:uid="{00000000-0005-0000-0000-0000988F0000}"/>
    <cellStyle name="Процентный 4 2 2 117 2" xfId="9726" xr:uid="{00000000-0005-0000-0000-0000998F0000}"/>
    <cellStyle name="Процентный 4 2 2 117 2 2" xfId="57787" xr:uid="{00000000-0005-0000-0000-00009A8F0000}"/>
    <cellStyle name="Процентный 4 2 2 117 3" xfId="15066" xr:uid="{00000000-0005-0000-0000-00009B8F0000}"/>
    <cellStyle name="Процентный 4 2 2 117 4" xfId="20406" xr:uid="{00000000-0005-0000-0000-00009C8F0000}"/>
    <cellStyle name="Процентный 4 2 2 117 5" xfId="25746" xr:uid="{00000000-0005-0000-0000-00009D8F0000}"/>
    <cellStyle name="Процентный 4 2 2 117 6" xfId="31086" xr:uid="{00000000-0005-0000-0000-00009E8F0000}"/>
    <cellStyle name="Процентный 4 2 2 117 7" xfId="36426" xr:uid="{00000000-0005-0000-0000-00009F8F0000}"/>
    <cellStyle name="Процентный 4 2 2 117 8" xfId="41766" xr:uid="{00000000-0005-0000-0000-0000A08F0000}"/>
    <cellStyle name="Процентный 4 2 2 117 9" xfId="47106" xr:uid="{00000000-0005-0000-0000-0000A18F0000}"/>
    <cellStyle name="Процентный 4 2 2 118" xfId="4415" xr:uid="{00000000-0005-0000-0000-0000A28F0000}"/>
    <cellStyle name="Процентный 4 2 2 118 10" xfId="52478" xr:uid="{00000000-0005-0000-0000-0000A38F0000}"/>
    <cellStyle name="Процентный 4 2 2 118 2" xfId="9758" xr:uid="{00000000-0005-0000-0000-0000A48F0000}"/>
    <cellStyle name="Процентный 4 2 2 118 2 2" xfId="57819" xr:uid="{00000000-0005-0000-0000-0000A58F0000}"/>
    <cellStyle name="Процентный 4 2 2 118 3" xfId="15098" xr:uid="{00000000-0005-0000-0000-0000A68F0000}"/>
    <cellStyle name="Процентный 4 2 2 118 4" xfId="20438" xr:uid="{00000000-0005-0000-0000-0000A78F0000}"/>
    <cellStyle name="Процентный 4 2 2 118 5" xfId="25778" xr:uid="{00000000-0005-0000-0000-0000A88F0000}"/>
    <cellStyle name="Процентный 4 2 2 118 6" xfId="31118" xr:uid="{00000000-0005-0000-0000-0000A98F0000}"/>
    <cellStyle name="Процентный 4 2 2 118 7" xfId="36458" xr:uid="{00000000-0005-0000-0000-0000AA8F0000}"/>
    <cellStyle name="Процентный 4 2 2 118 8" xfId="41798" xr:uid="{00000000-0005-0000-0000-0000AB8F0000}"/>
    <cellStyle name="Процентный 4 2 2 118 9" xfId="47138" xr:uid="{00000000-0005-0000-0000-0000AC8F0000}"/>
    <cellStyle name="Процентный 4 2 2 119" xfId="4447" xr:uid="{00000000-0005-0000-0000-0000AD8F0000}"/>
    <cellStyle name="Процентный 4 2 2 119 10" xfId="52510" xr:uid="{00000000-0005-0000-0000-0000AE8F0000}"/>
    <cellStyle name="Процентный 4 2 2 119 2" xfId="9790" xr:uid="{00000000-0005-0000-0000-0000AF8F0000}"/>
    <cellStyle name="Процентный 4 2 2 119 2 2" xfId="57851" xr:uid="{00000000-0005-0000-0000-0000B08F0000}"/>
    <cellStyle name="Процентный 4 2 2 119 3" xfId="15130" xr:uid="{00000000-0005-0000-0000-0000B18F0000}"/>
    <cellStyle name="Процентный 4 2 2 119 4" xfId="20470" xr:uid="{00000000-0005-0000-0000-0000B28F0000}"/>
    <cellStyle name="Процентный 4 2 2 119 5" xfId="25810" xr:uid="{00000000-0005-0000-0000-0000B38F0000}"/>
    <cellStyle name="Процентный 4 2 2 119 6" xfId="31150" xr:uid="{00000000-0005-0000-0000-0000B48F0000}"/>
    <cellStyle name="Процентный 4 2 2 119 7" xfId="36490" xr:uid="{00000000-0005-0000-0000-0000B58F0000}"/>
    <cellStyle name="Процентный 4 2 2 119 8" xfId="41830" xr:uid="{00000000-0005-0000-0000-0000B68F0000}"/>
    <cellStyle name="Процентный 4 2 2 119 9" xfId="47170" xr:uid="{00000000-0005-0000-0000-0000B78F0000}"/>
    <cellStyle name="Процентный 4 2 2 12" xfId="1233" xr:uid="{00000000-0005-0000-0000-0000B88F0000}"/>
    <cellStyle name="Процентный 4 2 2 12 10" xfId="49296" xr:uid="{00000000-0005-0000-0000-0000B98F0000}"/>
    <cellStyle name="Процентный 4 2 2 12 2" xfId="6575" xr:uid="{00000000-0005-0000-0000-0000BA8F0000}"/>
    <cellStyle name="Процентный 4 2 2 12 2 2" xfId="54637" xr:uid="{00000000-0005-0000-0000-0000BB8F0000}"/>
    <cellStyle name="Процентный 4 2 2 12 3" xfId="11916" xr:uid="{00000000-0005-0000-0000-0000BC8F0000}"/>
    <cellStyle name="Процентный 4 2 2 12 4" xfId="17256" xr:uid="{00000000-0005-0000-0000-0000BD8F0000}"/>
    <cellStyle name="Процентный 4 2 2 12 5" xfId="22596" xr:uid="{00000000-0005-0000-0000-0000BE8F0000}"/>
    <cellStyle name="Процентный 4 2 2 12 6" xfId="27936" xr:uid="{00000000-0005-0000-0000-0000BF8F0000}"/>
    <cellStyle name="Процентный 4 2 2 12 7" xfId="33276" xr:uid="{00000000-0005-0000-0000-0000C08F0000}"/>
    <cellStyle name="Процентный 4 2 2 12 8" xfId="38616" xr:uid="{00000000-0005-0000-0000-0000C18F0000}"/>
    <cellStyle name="Процентный 4 2 2 12 9" xfId="43956" xr:uid="{00000000-0005-0000-0000-0000C28F0000}"/>
    <cellStyle name="Процентный 4 2 2 120" xfId="4479" xr:uid="{00000000-0005-0000-0000-0000C38F0000}"/>
    <cellStyle name="Процентный 4 2 2 120 10" xfId="52542" xr:uid="{00000000-0005-0000-0000-0000C48F0000}"/>
    <cellStyle name="Процентный 4 2 2 120 2" xfId="9822" xr:uid="{00000000-0005-0000-0000-0000C58F0000}"/>
    <cellStyle name="Процентный 4 2 2 120 2 2" xfId="57883" xr:uid="{00000000-0005-0000-0000-0000C68F0000}"/>
    <cellStyle name="Процентный 4 2 2 120 3" xfId="15162" xr:uid="{00000000-0005-0000-0000-0000C78F0000}"/>
    <cellStyle name="Процентный 4 2 2 120 4" xfId="20502" xr:uid="{00000000-0005-0000-0000-0000C88F0000}"/>
    <cellStyle name="Процентный 4 2 2 120 5" xfId="25842" xr:uid="{00000000-0005-0000-0000-0000C98F0000}"/>
    <cellStyle name="Процентный 4 2 2 120 6" xfId="31182" xr:uid="{00000000-0005-0000-0000-0000CA8F0000}"/>
    <cellStyle name="Процентный 4 2 2 120 7" xfId="36522" xr:uid="{00000000-0005-0000-0000-0000CB8F0000}"/>
    <cellStyle name="Процентный 4 2 2 120 8" xfId="41862" xr:uid="{00000000-0005-0000-0000-0000CC8F0000}"/>
    <cellStyle name="Процентный 4 2 2 120 9" xfId="47202" xr:uid="{00000000-0005-0000-0000-0000CD8F0000}"/>
    <cellStyle name="Процентный 4 2 2 121" xfId="4511" xr:uid="{00000000-0005-0000-0000-0000CE8F0000}"/>
    <cellStyle name="Процентный 4 2 2 121 10" xfId="52574" xr:uid="{00000000-0005-0000-0000-0000CF8F0000}"/>
    <cellStyle name="Процентный 4 2 2 121 2" xfId="9854" xr:uid="{00000000-0005-0000-0000-0000D08F0000}"/>
    <cellStyle name="Процентный 4 2 2 121 2 2" xfId="57915" xr:uid="{00000000-0005-0000-0000-0000D18F0000}"/>
    <cellStyle name="Процентный 4 2 2 121 3" xfId="15194" xr:uid="{00000000-0005-0000-0000-0000D28F0000}"/>
    <cellStyle name="Процентный 4 2 2 121 4" xfId="20534" xr:uid="{00000000-0005-0000-0000-0000D38F0000}"/>
    <cellStyle name="Процентный 4 2 2 121 5" xfId="25874" xr:uid="{00000000-0005-0000-0000-0000D48F0000}"/>
    <cellStyle name="Процентный 4 2 2 121 6" xfId="31214" xr:uid="{00000000-0005-0000-0000-0000D58F0000}"/>
    <cellStyle name="Процентный 4 2 2 121 7" xfId="36554" xr:uid="{00000000-0005-0000-0000-0000D68F0000}"/>
    <cellStyle name="Процентный 4 2 2 121 8" xfId="41894" xr:uid="{00000000-0005-0000-0000-0000D78F0000}"/>
    <cellStyle name="Процентный 4 2 2 121 9" xfId="47234" xr:uid="{00000000-0005-0000-0000-0000D88F0000}"/>
    <cellStyle name="Процентный 4 2 2 122" xfId="4543" xr:uid="{00000000-0005-0000-0000-0000D98F0000}"/>
    <cellStyle name="Процентный 4 2 2 122 10" xfId="52606" xr:uid="{00000000-0005-0000-0000-0000DA8F0000}"/>
    <cellStyle name="Процентный 4 2 2 122 2" xfId="9886" xr:uid="{00000000-0005-0000-0000-0000DB8F0000}"/>
    <cellStyle name="Процентный 4 2 2 122 2 2" xfId="57947" xr:uid="{00000000-0005-0000-0000-0000DC8F0000}"/>
    <cellStyle name="Процентный 4 2 2 122 3" xfId="15226" xr:uid="{00000000-0005-0000-0000-0000DD8F0000}"/>
    <cellStyle name="Процентный 4 2 2 122 4" xfId="20566" xr:uid="{00000000-0005-0000-0000-0000DE8F0000}"/>
    <cellStyle name="Процентный 4 2 2 122 5" xfId="25906" xr:uid="{00000000-0005-0000-0000-0000DF8F0000}"/>
    <cellStyle name="Процентный 4 2 2 122 6" xfId="31246" xr:uid="{00000000-0005-0000-0000-0000E08F0000}"/>
    <cellStyle name="Процентный 4 2 2 122 7" xfId="36586" xr:uid="{00000000-0005-0000-0000-0000E18F0000}"/>
    <cellStyle name="Процентный 4 2 2 122 8" xfId="41926" xr:uid="{00000000-0005-0000-0000-0000E28F0000}"/>
    <cellStyle name="Процентный 4 2 2 122 9" xfId="47266" xr:uid="{00000000-0005-0000-0000-0000E38F0000}"/>
    <cellStyle name="Процентный 4 2 2 123" xfId="4575" xr:uid="{00000000-0005-0000-0000-0000E48F0000}"/>
    <cellStyle name="Процентный 4 2 2 123 10" xfId="52638" xr:uid="{00000000-0005-0000-0000-0000E58F0000}"/>
    <cellStyle name="Процентный 4 2 2 123 2" xfId="9918" xr:uid="{00000000-0005-0000-0000-0000E68F0000}"/>
    <cellStyle name="Процентный 4 2 2 123 2 2" xfId="57979" xr:uid="{00000000-0005-0000-0000-0000E78F0000}"/>
    <cellStyle name="Процентный 4 2 2 123 3" xfId="15258" xr:uid="{00000000-0005-0000-0000-0000E88F0000}"/>
    <cellStyle name="Процентный 4 2 2 123 4" xfId="20598" xr:uid="{00000000-0005-0000-0000-0000E98F0000}"/>
    <cellStyle name="Процентный 4 2 2 123 5" xfId="25938" xr:uid="{00000000-0005-0000-0000-0000EA8F0000}"/>
    <cellStyle name="Процентный 4 2 2 123 6" xfId="31278" xr:uid="{00000000-0005-0000-0000-0000EB8F0000}"/>
    <cellStyle name="Процентный 4 2 2 123 7" xfId="36618" xr:uid="{00000000-0005-0000-0000-0000EC8F0000}"/>
    <cellStyle name="Процентный 4 2 2 123 8" xfId="41958" xr:uid="{00000000-0005-0000-0000-0000ED8F0000}"/>
    <cellStyle name="Процентный 4 2 2 123 9" xfId="47298" xr:uid="{00000000-0005-0000-0000-0000EE8F0000}"/>
    <cellStyle name="Процентный 4 2 2 124" xfId="4607" xr:uid="{00000000-0005-0000-0000-0000EF8F0000}"/>
    <cellStyle name="Процентный 4 2 2 124 10" xfId="52670" xr:uid="{00000000-0005-0000-0000-0000F08F0000}"/>
    <cellStyle name="Процентный 4 2 2 124 2" xfId="9950" xr:uid="{00000000-0005-0000-0000-0000F18F0000}"/>
    <cellStyle name="Процентный 4 2 2 124 2 2" xfId="58011" xr:uid="{00000000-0005-0000-0000-0000F28F0000}"/>
    <cellStyle name="Процентный 4 2 2 124 3" xfId="15290" xr:uid="{00000000-0005-0000-0000-0000F38F0000}"/>
    <cellStyle name="Процентный 4 2 2 124 4" xfId="20630" xr:uid="{00000000-0005-0000-0000-0000F48F0000}"/>
    <cellStyle name="Процентный 4 2 2 124 5" xfId="25970" xr:uid="{00000000-0005-0000-0000-0000F58F0000}"/>
    <cellStyle name="Процентный 4 2 2 124 6" xfId="31310" xr:uid="{00000000-0005-0000-0000-0000F68F0000}"/>
    <cellStyle name="Процентный 4 2 2 124 7" xfId="36650" xr:uid="{00000000-0005-0000-0000-0000F78F0000}"/>
    <cellStyle name="Процентный 4 2 2 124 8" xfId="41990" xr:uid="{00000000-0005-0000-0000-0000F88F0000}"/>
    <cellStyle name="Процентный 4 2 2 124 9" xfId="47330" xr:uid="{00000000-0005-0000-0000-0000F98F0000}"/>
    <cellStyle name="Процентный 4 2 2 125" xfId="4639" xr:uid="{00000000-0005-0000-0000-0000FA8F0000}"/>
    <cellStyle name="Процентный 4 2 2 125 10" xfId="52702" xr:uid="{00000000-0005-0000-0000-0000FB8F0000}"/>
    <cellStyle name="Процентный 4 2 2 125 2" xfId="9982" xr:uid="{00000000-0005-0000-0000-0000FC8F0000}"/>
    <cellStyle name="Процентный 4 2 2 125 2 2" xfId="58043" xr:uid="{00000000-0005-0000-0000-0000FD8F0000}"/>
    <cellStyle name="Процентный 4 2 2 125 3" xfId="15322" xr:uid="{00000000-0005-0000-0000-0000FE8F0000}"/>
    <cellStyle name="Процентный 4 2 2 125 4" xfId="20662" xr:uid="{00000000-0005-0000-0000-0000FF8F0000}"/>
    <cellStyle name="Процентный 4 2 2 125 5" xfId="26002" xr:uid="{00000000-0005-0000-0000-000000900000}"/>
    <cellStyle name="Процентный 4 2 2 125 6" xfId="31342" xr:uid="{00000000-0005-0000-0000-000001900000}"/>
    <cellStyle name="Процентный 4 2 2 125 7" xfId="36682" xr:uid="{00000000-0005-0000-0000-000002900000}"/>
    <cellStyle name="Процентный 4 2 2 125 8" xfId="42022" xr:uid="{00000000-0005-0000-0000-000003900000}"/>
    <cellStyle name="Процентный 4 2 2 125 9" xfId="47362" xr:uid="{00000000-0005-0000-0000-000004900000}"/>
    <cellStyle name="Процентный 4 2 2 126" xfId="4671" xr:uid="{00000000-0005-0000-0000-000005900000}"/>
    <cellStyle name="Процентный 4 2 2 126 10" xfId="52734" xr:uid="{00000000-0005-0000-0000-000006900000}"/>
    <cellStyle name="Процентный 4 2 2 126 2" xfId="10014" xr:uid="{00000000-0005-0000-0000-000007900000}"/>
    <cellStyle name="Процентный 4 2 2 126 2 2" xfId="58075" xr:uid="{00000000-0005-0000-0000-000008900000}"/>
    <cellStyle name="Процентный 4 2 2 126 3" xfId="15354" xr:uid="{00000000-0005-0000-0000-000009900000}"/>
    <cellStyle name="Процентный 4 2 2 126 4" xfId="20694" xr:uid="{00000000-0005-0000-0000-00000A900000}"/>
    <cellStyle name="Процентный 4 2 2 126 5" xfId="26034" xr:uid="{00000000-0005-0000-0000-00000B900000}"/>
    <cellStyle name="Процентный 4 2 2 126 6" xfId="31374" xr:uid="{00000000-0005-0000-0000-00000C900000}"/>
    <cellStyle name="Процентный 4 2 2 126 7" xfId="36714" xr:uid="{00000000-0005-0000-0000-00000D900000}"/>
    <cellStyle name="Процентный 4 2 2 126 8" xfId="42054" xr:uid="{00000000-0005-0000-0000-00000E900000}"/>
    <cellStyle name="Процентный 4 2 2 126 9" xfId="47394" xr:uid="{00000000-0005-0000-0000-00000F900000}"/>
    <cellStyle name="Процентный 4 2 2 127" xfId="4703" xr:uid="{00000000-0005-0000-0000-000010900000}"/>
    <cellStyle name="Процентный 4 2 2 127 10" xfId="52766" xr:uid="{00000000-0005-0000-0000-000011900000}"/>
    <cellStyle name="Процентный 4 2 2 127 2" xfId="10046" xr:uid="{00000000-0005-0000-0000-000012900000}"/>
    <cellStyle name="Процентный 4 2 2 127 2 2" xfId="58107" xr:uid="{00000000-0005-0000-0000-000013900000}"/>
    <cellStyle name="Процентный 4 2 2 127 3" xfId="15386" xr:uid="{00000000-0005-0000-0000-000014900000}"/>
    <cellStyle name="Процентный 4 2 2 127 4" xfId="20726" xr:uid="{00000000-0005-0000-0000-000015900000}"/>
    <cellStyle name="Процентный 4 2 2 127 5" xfId="26066" xr:uid="{00000000-0005-0000-0000-000016900000}"/>
    <cellStyle name="Процентный 4 2 2 127 6" xfId="31406" xr:uid="{00000000-0005-0000-0000-000017900000}"/>
    <cellStyle name="Процентный 4 2 2 127 7" xfId="36746" xr:uid="{00000000-0005-0000-0000-000018900000}"/>
    <cellStyle name="Процентный 4 2 2 127 8" xfId="42086" xr:uid="{00000000-0005-0000-0000-000019900000}"/>
    <cellStyle name="Процентный 4 2 2 127 9" xfId="47426" xr:uid="{00000000-0005-0000-0000-00001A900000}"/>
    <cellStyle name="Процентный 4 2 2 128" xfId="4737" xr:uid="{00000000-0005-0000-0000-00001B900000}"/>
    <cellStyle name="Процентный 4 2 2 128 10" xfId="52800" xr:uid="{00000000-0005-0000-0000-00001C900000}"/>
    <cellStyle name="Процентный 4 2 2 128 2" xfId="10080" xr:uid="{00000000-0005-0000-0000-00001D900000}"/>
    <cellStyle name="Процентный 4 2 2 128 2 2" xfId="58141" xr:uid="{00000000-0005-0000-0000-00001E900000}"/>
    <cellStyle name="Процентный 4 2 2 128 3" xfId="15420" xr:uid="{00000000-0005-0000-0000-00001F900000}"/>
    <cellStyle name="Процентный 4 2 2 128 4" xfId="20760" xr:uid="{00000000-0005-0000-0000-000020900000}"/>
    <cellStyle name="Процентный 4 2 2 128 5" xfId="26100" xr:uid="{00000000-0005-0000-0000-000021900000}"/>
    <cellStyle name="Процентный 4 2 2 128 6" xfId="31440" xr:uid="{00000000-0005-0000-0000-000022900000}"/>
    <cellStyle name="Процентный 4 2 2 128 7" xfId="36780" xr:uid="{00000000-0005-0000-0000-000023900000}"/>
    <cellStyle name="Процентный 4 2 2 128 8" xfId="42120" xr:uid="{00000000-0005-0000-0000-000024900000}"/>
    <cellStyle name="Процентный 4 2 2 128 9" xfId="47460" xr:uid="{00000000-0005-0000-0000-000025900000}"/>
    <cellStyle name="Процентный 4 2 2 129" xfId="4769" xr:uid="{00000000-0005-0000-0000-000026900000}"/>
    <cellStyle name="Процентный 4 2 2 129 10" xfId="52832" xr:uid="{00000000-0005-0000-0000-000027900000}"/>
    <cellStyle name="Процентный 4 2 2 129 2" xfId="10112" xr:uid="{00000000-0005-0000-0000-000028900000}"/>
    <cellStyle name="Процентный 4 2 2 129 2 2" xfId="58173" xr:uid="{00000000-0005-0000-0000-000029900000}"/>
    <cellStyle name="Процентный 4 2 2 129 3" xfId="15452" xr:uid="{00000000-0005-0000-0000-00002A900000}"/>
    <cellStyle name="Процентный 4 2 2 129 4" xfId="20792" xr:uid="{00000000-0005-0000-0000-00002B900000}"/>
    <cellStyle name="Процентный 4 2 2 129 5" xfId="26132" xr:uid="{00000000-0005-0000-0000-00002C900000}"/>
    <cellStyle name="Процентный 4 2 2 129 6" xfId="31472" xr:uid="{00000000-0005-0000-0000-00002D900000}"/>
    <cellStyle name="Процентный 4 2 2 129 7" xfId="36812" xr:uid="{00000000-0005-0000-0000-00002E900000}"/>
    <cellStyle name="Процентный 4 2 2 129 8" xfId="42152" xr:uid="{00000000-0005-0000-0000-00002F900000}"/>
    <cellStyle name="Процентный 4 2 2 129 9" xfId="47492" xr:uid="{00000000-0005-0000-0000-000030900000}"/>
    <cellStyle name="Процентный 4 2 2 13" xfId="1259" xr:uid="{00000000-0005-0000-0000-000031900000}"/>
    <cellStyle name="Процентный 4 2 2 13 10" xfId="49322" xr:uid="{00000000-0005-0000-0000-000032900000}"/>
    <cellStyle name="Процентный 4 2 2 13 2" xfId="6601" xr:uid="{00000000-0005-0000-0000-000033900000}"/>
    <cellStyle name="Процентный 4 2 2 13 2 2" xfId="54663" xr:uid="{00000000-0005-0000-0000-000034900000}"/>
    <cellStyle name="Процентный 4 2 2 13 3" xfId="11942" xr:uid="{00000000-0005-0000-0000-000035900000}"/>
    <cellStyle name="Процентный 4 2 2 13 4" xfId="17282" xr:uid="{00000000-0005-0000-0000-000036900000}"/>
    <cellStyle name="Процентный 4 2 2 13 5" xfId="22622" xr:uid="{00000000-0005-0000-0000-000037900000}"/>
    <cellStyle name="Процентный 4 2 2 13 6" xfId="27962" xr:uid="{00000000-0005-0000-0000-000038900000}"/>
    <cellStyle name="Процентный 4 2 2 13 7" xfId="33302" xr:uid="{00000000-0005-0000-0000-000039900000}"/>
    <cellStyle name="Процентный 4 2 2 13 8" xfId="38642" xr:uid="{00000000-0005-0000-0000-00003A900000}"/>
    <cellStyle name="Процентный 4 2 2 13 9" xfId="43982" xr:uid="{00000000-0005-0000-0000-00003B900000}"/>
    <cellStyle name="Процентный 4 2 2 130" xfId="4801" xr:uid="{00000000-0005-0000-0000-00003C900000}"/>
    <cellStyle name="Процентный 4 2 2 130 10" xfId="52864" xr:uid="{00000000-0005-0000-0000-00003D900000}"/>
    <cellStyle name="Процентный 4 2 2 130 2" xfId="10144" xr:uid="{00000000-0005-0000-0000-00003E900000}"/>
    <cellStyle name="Процентный 4 2 2 130 2 2" xfId="58205" xr:uid="{00000000-0005-0000-0000-00003F900000}"/>
    <cellStyle name="Процентный 4 2 2 130 3" xfId="15484" xr:uid="{00000000-0005-0000-0000-000040900000}"/>
    <cellStyle name="Процентный 4 2 2 130 4" xfId="20824" xr:uid="{00000000-0005-0000-0000-000041900000}"/>
    <cellStyle name="Процентный 4 2 2 130 5" xfId="26164" xr:uid="{00000000-0005-0000-0000-000042900000}"/>
    <cellStyle name="Процентный 4 2 2 130 6" xfId="31504" xr:uid="{00000000-0005-0000-0000-000043900000}"/>
    <cellStyle name="Процентный 4 2 2 130 7" xfId="36844" xr:uid="{00000000-0005-0000-0000-000044900000}"/>
    <cellStyle name="Процентный 4 2 2 130 8" xfId="42184" xr:uid="{00000000-0005-0000-0000-000045900000}"/>
    <cellStyle name="Процентный 4 2 2 130 9" xfId="47524" xr:uid="{00000000-0005-0000-0000-000046900000}"/>
    <cellStyle name="Процентный 4 2 2 131" xfId="4833" xr:uid="{00000000-0005-0000-0000-000047900000}"/>
    <cellStyle name="Процентный 4 2 2 131 10" xfId="52896" xr:uid="{00000000-0005-0000-0000-000048900000}"/>
    <cellStyle name="Процентный 4 2 2 131 2" xfId="10176" xr:uid="{00000000-0005-0000-0000-000049900000}"/>
    <cellStyle name="Процентный 4 2 2 131 2 2" xfId="58237" xr:uid="{00000000-0005-0000-0000-00004A900000}"/>
    <cellStyle name="Процентный 4 2 2 131 3" xfId="15516" xr:uid="{00000000-0005-0000-0000-00004B900000}"/>
    <cellStyle name="Процентный 4 2 2 131 4" xfId="20856" xr:uid="{00000000-0005-0000-0000-00004C900000}"/>
    <cellStyle name="Процентный 4 2 2 131 5" xfId="26196" xr:uid="{00000000-0005-0000-0000-00004D900000}"/>
    <cellStyle name="Процентный 4 2 2 131 6" xfId="31536" xr:uid="{00000000-0005-0000-0000-00004E900000}"/>
    <cellStyle name="Процентный 4 2 2 131 7" xfId="36876" xr:uid="{00000000-0005-0000-0000-00004F900000}"/>
    <cellStyle name="Процентный 4 2 2 131 8" xfId="42216" xr:uid="{00000000-0005-0000-0000-000050900000}"/>
    <cellStyle name="Процентный 4 2 2 131 9" xfId="47556" xr:uid="{00000000-0005-0000-0000-000051900000}"/>
    <cellStyle name="Процентный 4 2 2 132" xfId="4865" xr:uid="{00000000-0005-0000-0000-000052900000}"/>
    <cellStyle name="Процентный 4 2 2 132 10" xfId="52928" xr:uid="{00000000-0005-0000-0000-000053900000}"/>
    <cellStyle name="Процентный 4 2 2 132 2" xfId="10208" xr:uid="{00000000-0005-0000-0000-000054900000}"/>
    <cellStyle name="Процентный 4 2 2 132 2 2" xfId="58269" xr:uid="{00000000-0005-0000-0000-000055900000}"/>
    <cellStyle name="Процентный 4 2 2 132 3" xfId="15548" xr:uid="{00000000-0005-0000-0000-000056900000}"/>
    <cellStyle name="Процентный 4 2 2 132 4" xfId="20888" xr:uid="{00000000-0005-0000-0000-000057900000}"/>
    <cellStyle name="Процентный 4 2 2 132 5" xfId="26228" xr:uid="{00000000-0005-0000-0000-000058900000}"/>
    <cellStyle name="Процентный 4 2 2 132 6" xfId="31568" xr:uid="{00000000-0005-0000-0000-000059900000}"/>
    <cellStyle name="Процентный 4 2 2 132 7" xfId="36908" xr:uid="{00000000-0005-0000-0000-00005A900000}"/>
    <cellStyle name="Процентный 4 2 2 132 8" xfId="42248" xr:uid="{00000000-0005-0000-0000-00005B900000}"/>
    <cellStyle name="Процентный 4 2 2 132 9" xfId="47588" xr:uid="{00000000-0005-0000-0000-00005C900000}"/>
    <cellStyle name="Процентный 4 2 2 133" xfId="4897" xr:uid="{00000000-0005-0000-0000-00005D900000}"/>
    <cellStyle name="Процентный 4 2 2 133 10" xfId="52960" xr:uid="{00000000-0005-0000-0000-00005E900000}"/>
    <cellStyle name="Процентный 4 2 2 133 2" xfId="10240" xr:uid="{00000000-0005-0000-0000-00005F900000}"/>
    <cellStyle name="Процентный 4 2 2 133 2 2" xfId="58301" xr:uid="{00000000-0005-0000-0000-000060900000}"/>
    <cellStyle name="Процентный 4 2 2 133 3" xfId="15580" xr:uid="{00000000-0005-0000-0000-000061900000}"/>
    <cellStyle name="Процентный 4 2 2 133 4" xfId="20920" xr:uid="{00000000-0005-0000-0000-000062900000}"/>
    <cellStyle name="Процентный 4 2 2 133 5" xfId="26260" xr:uid="{00000000-0005-0000-0000-000063900000}"/>
    <cellStyle name="Процентный 4 2 2 133 6" xfId="31600" xr:uid="{00000000-0005-0000-0000-000064900000}"/>
    <cellStyle name="Процентный 4 2 2 133 7" xfId="36940" xr:uid="{00000000-0005-0000-0000-000065900000}"/>
    <cellStyle name="Процентный 4 2 2 133 8" xfId="42280" xr:uid="{00000000-0005-0000-0000-000066900000}"/>
    <cellStyle name="Процентный 4 2 2 133 9" xfId="47620" xr:uid="{00000000-0005-0000-0000-000067900000}"/>
    <cellStyle name="Процентный 4 2 2 134" xfId="4929" xr:uid="{00000000-0005-0000-0000-000068900000}"/>
    <cellStyle name="Процентный 4 2 2 134 10" xfId="52992" xr:uid="{00000000-0005-0000-0000-000069900000}"/>
    <cellStyle name="Процентный 4 2 2 134 2" xfId="10272" xr:uid="{00000000-0005-0000-0000-00006A900000}"/>
    <cellStyle name="Процентный 4 2 2 134 2 2" xfId="58333" xr:uid="{00000000-0005-0000-0000-00006B900000}"/>
    <cellStyle name="Процентный 4 2 2 134 3" xfId="15612" xr:uid="{00000000-0005-0000-0000-00006C900000}"/>
    <cellStyle name="Процентный 4 2 2 134 4" xfId="20952" xr:uid="{00000000-0005-0000-0000-00006D900000}"/>
    <cellStyle name="Процентный 4 2 2 134 5" xfId="26292" xr:uid="{00000000-0005-0000-0000-00006E900000}"/>
    <cellStyle name="Процентный 4 2 2 134 6" xfId="31632" xr:uid="{00000000-0005-0000-0000-00006F900000}"/>
    <cellStyle name="Процентный 4 2 2 134 7" xfId="36972" xr:uid="{00000000-0005-0000-0000-000070900000}"/>
    <cellStyle name="Процентный 4 2 2 134 8" xfId="42312" xr:uid="{00000000-0005-0000-0000-000071900000}"/>
    <cellStyle name="Процентный 4 2 2 134 9" xfId="47652" xr:uid="{00000000-0005-0000-0000-000072900000}"/>
    <cellStyle name="Процентный 4 2 2 135" xfId="4961" xr:uid="{00000000-0005-0000-0000-000073900000}"/>
    <cellStyle name="Процентный 4 2 2 135 10" xfId="53024" xr:uid="{00000000-0005-0000-0000-000074900000}"/>
    <cellStyle name="Процентный 4 2 2 135 2" xfId="10304" xr:uid="{00000000-0005-0000-0000-000075900000}"/>
    <cellStyle name="Процентный 4 2 2 135 2 2" xfId="58365" xr:uid="{00000000-0005-0000-0000-000076900000}"/>
    <cellStyle name="Процентный 4 2 2 135 3" xfId="15644" xr:uid="{00000000-0005-0000-0000-000077900000}"/>
    <cellStyle name="Процентный 4 2 2 135 4" xfId="20984" xr:uid="{00000000-0005-0000-0000-000078900000}"/>
    <cellStyle name="Процентный 4 2 2 135 5" xfId="26324" xr:uid="{00000000-0005-0000-0000-000079900000}"/>
    <cellStyle name="Процентный 4 2 2 135 6" xfId="31664" xr:uid="{00000000-0005-0000-0000-00007A900000}"/>
    <cellStyle name="Процентный 4 2 2 135 7" xfId="37004" xr:uid="{00000000-0005-0000-0000-00007B900000}"/>
    <cellStyle name="Процентный 4 2 2 135 8" xfId="42344" xr:uid="{00000000-0005-0000-0000-00007C900000}"/>
    <cellStyle name="Процентный 4 2 2 135 9" xfId="47684" xr:uid="{00000000-0005-0000-0000-00007D900000}"/>
    <cellStyle name="Процентный 4 2 2 136" xfId="4993" xr:uid="{00000000-0005-0000-0000-00007E900000}"/>
    <cellStyle name="Процентный 4 2 2 136 10" xfId="53056" xr:uid="{00000000-0005-0000-0000-00007F900000}"/>
    <cellStyle name="Процентный 4 2 2 136 2" xfId="10336" xr:uid="{00000000-0005-0000-0000-000080900000}"/>
    <cellStyle name="Процентный 4 2 2 136 2 2" xfId="58397" xr:uid="{00000000-0005-0000-0000-000081900000}"/>
    <cellStyle name="Процентный 4 2 2 136 3" xfId="15676" xr:uid="{00000000-0005-0000-0000-000082900000}"/>
    <cellStyle name="Процентный 4 2 2 136 4" xfId="21016" xr:uid="{00000000-0005-0000-0000-000083900000}"/>
    <cellStyle name="Процентный 4 2 2 136 5" xfId="26356" xr:uid="{00000000-0005-0000-0000-000084900000}"/>
    <cellStyle name="Процентный 4 2 2 136 6" xfId="31696" xr:uid="{00000000-0005-0000-0000-000085900000}"/>
    <cellStyle name="Процентный 4 2 2 136 7" xfId="37036" xr:uid="{00000000-0005-0000-0000-000086900000}"/>
    <cellStyle name="Процентный 4 2 2 136 8" xfId="42376" xr:uid="{00000000-0005-0000-0000-000087900000}"/>
    <cellStyle name="Процентный 4 2 2 136 9" xfId="47716" xr:uid="{00000000-0005-0000-0000-000088900000}"/>
    <cellStyle name="Процентный 4 2 2 137" xfId="5025" xr:uid="{00000000-0005-0000-0000-000089900000}"/>
    <cellStyle name="Процентный 4 2 2 137 10" xfId="53088" xr:uid="{00000000-0005-0000-0000-00008A900000}"/>
    <cellStyle name="Процентный 4 2 2 137 2" xfId="10368" xr:uid="{00000000-0005-0000-0000-00008B900000}"/>
    <cellStyle name="Процентный 4 2 2 137 2 2" xfId="58429" xr:uid="{00000000-0005-0000-0000-00008C900000}"/>
    <cellStyle name="Процентный 4 2 2 137 3" xfId="15708" xr:uid="{00000000-0005-0000-0000-00008D900000}"/>
    <cellStyle name="Процентный 4 2 2 137 4" xfId="21048" xr:uid="{00000000-0005-0000-0000-00008E900000}"/>
    <cellStyle name="Процентный 4 2 2 137 5" xfId="26388" xr:uid="{00000000-0005-0000-0000-00008F900000}"/>
    <cellStyle name="Процентный 4 2 2 137 6" xfId="31728" xr:uid="{00000000-0005-0000-0000-000090900000}"/>
    <cellStyle name="Процентный 4 2 2 137 7" xfId="37068" xr:uid="{00000000-0005-0000-0000-000091900000}"/>
    <cellStyle name="Процентный 4 2 2 137 8" xfId="42408" xr:uid="{00000000-0005-0000-0000-000092900000}"/>
    <cellStyle name="Процентный 4 2 2 137 9" xfId="47748" xr:uid="{00000000-0005-0000-0000-000093900000}"/>
    <cellStyle name="Процентный 4 2 2 138" xfId="5057" xr:uid="{00000000-0005-0000-0000-000094900000}"/>
    <cellStyle name="Процентный 4 2 2 138 10" xfId="53120" xr:uid="{00000000-0005-0000-0000-000095900000}"/>
    <cellStyle name="Процентный 4 2 2 138 2" xfId="10400" xr:uid="{00000000-0005-0000-0000-000096900000}"/>
    <cellStyle name="Процентный 4 2 2 138 2 2" xfId="58461" xr:uid="{00000000-0005-0000-0000-000097900000}"/>
    <cellStyle name="Процентный 4 2 2 138 3" xfId="15740" xr:uid="{00000000-0005-0000-0000-000098900000}"/>
    <cellStyle name="Процентный 4 2 2 138 4" xfId="21080" xr:uid="{00000000-0005-0000-0000-000099900000}"/>
    <cellStyle name="Процентный 4 2 2 138 5" xfId="26420" xr:uid="{00000000-0005-0000-0000-00009A900000}"/>
    <cellStyle name="Процентный 4 2 2 138 6" xfId="31760" xr:uid="{00000000-0005-0000-0000-00009B900000}"/>
    <cellStyle name="Процентный 4 2 2 138 7" xfId="37100" xr:uid="{00000000-0005-0000-0000-00009C900000}"/>
    <cellStyle name="Процентный 4 2 2 138 8" xfId="42440" xr:uid="{00000000-0005-0000-0000-00009D900000}"/>
    <cellStyle name="Процентный 4 2 2 138 9" xfId="47780" xr:uid="{00000000-0005-0000-0000-00009E900000}"/>
    <cellStyle name="Процентный 4 2 2 139" xfId="5089" xr:uid="{00000000-0005-0000-0000-00009F900000}"/>
    <cellStyle name="Процентный 4 2 2 139 10" xfId="53152" xr:uid="{00000000-0005-0000-0000-0000A0900000}"/>
    <cellStyle name="Процентный 4 2 2 139 2" xfId="10432" xr:uid="{00000000-0005-0000-0000-0000A1900000}"/>
    <cellStyle name="Процентный 4 2 2 139 2 2" xfId="58493" xr:uid="{00000000-0005-0000-0000-0000A2900000}"/>
    <cellStyle name="Процентный 4 2 2 139 3" xfId="15772" xr:uid="{00000000-0005-0000-0000-0000A3900000}"/>
    <cellStyle name="Процентный 4 2 2 139 4" xfId="21112" xr:uid="{00000000-0005-0000-0000-0000A4900000}"/>
    <cellStyle name="Процентный 4 2 2 139 5" xfId="26452" xr:uid="{00000000-0005-0000-0000-0000A5900000}"/>
    <cellStyle name="Процентный 4 2 2 139 6" xfId="31792" xr:uid="{00000000-0005-0000-0000-0000A6900000}"/>
    <cellStyle name="Процентный 4 2 2 139 7" xfId="37132" xr:uid="{00000000-0005-0000-0000-0000A7900000}"/>
    <cellStyle name="Процентный 4 2 2 139 8" xfId="42472" xr:uid="{00000000-0005-0000-0000-0000A8900000}"/>
    <cellStyle name="Процентный 4 2 2 139 9" xfId="47812" xr:uid="{00000000-0005-0000-0000-0000A9900000}"/>
    <cellStyle name="Процентный 4 2 2 14" xfId="1285" xr:uid="{00000000-0005-0000-0000-0000AA900000}"/>
    <cellStyle name="Процентный 4 2 2 14 10" xfId="49348" xr:uid="{00000000-0005-0000-0000-0000AB900000}"/>
    <cellStyle name="Процентный 4 2 2 14 2" xfId="6627" xr:uid="{00000000-0005-0000-0000-0000AC900000}"/>
    <cellStyle name="Процентный 4 2 2 14 2 2" xfId="54689" xr:uid="{00000000-0005-0000-0000-0000AD900000}"/>
    <cellStyle name="Процентный 4 2 2 14 3" xfId="11968" xr:uid="{00000000-0005-0000-0000-0000AE900000}"/>
    <cellStyle name="Процентный 4 2 2 14 4" xfId="17308" xr:uid="{00000000-0005-0000-0000-0000AF900000}"/>
    <cellStyle name="Процентный 4 2 2 14 5" xfId="22648" xr:uid="{00000000-0005-0000-0000-0000B0900000}"/>
    <cellStyle name="Процентный 4 2 2 14 6" xfId="27988" xr:uid="{00000000-0005-0000-0000-0000B1900000}"/>
    <cellStyle name="Процентный 4 2 2 14 7" xfId="33328" xr:uid="{00000000-0005-0000-0000-0000B2900000}"/>
    <cellStyle name="Процентный 4 2 2 14 8" xfId="38668" xr:uid="{00000000-0005-0000-0000-0000B3900000}"/>
    <cellStyle name="Процентный 4 2 2 14 9" xfId="44008" xr:uid="{00000000-0005-0000-0000-0000B4900000}"/>
    <cellStyle name="Процентный 4 2 2 140" xfId="5121" xr:uid="{00000000-0005-0000-0000-0000B5900000}"/>
    <cellStyle name="Процентный 4 2 2 140 10" xfId="53184" xr:uid="{00000000-0005-0000-0000-0000B6900000}"/>
    <cellStyle name="Процентный 4 2 2 140 2" xfId="10464" xr:uid="{00000000-0005-0000-0000-0000B7900000}"/>
    <cellStyle name="Процентный 4 2 2 140 2 2" xfId="58525" xr:uid="{00000000-0005-0000-0000-0000B8900000}"/>
    <cellStyle name="Процентный 4 2 2 140 3" xfId="15804" xr:uid="{00000000-0005-0000-0000-0000B9900000}"/>
    <cellStyle name="Процентный 4 2 2 140 4" xfId="21144" xr:uid="{00000000-0005-0000-0000-0000BA900000}"/>
    <cellStyle name="Процентный 4 2 2 140 5" xfId="26484" xr:uid="{00000000-0005-0000-0000-0000BB900000}"/>
    <cellStyle name="Процентный 4 2 2 140 6" xfId="31824" xr:uid="{00000000-0005-0000-0000-0000BC900000}"/>
    <cellStyle name="Процентный 4 2 2 140 7" xfId="37164" xr:uid="{00000000-0005-0000-0000-0000BD900000}"/>
    <cellStyle name="Процентный 4 2 2 140 8" xfId="42504" xr:uid="{00000000-0005-0000-0000-0000BE900000}"/>
    <cellStyle name="Процентный 4 2 2 140 9" xfId="47844" xr:uid="{00000000-0005-0000-0000-0000BF900000}"/>
    <cellStyle name="Процентный 4 2 2 141" xfId="5153" xr:uid="{00000000-0005-0000-0000-0000C0900000}"/>
    <cellStyle name="Процентный 4 2 2 141 10" xfId="53216" xr:uid="{00000000-0005-0000-0000-0000C1900000}"/>
    <cellStyle name="Процентный 4 2 2 141 2" xfId="10496" xr:uid="{00000000-0005-0000-0000-0000C2900000}"/>
    <cellStyle name="Процентный 4 2 2 141 2 2" xfId="58557" xr:uid="{00000000-0005-0000-0000-0000C3900000}"/>
    <cellStyle name="Процентный 4 2 2 141 3" xfId="15836" xr:uid="{00000000-0005-0000-0000-0000C4900000}"/>
    <cellStyle name="Процентный 4 2 2 141 4" xfId="21176" xr:uid="{00000000-0005-0000-0000-0000C5900000}"/>
    <cellStyle name="Процентный 4 2 2 141 5" xfId="26516" xr:uid="{00000000-0005-0000-0000-0000C6900000}"/>
    <cellStyle name="Процентный 4 2 2 141 6" xfId="31856" xr:uid="{00000000-0005-0000-0000-0000C7900000}"/>
    <cellStyle name="Процентный 4 2 2 141 7" xfId="37196" xr:uid="{00000000-0005-0000-0000-0000C8900000}"/>
    <cellStyle name="Процентный 4 2 2 141 8" xfId="42536" xr:uid="{00000000-0005-0000-0000-0000C9900000}"/>
    <cellStyle name="Процентный 4 2 2 141 9" xfId="47876" xr:uid="{00000000-0005-0000-0000-0000CA900000}"/>
    <cellStyle name="Процентный 4 2 2 142" xfId="5185" xr:uid="{00000000-0005-0000-0000-0000CB900000}"/>
    <cellStyle name="Процентный 4 2 2 142 10" xfId="53248" xr:uid="{00000000-0005-0000-0000-0000CC900000}"/>
    <cellStyle name="Процентный 4 2 2 142 2" xfId="10528" xr:uid="{00000000-0005-0000-0000-0000CD900000}"/>
    <cellStyle name="Процентный 4 2 2 142 2 2" xfId="58589" xr:uid="{00000000-0005-0000-0000-0000CE900000}"/>
    <cellStyle name="Процентный 4 2 2 142 3" xfId="15868" xr:uid="{00000000-0005-0000-0000-0000CF900000}"/>
    <cellStyle name="Процентный 4 2 2 142 4" xfId="21208" xr:uid="{00000000-0005-0000-0000-0000D0900000}"/>
    <cellStyle name="Процентный 4 2 2 142 5" xfId="26548" xr:uid="{00000000-0005-0000-0000-0000D1900000}"/>
    <cellStyle name="Процентный 4 2 2 142 6" xfId="31888" xr:uid="{00000000-0005-0000-0000-0000D2900000}"/>
    <cellStyle name="Процентный 4 2 2 142 7" xfId="37228" xr:uid="{00000000-0005-0000-0000-0000D3900000}"/>
    <cellStyle name="Процентный 4 2 2 142 8" xfId="42568" xr:uid="{00000000-0005-0000-0000-0000D4900000}"/>
    <cellStyle name="Процентный 4 2 2 142 9" xfId="47908" xr:uid="{00000000-0005-0000-0000-0000D5900000}"/>
    <cellStyle name="Процентный 4 2 2 143" xfId="5217" xr:uid="{00000000-0005-0000-0000-0000D6900000}"/>
    <cellStyle name="Процентный 4 2 2 143 10" xfId="53280" xr:uid="{00000000-0005-0000-0000-0000D7900000}"/>
    <cellStyle name="Процентный 4 2 2 143 2" xfId="10560" xr:uid="{00000000-0005-0000-0000-0000D8900000}"/>
    <cellStyle name="Процентный 4 2 2 143 2 2" xfId="58621" xr:uid="{00000000-0005-0000-0000-0000D9900000}"/>
    <cellStyle name="Процентный 4 2 2 143 3" xfId="15900" xr:uid="{00000000-0005-0000-0000-0000DA900000}"/>
    <cellStyle name="Процентный 4 2 2 143 4" xfId="21240" xr:uid="{00000000-0005-0000-0000-0000DB900000}"/>
    <cellStyle name="Процентный 4 2 2 143 5" xfId="26580" xr:uid="{00000000-0005-0000-0000-0000DC900000}"/>
    <cellStyle name="Процентный 4 2 2 143 6" xfId="31920" xr:uid="{00000000-0005-0000-0000-0000DD900000}"/>
    <cellStyle name="Процентный 4 2 2 143 7" xfId="37260" xr:uid="{00000000-0005-0000-0000-0000DE900000}"/>
    <cellStyle name="Процентный 4 2 2 143 8" xfId="42600" xr:uid="{00000000-0005-0000-0000-0000DF900000}"/>
    <cellStyle name="Процентный 4 2 2 143 9" xfId="47940" xr:uid="{00000000-0005-0000-0000-0000E0900000}"/>
    <cellStyle name="Процентный 4 2 2 144" xfId="5249" xr:uid="{00000000-0005-0000-0000-0000E1900000}"/>
    <cellStyle name="Процентный 4 2 2 144 10" xfId="53312" xr:uid="{00000000-0005-0000-0000-0000E2900000}"/>
    <cellStyle name="Процентный 4 2 2 144 2" xfId="10592" xr:uid="{00000000-0005-0000-0000-0000E3900000}"/>
    <cellStyle name="Процентный 4 2 2 144 2 2" xfId="58653" xr:uid="{00000000-0005-0000-0000-0000E4900000}"/>
    <cellStyle name="Процентный 4 2 2 144 3" xfId="15932" xr:uid="{00000000-0005-0000-0000-0000E5900000}"/>
    <cellStyle name="Процентный 4 2 2 144 4" xfId="21272" xr:uid="{00000000-0005-0000-0000-0000E6900000}"/>
    <cellStyle name="Процентный 4 2 2 144 5" xfId="26612" xr:uid="{00000000-0005-0000-0000-0000E7900000}"/>
    <cellStyle name="Процентный 4 2 2 144 6" xfId="31952" xr:uid="{00000000-0005-0000-0000-0000E8900000}"/>
    <cellStyle name="Процентный 4 2 2 144 7" xfId="37292" xr:uid="{00000000-0005-0000-0000-0000E9900000}"/>
    <cellStyle name="Процентный 4 2 2 144 8" xfId="42632" xr:uid="{00000000-0005-0000-0000-0000EA900000}"/>
    <cellStyle name="Процентный 4 2 2 144 9" xfId="47972" xr:uid="{00000000-0005-0000-0000-0000EB900000}"/>
    <cellStyle name="Процентный 4 2 2 145" xfId="5281" xr:uid="{00000000-0005-0000-0000-0000EC900000}"/>
    <cellStyle name="Процентный 4 2 2 145 10" xfId="53344" xr:uid="{00000000-0005-0000-0000-0000ED900000}"/>
    <cellStyle name="Процентный 4 2 2 145 2" xfId="10624" xr:uid="{00000000-0005-0000-0000-0000EE900000}"/>
    <cellStyle name="Процентный 4 2 2 145 2 2" xfId="58685" xr:uid="{00000000-0005-0000-0000-0000EF900000}"/>
    <cellStyle name="Процентный 4 2 2 145 3" xfId="15964" xr:uid="{00000000-0005-0000-0000-0000F0900000}"/>
    <cellStyle name="Процентный 4 2 2 145 4" xfId="21304" xr:uid="{00000000-0005-0000-0000-0000F1900000}"/>
    <cellStyle name="Процентный 4 2 2 145 5" xfId="26644" xr:uid="{00000000-0005-0000-0000-0000F2900000}"/>
    <cellStyle name="Процентный 4 2 2 145 6" xfId="31984" xr:uid="{00000000-0005-0000-0000-0000F3900000}"/>
    <cellStyle name="Процентный 4 2 2 145 7" xfId="37324" xr:uid="{00000000-0005-0000-0000-0000F4900000}"/>
    <cellStyle name="Процентный 4 2 2 145 8" xfId="42664" xr:uid="{00000000-0005-0000-0000-0000F5900000}"/>
    <cellStyle name="Процентный 4 2 2 145 9" xfId="48004" xr:uid="{00000000-0005-0000-0000-0000F6900000}"/>
    <cellStyle name="Процентный 4 2 2 146" xfId="5313" xr:uid="{00000000-0005-0000-0000-0000F7900000}"/>
    <cellStyle name="Процентный 4 2 2 146 10" xfId="53376" xr:uid="{00000000-0005-0000-0000-0000F8900000}"/>
    <cellStyle name="Процентный 4 2 2 146 2" xfId="10656" xr:uid="{00000000-0005-0000-0000-0000F9900000}"/>
    <cellStyle name="Процентный 4 2 2 146 2 2" xfId="58717" xr:uid="{00000000-0005-0000-0000-0000FA900000}"/>
    <cellStyle name="Процентный 4 2 2 146 3" xfId="15996" xr:uid="{00000000-0005-0000-0000-0000FB900000}"/>
    <cellStyle name="Процентный 4 2 2 146 4" xfId="21336" xr:uid="{00000000-0005-0000-0000-0000FC900000}"/>
    <cellStyle name="Процентный 4 2 2 146 5" xfId="26676" xr:uid="{00000000-0005-0000-0000-0000FD900000}"/>
    <cellStyle name="Процентный 4 2 2 146 6" xfId="32016" xr:uid="{00000000-0005-0000-0000-0000FE900000}"/>
    <cellStyle name="Процентный 4 2 2 146 7" xfId="37356" xr:uid="{00000000-0005-0000-0000-0000FF900000}"/>
    <cellStyle name="Процентный 4 2 2 146 8" xfId="42696" xr:uid="{00000000-0005-0000-0000-000000910000}"/>
    <cellStyle name="Процентный 4 2 2 146 9" xfId="48036" xr:uid="{00000000-0005-0000-0000-000001910000}"/>
    <cellStyle name="Процентный 4 2 2 147" xfId="5345" xr:uid="{00000000-0005-0000-0000-000002910000}"/>
    <cellStyle name="Процентный 4 2 2 147 10" xfId="53408" xr:uid="{00000000-0005-0000-0000-000003910000}"/>
    <cellStyle name="Процентный 4 2 2 147 2" xfId="10688" xr:uid="{00000000-0005-0000-0000-000004910000}"/>
    <cellStyle name="Процентный 4 2 2 147 2 2" xfId="58749" xr:uid="{00000000-0005-0000-0000-000005910000}"/>
    <cellStyle name="Процентный 4 2 2 147 3" xfId="16028" xr:uid="{00000000-0005-0000-0000-000006910000}"/>
    <cellStyle name="Процентный 4 2 2 147 4" xfId="21368" xr:uid="{00000000-0005-0000-0000-000007910000}"/>
    <cellStyle name="Процентный 4 2 2 147 5" xfId="26708" xr:uid="{00000000-0005-0000-0000-000008910000}"/>
    <cellStyle name="Процентный 4 2 2 147 6" xfId="32048" xr:uid="{00000000-0005-0000-0000-000009910000}"/>
    <cellStyle name="Процентный 4 2 2 147 7" xfId="37388" xr:uid="{00000000-0005-0000-0000-00000A910000}"/>
    <cellStyle name="Процентный 4 2 2 147 8" xfId="42728" xr:uid="{00000000-0005-0000-0000-00000B910000}"/>
    <cellStyle name="Процентный 4 2 2 147 9" xfId="48068" xr:uid="{00000000-0005-0000-0000-00000C910000}"/>
    <cellStyle name="Процентный 4 2 2 148" xfId="5377" xr:uid="{00000000-0005-0000-0000-00000D910000}"/>
    <cellStyle name="Процентный 4 2 2 148 10" xfId="53440" xr:uid="{00000000-0005-0000-0000-00000E910000}"/>
    <cellStyle name="Процентный 4 2 2 148 2" xfId="10720" xr:uid="{00000000-0005-0000-0000-00000F910000}"/>
    <cellStyle name="Процентный 4 2 2 148 2 2" xfId="58781" xr:uid="{00000000-0005-0000-0000-000010910000}"/>
    <cellStyle name="Процентный 4 2 2 148 3" xfId="16060" xr:uid="{00000000-0005-0000-0000-000011910000}"/>
    <cellStyle name="Процентный 4 2 2 148 4" xfId="21400" xr:uid="{00000000-0005-0000-0000-000012910000}"/>
    <cellStyle name="Процентный 4 2 2 148 5" xfId="26740" xr:uid="{00000000-0005-0000-0000-000013910000}"/>
    <cellStyle name="Процентный 4 2 2 148 6" xfId="32080" xr:uid="{00000000-0005-0000-0000-000014910000}"/>
    <cellStyle name="Процентный 4 2 2 148 7" xfId="37420" xr:uid="{00000000-0005-0000-0000-000015910000}"/>
    <cellStyle name="Процентный 4 2 2 148 8" xfId="42760" xr:uid="{00000000-0005-0000-0000-000016910000}"/>
    <cellStyle name="Процентный 4 2 2 148 9" xfId="48100" xr:uid="{00000000-0005-0000-0000-000017910000}"/>
    <cellStyle name="Процентный 4 2 2 149" xfId="5442" xr:uid="{00000000-0005-0000-0000-000018910000}"/>
    <cellStyle name="Процентный 4 2 2 149 2" xfId="53504" xr:uid="{00000000-0005-0000-0000-000019910000}"/>
    <cellStyle name="Процентный 4 2 2 15" xfId="1311" xr:uid="{00000000-0005-0000-0000-00001A910000}"/>
    <cellStyle name="Процентный 4 2 2 15 10" xfId="49374" xr:uid="{00000000-0005-0000-0000-00001B910000}"/>
    <cellStyle name="Процентный 4 2 2 15 2" xfId="6653" xr:uid="{00000000-0005-0000-0000-00001C910000}"/>
    <cellStyle name="Процентный 4 2 2 15 2 2" xfId="54715" xr:uid="{00000000-0005-0000-0000-00001D910000}"/>
    <cellStyle name="Процентный 4 2 2 15 3" xfId="11994" xr:uid="{00000000-0005-0000-0000-00001E910000}"/>
    <cellStyle name="Процентный 4 2 2 15 4" xfId="17334" xr:uid="{00000000-0005-0000-0000-00001F910000}"/>
    <cellStyle name="Процентный 4 2 2 15 5" xfId="22674" xr:uid="{00000000-0005-0000-0000-000020910000}"/>
    <cellStyle name="Процентный 4 2 2 15 6" xfId="28014" xr:uid="{00000000-0005-0000-0000-000021910000}"/>
    <cellStyle name="Процентный 4 2 2 15 7" xfId="33354" xr:uid="{00000000-0005-0000-0000-000022910000}"/>
    <cellStyle name="Процентный 4 2 2 15 8" xfId="38694" xr:uid="{00000000-0005-0000-0000-000023910000}"/>
    <cellStyle name="Процентный 4 2 2 15 9" xfId="44034" xr:uid="{00000000-0005-0000-0000-000024910000}"/>
    <cellStyle name="Процентный 4 2 2 150" xfId="10783" xr:uid="{00000000-0005-0000-0000-000025910000}"/>
    <cellStyle name="Процентный 4 2 2 151" xfId="16123" xr:uid="{00000000-0005-0000-0000-000026910000}"/>
    <cellStyle name="Процентный 4 2 2 152" xfId="21463" xr:uid="{00000000-0005-0000-0000-000027910000}"/>
    <cellStyle name="Процентный 4 2 2 153" xfId="26803" xr:uid="{00000000-0005-0000-0000-000028910000}"/>
    <cellStyle name="Процентный 4 2 2 154" xfId="32143" xr:uid="{00000000-0005-0000-0000-000029910000}"/>
    <cellStyle name="Процентный 4 2 2 155" xfId="37483" xr:uid="{00000000-0005-0000-0000-00002A910000}"/>
    <cellStyle name="Процентный 4 2 2 156" xfId="42823" xr:uid="{00000000-0005-0000-0000-00002B910000}"/>
    <cellStyle name="Процентный 4 2 2 157" xfId="48163" xr:uid="{00000000-0005-0000-0000-00002C910000}"/>
    <cellStyle name="Процентный 4 2 2 16" xfId="1337" xr:uid="{00000000-0005-0000-0000-00002D910000}"/>
    <cellStyle name="Процентный 4 2 2 16 10" xfId="49400" xr:uid="{00000000-0005-0000-0000-00002E910000}"/>
    <cellStyle name="Процентный 4 2 2 16 2" xfId="6679" xr:uid="{00000000-0005-0000-0000-00002F910000}"/>
    <cellStyle name="Процентный 4 2 2 16 2 2" xfId="54741" xr:uid="{00000000-0005-0000-0000-000030910000}"/>
    <cellStyle name="Процентный 4 2 2 16 3" xfId="12020" xr:uid="{00000000-0005-0000-0000-000031910000}"/>
    <cellStyle name="Процентный 4 2 2 16 4" xfId="17360" xr:uid="{00000000-0005-0000-0000-000032910000}"/>
    <cellStyle name="Процентный 4 2 2 16 5" xfId="22700" xr:uid="{00000000-0005-0000-0000-000033910000}"/>
    <cellStyle name="Процентный 4 2 2 16 6" xfId="28040" xr:uid="{00000000-0005-0000-0000-000034910000}"/>
    <cellStyle name="Процентный 4 2 2 16 7" xfId="33380" xr:uid="{00000000-0005-0000-0000-000035910000}"/>
    <cellStyle name="Процентный 4 2 2 16 8" xfId="38720" xr:uid="{00000000-0005-0000-0000-000036910000}"/>
    <cellStyle name="Процентный 4 2 2 16 9" xfId="44060" xr:uid="{00000000-0005-0000-0000-000037910000}"/>
    <cellStyle name="Процентный 4 2 2 17" xfId="1363" xr:uid="{00000000-0005-0000-0000-000038910000}"/>
    <cellStyle name="Процентный 4 2 2 17 10" xfId="49426" xr:uid="{00000000-0005-0000-0000-000039910000}"/>
    <cellStyle name="Процентный 4 2 2 17 2" xfId="6705" xr:uid="{00000000-0005-0000-0000-00003A910000}"/>
    <cellStyle name="Процентный 4 2 2 17 2 2" xfId="54767" xr:uid="{00000000-0005-0000-0000-00003B910000}"/>
    <cellStyle name="Процентный 4 2 2 17 3" xfId="12046" xr:uid="{00000000-0005-0000-0000-00003C910000}"/>
    <cellStyle name="Процентный 4 2 2 17 4" xfId="17386" xr:uid="{00000000-0005-0000-0000-00003D910000}"/>
    <cellStyle name="Процентный 4 2 2 17 5" xfId="22726" xr:uid="{00000000-0005-0000-0000-00003E910000}"/>
    <cellStyle name="Процентный 4 2 2 17 6" xfId="28066" xr:uid="{00000000-0005-0000-0000-00003F910000}"/>
    <cellStyle name="Процентный 4 2 2 17 7" xfId="33406" xr:uid="{00000000-0005-0000-0000-000040910000}"/>
    <cellStyle name="Процентный 4 2 2 17 8" xfId="38746" xr:uid="{00000000-0005-0000-0000-000041910000}"/>
    <cellStyle name="Процентный 4 2 2 17 9" xfId="44086" xr:uid="{00000000-0005-0000-0000-000042910000}"/>
    <cellStyle name="Процентный 4 2 2 18" xfId="1389" xr:uid="{00000000-0005-0000-0000-000043910000}"/>
    <cellStyle name="Процентный 4 2 2 18 10" xfId="49452" xr:uid="{00000000-0005-0000-0000-000044910000}"/>
    <cellStyle name="Процентный 4 2 2 18 2" xfId="6731" xr:uid="{00000000-0005-0000-0000-000045910000}"/>
    <cellStyle name="Процентный 4 2 2 18 2 2" xfId="54793" xr:uid="{00000000-0005-0000-0000-000046910000}"/>
    <cellStyle name="Процентный 4 2 2 18 3" xfId="12072" xr:uid="{00000000-0005-0000-0000-000047910000}"/>
    <cellStyle name="Процентный 4 2 2 18 4" xfId="17412" xr:uid="{00000000-0005-0000-0000-000048910000}"/>
    <cellStyle name="Процентный 4 2 2 18 5" xfId="22752" xr:uid="{00000000-0005-0000-0000-000049910000}"/>
    <cellStyle name="Процентный 4 2 2 18 6" xfId="28092" xr:uid="{00000000-0005-0000-0000-00004A910000}"/>
    <cellStyle name="Процентный 4 2 2 18 7" xfId="33432" xr:uid="{00000000-0005-0000-0000-00004B910000}"/>
    <cellStyle name="Процентный 4 2 2 18 8" xfId="38772" xr:uid="{00000000-0005-0000-0000-00004C910000}"/>
    <cellStyle name="Процентный 4 2 2 18 9" xfId="44112" xr:uid="{00000000-0005-0000-0000-00004D910000}"/>
    <cellStyle name="Процентный 4 2 2 19" xfId="1415" xr:uid="{00000000-0005-0000-0000-00004E910000}"/>
    <cellStyle name="Процентный 4 2 2 19 10" xfId="49478" xr:uid="{00000000-0005-0000-0000-00004F910000}"/>
    <cellStyle name="Процентный 4 2 2 19 2" xfId="6757" xr:uid="{00000000-0005-0000-0000-000050910000}"/>
    <cellStyle name="Процентный 4 2 2 19 2 2" xfId="54819" xr:uid="{00000000-0005-0000-0000-000051910000}"/>
    <cellStyle name="Процентный 4 2 2 19 3" xfId="12098" xr:uid="{00000000-0005-0000-0000-000052910000}"/>
    <cellStyle name="Процентный 4 2 2 19 4" xfId="17438" xr:uid="{00000000-0005-0000-0000-000053910000}"/>
    <cellStyle name="Процентный 4 2 2 19 5" xfId="22778" xr:uid="{00000000-0005-0000-0000-000054910000}"/>
    <cellStyle name="Процентный 4 2 2 19 6" xfId="28118" xr:uid="{00000000-0005-0000-0000-000055910000}"/>
    <cellStyle name="Процентный 4 2 2 19 7" xfId="33458" xr:uid="{00000000-0005-0000-0000-000056910000}"/>
    <cellStyle name="Процентный 4 2 2 19 8" xfId="38798" xr:uid="{00000000-0005-0000-0000-000057910000}"/>
    <cellStyle name="Процентный 4 2 2 19 9" xfId="44138" xr:uid="{00000000-0005-0000-0000-000058910000}"/>
    <cellStyle name="Процентный 4 2 2 2" xfId="568" xr:uid="{00000000-0005-0000-0000-000059910000}"/>
    <cellStyle name="Процентный 4 2 2 2 10" xfId="48630" xr:uid="{00000000-0005-0000-0000-00005A910000}"/>
    <cellStyle name="Процентный 4 2 2 2 2" xfId="5909" xr:uid="{00000000-0005-0000-0000-00005B910000}"/>
    <cellStyle name="Процентный 4 2 2 2 2 2" xfId="53971" xr:uid="{00000000-0005-0000-0000-00005C910000}"/>
    <cellStyle name="Процентный 4 2 2 2 3" xfId="11250" xr:uid="{00000000-0005-0000-0000-00005D910000}"/>
    <cellStyle name="Процентный 4 2 2 2 4" xfId="16590" xr:uid="{00000000-0005-0000-0000-00005E910000}"/>
    <cellStyle name="Процентный 4 2 2 2 5" xfId="21930" xr:uid="{00000000-0005-0000-0000-00005F910000}"/>
    <cellStyle name="Процентный 4 2 2 2 6" xfId="27270" xr:uid="{00000000-0005-0000-0000-000060910000}"/>
    <cellStyle name="Процентный 4 2 2 2 7" xfId="32610" xr:uid="{00000000-0005-0000-0000-000061910000}"/>
    <cellStyle name="Процентный 4 2 2 2 8" xfId="37950" xr:uid="{00000000-0005-0000-0000-000062910000}"/>
    <cellStyle name="Процентный 4 2 2 2 9" xfId="43290" xr:uid="{00000000-0005-0000-0000-000063910000}"/>
    <cellStyle name="Процентный 4 2 2 20" xfId="1441" xr:uid="{00000000-0005-0000-0000-000064910000}"/>
    <cellStyle name="Процентный 4 2 2 20 10" xfId="49504" xr:uid="{00000000-0005-0000-0000-000065910000}"/>
    <cellStyle name="Процентный 4 2 2 20 2" xfId="6783" xr:uid="{00000000-0005-0000-0000-000066910000}"/>
    <cellStyle name="Процентный 4 2 2 20 2 2" xfId="54845" xr:uid="{00000000-0005-0000-0000-000067910000}"/>
    <cellStyle name="Процентный 4 2 2 20 3" xfId="12124" xr:uid="{00000000-0005-0000-0000-000068910000}"/>
    <cellStyle name="Процентный 4 2 2 20 4" xfId="17464" xr:uid="{00000000-0005-0000-0000-000069910000}"/>
    <cellStyle name="Процентный 4 2 2 20 5" xfId="22804" xr:uid="{00000000-0005-0000-0000-00006A910000}"/>
    <cellStyle name="Процентный 4 2 2 20 6" xfId="28144" xr:uid="{00000000-0005-0000-0000-00006B910000}"/>
    <cellStyle name="Процентный 4 2 2 20 7" xfId="33484" xr:uid="{00000000-0005-0000-0000-00006C910000}"/>
    <cellStyle name="Процентный 4 2 2 20 8" xfId="38824" xr:uid="{00000000-0005-0000-0000-00006D910000}"/>
    <cellStyle name="Процентный 4 2 2 20 9" xfId="44164" xr:uid="{00000000-0005-0000-0000-00006E910000}"/>
    <cellStyle name="Процентный 4 2 2 21" xfId="1467" xr:uid="{00000000-0005-0000-0000-00006F910000}"/>
    <cellStyle name="Процентный 4 2 2 21 10" xfId="49530" xr:uid="{00000000-0005-0000-0000-000070910000}"/>
    <cellStyle name="Процентный 4 2 2 21 2" xfId="6809" xr:uid="{00000000-0005-0000-0000-000071910000}"/>
    <cellStyle name="Процентный 4 2 2 21 2 2" xfId="54871" xr:uid="{00000000-0005-0000-0000-000072910000}"/>
    <cellStyle name="Процентный 4 2 2 21 3" xfId="12150" xr:uid="{00000000-0005-0000-0000-000073910000}"/>
    <cellStyle name="Процентный 4 2 2 21 4" xfId="17490" xr:uid="{00000000-0005-0000-0000-000074910000}"/>
    <cellStyle name="Процентный 4 2 2 21 5" xfId="22830" xr:uid="{00000000-0005-0000-0000-000075910000}"/>
    <cellStyle name="Процентный 4 2 2 21 6" xfId="28170" xr:uid="{00000000-0005-0000-0000-000076910000}"/>
    <cellStyle name="Процентный 4 2 2 21 7" xfId="33510" xr:uid="{00000000-0005-0000-0000-000077910000}"/>
    <cellStyle name="Процентный 4 2 2 21 8" xfId="38850" xr:uid="{00000000-0005-0000-0000-000078910000}"/>
    <cellStyle name="Процентный 4 2 2 21 9" xfId="44190" xr:uid="{00000000-0005-0000-0000-000079910000}"/>
    <cellStyle name="Процентный 4 2 2 22" xfId="1493" xr:uid="{00000000-0005-0000-0000-00007A910000}"/>
    <cellStyle name="Процентный 4 2 2 22 10" xfId="49556" xr:uid="{00000000-0005-0000-0000-00007B910000}"/>
    <cellStyle name="Процентный 4 2 2 22 2" xfId="6835" xr:uid="{00000000-0005-0000-0000-00007C910000}"/>
    <cellStyle name="Процентный 4 2 2 22 2 2" xfId="54897" xr:uid="{00000000-0005-0000-0000-00007D910000}"/>
    <cellStyle name="Процентный 4 2 2 22 3" xfId="12176" xr:uid="{00000000-0005-0000-0000-00007E910000}"/>
    <cellStyle name="Процентный 4 2 2 22 4" xfId="17516" xr:uid="{00000000-0005-0000-0000-00007F910000}"/>
    <cellStyle name="Процентный 4 2 2 22 5" xfId="22856" xr:uid="{00000000-0005-0000-0000-000080910000}"/>
    <cellStyle name="Процентный 4 2 2 22 6" xfId="28196" xr:uid="{00000000-0005-0000-0000-000081910000}"/>
    <cellStyle name="Процентный 4 2 2 22 7" xfId="33536" xr:uid="{00000000-0005-0000-0000-000082910000}"/>
    <cellStyle name="Процентный 4 2 2 22 8" xfId="38876" xr:uid="{00000000-0005-0000-0000-000083910000}"/>
    <cellStyle name="Процентный 4 2 2 22 9" xfId="44216" xr:uid="{00000000-0005-0000-0000-000084910000}"/>
    <cellStyle name="Процентный 4 2 2 23" xfId="1519" xr:uid="{00000000-0005-0000-0000-000085910000}"/>
    <cellStyle name="Процентный 4 2 2 23 10" xfId="49582" xr:uid="{00000000-0005-0000-0000-000086910000}"/>
    <cellStyle name="Процентный 4 2 2 23 2" xfId="6861" xr:uid="{00000000-0005-0000-0000-000087910000}"/>
    <cellStyle name="Процентный 4 2 2 23 2 2" xfId="54923" xr:uid="{00000000-0005-0000-0000-000088910000}"/>
    <cellStyle name="Процентный 4 2 2 23 3" xfId="12202" xr:uid="{00000000-0005-0000-0000-000089910000}"/>
    <cellStyle name="Процентный 4 2 2 23 4" xfId="17542" xr:uid="{00000000-0005-0000-0000-00008A910000}"/>
    <cellStyle name="Процентный 4 2 2 23 5" xfId="22882" xr:uid="{00000000-0005-0000-0000-00008B910000}"/>
    <cellStyle name="Процентный 4 2 2 23 6" xfId="28222" xr:uid="{00000000-0005-0000-0000-00008C910000}"/>
    <cellStyle name="Процентный 4 2 2 23 7" xfId="33562" xr:uid="{00000000-0005-0000-0000-00008D910000}"/>
    <cellStyle name="Процентный 4 2 2 23 8" xfId="38902" xr:uid="{00000000-0005-0000-0000-00008E910000}"/>
    <cellStyle name="Процентный 4 2 2 23 9" xfId="44242" xr:uid="{00000000-0005-0000-0000-00008F910000}"/>
    <cellStyle name="Процентный 4 2 2 24" xfId="1545" xr:uid="{00000000-0005-0000-0000-000090910000}"/>
    <cellStyle name="Процентный 4 2 2 24 10" xfId="49608" xr:uid="{00000000-0005-0000-0000-000091910000}"/>
    <cellStyle name="Процентный 4 2 2 24 2" xfId="6887" xr:uid="{00000000-0005-0000-0000-000092910000}"/>
    <cellStyle name="Процентный 4 2 2 24 2 2" xfId="54949" xr:uid="{00000000-0005-0000-0000-000093910000}"/>
    <cellStyle name="Процентный 4 2 2 24 3" xfId="12228" xr:uid="{00000000-0005-0000-0000-000094910000}"/>
    <cellStyle name="Процентный 4 2 2 24 4" xfId="17568" xr:uid="{00000000-0005-0000-0000-000095910000}"/>
    <cellStyle name="Процентный 4 2 2 24 5" xfId="22908" xr:uid="{00000000-0005-0000-0000-000096910000}"/>
    <cellStyle name="Процентный 4 2 2 24 6" xfId="28248" xr:uid="{00000000-0005-0000-0000-000097910000}"/>
    <cellStyle name="Процентный 4 2 2 24 7" xfId="33588" xr:uid="{00000000-0005-0000-0000-000098910000}"/>
    <cellStyle name="Процентный 4 2 2 24 8" xfId="38928" xr:uid="{00000000-0005-0000-0000-000099910000}"/>
    <cellStyle name="Процентный 4 2 2 24 9" xfId="44268" xr:uid="{00000000-0005-0000-0000-00009A910000}"/>
    <cellStyle name="Процентный 4 2 2 25" xfId="1571" xr:uid="{00000000-0005-0000-0000-00009B910000}"/>
    <cellStyle name="Процентный 4 2 2 25 10" xfId="49634" xr:uid="{00000000-0005-0000-0000-00009C910000}"/>
    <cellStyle name="Процентный 4 2 2 25 2" xfId="6913" xr:uid="{00000000-0005-0000-0000-00009D910000}"/>
    <cellStyle name="Процентный 4 2 2 25 2 2" xfId="54975" xr:uid="{00000000-0005-0000-0000-00009E910000}"/>
    <cellStyle name="Процентный 4 2 2 25 3" xfId="12254" xr:uid="{00000000-0005-0000-0000-00009F910000}"/>
    <cellStyle name="Процентный 4 2 2 25 4" xfId="17594" xr:uid="{00000000-0005-0000-0000-0000A0910000}"/>
    <cellStyle name="Процентный 4 2 2 25 5" xfId="22934" xr:uid="{00000000-0005-0000-0000-0000A1910000}"/>
    <cellStyle name="Процентный 4 2 2 25 6" xfId="28274" xr:uid="{00000000-0005-0000-0000-0000A2910000}"/>
    <cellStyle name="Процентный 4 2 2 25 7" xfId="33614" xr:uid="{00000000-0005-0000-0000-0000A3910000}"/>
    <cellStyle name="Процентный 4 2 2 25 8" xfId="38954" xr:uid="{00000000-0005-0000-0000-0000A4910000}"/>
    <cellStyle name="Процентный 4 2 2 25 9" xfId="44294" xr:uid="{00000000-0005-0000-0000-0000A5910000}"/>
    <cellStyle name="Процентный 4 2 2 26" xfId="1597" xr:uid="{00000000-0005-0000-0000-0000A6910000}"/>
    <cellStyle name="Процентный 4 2 2 26 10" xfId="49660" xr:uid="{00000000-0005-0000-0000-0000A7910000}"/>
    <cellStyle name="Процентный 4 2 2 26 2" xfId="6939" xr:uid="{00000000-0005-0000-0000-0000A8910000}"/>
    <cellStyle name="Процентный 4 2 2 26 2 2" xfId="55001" xr:uid="{00000000-0005-0000-0000-0000A9910000}"/>
    <cellStyle name="Процентный 4 2 2 26 3" xfId="12280" xr:uid="{00000000-0005-0000-0000-0000AA910000}"/>
    <cellStyle name="Процентный 4 2 2 26 4" xfId="17620" xr:uid="{00000000-0005-0000-0000-0000AB910000}"/>
    <cellStyle name="Процентный 4 2 2 26 5" xfId="22960" xr:uid="{00000000-0005-0000-0000-0000AC910000}"/>
    <cellStyle name="Процентный 4 2 2 26 6" xfId="28300" xr:uid="{00000000-0005-0000-0000-0000AD910000}"/>
    <cellStyle name="Процентный 4 2 2 26 7" xfId="33640" xr:uid="{00000000-0005-0000-0000-0000AE910000}"/>
    <cellStyle name="Процентный 4 2 2 26 8" xfId="38980" xr:uid="{00000000-0005-0000-0000-0000AF910000}"/>
    <cellStyle name="Процентный 4 2 2 26 9" xfId="44320" xr:uid="{00000000-0005-0000-0000-0000B0910000}"/>
    <cellStyle name="Процентный 4 2 2 27" xfId="1623" xr:uid="{00000000-0005-0000-0000-0000B1910000}"/>
    <cellStyle name="Процентный 4 2 2 27 10" xfId="49686" xr:uid="{00000000-0005-0000-0000-0000B2910000}"/>
    <cellStyle name="Процентный 4 2 2 27 2" xfId="6965" xr:uid="{00000000-0005-0000-0000-0000B3910000}"/>
    <cellStyle name="Процентный 4 2 2 27 2 2" xfId="55027" xr:uid="{00000000-0005-0000-0000-0000B4910000}"/>
    <cellStyle name="Процентный 4 2 2 27 3" xfId="12306" xr:uid="{00000000-0005-0000-0000-0000B5910000}"/>
    <cellStyle name="Процентный 4 2 2 27 4" xfId="17646" xr:uid="{00000000-0005-0000-0000-0000B6910000}"/>
    <cellStyle name="Процентный 4 2 2 27 5" xfId="22986" xr:uid="{00000000-0005-0000-0000-0000B7910000}"/>
    <cellStyle name="Процентный 4 2 2 27 6" xfId="28326" xr:uid="{00000000-0005-0000-0000-0000B8910000}"/>
    <cellStyle name="Процентный 4 2 2 27 7" xfId="33666" xr:uid="{00000000-0005-0000-0000-0000B9910000}"/>
    <cellStyle name="Процентный 4 2 2 27 8" xfId="39006" xr:uid="{00000000-0005-0000-0000-0000BA910000}"/>
    <cellStyle name="Процентный 4 2 2 27 9" xfId="44346" xr:uid="{00000000-0005-0000-0000-0000BB910000}"/>
    <cellStyle name="Процентный 4 2 2 28" xfId="1649" xr:uid="{00000000-0005-0000-0000-0000BC910000}"/>
    <cellStyle name="Процентный 4 2 2 28 10" xfId="49712" xr:uid="{00000000-0005-0000-0000-0000BD910000}"/>
    <cellStyle name="Процентный 4 2 2 28 2" xfId="6991" xr:uid="{00000000-0005-0000-0000-0000BE910000}"/>
    <cellStyle name="Процентный 4 2 2 28 2 2" xfId="55053" xr:uid="{00000000-0005-0000-0000-0000BF910000}"/>
    <cellStyle name="Процентный 4 2 2 28 3" xfId="12332" xr:uid="{00000000-0005-0000-0000-0000C0910000}"/>
    <cellStyle name="Процентный 4 2 2 28 4" xfId="17672" xr:uid="{00000000-0005-0000-0000-0000C1910000}"/>
    <cellStyle name="Процентный 4 2 2 28 5" xfId="23012" xr:uid="{00000000-0005-0000-0000-0000C2910000}"/>
    <cellStyle name="Процентный 4 2 2 28 6" xfId="28352" xr:uid="{00000000-0005-0000-0000-0000C3910000}"/>
    <cellStyle name="Процентный 4 2 2 28 7" xfId="33692" xr:uid="{00000000-0005-0000-0000-0000C4910000}"/>
    <cellStyle name="Процентный 4 2 2 28 8" xfId="39032" xr:uid="{00000000-0005-0000-0000-0000C5910000}"/>
    <cellStyle name="Процентный 4 2 2 28 9" xfId="44372" xr:uid="{00000000-0005-0000-0000-0000C6910000}"/>
    <cellStyle name="Процентный 4 2 2 29" xfId="1675" xr:uid="{00000000-0005-0000-0000-0000C7910000}"/>
    <cellStyle name="Процентный 4 2 2 29 10" xfId="49738" xr:uid="{00000000-0005-0000-0000-0000C8910000}"/>
    <cellStyle name="Процентный 4 2 2 29 2" xfId="7017" xr:uid="{00000000-0005-0000-0000-0000C9910000}"/>
    <cellStyle name="Процентный 4 2 2 29 2 2" xfId="55079" xr:uid="{00000000-0005-0000-0000-0000CA910000}"/>
    <cellStyle name="Процентный 4 2 2 29 3" xfId="12358" xr:uid="{00000000-0005-0000-0000-0000CB910000}"/>
    <cellStyle name="Процентный 4 2 2 29 4" xfId="17698" xr:uid="{00000000-0005-0000-0000-0000CC910000}"/>
    <cellStyle name="Процентный 4 2 2 29 5" xfId="23038" xr:uid="{00000000-0005-0000-0000-0000CD910000}"/>
    <cellStyle name="Процентный 4 2 2 29 6" xfId="28378" xr:uid="{00000000-0005-0000-0000-0000CE910000}"/>
    <cellStyle name="Процентный 4 2 2 29 7" xfId="33718" xr:uid="{00000000-0005-0000-0000-0000CF910000}"/>
    <cellStyle name="Процентный 4 2 2 29 8" xfId="39058" xr:uid="{00000000-0005-0000-0000-0000D0910000}"/>
    <cellStyle name="Процентный 4 2 2 29 9" xfId="44398" xr:uid="{00000000-0005-0000-0000-0000D1910000}"/>
    <cellStyle name="Процентный 4 2 2 3" xfId="1004" xr:uid="{00000000-0005-0000-0000-0000D2910000}"/>
    <cellStyle name="Процентный 4 2 2 3 10" xfId="49066" xr:uid="{00000000-0005-0000-0000-0000D3910000}"/>
    <cellStyle name="Процентный 4 2 2 3 2" xfId="6345" xr:uid="{00000000-0005-0000-0000-0000D4910000}"/>
    <cellStyle name="Процентный 4 2 2 3 2 2" xfId="54407" xr:uid="{00000000-0005-0000-0000-0000D5910000}"/>
    <cellStyle name="Процентный 4 2 2 3 3" xfId="11686" xr:uid="{00000000-0005-0000-0000-0000D6910000}"/>
    <cellStyle name="Процентный 4 2 2 3 4" xfId="17026" xr:uid="{00000000-0005-0000-0000-0000D7910000}"/>
    <cellStyle name="Процентный 4 2 2 3 5" xfId="22366" xr:uid="{00000000-0005-0000-0000-0000D8910000}"/>
    <cellStyle name="Процентный 4 2 2 3 6" xfId="27706" xr:uid="{00000000-0005-0000-0000-0000D9910000}"/>
    <cellStyle name="Процентный 4 2 2 3 7" xfId="33046" xr:uid="{00000000-0005-0000-0000-0000DA910000}"/>
    <cellStyle name="Процентный 4 2 2 3 8" xfId="38386" xr:uid="{00000000-0005-0000-0000-0000DB910000}"/>
    <cellStyle name="Процентный 4 2 2 3 9" xfId="43726" xr:uid="{00000000-0005-0000-0000-0000DC910000}"/>
    <cellStyle name="Процентный 4 2 2 30" xfId="1701" xr:uid="{00000000-0005-0000-0000-0000DD910000}"/>
    <cellStyle name="Процентный 4 2 2 30 10" xfId="49764" xr:uid="{00000000-0005-0000-0000-0000DE910000}"/>
    <cellStyle name="Процентный 4 2 2 30 2" xfId="7043" xr:uid="{00000000-0005-0000-0000-0000DF910000}"/>
    <cellStyle name="Процентный 4 2 2 30 2 2" xfId="55105" xr:uid="{00000000-0005-0000-0000-0000E0910000}"/>
    <cellStyle name="Процентный 4 2 2 30 3" xfId="12384" xr:uid="{00000000-0005-0000-0000-0000E1910000}"/>
    <cellStyle name="Процентный 4 2 2 30 4" xfId="17724" xr:uid="{00000000-0005-0000-0000-0000E2910000}"/>
    <cellStyle name="Процентный 4 2 2 30 5" xfId="23064" xr:uid="{00000000-0005-0000-0000-0000E3910000}"/>
    <cellStyle name="Процентный 4 2 2 30 6" xfId="28404" xr:uid="{00000000-0005-0000-0000-0000E4910000}"/>
    <cellStyle name="Процентный 4 2 2 30 7" xfId="33744" xr:uid="{00000000-0005-0000-0000-0000E5910000}"/>
    <cellStyle name="Процентный 4 2 2 30 8" xfId="39084" xr:uid="{00000000-0005-0000-0000-0000E6910000}"/>
    <cellStyle name="Процентный 4 2 2 30 9" xfId="44424" xr:uid="{00000000-0005-0000-0000-0000E7910000}"/>
    <cellStyle name="Процентный 4 2 2 31" xfId="1727" xr:uid="{00000000-0005-0000-0000-0000E8910000}"/>
    <cellStyle name="Процентный 4 2 2 31 10" xfId="49790" xr:uid="{00000000-0005-0000-0000-0000E9910000}"/>
    <cellStyle name="Процентный 4 2 2 31 2" xfId="7069" xr:uid="{00000000-0005-0000-0000-0000EA910000}"/>
    <cellStyle name="Процентный 4 2 2 31 2 2" xfId="55131" xr:uid="{00000000-0005-0000-0000-0000EB910000}"/>
    <cellStyle name="Процентный 4 2 2 31 3" xfId="12410" xr:uid="{00000000-0005-0000-0000-0000EC910000}"/>
    <cellStyle name="Процентный 4 2 2 31 4" xfId="17750" xr:uid="{00000000-0005-0000-0000-0000ED910000}"/>
    <cellStyle name="Процентный 4 2 2 31 5" xfId="23090" xr:uid="{00000000-0005-0000-0000-0000EE910000}"/>
    <cellStyle name="Процентный 4 2 2 31 6" xfId="28430" xr:uid="{00000000-0005-0000-0000-0000EF910000}"/>
    <cellStyle name="Процентный 4 2 2 31 7" xfId="33770" xr:uid="{00000000-0005-0000-0000-0000F0910000}"/>
    <cellStyle name="Процентный 4 2 2 31 8" xfId="39110" xr:uid="{00000000-0005-0000-0000-0000F1910000}"/>
    <cellStyle name="Процентный 4 2 2 31 9" xfId="44450" xr:uid="{00000000-0005-0000-0000-0000F2910000}"/>
    <cellStyle name="Процентный 4 2 2 32" xfId="1753" xr:uid="{00000000-0005-0000-0000-0000F3910000}"/>
    <cellStyle name="Процентный 4 2 2 32 10" xfId="49816" xr:uid="{00000000-0005-0000-0000-0000F4910000}"/>
    <cellStyle name="Процентный 4 2 2 32 2" xfId="7095" xr:uid="{00000000-0005-0000-0000-0000F5910000}"/>
    <cellStyle name="Процентный 4 2 2 32 2 2" xfId="55157" xr:uid="{00000000-0005-0000-0000-0000F6910000}"/>
    <cellStyle name="Процентный 4 2 2 32 3" xfId="12436" xr:uid="{00000000-0005-0000-0000-0000F7910000}"/>
    <cellStyle name="Процентный 4 2 2 32 4" xfId="17776" xr:uid="{00000000-0005-0000-0000-0000F8910000}"/>
    <cellStyle name="Процентный 4 2 2 32 5" xfId="23116" xr:uid="{00000000-0005-0000-0000-0000F9910000}"/>
    <cellStyle name="Процентный 4 2 2 32 6" xfId="28456" xr:uid="{00000000-0005-0000-0000-0000FA910000}"/>
    <cellStyle name="Процентный 4 2 2 32 7" xfId="33796" xr:uid="{00000000-0005-0000-0000-0000FB910000}"/>
    <cellStyle name="Процентный 4 2 2 32 8" xfId="39136" xr:uid="{00000000-0005-0000-0000-0000FC910000}"/>
    <cellStyle name="Процентный 4 2 2 32 9" xfId="44476" xr:uid="{00000000-0005-0000-0000-0000FD910000}"/>
    <cellStyle name="Процентный 4 2 2 33" xfId="1779" xr:uid="{00000000-0005-0000-0000-0000FE910000}"/>
    <cellStyle name="Процентный 4 2 2 33 10" xfId="49842" xr:uid="{00000000-0005-0000-0000-0000FF910000}"/>
    <cellStyle name="Процентный 4 2 2 33 2" xfId="7121" xr:uid="{00000000-0005-0000-0000-000000920000}"/>
    <cellStyle name="Процентный 4 2 2 33 2 2" xfId="55183" xr:uid="{00000000-0005-0000-0000-000001920000}"/>
    <cellStyle name="Процентный 4 2 2 33 3" xfId="12462" xr:uid="{00000000-0005-0000-0000-000002920000}"/>
    <cellStyle name="Процентный 4 2 2 33 4" xfId="17802" xr:uid="{00000000-0005-0000-0000-000003920000}"/>
    <cellStyle name="Процентный 4 2 2 33 5" xfId="23142" xr:uid="{00000000-0005-0000-0000-000004920000}"/>
    <cellStyle name="Процентный 4 2 2 33 6" xfId="28482" xr:uid="{00000000-0005-0000-0000-000005920000}"/>
    <cellStyle name="Процентный 4 2 2 33 7" xfId="33822" xr:uid="{00000000-0005-0000-0000-000006920000}"/>
    <cellStyle name="Процентный 4 2 2 33 8" xfId="39162" xr:uid="{00000000-0005-0000-0000-000007920000}"/>
    <cellStyle name="Процентный 4 2 2 33 9" xfId="44502" xr:uid="{00000000-0005-0000-0000-000008920000}"/>
    <cellStyle name="Процентный 4 2 2 34" xfId="1805" xr:uid="{00000000-0005-0000-0000-000009920000}"/>
    <cellStyle name="Процентный 4 2 2 34 10" xfId="49868" xr:uid="{00000000-0005-0000-0000-00000A920000}"/>
    <cellStyle name="Процентный 4 2 2 34 2" xfId="7147" xr:uid="{00000000-0005-0000-0000-00000B920000}"/>
    <cellStyle name="Процентный 4 2 2 34 2 2" xfId="55209" xr:uid="{00000000-0005-0000-0000-00000C920000}"/>
    <cellStyle name="Процентный 4 2 2 34 3" xfId="12488" xr:uid="{00000000-0005-0000-0000-00000D920000}"/>
    <cellStyle name="Процентный 4 2 2 34 4" xfId="17828" xr:uid="{00000000-0005-0000-0000-00000E920000}"/>
    <cellStyle name="Процентный 4 2 2 34 5" xfId="23168" xr:uid="{00000000-0005-0000-0000-00000F920000}"/>
    <cellStyle name="Процентный 4 2 2 34 6" xfId="28508" xr:uid="{00000000-0005-0000-0000-000010920000}"/>
    <cellStyle name="Процентный 4 2 2 34 7" xfId="33848" xr:uid="{00000000-0005-0000-0000-000011920000}"/>
    <cellStyle name="Процентный 4 2 2 34 8" xfId="39188" xr:uid="{00000000-0005-0000-0000-000012920000}"/>
    <cellStyle name="Процентный 4 2 2 34 9" xfId="44528" xr:uid="{00000000-0005-0000-0000-000013920000}"/>
    <cellStyle name="Процентный 4 2 2 35" xfId="1831" xr:uid="{00000000-0005-0000-0000-000014920000}"/>
    <cellStyle name="Процентный 4 2 2 35 10" xfId="49894" xr:uid="{00000000-0005-0000-0000-000015920000}"/>
    <cellStyle name="Процентный 4 2 2 35 2" xfId="7173" xr:uid="{00000000-0005-0000-0000-000016920000}"/>
    <cellStyle name="Процентный 4 2 2 35 2 2" xfId="55235" xr:uid="{00000000-0005-0000-0000-000017920000}"/>
    <cellStyle name="Процентный 4 2 2 35 3" xfId="12514" xr:uid="{00000000-0005-0000-0000-000018920000}"/>
    <cellStyle name="Процентный 4 2 2 35 4" xfId="17854" xr:uid="{00000000-0005-0000-0000-000019920000}"/>
    <cellStyle name="Процентный 4 2 2 35 5" xfId="23194" xr:uid="{00000000-0005-0000-0000-00001A920000}"/>
    <cellStyle name="Процентный 4 2 2 35 6" xfId="28534" xr:uid="{00000000-0005-0000-0000-00001B920000}"/>
    <cellStyle name="Процентный 4 2 2 35 7" xfId="33874" xr:uid="{00000000-0005-0000-0000-00001C920000}"/>
    <cellStyle name="Процентный 4 2 2 35 8" xfId="39214" xr:uid="{00000000-0005-0000-0000-00001D920000}"/>
    <cellStyle name="Процентный 4 2 2 35 9" xfId="44554" xr:uid="{00000000-0005-0000-0000-00001E920000}"/>
    <cellStyle name="Процентный 4 2 2 36" xfId="1857" xr:uid="{00000000-0005-0000-0000-00001F920000}"/>
    <cellStyle name="Процентный 4 2 2 36 10" xfId="49920" xr:uid="{00000000-0005-0000-0000-000020920000}"/>
    <cellStyle name="Процентный 4 2 2 36 2" xfId="7199" xr:uid="{00000000-0005-0000-0000-000021920000}"/>
    <cellStyle name="Процентный 4 2 2 36 2 2" xfId="55261" xr:uid="{00000000-0005-0000-0000-000022920000}"/>
    <cellStyle name="Процентный 4 2 2 36 3" xfId="12540" xr:uid="{00000000-0005-0000-0000-000023920000}"/>
    <cellStyle name="Процентный 4 2 2 36 4" xfId="17880" xr:uid="{00000000-0005-0000-0000-000024920000}"/>
    <cellStyle name="Процентный 4 2 2 36 5" xfId="23220" xr:uid="{00000000-0005-0000-0000-000025920000}"/>
    <cellStyle name="Процентный 4 2 2 36 6" xfId="28560" xr:uid="{00000000-0005-0000-0000-000026920000}"/>
    <cellStyle name="Процентный 4 2 2 36 7" xfId="33900" xr:uid="{00000000-0005-0000-0000-000027920000}"/>
    <cellStyle name="Процентный 4 2 2 36 8" xfId="39240" xr:uid="{00000000-0005-0000-0000-000028920000}"/>
    <cellStyle name="Процентный 4 2 2 36 9" xfId="44580" xr:uid="{00000000-0005-0000-0000-000029920000}"/>
    <cellStyle name="Процентный 4 2 2 37" xfId="1883" xr:uid="{00000000-0005-0000-0000-00002A920000}"/>
    <cellStyle name="Процентный 4 2 2 37 10" xfId="49946" xr:uid="{00000000-0005-0000-0000-00002B920000}"/>
    <cellStyle name="Процентный 4 2 2 37 2" xfId="7225" xr:uid="{00000000-0005-0000-0000-00002C920000}"/>
    <cellStyle name="Процентный 4 2 2 37 2 2" xfId="55287" xr:uid="{00000000-0005-0000-0000-00002D920000}"/>
    <cellStyle name="Процентный 4 2 2 37 3" xfId="12566" xr:uid="{00000000-0005-0000-0000-00002E920000}"/>
    <cellStyle name="Процентный 4 2 2 37 4" xfId="17906" xr:uid="{00000000-0005-0000-0000-00002F920000}"/>
    <cellStyle name="Процентный 4 2 2 37 5" xfId="23246" xr:uid="{00000000-0005-0000-0000-000030920000}"/>
    <cellStyle name="Процентный 4 2 2 37 6" xfId="28586" xr:uid="{00000000-0005-0000-0000-000031920000}"/>
    <cellStyle name="Процентный 4 2 2 37 7" xfId="33926" xr:uid="{00000000-0005-0000-0000-000032920000}"/>
    <cellStyle name="Процентный 4 2 2 37 8" xfId="39266" xr:uid="{00000000-0005-0000-0000-000033920000}"/>
    <cellStyle name="Процентный 4 2 2 37 9" xfId="44606" xr:uid="{00000000-0005-0000-0000-000034920000}"/>
    <cellStyle name="Процентный 4 2 2 38" xfId="1909" xr:uid="{00000000-0005-0000-0000-000035920000}"/>
    <cellStyle name="Процентный 4 2 2 38 10" xfId="49972" xr:uid="{00000000-0005-0000-0000-000036920000}"/>
    <cellStyle name="Процентный 4 2 2 38 2" xfId="7251" xr:uid="{00000000-0005-0000-0000-000037920000}"/>
    <cellStyle name="Процентный 4 2 2 38 2 2" xfId="55313" xr:uid="{00000000-0005-0000-0000-000038920000}"/>
    <cellStyle name="Процентный 4 2 2 38 3" xfId="12592" xr:uid="{00000000-0005-0000-0000-000039920000}"/>
    <cellStyle name="Процентный 4 2 2 38 4" xfId="17932" xr:uid="{00000000-0005-0000-0000-00003A920000}"/>
    <cellStyle name="Процентный 4 2 2 38 5" xfId="23272" xr:uid="{00000000-0005-0000-0000-00003B920000}"/>
    <cellStyle name="Процентный 4 2 2 38 6" xfId="28612" xr:uid="{00000000-0005-0000-0000-00003C920000}"/>
    <cellStyle name="Процентный 4 2 2 38 7" xfId="33952" xr:uid="{00000000-0005-0000-0000-00003D920000}"/>
    <cellStyle name="Процентный 4 2 2 38 8" xfId="39292" xr:uid="{00000000-0005-0000-0000-00003E920000}"/>
    <cellStyle name="Процентный 4 2 2 38 9" xfId="44632" xr:uid="{00000000-0005-0000-0000-00003F920000}"/>
    <cellStyle name="Процентный 4 2 2 39" xfId="1935" xr:uid="{00000000-0005-0000-0000-000040920000}"/>
    <cellStyle name="Процентный 4 2 2 39 10" xfId="49998" xr:uid="{00000000-0005-0000-0000-000041920000}"/>
    <cellStyle name="Процентный 4 2 2 39 2" xfId="7277" xr:uid="{00000000-0005-0000-0000-000042920000}"/>
    <cellStyle name="Процентный 4 2 2 39 2 2" xfId="55339" xr:uid="{00000000-0005-0000-0000-000043920000}"/>
    <cellStyle name="Процентный 4 2 2 39 3" xfId="12618" xr:uid="{00000000-0005-0000-0000-000044920000}"/>
    <cellStyle name="Процентный 4 2 2 39 4" xfId="17958" xr:uid="{00000000-0005-0000-0000-000045920000}"/>
    <cellStyle name="Процентный 4 2 2 39 5" xfId="23298" xr:uid="{00000000-0005-0000-0000-000046920000}"/>
    <cellStyle name="Процентный 4 2 2 39 6" xfId="28638" xr:uid="{00000000-0005-0000-0000-000047920000}"/>
    <cellStyle name="Процентный 4 2 2 39 7" xfId="33978" xr:uid="{00000000-0005-0000-0000-000048920000}"/>
    <cellStyle name="Процентный 4 2 2 39 8" xfId="39318" xr:uid="{00000000-0005-0000-0000-000049920000}"/>
    <cellStyle name="Процентный 4 2 2 39 9" xfId="44658" xr:uid="{00000000-0005-0000-0000-00004A920000}"/>
    <cellStyle name="Процентный 4 2 2 4" xfId="1028" xr:uid="{00000000-0005-0000-0000-00004B920000}"/>
    <cellStyle name="Процентный 4 2 2 4 10" xfId="49090" xr:uid="{00000000-0005-0000-0000-00004C920000}"/>
    <cellStyle name="Процентный 4 2 2 4 2" xfId="6369" xr:uid="{00000000-0005-0000-0000-00004D920000}"/>
    <cellStyle name="Процентный 4 2 2 4 2 2" xfId="54431" xr:uid="{00000000-0005-0000-0000-00004E920000}"/>
    <cellStyle name="Процентный 4 2 2 4 3" xfId="11710" xr:uid="{00000000-0005-0000-0000-00004F920000}"/>
    <cellStyle name="Процентный 4 2 2 4 4" xfId="17050" xr:uid="{00000000-0005-0000-0000-000050920000}"/>
    <cellStyle name="Процентный 4 2 2 4 5" xfId="22390" xr:uid="{00000000-0005-0000-0000-000051920000}"/>
    <cellStyle name="Процентный 4 2 2 4 6" xfId="27730" xr:uid="{00000000-0005-0000-0000-000052920000}"/>
    <cellStyle name="Процентный 4 2 2 4 7" xfId="33070" xr:uid="{00000000-0005-0000-0000-000053920000}"/>
    <cellStyle name="Процентный 4 2 2 4 8" xfId="38410" xr:uid="{00000000-0005-0000-0000-000054920000}"/>
    <cellStyle name="Процентный 4 2 2 4 9" xfId="43750" xr:uid="{00000000-0005-0000-0000-000055920000}"/>
    <cellStyle name="Процентный 4 2 2 40" xfId="1963" xr:uid="{00000000-0005-0000-0000-000056920000}"/>
    <cellStyle name="Процентный 4 2 2 40 10" xfId="50026" xr:uid="{00000000-0005-0000-0000-000057920000}"/>
    <cellStyle name="Процентный 4 2 2 40 2" xfId="7305" xr:uid="{00000000-0005-0000-0000-000058920000}"/>
    <cellStyle name="Процентный 4 2 2 40 2 2" xfId="55367" xr:uid="{00000000-0005-0000-0000-000059920000}"/>
    <cellStyle name="Процентный 4 2 2 40 3" xfId="12646" xr:uid="{00000000-0005-0000-0000-00005A920000}"/>
    <cellStyle name="Процентный 4 2 2 40 4" xfId="17986" xr:uid="{00000000-0005-0000-0000-00005B920000}"/>
    <cellStyle name="Процентный 4 2 2 40 5" xfId="23326" xr:uid="{00000000-0005-0000-0000-00005C920000}"/>
    <cellStyle name="Процентный 4 2 2 40 6" xfId="28666" xr:uid="{00000000-0005-0000-0000-00005D920000}"/>
    <cellStyle name="Процентный 4 2 2 40 7" xfId="34006" xr:uid="{00000000-0005-0000-0000-00005E920000}"/>
    <cellStyle name="Процентный 4 2 2 40 8" xfId="39346" xr:uid="{00000000-0005-0000-0000-00005F920000}"/>
    <cellStyle name="Процентный 4 2 2 40 9" xfId="44686" xr:uid="{00000000-0005-0000-0000-000060920000}"/>
    <cellStyle name="Процентный 4 2 2 41" xfId="1990" xr:uid="{00000000-0005-0000-0000-000061920000}"/>
    <cellStyle name="Процентный 4 2 2 41 10" xfId="50054" xr:uid="{00000000-0005-0000-0000-000062920000}"/>
    <cellStyle name="Процентный 4 2 2 41 2" xfId="7333" xr:uid="{00000000-0005-0000-0000-000063920000}"/>
    <cellStyle name="Процентный 4 2 2 41 2 2" xfId="55395" xr:uid="{00000000-0005-0000-0000-000064920000}"/>
    <cellStyle name="Процентный 4 2 2 41 3" xfId="12674" xr:uid="{00000000-0005-0000-0000-000065920000}"/>
    <cellStyle name="Процентный 4 2 2 41 4" xfId="18014" xr:uid="{00000000-0005-0000-0000-000066920000}"/>
    <cellStyle name="Процентный 4 2 2 41 5" xfId="23354" xr:uid="{00000000-0005-0000-0000-000067920000}"/>
    <cellStyle name="Процентный 4 2 2 41 6" xfId="28694" xr:uid="{00000000-0005-0000-0000-000068920000}"/>
    <cellStyle name="Процентный 4 2 2 41 7" xfId="34034" xr:uid="{00000000-0005-0000-0000-000069920000}"/>
    <cellStyle name="Процентный 4 2 2 41 8" xfId="39374" xr:uid="{00000000-0005-0000-0000-00006A920000}"/>
    <cellStyle name="Процентный 4 2 2 41 9" xfId="44714" xr:uid="{00000000-0005-0000-0000-00006B920000}"/>
    <cellStyle name="Процентный 4 2 2 42" xfId="2018" xr:uid="{00000000-0005-0000-0000-00006C920000}"/>
    <cellStyle name="Процентный 4 2 2 42 10" xfId="50082" xr:uid="{00000000-0005-0000-0000-00006D920000}"/>
    <cellStyle name="Процентный 4 2 2 42 2" xfId="7361" xr:uid="{00000000-0005-0000-0000-00006E920000}"/>
    <cellStyle name="Процентный 4 2 2 42 2 2" xfId="55423" xr:uid="{00000000-0005-0000-0000-00006F920000}"/>
    <cellStyle name="Процентный 4 2 2 42 3" xfId="12702" xr:uid="{00000000-0005-0000-0000-000070920000}"/>
    <cellStyle name="Процентный 4 2 2 42 4" xfId="18042" xr:uid="{00000000-0005-0000-0000-000071920000}"/>
    <cellStyle name="Процентный 4 2 2 42 5" xfId="23382" xr:uid="{00000000-0005-0000-0000-000072920000}"/>
    <cellStyle name="Процентный 4 2 2 42 6" xfId="28722" xr:uid="{00000000-0005-0000-0000-000073920000}"/>
    <cellStyle name="Процентный 4 2 2 42 7" xfId="34062" xr:uid="{00000000-0005-0000-0000-000074920000}"/>
    <cellStyle name="Процентный 4 2 2 42 8" xfId="39402" xr:uid="{00000000-0005-0000-0000-000075920000}"/>
    <cellStyle name="Процентный 4 2 2 42 9" xfId="44742" xr:uid="{00000000-0005-0000-0000-000076920000}"/>
    <cellStyle name="Процентный 4 2 2 43" xfId="2046" xr:uid="{00000000-0005-0000-0000-000077920000}"/>
    <cellStyle name="Процентный 4 2 2 43 10" xfId="50110" xr:uid="{00000000-0005-0000-0000-000078920000}"/>
    <cellStyle name="Процентный 4 2 2 43 2" xfId="7389" xr:uid="{00000000-0005-0000-0000-000079920000}"/>
    <cellStyle name="Процентный 4 2 2 43 2 2" xfId="55451" xr:uid="{00000000-0005-0000-0000-00007A920000}"/>
    <cellStyle name="Процентный 4 2 2 43 3" xfId="12730" xr:uid="{00000000-0005-0000-0000-00007B920000}"/>
    <cellStyle name="Процентный 4 2 2 43 4" xfId="18070" xr:uid="{00000000-0005-0000-0000-00007C920000}"/>
    <cellStyle name="Процентный 4 2 2 43 5" xfId="23410" xr:uid="{00000000-0005-0000-0000-00007D920000}"/>
    <cellStyle name="Процентный 4 2 2 43 6" xfId="28750" xr:uid="{00000000-0005-0000-0000-00007E920000}"/>
    <cellStyle name="Процентный 4 2 2 43 7" xfId="34090" xr:uid="{00000000-0005-0000-0000-00007F920000}"/>
    <cellStyle name="Процентный 4 2 2 43 8" xfId="39430" xr:uid="{00000000-0005-0000-0000-000080920000}"/>
    <cellStyle name="Процентный 4 2 2 43 9" xfId="44770" xr:uid="{00000000-0005-0000-0000-000081920000}"/>
    <cellStyle name="Процентный 4 2 2 44" xfId="2074" xr:uid="{00000000-0005-0000-0000-000082920000}"/>
    <cellStyle name="Процентный 4 2 2 44 10" xfId="50138" xr:uid="{00000000-0005-0000-0000-000083920000}"/>
    <cellStyle name="Процентный 4 2 2 44 2" xfId="7417" xr:uid="{00000000-0005-0000-0000-000084920000}"/>
    <cellStyle name="Процентный 4 2 2 44 2 2" xfId="55479" xr:uid="{00000000-0005-0000-0000-000085920000}"/>
    <cellStyle name="Процентный 4 2 2 44 3" xfId="12758" xr:uid="{00000000-0005-0000-0000-000086920000}"/>
    <cellStyle name="Процентный 4 2 2 44 4" xfId="18098" xr:uid="{00000000-0005-0000-0000-000087920000}"/>
    <cellStyle name="Процентный 4 2 2 44 5" xfId="23438" xr:uid="{00000000-0005-0000-0000-000088920000}"/>
    <cellStyle name="Процентный 4 2 2 44 6" xfId="28778" xr:uid="{00000000-0005-0000-0000-000089920000}"/>
    <cellStyle name="Процентный 4 2 2 44 7" xfId="34118" xr:uid="{00000000-0005-0000-0000-00008A920000}"/>
    <cellStyle name="Процентный 4 2 2 44 8" xfId="39458" xr:uid="{00000000-0005-0000-0000-00008B920000}"/>
    <cellStyle name="Процентный 4 2 2 44 9" xfId="44798" xr:uid="{00000000-0005-0000-0000-00008C920000}"/>
    <cellStyle name="Процентный 4 2 2 45" xfId="2102" xr:uid="{00000000-0005-0000-0000-00008D920000}"/>
    <cellStyle name="Процентный 4 2 2 45 10" xfId="50166" xr:uid="{00000000-0005-0000-0000-00008E920000}"/>
    <cellStyle name="Процентный 4 2 2 45 2" xfId="7445" xr:uid="{00000000-0005-0000-0000-00008F920000}"/>
    <cellStyle name="Процентный 4 2 2 45 2 2" xfId="55507" xr:uid="{00000000-0005-0000-0000-000090920000}"/>
    <cellStyle name="Процентный 4 2 2 45 3" xfId="12786" xr:uid="{00000000-0005-0000-0000-000091920000}"/>
    <cellStyle name="Процентный 4 2 2 45 4" xfId="18126" xr:uid="{00000000-0005-0000-0000-000092920000}"/>
    <cellStyle name="Процентный 4 2 2 45 5" xfId="23466" xr:uid="{00000000-0005-0000-0000-000093920000}"/>
    <cellStyle name="Процентный 4 2 2 45 6" xfId="28806" xr:uid="{00000000-0005-0000-0000-000094920000}"/>
    <cellStyle name="Процентный 4 2 2 45 7" xfId="34146" xr:uid="{00000000-0005-0000-0000-000095920000}"/>
    <cellStyle name="Процентный 4 2 2 45 8" xfId="39486" xr:uid="{00000000-0005-0000-0000-000096920000}"/>
    <cellStyle name="Процентный 4 2 2 45 9" xfId="44826" xr:uid="{00000000-0005-0000-0000-000097920000}"/>
    <cellStyle name="Процентный 4 2 2 46" xfId="2130" xr:uid="{00000000-0005-0000-0000-000098920000}"/>
    <cellStyle name="Процентный 4 2 2 46 10" xfId="50194" xr:uid="{00000000-0005-0000-0000-000099920000}"/>
    <cellStyle name="Процентный 4 2 2 46 2" xfId="7473" xr:uid="{00000000-0005-0000-0000-00009A920000}"/>
    <cellStyle name="Процентный 4 2 2 46 2 2" xfId="55535" xr:uid="{00000000-0005-0000-0000-00009B920000}"/>
    <cellStyle name="Процентный 4 2 2 46 3" xfId="12814" xr:uid="{00000000-0005-0000-0000-00009C920000}"/>
    <cellStyle name="Процентный 4 2 2 46 4" xfId="18154" xr:uid="{00000000-0005-0000-0000-00009D920000}"/>
    <cellStyle name="Процентный 4 2 2 46 5" xfId="23494" xr:uid="{00000000-0005-0000-0000-00009E920000}"/>
    <cellStyle name="Процентный 4 2 2 46 6" xfId="28834" xr:uid="{00000000-0005-0000-0000-00009F920000}"/>
    <cellStyle name="Процентный 4 2 2 46 7" xfId="34174" xr:uid="{00000000-0005-0000-0000-0000A0920000}"/>
    <cellStyle name="Процентный 4 2 2 46 8" xfId="39514" xr:uid="{00000000-0005-0000-0000-0000A1920000}"/>
    <cellStyle name="Процентный 4 2 2 46 9" xfId="44854" xr:uid="{00000000-0005-0000-0000-0000A2920000}"/>
    <cellStyle name="Процентный 4 2 2 47" xfId="2160" xr:uid="{00000000-0005-0000-0000-0000A3920000}"/>
    <cellStyle name="Процентный 4 2 2 47 10" xfId="50224" xr:uid="{00000000-0005-0000-0000-0000A4920000}"/>
    <cellStyle name="Процентный 4 2 2 47 2" xfId="7503" xr:uid="{00000000-0005-0000-0000-0000A5920000}"/>
    <cellStyle name="Процентный 4 2 2 47 2 2" xfId="55565" xr:uid="{00000000-0005-0000-0000-0000A6920000}"/>
    <cellStyle name="Процентный 4 2 2 47 3" xfId="12844" xr:uid="{00000000-0005-0000-0000-0000A7920000}"/>
    <cellStyle name="Процентный 4 2 2 47 4" xfId="18184" xr:uid="{00000000-0005-0000-0000-0000A8920000}"/>
    <cellStyle name="Процентный 4 2 2 47 5" xfId="23524" xr:uid="{00000000-0005-0000-0000-0000A9920000}"/>
    <cellStyle name="Процентный 4 2 2 47 6" xfId="28864" xr:uid="{00000000-0005-0000-0000-0000AA920000}"/>
    <cellStyle name="Процентный 4 2 2 47 7" xfId="34204" xr:uid="{00000000-0005-0000-0000-0000AB920000}"/>
    <cellStyle name="Процентный 4 2 2 47 8" xfId="39544" xr:uid="{00000000-0005-0000-0000-0000AC920000}"/>
    <cellStyle name="Процентный 4 2 2 47 9" xfId="44884" xr:uid="{00000000-0005-0000-0000-0000AD920000}"/>
    <cellStyle name="Процентный 4 2 2 48" xfId="2190" xr:uid="{00000000-0005-0000-0000-0000AE920000}"/>
    <cellStyle name="Процентный 4 2 2 48 10" xfId="50254" xr:uid="{00000000-0005-0000-0000-0000AF920000}"/>
    <cellStyle name="Процентный 4 2 2 48 2" xfId="7533" xr:uid="{00000000-0005-0000-0000-0000B0920000}"/>
    <cellStyle name="Процентный 4 2 2 48 2 2" xfId="55595" xr:uid="{00000000-0005-0000-0000-0000B1920000}"/>
    <cellStyle name="Процентный 4 2 2 48 3" xfId="12874" xr:uid="{00000000-0005-0000-0000-0000B2920000}"/>
    <cellStyle name="Процентный 4 2 2 48 4" xfId="18214" xr:uid="{00000000-0005-0000-0000-0000B3920000}"/>
    <cellStyle name="Процентный 4 2 2 48 5" xfId="23554" xr:uid="{00000000-0005-0000-0000-0000B4920000}"/>
    <cellStyle name="Процентный 4 2 2 48 6" xfId="28894" xr:uid="{00000000-0005-0000-0000-0000B5920000}"/>
    <cellStyle name="Процентный 4 2 2 48 7" xfId="34234" xr:uid="{00000000-0005-0000-0000-0000B6920000}"/>
    <cellStyle name="Процентный 4 2 2 48 8" xfId="39574" xr:uid="{00000000-0005-0000-0000-0000B7920000}"/>
    <cellStyle name="Процентный 4 2 2 48 9" xfId="44914" xr:uid="{00000000-0005-0000-0000-0000B8920000}"/>
    <cellStyle name="Процентный 4 2 2 49" xfId="2220" xr:uid="{00000000-0005-0000-0000-0000B9920000}"/>
    <cellStyle name="Процентный 4 2 2 49 10" xfId="50284" xr:uid="{00000000-0005-0000-0000-0000BA920000}"/>
    <cellStyle name="Процентный 4 2 2 49 2" xfId="7563" xr:uid="{00000000-0005-0000-0000-0000BB920000}"/>
    <cellStyle name="Процентный 4 2 2 49 2 2" xfId="55625" xr:uid="{00000000-0005-0000-0000-0000BC920000}"/>
    <cellStyle name="Процентный 4 2 2 49 3" xfId="12904" xr:uid="{00000000-0005-0000-0000-0000BD920000}"/>
    <cellStyle name="Процентный 4 2 2 49 4" xfId="18244" xr:uid="{00000000-0005-0000-0000-0000BE920000}"/>
    <cellStyle name="Процентный 4 2 2 49 5" xfId="23584" xr:uid="{00000000-0005-0000-0000-0000BF920000}"/>
    <cellStyle name="Процентный 4 2 2 49 6" xfId="28924" xr:uid="{00000000-0005-0000-0000-0000C0920000}"/>
    <cellStyle name="Процентный 4 2 2 49 7" xfId="34264" xr:uid="{00000000-0005-0000-0000-0000C1920000}"/>
    <cellStyle name="Процентный 4 2 2 49 8" xfId="39604" xr:uid="{00000000-0005-0000-0000-0000C2920000}"/>
    <cellStyle name="Процентный 4 2 2 49 9" xfId="44944" xr:uid="{00000000-0005-0000-0000-0000C3920000}"/>
    <cellStyle name="Процентный 4 2 2 5" xfId="1052" xr:uid="{00000000-0005-0000-0000-0000C4920000}"/>
    <cellStyle name="Процентный 4 2 2 5 10" xfId="49114" xr:uid="{00000000-0005-0000-0000-0000C5920000}"/>
    <cellStyle name="Процентный 4 2 2 5 2" xfId="6393" xr:uid="{00000000-0005-0000-0000-0000C6920000}"/>
    <cellStyle name="Процентный 4 2 2 5 2 2" xfId="54455" xr:uid="{00000000-0005-0000-0000-0000C7920000}"/>
    <cellStyle name="Процентный 4 2 2 5 3" xfId="11734" xr:uid="{00000000-0005-0000-0000-0000C8920000}"/>
    <cellStyle name="Процентный 4 2 2 5 4" xfId="17074" xr:uid="{00000000-0005-0000-0000-0000C9920000}"/>
    <cellStyle name="Процентный 4 2 2 5 5" xfId="22414" xr:uid="{00000000-0005-0000-0000-0000CA920000}"/>
    <cellStyle name="Процентный 4 2 2 5 6" xfId="27754" xr:uid="{00000000-0005-0000-0000-0000CB920000}"/>
    <cellStyle name="Процентный 4 2 2 5 7" xfId="33094" xr:uid="{00000000-0005-0000-0000-0000CC920000}"/>
    <cellStyle name="Процентный 4 2 2 5 8" xfId="38434" xr:uid="{00000000-0005-0000-0000-0000CD920000}"/>
    <cellStyle name="Процентный 4 2 2 5 9" xfId="43774" xr:uid="{00000000-0005-0000-0000-0000CE920000}"/>
    <cellStyle name="Процентный 4 2 2 50" xfId="2250" xr:uid="{00000000-0005-0000-0000-0000CF920000}"/>
    <cellStyle name="Процентный 4 2 2 50 10" xfId="50314" xr:uid="{00000000-0005-0000-0000-0000D0920000}"/>
    <cellStyle name="Процентный 4 2 2 50 2" xfId="7593" xr:uid="{00000000-0005-0000-0000-0000D1920000}"/>
    <cellStyle name="Процентный 4 2 2 50 2 2" xfId="55655" xr:uid="{00000000-0005-0000-0000-0000D2920000}"/>
    <cellStyle name="Процентный 4 2 2 50 3" xfId="12934" xr:uid="{00000000-0005-0000-0000-0000D3920000}"/>
    <cellStyle name="Процентный 4 2 2 50 4" xfId="18274" xr:uid="{00000000-0005-0000-0000-0000D4920000}"/>
    <cellStyle name="Процентный 4 2 2 50 5" xfId="23614" xr:uid="{00000000-0005-0000-0000-0000D5920000}"/>
    <cellStyle name="Процентный 4 2 2 50 6" xfId="28954" xr:uid="{00000000-0005-0000-0000-0000D6920000}"/>
    <cellStyle name="Процентный 4 2 2 50 7" xfId="34294" xr:uid="{00000000-0005-0000-0000-0000D7920000}"/>
    <cellStyle name="Процентный 4 2 2 50 8" xfId="39634" xr:uid="{00000000-0005-0000-0000-0000D8920000}"/>
    <cellStyle name="Процентный 4 2 2 50 9" xfId="44974" xr:uid="{00000000-0005-0000-0000-0000D9920000}"/>
    <cellStyle name="Процентный 4 2 2 51" xfId="2280" xr:uid="{00000000-0005-0000-0000-0000DA920000}"/>
    <cellStyle name="Процентный 4 2 2 51 10" xfId="50344" xr:uid="{00000000-0005-0000-0000-0000DB920000}"/>
    <cellStyle name="Процентный 4 2 2 51 2" xfId="7623" xr:uid="{00000000-0005-0000-0000-0000DC920000}"/>
    <cellStyle name="Процентный 4 2 2 51 2 2" xfId="55685" xr:uid="{00000000-0005-0000-0000-0000DD920000}"/>
    <cellStyle name="Процентный 4 2 2 51 3" xfId="12964" xr:uid="{00000000-0005-0000-0000-0000DE920000}"/>
    <cellStyle name="Процентный 4 2 2 51 4" xfId="18304" xr:uid="{00000000-0005-0000-0000-0000DF920000}"/>
    <cellStyle name="Процентный 4 2 2 51 5" xfId="23644" xr:uid="{00000000-0005-0000-0000-0000E0920000}"/>
    <cellStyle name="Процентный 4 2 2 51 6" xfId="28984" xr:uid="{00000000-0005-0000-0000-0000E1920000}"/>
    <cellStyle name="Процентный 4 2 2 51 7" xfId="34324" xr:uid="{00000000-0005-0000-0000-0000E2920000}"/>
    <cellStyle name="Процентный 4 2 2 51 8" xfId="39664" xr:uid="{00000000-0005-0000-0000-0000E3920000}"/>
    <cellStyle name="Процентный 4 2 2 51 9" xfId="45004" xr:uid="{00000000-0005-0000-0000-0000E4920000}"/>
    <cellStyle name="Процентный 4 2 2 52" xfId="2310" xr:uid="{00000000-0005-0000-0000-0000E5920000}"/>
    <cellStyle name="Процентный 4 2 2 52 10" xfId="50374" xr:uid="{00000000-0005-0000-0000-0000E6920000}"/>
    <cellStyle name="Процентный 4 2 2 52 2" xfId="7653" xr:uid="{00000000-0005-0000-0000-0000E7920000}"/>
    <cellStyle name="Процентный 4 2 2 52 2 2" xfId="55715" xr:uid="{00000000-0005-0000-0000-0000E8920000}"/>
    <cellStyle name="Процентный 4 2 2 52 3" xfId="12994" xr:uid="{00000000-0005-0000-0000-0000E9920000}"/>
    <cellStyle name="Процентный 4 2 2 52 4" xfId="18334" xr:uid="{00000000-0005-0000-0000-0000EA920000}"/>
    <cellStyle name="Процентный 4 2 2 52 5" xfId="23674" xr:uid="{00000000-0005-0000-0000-0000EB920000}"/>
    <cellStyle name="Процентный 4 2 2 52 6" xfId="29014" xr:uid="{00000000-0005-0000-0000-0000EC920000}"/>
    <cellStyle name="Процентный 4 2 2 52 7" xfId="34354" xr:uid="{00000000-0005-0000-0000-0000ED920000}"/>
    <cellStyle name="Процентный 4 2 2 52 8" xfId="39694" xr:uid="{00000000-0005-0000-0000-0000EE920000}"/>
    <cellStyle name="Процентный 4 2 2 52 9" xfId="45034" xr:uid="{00000000-0005-0000-0000-0000EF920000}"/>
    <cellStyle name="Процентный 4 2 2 53" xfId="2340" xr:uid="{00000000-0005-0000-0000-0000F0920000}"/>
    <cellStyle name="Процентный 4 2 2 53 10" xfId="50404" xr:uid="{00000000-0005-0000-0000-0000F1920000}"/>
    <cellStyle name="Процентный 4 2 2 53 2" xfId="7683" xr:uid="{00000000-0005-0000-0000-0000F2920000}"/>
    <cellStyle name="Процентный 4 2 2 53 2 2" xfId="55745" xr:uid="{00000000-0005-0000-0000-0000F3920000}"/>
    <cellStyle name="Процентный 4 2 2 53 3" xfId="13024" xr:uid="{00000000-0005-0000-0000-0000F4920000}"/>
    <cellStyle name="Процентный 4 2 2 53 4" xfId="18364" xr:uid="{00000000-0005-0000-0000-0000F5920000}"/>
    <cellStyle name="Процентный 4 2 2 53 5" xfId="23704" xr:uid="{00000000-0005-0000-0000-0000F6920000}"/>
    <cellStyle name="Процентный 4 2 2 53 6" xfId="29044" xr:uid="{00000000-0005-0000-0000-0000F7920000}"/>
    <cellStyle name="Процентный 4 2 2 53 7" xfId="34384" xr:uid="{00000000-0005-0000-0000-0000F8920000}"/>
    <cellStyle name="Процентный 4 2 2 53 8" xfId="39724" xr:uid="{00000000-0005-0000-0000-0000F9920000}"/>
    <cellStyle name="Процентный 4 2 2 53 9" xfId="45064" xr:uid="{00000000-0005-0000-0000-0000FA920000}"/>
    <cellStyle name="Процентный 4 2 2 54" xfId="2370" xr:uid="{00000000-0005-0000-0000-0000FB920000}"/>
    <cellStyle name="Процентный 4 2 2 54 10" xfId="50434" xr:uid="{00000000-0005-0000-0000-0000FC920000}"/>
    <cellStyle name="Процентный 4 2 2 54 2" xfId="7713" xr:uid="{00000000-0005-0000-0000-0000FD920000}"/>
    <cellStyle name="Процентный 4 2 2 54 2 2" xfId="55775" xr:uid="{00000000-0005-0000-0000-0000FE920000}"/>
    <cellStyle name="Процентный 4 2 2 54 3" xfId="13054" xr:uid="{00000000-0005-0000-0000-0000FF920000}"/>
    <cellStyle name="Процентный 4 2 2 54 4" xfId="18394" xr:uid="{00000000-0005-0000-0000-000000930000}"/>
    <cellStyle name="Процентный 4 2 2 54 5" xfId="23734" xr:uid="{00000000-0005-0000-0000-000001930000}"/>
    <cellStyle name="Процентный 4 2 2 54 6" xfId="29074" xr:uid="{00000000-0005-0000-0000-000002930000}"/>
    <cellStyle name="Процентный 4 2 2 54 7" xfId="34414" xr:uid="{00000000-0005-0000-0000-000003930000}"/>
    <cellStyle name="Процентный 4 2 2 54 8" xfId="39754" xr:uid="{00000000-0005-0000-0000-000004930000}"/>
    <cellStyle name="Процентный 4 2 2 54 9" xfId="45094" xr:uid="{00000000-0005-0000-0000-000005930000}"/>
    <cellStyle name="Процентный 4 2 2 55" xfId="2400" xr:uid="{00000000-0005-0000-0000-000006930000}"/>
    <cellStyle name="Процентный 4 2 2 55 10" xfId="50464" xr:uid="{00000000-0005-0000-0000-000007930000}"/>
    <cellStyle name="Процентный 4 2 2 55 2" xfId="7743" xr:uid="{00000000-0005-0000-0000-000008930000}"/>
    <cellStyle name="Процентный 4 2 2 55 2 2" xfId="55805" xr:uid="{00000000-0005-0000-0000-000009930000}"/>
    <cellStyle name="Процентный 4 2 2 55 3" xfId="13084" xr:uid="{00000000-0005-0000-0000-00000A930000}"/>
    <cellStyle name="Процентный 4 2 2 55 4" xfId="18424" xr:uid="{00000000-0005-0000-0000-00000B930000}"/>
    <cellStyle name="Процентный 4 2 2 55 5" xfId="23764" xr:uid="{00000000-0005-0000-0000-00000C930000}"/>
    <cellStyle name="Процентный 4 2 2 55 6" xfId="29104" xr:uid="{00000000-0005-0000-0000-00000D930000}"/>
    <cellStyle name="Процентный 4 2 2 55 7" xfId="34444" xr:uid="{00000000-0005-0000-0000-00000E930000}"/>
    <cellStyle name="Процентный 4 2 2 55 8" xfId="39784" xr:uid="{00000000-0005-0000-0000-00000F930000}"/>
    <cellStyle name="Процентный 4 2 2 55 9" xfId="45124" xr:uid="{00000000-0005-0000-0000-000010930000}"/>
    <cellStyle name="Процентный 4 2 2 56" xfId="2430" xr:uid="{00000000-0005-0000-0000-000011930000}"/>
    <cellStyle name="Процентный 4 2 2 56 10" xfId="50494" xr:uid="{00000000-0005-0000-0000-000012930000}"/>
    <cellStyle name="Процентный 4 2 2 56 2" xfId="7773" xr:uid="{00000000-0005-0000-0000-000013930000}"/>
    <cellStyle name="Процентный 4 2 2 56 2 2" xfId="55835" xr:uid="{00000000-0005-0000-0000-000014930000}"/>
    <cellStyle name="Процентный 4 2 2 56 3" xfId="13114" xr:uid="{00000000-0005-0000-0000-000015930000}"/>
    <cellStyle name="Процентный 4 2 2 56 4" xfId="18454" xr:uid="{00000000-0005-0000-0000-000016930000}"/>
    <cellStyle name="Процентный 4 2 2 56 5" xfId="23794" xr:uid="{00000000-0005-0000-0000-000017930000}"/>
    <cellStyle name="Процентный 4 2 2 56 6" xfId="29134" xr:uid="{00000000-0005-0000-0000-000018930000}"/>
    <cellStyle name="Процентный 4 2 2 56 7" xfId="34474" xr:uid="{00000000-0005-0000-0000-000019930000}"/>
    <cellStyle name="Процентный 4 2 2 56 8" xfId="39814" xr:uid="{00000000-0005-0000-0000-00001A930000}"/>
    <cellStyle name="Процентный 4 2 2 56 9" xfId="45154" xr:uid="{00000000-0005-0000-0000-00001B930000}"/>
    <cellStyle name="Процентный 4 2 2 57" xfId="2460" xr:uid="{00000000-0005-0000-0000-00001C930000}"/>
    <cellStyle name="Процентный 4 2 2 57 10" xfId="50524" xr:uid="{00000000-0005-0000-0000-00001D930000}"/>
    <cellStyle name="Процентный 4 2 2 57 2" xfId="7803" xr:uid="{00000000-0005-0000-0000-00001E930000}"/>
    <cellStyle name="Процентный 4 2 2 57 2 2" xfId="55865" xr:uid="{00000000-0005-0000-0000-00001F930000}"/>
    <cellStyle name="Процентный 4 2 2 57 3" xfId="13144" xr:uid="{00000000-0005-0000-0000-000020930000}"/>
    <cellStyle name="Процентный 4 2 2 57 4" xfId="18484" xr:uid="{00000000-0005-0000-0000-000021930000}"/>
    <cellStyle name="Процентный 4 2 2 57 5" xfId="23824" xr:uid="{00000000-0005-0000-0000-000022930000}"/>
    <cellStyle name="Процентный 4 2 2 57 6" xfId="29164" xr:uid="{00000000-0005-0000-0000-000023930000}"/>
    <cellStyle name="Процентный 4 2 2 57 7" xfId="34504" xr:uid="{00000000-0005-0000-0000-000024930000}"/>
    <cellStyle name="Процентный 4 2 2 57 8" xfId="39844" xr:uid="{00000000-0005-0000-0000-000025930000}"/>
    <cellStyle name="Процентный 4 2 2 57 9" xfId="45184" xr:uid="{00000000-0005-0000-0000-000026930000}"/>
    <cellStyle name="Процентный 4 2 2 58" xfId="2490" xr:uid="{00000000-0005-0000-0000-000027930000}"/>
    <cellStyle name="Процентный 4 2 2 58 10" xfId="50554" xr:uid="{00000000-0005-0000-0000-000028930000}"/>
    <cellStyle name="Процентный 4 2 2 58 2" xfId="7833" xr:uid="{00000000-0005-0000-0000-000029930000}"/>
    <cellStyle name="Процентный 4 2 2 58 2 2" xfId="55895" xr:uid="{00000000-0005-0000-0000-00002A930000}"/>
    <cellStyle name="Процентный 4 2 2 58 3" xfId="13174" xr:uid="{00000000-0005-0000-0000-00002B930000}"/>
    <cellStyle name="Процентный 4 2 2 58 4" xfId="18514" xr:uid="{00000000-0005-0000-0000-00002C930000}"/>
    <cellStyle name="Процентный 4 2 2 58 5" xfId="23854" xr:uid="{00000000-0005-0000-0000-00002D930000}"/>
    <cellStyle name="Процентный 4 2 2 58 6" xfId="29194" xr:uid="{00000000-0005-0000-0000-00002E930000}"/>
    <cellStyle name="Процентный 4 2 2 58 7" xfId="34534" xr:uid="{00000000-0005-0000-0000-00002F930000}"/>
    <cellStyle name="Процентный 4 2 2 58 8" xfId="39874" xr:uid="{00000000-0005-0000-0000-000030930000}"/>
    <cellStyle name="Процентный 4 2 2 58 9" xfId="45214" xr:uid="{00000000-0005-0000-0000-000031930000}"/>
    <cellStyle name="Процентный 4 2 2 59" xfId="2522" xr:uid="{00000000-0005-0000-0000-000032930000}"/>
    <cellStyle name="Процентный 4 2 2 59 10" xfId="50586" xr:uid="{00000000-0005-0000-0000-000033930000}"/>
    <cellStyle name="Процентный 4 2 2 59 2" xfId="7865" xr:uid="{00000000-0005-0000-0000-000034930000}"/>
    <cellStyle name="Процентный 4 2 2 59 2 2" xfId="55927" xr:uid="{00000000-0005-0000-0000-000035930000}"/>
    <cellStyle name="Процентный 4 2 2 59 3" xfId="13206" xr:uid="{00000000-0005-0000-0000-000036930000}"/>
    <cellStyle name="Процентный 4 2 2 59 4" xfId="18546" xr:uid="{00000000-0005-0000-0000-000037930000}"/>
    <cellStyle name="Процентный 4 2 2 59 5" xfId="23886" xr:uid="{00000000-0005-0000-0000-000038930000}"/>
    <cellStyle name="Процентный 4 2 2 59 6" xfId="29226" xr:uid="{00000000-0005-0000-0000-000039930000}"/>
    <cellStyle name="Процентный 4 2 2 59 7" xfId="34566" xr:uid="{00000000-0005-0000-0000-00003A930000}"/>
    <cellStyle name="Процентный 4 2 2 59 8" xfId="39906" xr:uid="{00000000-0005-0000-0000-00003B930000}"/>
    <cellStyle name="Процентный 4 2 2 59 9" xfId="45246" xr:uid="{00000000-0005-0000-0000-00003C930000}"/>
    <cellStyle name="Процентный 4 2 2 6" xfId="1077" xr:uid="{00000000-0005-0000-0000-00003D930000}"/>
    <cellStyle name="Процентный 4 2 2 6 10" xfId="49140" xr:uid="{00000000-0005-0000-0000-00003E930000}"/>
    <cellStyle name="Процентный 4 2 2 6 2" xfId="6419" xr:uid="{00000000-0005-0000-0000-00003F930000}"/>
    <cellStyle name="Процентный 4 2 2 6 2 2" xfId="54481" xr:uid="{00000000-0005-0000-0000-000040930000}"/>
    <cellStyle name="Процентный 4 2 2 6 3" xfId="11760" xr:uid="{00000000-0005-0000-0000-000041930000}"/>
    <cellStyle name="Процентный 4 2 2 6 4" xfId="17100" xr:uid="{00000000-0005-0000-0000-000042930000}"/>
    <cellStyle name="Процентный 4 2 2 6 5" xfId="22440" xr:uid="{00000000-0005-0000-0000-000043930000}"/>
    <cellStyle name="Процентный 4 2 2 6 6" xfId="27780" xr:uid="{00000000-0005-0000-0000-000044930000}"/>
    <cellStyle name="Процентный 4 2 2 6 7" xfId="33120" xr:uid="{00000000-0005-0000-0000-000045930000}"/>
    <cellStyle name="Процентный 4 2 2 6 8" xfId="38460" xr:uid="{00000000-0005-0000-0000-000046930000}"/>
    <cellStyle name="Процентный 4 2 2 6 9" xfId="43800" xr:uid="{00000000-0005-0000-0000-000047930000}"/>
    <cellStyle name="Процентный 4 2 2 60" xfId="2556" xr:uid="{00000000-0005-0000-0000-000048930000}"/>
    <cellStyle name="Процентный 4 2 2 60 10" xfId="50620" xr:uid="{00000000-0005-0000-0000-000049930000}"/>
    <cellStyle name="Процентный 4 2 2 60 2" xfId="7899" xr:uid="{00000000-0005-0000-0000-00004A930000}"/>
    <cellStyle name="Процентный 4 2 2 60 2 2" xfId="55961" xr:uid="{00000000-0005-0000-0000-00004B930000}"/>
    <cellStyle name="Процентный 4 2 2 60 3" xfId="13240" xr:uid="{00000000-0005-0000-0000-00004C930000}"/>
    <cellStyle name="Процентный 4 2 2 60 4" xfId="18580" xr:uid="{00000000-0005-0000-0000-00004D930000}"/>
    <cellStyle name="Процентный 4 2 2 60 5" xfId="23920" xr:uid="{00000000-0005-0000-0000-00004E930000}"/>
    <cellStyle name="Процентный 4 2 2 60 6" xfId="29260" xr:uid="{00000000-0005-0000-0000-00004F930000}"/>
    <cellStyle name="Процентный 4 2 2 60 7" xfId="34600" xr:uid="{00000000-0005-0000-0000-000050930000}"/>
    <cellStyle name="Процентный 4 2 2 60 8" xfId="39940" xr:uid="{00000000-0005-0000-0000-000051930000}"/>
    <cellStyle name="Процентный 4 2 2 60 9" xfId="45280" xr:uid="{00000000-0005-0000-0000-000052930000}"/>
    <cellStyle name="Процентный 4 2 2 61" xfId="2588" xr:uid="{00000000-0005-0000-0000-000053930000}"/>
    <cellStyle name="Процентный 4 2 2 61 10" xfId="50652" xr:uid="{00000000-0005-0000-0000-000054930000}"/>
    <cellStyle name="Процентный 4 2 2 61 2" xfId="7931" xr:uid="{00000000-0005-0000-0000-000055930000}"/>
    <cellStyle name="Процентный 4 2 2 61 2 2" xfId="55993" xr:uid="{00000000-0005-0000-0000-000056930000}"/>
    <cellStyle name="Процентный 4 2 2 61 3" xfId="13272" xr:uid="{00000000-0005-0000-0000-000057930000}"/>
    <cellStyle name="Процентный 4 2 2 61 4" xfId="18612" xr:uid="{00000000-0005-0000-0000-000058930000}"/>
    <cellStyle name="Процентный 4 2 2 61 5" xfId="23952" xr:uid="{00000000-0005-0000-0000-000059930000}"/>
    <cellStyle name="Процентный 4 2 2 61 6" xfId="29292" xr:uid="{00000000-0005-0000-0000-00005A930000}"/>
    <cellStyle name="Процентный 4 2 2 61 7" xfId="34632" xr:uid="{00000000-0005-0000-0000-00005B930000}"/>
    <cellStyle name="Процентный 4 2 2 61 8" xfId="39972" xr:uid="{00000000-0005-0000-0000-00005C930000}"/>
    <cellStyle name="Процентный 4 2 2 61 9" xfId="45312" xr:uid="{00000000-0005-0000-0000-00005D930000}"/>
    <cellStyle name="Процентный 4 2 2 62" xfId="2620" xr:uid="{00000000-0005-0000-0000-00005E930000}"/>
    <cellStyle name="Процентный 4 2 2 62 10" xfId="50684" xr:uid="{00000000-0005-0000-0000-00005F930000}"/>
    <cellStyle name="Процентный 4 2 2 62 2" xfId="7963" xr:uid="{00000000-0005-0000-0000-000060930000}"/>
    <cellStyle name="Процентный 4 2 2 62 2 2" xfId="56025" xr:uid="{00000000-0005-0000-0000-000061930000}"/>
    <cellStyle name="Процентный 4 2 2 62 3" xfId="13304" xr:uid="{00000000-0005-0000-0000-000062930000}"/>
    <cellStyle name="Процентный 4 2 2 62 4" xfId="18644" xr:uid="{00000000-0005-0000-0000-000063930000}"/>
    <cellStyle name="Процентный 4 2 2 62 5" xfId="23984" xr:uid="{00000000-0005-0000-0000-000064930000}"/>
    <cellStyle name="Процентный 4 2 2 62 6" xfId="29324" xr:uid="{00000000-0005-0000-0000-000065930000}"/>
    <cellStyle name="Процентный 4 2 2 62 7" xfId="34664" xr:uid="{00000000-0005-0000-0000-000066930000}"/>
    <cellStyle name="Процентный 4 2 2 62 8" xfId="40004" xr:uid="{00000000-0005-0000-0000-000067930000}"/>
    <cellStyle name="Процентный 4 2 2 62 9" xfId="45344" xr:uid="{00000000-0005-0000-0000-000068930000}"/>
    <cellStyle name="Процентный 4 2 2 63" xfId="2652" xr:uid="{00000000-0005-0000-0000-000069930000}"/>
    <cellStyle name="Процентный 4 2 2 63 10" xfId="50716" xr:uid="{00000000-0005-0000-0000-00006A930000}"/>
    <cellStyle name="Процентный 4 2 2 63 2" xfId="7995" xr:uid="{00000000-0005-0000-0000-00006B930000}"/>
    <cellStyle name="Процентный 4 2 2 63 2 2" xfId="56057" xr:uid="{00000000-0005-0000-0000-00006C930000}"/>
    <cellStyle name="Процентный 4 2 2 63 3" xfId="13336" xr:uid="{00000000-0005-0000-0000-00006D930000}"/>
    <cellStyle name="Процентный 4 2 2 63 4" xfId="18676" xr:uid="{00000000-0005-0000-0000-00006E930000}"/>
    <cellStyle name="Процентный 4 2 2 63 5" xfId="24016" xr:uid="{00000000-0005-0000-0000-00006F930000}"/>
    <cellStyle name="Процентный 4 2 2 63 6" xfId="29356" xr:uid="{00000000-0005-0000-0000-000070930000}"/>
    <cellStyle name="Процентный 4 2 2 63 7" xfId="34696" xr:uid="{00000000-0005-0000-0000-000071930000}"/>
    <cellStyle name="Процентный 4 2 2 63 8" xfId="40036" xr:uid="{00000000-0005-0000-0000-000072930000}"/>
    <cellStyle name="Процентный 4 2 2 63 9" xfId="45376" xr:uid="{00000000-0005-0000-0000-000073930000}"/>
    <cellStyle name="Процентный 4 2 2 64" xfId="2684" xr:uid="{00000000-0005-0000-0000-000074930000}"/>
    <cellStyle name="Процентный 4 2 2 64 10" xfId="50748" xr:uid="{00000000-0005-0000-0000-000075930000}"/>
    <cellStyle name="Процентный 4 2 2 64 2" xfId="8027" xr:uid="{00000000-0005-0000-0000-000076930000}"/>
    <cellStyle name="Процентный 4 2 2 64 2 2" xfId="56089" xr:uid="{00000000-0005-0000-0000-000077930000}"/>
    <cellStyle name="Процентный 4 2 2 64 3" xfId="13368" xr:uid="{00000000-0005-0000-0000-000078930000}"/>
    <cellStyle name="Процентный 4 2 2 64 4" xfId="18708" xr:uid="{00000000-0005-0000-0000-000079930000}"/>
    <cellStyle name="Процентный 4 2 2 64 5" xfId="24048" xr:uid="{00000000-0005-0000-0000-00007A930000}"/>
    <cellStyle name="Процентный 4 2 2 64 6" xfId="29388" xr:uid="{00000000-0005-0000-0000-00007B930000}"/>
    <cellStyle name="Процентный 4 2 2 64 7" xfId="34728" xr:uid="{00000000-0005-0000-0000-00007C930000}"/>
    <cellStyle name="Процентный 4 2 2 64 8" xfId="40068" xr:uid="{00000000-0005-0000-0000-00007D930000}"/>
    <cellStyle name="Процентный 4 2 2 64 9" xfId="45408" xr:uid="{00000000-0005-0000-0000-00007E930000}"/>
    <cellStyle name="Процентный 4 2 2 65" xfId="2716" xr:uid="{00000000-0005-0000-0000-00007F930000}"/>
    <cellStyle name="Процентный 4 2 2 65 10" xfId="50780" xr:uid="{00000000-0005-0000-0000-000080930000}"/>
    <cellStyle name="Процентный 4 2 2 65 2" xfId="8059" xr:uid="{00000000-0005-0000-0000-000081930000}"/>
    <cellStyle name="Процентный 4 2 2 65 2 2" xfId="56121" xr:uid="{00000000-0005-0000-0000-000082930000}"/>
    <cellStyle name="Процентный 4 2 2 65 3" xfId="13400" xr:uid="{00000000-0005-0000-0000-000083930000}"/>
    <cellStyle name="Процентный 4 2 2 65 4" xfId="18740" xr:uid="{00000000-0005-0000-0000-000084930000}"/>
    <cellStyle name="Процентный 4 2 2 65 5" xfId="24080" xr:uid="{00000000-0005-0000-0000-000085930000}"/>
    <cellStyle name="Процентный 4 2 2 65 6" xfId="29420" xr:uid="{00000000-0005-0000-0000-000086930000}"/>
    <cellStyle name="Процентный 4 2 2 65 7" xfId="34760" xr:uid="{00000000-0005-0000-0000-000087930000}"/>
    <cellStyle name="Процентный 4 2 2 65 8" xfId="40100" xr:uid="{00000000-0005-0000-0000-000088930000}"/>
    <cellStyle name="Процентный 4 2 2 65 9" xfId="45440" xr:uid="{00000000-0005-0000-0000-000089930000}"/>
    <cellStyle name="Процентный 4 2 2 66" xfId="2748" xr:uid="{00000000-0005-0000-0000-00008A930000}"/>
    <cellStyle name="Процентный 4 2 2 66 10" xfId="50812" xr:uid="{00000000-0005-0000-0000-00008B930000}"/>
    <cellStyle name="Процентный 4 2 2 66 2" xfId="8091" xr:uid="{00000000-0005-0000-0000-00008C930000}"/>
    <cellStyle name="Процентный 4 2 2 66 2 2" xfId="56153" xr:uid="{00000000-0005-0000-0000-00008D930000}"/>
    <cellStyle name="Процентный 4 2 2 66 3" xfId="13432" xr:uid="{00000000-0005-0000-0000-00008E930000}"/>
    <cellStyle name="Процентный 4 2 2 66 4" xfId="18772" xr:uid="{00000000-0005-0000-0000-00008F930000}"/>
    <cellStyle name="Процентный 4 2 2 66 5" xfId="24112" xr:uid="{00000000-0005-0000-0000-000090930000}"/>
    <cellStyle name="Процентный 4 2 2 66 6" xfId="29452" xr:uid="{00000000-0005-0000-0000-000091930000}"/>
    <cellStyle name="Процентный 4 2 2 66 7" xfId="34792" xr:uid="{00000000-0005-0000-0000-000092930000}"/>
    <cellStyle name="Процентный 4 2 2 66 8" xfId="40132" xr:uid="{00000000-0005-0000-0000-000093930000}"/>
    <cellStyle name="Процентный 4 2 2 66 9" xfId="45472" xr:uid="{00000000-0005-0000-0000-000094930000}"/>
    <cellStyle name="Процентный 4 2 2 67" xfId="2782" xr:uid="{00000000-0005-0000-0000-000095930000}"/>
    <cellStyle name="Процентный 4 2 2 67 10" xfId="50846" xr:uid="{00000000-0005-0000-0000-000096930000}"/>
    <cellStyle name="Процентный 4 2 2 67 2" xfId="8125" xr:uid="{00000000-0005-0000-0000-000097930000}"/>
    <cellStyle name="Процентный 4 2 2 67 2 2" xfId="56187" xr:uid="{00000000-0005-0000-0000-000098930000}"/>
    <cellStyle name="Процентный 4 2 2 67 3" xfId="13466" xr:uid="{00000000-0005-0000-0000-000099930000}"/>
    <cellStyle name="Процентный 4 2 2 67 4" xfId="18806" xr:uid="{00000000-0005-0000-0000-00009A930000}"/>
    <cellStyle name="Процентный 4 2 2 67 5" xfId="24146" xr:uid="{00000000-0005-0000-0000-00009B930000}"/>
    <cellStyle name="Процентный 4 2 2 67 6" xfId="29486" xr:uid="{00000000-0005-0000-0000-00009C930000}"/>
    <cellStyle name="Процентный 4 2 2 67 7" xfId="34826" xr:uid="{00000000-0005-0000-0000-00009D930000}"/>
    <cellStyle name="Процентный 4 2 2 67 8" xfId="40166" xr:uid="{00000000-0005-0000-0000-00009E930000}"/>
    <cellStyle name="Процентный 4 2 2 67 9" xfId="45506" xr:uid="{00000000-0005-0000-0000-00009F930000}"/>
    <cellStyle name="Процентный 4 2 2 68" xfId="2814" xr:uid="{00000000-0005-0000-0000-0000A0930000}"/>
    <cellStyle name="Процентный 4 2 2 68 10" xfId="50878" xr:uid="{00000000-0005-0000-0000-0000A1930000}"/>
    <cellStyle name="Процентный 4 2 2 68 2" xfId="8157" xr:uid="{00000000-0005-0000-0000-0000A2930000}"/>
    <cellStyle name="Процентный 4 2 2 68 2 2" xfId="56219" xr:uid="{00000000-0005-0000-0000-0000A3930000}"/>
    <cellStyle name="Процентный 4 2 2 68 3" xfId="13498" xr:uid="{00000000-0005-0000-0000-0000A4930000}"/>
    <cellStyle name="Процентный 4 2 2 68 4" xfId="18838" xr:uid="{00000000-0005-0000-0000-0000A5930000}"/>
    <cellStyle name="Процентный 4 2 2 68 5" xfId="24178" xr:uid="{00000000-0005-0000-0000-0000A6930000}"/>
    <cellStyle name="Процентный 4 2 2 68 6" xfId="29518" xr:uid="{00000000-0005-0000-0000-0000A7930000}"/>
    <cellStyle name="Процентный 4 2 2 68 7" xfId="34858" xr:uid="{00000000-0005-0000-0000-0000A8930000}"/>
    <cellStyle name="Процентный 4 2 2 68 8" xfId="40198" xr:uid="{00000000-0005-0000-0000-0000A9930000}"/>
    <cellStyle name="Процентный 4 2 2 68 9" xfId="45538" xr:uid="{00000000-0005-0000-0000-0000AA930000}"/>
    <cellStyle name="Процентный 4 2 2 69" xfId="2846" xr:uid="{00000000-0005-0000-0000-0000AB930000}"/>
    <cellStyle name="Процентный 4 2 2 69 10" xfId="50910" xr:uid="{00000000-0005-0000-0000-0000AC930000}"/>
    <cellStyle name="Процентный 4 2 2 69 2" xfId="8189" xr:uid="{00000000-0005-0000-0000-0000AD930000}"/>
    <cellStyle name="Процентный 4 2 2 69 2 2" xfId="56251" xr:uid="{00000000-0005-0000-0000-0000AE930000}"/>
    <cellStyle name="Процентный 4 2 2 69 3" xfId="13530" xr:uid="{00000000-0005-0000-0000-0000AF930000}"/>
    <cellStyle name="Процентный 4 2 2 69 4" xfId="18870" xr:uid="{00000000-0005-0000-0000-0000B0930000}"/>
    <cellStyle name="Процентный 4 2 2 69 5" xfId="24210" xr:uid="{00000000-0005-0000-0000-0000B1930000}"/>
    <cellStyle name="Процентный 4 2 2 69 6" xfId="29550" xr:uid="{00000000-0005-0000-0000-0000B2930000}"/>
    <cellStyle name="Процентный 4 2 2 69 7" xfId="34890" xr:uid="{00000000-0005-0000-0000-0000B3930000}"/>
    <cellStyle name="Процентный 4 2 2 69 8" xfId="40230" xr:uid="{00000000-0005-0000-0000-0000B4930000}"/>
    <cellStyle name="Процентный 4 2 2 69 9" xfId="45570" xr:uid="{00000000-0005-0000-0000-0000B5930000}"/>
    <cellStyle name="Процентный 4 2 2 7" xfId="1103" xr:uid="{00000000-0005-0000-0000-0000B6930000}"/>
    <cellStyle name="Процентный 4 2 2 7 10" xfId="49166" xr:uid="{00000000-0005-0000-0000-0000B7930000}"/>
    <cellStyle name="Процентный 4 2 2 7 2" xfId="6445" xr:uid="{00000000-0005-0000-0000-0000B8930000}"/>
    <cellStyle name="Процентный 4 2 2 7 2 2" xfId="54507" xr:uid="{00000000-0005-0000-0000-0000B9930000}"/>
    <cellStyle name="Процентный 4 2 2 7 3" xfId="11786" xr:uid="{00000000-0005-0000-0000-0000BA930000}"/>
    <cellStyle name="Процентный 4 2 2 7 4" xfId="17126" xr:uid="{00000000-0005-0000-0000-0000BB930000}"/>
    <cellStyle name="Процентный 4 2 2 7 5" xfId="22466" xr:uid="{00000000-0005-0000-0000-0000BC930000}"/>
    <cellStyle name="Процентный 4 2 2 7 6" xfId="27806" xr:uid="{00000000-0005-0000-0000-0000BD930000}"/>
    <cellStyle name="Процентный 4 2 2 7 7" xfId="33146" xr:uid="{00000000-0005-0000-0000-0000BE930000}"/>
    <cellStyle name="Процентный 4 2 2 7 8" xfId="38486" xr:uid="{00000000-0005-0000-0000-0000BF930000}"/>
    <cellStyle name="Процентный 4 2 2 7 9" xfId="43826" xr:uid="{00000000-0005-0000-0000-0000C0930000}"/>
    <cellStyle name="Процентный 4 2 2 70" xfId="2878" xr:uid="{00000000-0005-0000-0000-0000C1930000}"/>
    <cellStyle name="Процентный 4 2 2 70 10" xfId="50942" xr:uid="{00000000-0005-0000-0000-0000C2930000}"/>
    <cellStyle name="Процентный 4 2 2 70 2" xfId="8221" xr:uid="{00000000-0005-0000-0000-0000C3930000}"/>
    <cellStyle name="Процентный 4 2 2 70 2 2" xfId="56283" xr:uid="{00000000-0005-0000-0000-0000C4930000}"/>
    <cellStyle name="Процентный 4 2 2 70 3" xfId="13562" xr:uid="{00000000-0005-0000-0000-0000C5930000}"/>
    <cellStyle name="Процентный 4 2 2 70 4" xfId="18902" xr:uid="{00000000-0005-0000-0000-0000C6930000}"/>
    <cellStyle name="Процентный 4 2 2 70 5" xfId="24242" xr:uid="{00000000-0005-0000-0000-0000C7930000}"/>
    <cellStyle name="Процентный 4 2 2 70 6" xfId="29582" xr:uid="{00000000-0005-0000-0000-0000C8930000}"/>
    <cellStyle name="Процентный 4 2 2 70 7" xfId="34922" xr:uid="{00000000-0005-0000-0000-0000C9930000}"/>
    <cellStyle name="Процентный 4 2 2 70 8" xfId="40262" xr:uid="{00000000-0005-0000-0000-0000CA930000}"/>
    <cellStyle name="Процентный 4 2 2 70 9" xfId="45602" xr:uid="{00000000-0005-0000-0000-0000CB930000}"/>
    <cellStyle name="Процентный 4 2 2 71" xfId="2910" xr:uid="{00000000-0005-0000-0000-0000CC930000}"/>
    <cellStyle name="Процентный 4 2 2 71 10" xfId="50974" xr:uid="{00000000-0005-0000-0000-0000CD930000}"/>
    <cellStyle name="Процентный 4 2 2 71 2" xfId="8253" xr:uid="{00000000-0005-0000-0000-0000CE930000}"/>
    <cellStyle name="Процентный 4 2 2 71 2 2" xfId="56315" xr:uid="{00000000-0005-0000-0000-0000CF930000}"/>
    <cellStyle name="Процентный 4 2 2 71 3" xfId="13594" xr:uid="{00000000-0005-0000-0000-0000D0930000}"/>
    <cellStyle name="Процентный 4 2 2 71 4" xfId="18934" xr:uid="{00000000-0005-0000-0000-0000D1930000}"/>
    <cellStyle name="Процентный 4 2 2 71 5" xfId="24274" xr:uid="{00000000-0005-0000-0000-0000D2930000}"/>
    <cellStyle name="Процентный 4 2 2 71 6" xfId="29614" xr:uid="{00000000-0005-0000-0000-0000D3930000}"/>
    <cellStyle name="Процентный 4 2 2 71 7" xfId="34954" xr:uid="{00000000-0005-0000-0000-0000D4930000}"/>
    <cellStyle name="Процентный 4 2 2 71 8" xfId="40294" xr:uid="{00000000-0005-0000-0000-0000D5930000}"/>
    <cellStyle name="Процентный 4 2 2 71 9" xfId="45634" xr:uid="{00000000-0005-0000-0000-0000D6930000}"/>
    <cellStyle name="Процентный 4 2 2 72" xfId="2942" xr:uid="{00000000-0005-0000-0000-0000D7930000}"/>
    <cellStyle name="Процентный 4 2 2 72 10" xfId="51006" xr:uid="{00000000-0005-0000-0000-0000D8930000}"/>
    <cellStyle name="Процентный 4 2 2 72 2" xfId="8285" xr:uid="{00000000-0005-0000-0000-0000D9930000}"/>
    <cellStyle name="Процентный 4 2 2 72 2 2" xfId="56347" xr:uid="{00000000-0005-0000-0000-0000DA930000}"/>
    <cellStyle name="Процентный 4 2 2 72 3" xfId="13626" xr:uid="{00000000-0005-0000-0000-0000DB930000}"/>
    <cellStyle name="Процентный 4 2 2 72 4" xfId="18966" xr:uid="{00000000-0005-0000-0000-0000DC930000}"/>
    <cellStyle name="Процентный 4 2 2 72 5" xfId="24306" xr:uid="{00000000-0005-0000-0000-0000DD930000}"/>
    <cellStyle name="Процентный 4 2 2 72 6" xfId="29646" xr:uid="{00000000-0005-0000-0000-0000DE930000}"/>
    <cellStyle name="Процентный 4 2 2 72 7" xfId="34986" xr:uid="{00000000-0005-0000-0000-0000DF930000}"/>
    <cellStyle name="Процентный 4 2 2 72 8" xfId="40326" xr:uid="{00000000-0005-0000-0000-0000E0930000}"/>
    <cellStyle name="Процентный 4 2 2 72 9" xfId="45666" xr:uid="{00000000-0005-0000-0000-0000E1930000}"/>
    <cellStyle name="Процентный 4 2 2 73" xfId="2974" xr:uid="{00000000-0005-0000-0000-0000E2930000}"/>
    <cellStyle name="Процентный 4 2 2 73 10" xfId="51038" xr:uid="{00000000-0005-0000-0000-0000E3930000}"/>
    <cellStyle name="Процентный 4 2 2 73 2" xfId="8317" xr:uid="{00000000-0005-0000-0000-0000E4930000}"/>
    <cellStyle name="Процентный 4 2 2 73 2 2" xfId="56379" xr:uid="{00000000-0005-0000-0000-0000E5930000}"/>
    <cellStyle name="Процентный 4 2 2 73 3" xfId="13658" xr:uid="{00000000-0005-0000-0000-0000E6930000}"/>
    <cellStyle name="Процентный 4 2 2 73 4" xfId="18998" xr:uid="{00000000-0005-0000-0000-0000E7930000}"/>
    <cellStyle name="Процентный 4 2 2 73 5" xfId="24338" xr:uid="{00000000-0005-0000-0000-0000E8930000}"/>
    <cellStyle name="Процентный 4 2 2 73 6" xfId="29678" xr:uid="{00000000-0005-0000-0000-0000E9930000}"/>
    <cellStyle name="Процентный 4 2 2 73 7" xfId="35018" xr:uid="{00000000-0005-0000-0000-0000EA930000}"/>
    <cellStyle name="Процентный 4 2 2 73 8" xfId="40358" xr:uid="{00000000-0005-0000-0000-0000EB930000}"/>
    <cellStyle name="Процентный 4 2 2 73 9" xfId="45698" xr:uid="{00000000-0005-0000-0000-0000EC930000}"/>
    <cellStyle name="Процентный 4 2 2 74" xfId="3006" xr:uid="{00000000-0005-0000-0000-0000ED930000}"/>
    <cellStyle name="Процентный 4 2 2 74 10" xfId="51070" xr:uid="{00000000-0005-0000-0000-0000EE930000}"/>
    <cellStyle name="Процентный 4 2 2 74 2" xfId="8349" xr:uid="{00000000-0005-0000-0000-0000EF930000}"/>
    <cellStyle name="Процентный 4 2 2 74 2 2" xfId="56411" xr:uid="{00000000-0005-0000-0000-0000F0930000}"/>
    <cellStyle name="Процентный 4 2 2 74 3" xfId="13690" xr:uid="{00000000-0005-0000-0000-0000F1930000}"/>
    <cellStyle name="Процентный 4 2 2 74 4" xfId="19030" xr:uid="{00000000-0005-0000-0000-0000F2930000}"/>
    <cellStyle name="Процентный 4 2 2 74 5" xfId="24370" xr:uid="{00000000-0005-0000-0000-0000F3930000}"/>
    <cellStyle name="Процентный 4 2 2 74 6" xfId="29710" xr:uid="{00000000-0005-0000-0000-0000F4930000}"/>
    <cellStyle name="Процентный 4 2 2 74 7" xfId="35050" xr:uid="{00000000-0005-0000-0000-0000F5930000}"/>
    <cellStyle name="Процентный 4 2 2 74 8" xfId="40390" xr:uid="{00000000-0005-0000-0000-0000F6930000}"/>
    <cellStyle name="Процентный 4 2 2 74 9" xfId="45730" xr:uid="{00000000-0005-0000-0000-0000F7930000}"/>
    <cellStyle name="Процентный 4 2 2 75" xfId="3038" xr:uid="{00000000-0005-0000-0000-0000F8930000}"/>
    <cellStyle name="Процентный 4 2 2 75 10" xfId="51102" xr:uid="{00000000-0005-0000-0000-0000F9930000}"/>
    <cellStyle name="Процентный 4 2 2 75 2" xfId="8381" xr:uid="{00000000-0005-0000-0000-0000FA930000}"/>
    <cellStyle name="Процентный 4 2 2 75 2 2" xfId="56443" xr:uid="{00000000-0005-0000-0000-0000FB930000}"/>
    <cellStyle name="Процентный 4 2 2 75 3" xfId="13722" xr:uid="{00000000-0005-0000-0000-0000FC930000}"/>
    <cellStyle name="Процентный 4 2 2 75 4" xfId="19062" xr:uid="{00000000-0005-0000-0000-0000FD930000}"/>
    <cellStyle name="Процентный 4 2 2 75 5" xfId="24402" xr:uid="{00000000-0005-0000-0000-0000FE930000}"/>
    <cellStyle name="Процентный 4 2 2 75 6" xfId="29742" xr:uid="{00000000-0005-0000-0000-0000FF930000}"/>
    <cellStyle name="Процентный 4 2 2 75 7" xfId="35082" xr:uid="{00000000-0005-0000-0000-000000940000}"/>
    <cellStyle name="Процентный 4 2 2 75 8" xfId="40422" xr:uid="{00000000-0005-0000-0000-000001940000}"/>
    <cellStyle name="Процентный 4 2 2 75 9" xfId="45762" xr:uid="{00000000-0005-0000-0000-000002940000}"/>
    <cellStyle name="Процентный 4 2 2 76" xfId="3070" xr:uid="{00000000-0005-0000-0000-000003940000}"/>
    <cellStyle name="Процентный 4 2 2 76 10" xfId="51134" xr:uid="{00000000-0005-0000-0000-000004940000}"/>
    <cellStyle name="Процентный 4 2 2 76 2" xfId="8413" xr:uid="{00000000-0005-0000-0000-000005940000}"/>
    <cellStyle name="Процентный 4 2 2 76 2 2" xfId="56475" xr:uid="{00000000-0005-0000-0000-000006940000}"/>
    <cellStyle name="Процентный 4 2 2 76 3" xfId="13754" xr:uid="{00000000-0005-0000-0000-000007940000}"/>
    <cellStyle name="Процентный 4 2 2 76 4" xfId="19094" xr:uid="{00000000-0005-0000-0000-000008940000}"/>
    <cellStyle name="Процентный 4 2 2 76 5" xfId="24434" xr:uid="{00000000-0005-0000-0000-000009940000}"/>
    <cellStyle name="Процентный 4 2 2 76 6" xfId="29774" xr:uid="{00000000-0005-0000-0000-00000A940000}"/>
    <cellStyle name="Процентный 4 2 2 76 7" xfId="35114" xr:uid="{00000000-0005-0000-0000-00000B940000}"/>
    <cellStyle name="Процентный 4 2 2 76 8" xfId="40454" xr:uid="{00000000-0005-0000-0000-00000C940000}"/>
    <cellStyle name="Процентный 4 2 2 76 9" xfId="45794" xr:uid="{00000000-0005-0000-0000-00000D940000}"/>
    <cellStyle name="Процентный 4 2 2 77" xfId="3102" xr:uid="{00000000-0005-0000-0000-00000E940000}"/>
    <cellStyle name="Процентный 4 2 2 77 10" xfId="51166" xr:uid="{00000000-0005-0000-0000-00000F940000}"/>
    <cellStyle name="Процентный 4 2 2 77 2" xfId="8445" xr:uid="{00000000-0005-0000-0000-000010940000}"/>
    <cellStyle name="Процентный 4 2 2 77 2 2" xfId="56507" xr:uid="{00000000-0005-0000-0000-000011940000}"/>
    <cellStyle name="Процентный 4 2 2 77 3" xfId="13786" xr:uid="{00000000-0005-0000-0000-000012940000}"/>
    <cellStyle name="Процентный 4 2 2 77 4" xfId="19126" xr:uid="{00000000-0005-0000-0000-000013940000}"/>
    <cellStyle name="Процентный 4 2 2 77 5" xfId="24466" xr:uid="{00000000-0005-0000-0000-000014940000}"/>
    <cellStyle name="Процентный 4 2 2 77 6" xfId="29806" xr:uid="{00000000-0005-0000-0000-000015940000}"/>
    <cellStyle name="Процентный 4 2 2 77 7" xfId="35146" xr:uid="{00000000-0005-0000-0000-000016940000}"/>
    <cellStyle name="Процентный 4 2 2 77 8" xfId="40486" xr:uid="{00000000-0005-0000-0000-000017940000}"/>
    <cellStyle name="Процентный 4 2 2 77 9" xfId="45826" xr:uid="{00000000-0005-0000-0000-000018940000}"/>
    <cellStyle name="Процентный 4 2 2 78" xfId="3135" xr:uid="{00000000-0005-0000-0000-000019940000}"/>
    <cellStyle name="Процентный 4 2 2 78 10" xfId="51198" xr:uid="{00000000-0005-0000-0000-00001A940000}"/>
    <cellStyle name="Процентный 4 2 2 78 2" xfId="8478" xr:uid="{00000000-0005-0000-0000-00001B940000}"/>
    <cellStyle name="Процентный 4 2 2 78 2 2" xfId="56539" xr:uid="{00000000-0005-0000-0000-00001C940000}"/>
    <cellStyle name="Процентный 4 2 2 78 3" xfId="13818" xr:uid="{00000000-0005-0000-0000-00001D940000}"/>
    <cellStyle name="Процентный 4 2 2 78 4" xfId="19158" xr:uid="{00000000-0005-0000-0000-00001E940000}"/>
    <cellStyle name="Процентный 4 2 2 78 5" xfId="24498" xr:uid="{00000000-0005-0000-0000-00001F940000}"/>
    <cellStyle name="Процентный 4 2 2 78 6" xfId="29838" xr:uid="{00000000-0005-0000-0000-000020940000}"/>
    <cellStyle name="Процентный 4 2 2 78 7" xfId="35178" xr:uid="{00000000-0005-0000-0000-000021940000}"/>
    <cellStyle name="Процентный 4 2 2 78 8" xfId="40518" xr:uid="{00000000-0005-0000-0000-000022940000}"/>
    <cellStyle name="Процентный 4 2 2 78 9" xfId="45858" xr:uid="{00000000-0005-0000-0000-000023940000}"/>
    <cellStyle name="Процентный 4 2 2 79" xfId="3167" xr:uid="{00000000-0005-0000-0000-000024940000}"/>
    <cellStyle name="Процентный 4 2 2 79 10" xfId="51230" xr:uid="{00000000-0005-0000-0000-000025940000}"/>
    <cellStyle name="Процентный 4 2 2 79 2" xfId="8510" xr:uid="{00000000-0005-0000-0000-000026940000}"/>
    <cellStyle name="Процентный 4 2 2 79 2 2" xfId="56571" xr:uid="{00000000-0005-0000-0000-000027940000}"/>
    <cellStyle name="Процентный 4 2 2 79 3" xfId="13850" xr:uid="{00000000-0005-0000-0000-000028940000}"/>
    <cellStyle name="Процентный 4 2 2 79 4" xfId="19190" xr:uid="{00000000-0005-0000-0000-000029940000}"/>
    <cellStyle name="Процентный 4 2 2 79 5" xfId="24530" xr:uid="{00000000-0005-0000-0000-00002A940000}"/>
    <cellStyle name="Процентный 4 2 2 79 6" xfId="29870" xr:uid="{00000000-0005-0000-0000-00002B940000}"/>
    <cellStyle name="Процентный 4 2 2 79 7" xfId="35210" xr:uid="{00000000-0005-0000-0000-00002C940000}"/>
    <cellStyle name="Процентный 4 2 2 79 8" xfId="40550" xr:uid="{00000000-0005-0000-0000-00002D940000}"/>
    <cellStyle name="Процентный 4 2 2 79 9" xfId="45890" xr:uid="{00000000-0005-0000-0000-00002E940000}"/>
    <cellStyle name="Процентный 4 2 2 8" xfId="1129" xr:uid="{00000000-0005-0000-0000-00002F940000}"/>
    <cellStyle name="Процентный 4 2 2 8 10" xfId="49192" xr:uid="{00000000-0005-0000-0000-000030940000}"/>
    <cellStyle name="Процентный 4 2 2 8 2" xfId="6471" xr:uid="{00000000-0005-0000-0000-000031940000}"/>
    <cellStyle name="Процентный 4 2 2 8 2 2" xfId="54533" xr:uid="{00000000-0005-0000-0000-000032940000}"/>
    <cellStyle name="Процентный 4 2 2 8 3" xfId="11812" xr:uid="{00000000-0005-0000-0000-000033940000}"/>
    <cellStyle name="Процентный 4 2 2 8 4" xfId="17152" xr:uid="{00000000-0005-0000-0000-000034940000}"/>
    <cellStyle name="Процентный 4 2 2 8 5" xfId="22492" xr:uid="{00000000-0005-0000-0000-000035940000}"/>
    <cellStyle name="Процентный 4 2 2 8 6" xfId="27832" xr:uid="{00000000-0005-0000-0000-000036940000}"/>
    <cellStyle name="Процентный 4 2 2 8 7" xfId="33172" xr:uid="{00000000-0005-0000-0000-000037940000}"/>
    <cellStyle name="Процентный 4 2 2 8 8" xfId="38512" xr:uid="{00000000-0005-0000-0000-000038940000}"/>
    <cellStyle name="Процентный 4 2 2 8 9" xfId="43852" xr:uid="{00000000-0005-0000-0000-000039940000}"/>
    <cellStyle name="Процентный 4 2 2 80" xfId="3199" xr:uid="{00000000-0005-0000-0000-00003A940000}"/>
    <cellStyle name="Процентный 4 2 2 80 10" xfId="51262" xr:uid="{00000000-0005-0000-0000-00003B940000}"/>
    <cellStyle name="Процентный 4 2 2 80 2" xfId="8542" xr:uid="{00000000-0005-0000-0000-00003C940000}"/>
    <cellStyle name="Процентный 4 2 2 80 2 2" xfId="56603" xr:uid="{00000000-0005-0000-0000-00003D940000}"/>
    <cellStyle name="Процентный 4 2 2 80 3" xfId="13882" xr:uid="{00000000-0005-0000-0000-00003E940000}"/>
    <cellStyle name="Процентный 4 2 2 80 4" xfId="19222" xr:uid="{00000000-0005-0000-0000-00003F940000}"/>
    <cellStyle name="Процентный 4 2 2 80 5" xfId="24562" xr:uid="{00000000-0005-0000-0000-000040940000}"/>
    <cellStyle name="Процентный 4 2 2 80 6" xfId="29902" xr:uid="{00000000-0005-0000-0000-000041940000}"/>
    <cellStyle name="Процентный 4 2 2 80 7" xfId="35242" xr:uid="{00000000-0005-0000-0000-000042940000}"/>
    <cellStyle name="Процентный 4 2 2 80 8" xfId="40582" xr:uid="{00000000-0005-0000-0000-000043940000}"/>
    <cellStyle name="Процентный 4 2 2 80 9" xfId="45922" xr:uid="{00000000-0005-0000-0000-000044940000}"/>
    <cellStyle name="Процентный 4 2 2 81" xfId="3231" xr:uid="{00000000-0005-0000-0000-000045940000}"/>
    <cellStyle name="Процентный 4 2 2 81 10" xfId="51294" xr:uid="{00000000-0005-0000-0000-000046940000}"/>
    <cellStyle name="Процентный 4 2 2 81 2" xfId="8574" xr:uid="{00000000-0005-0000-0000-000047940000}"/>
    <cellStyle name="Процентный 4 2 2 81 2 2" xfId="56635" xr:uid="{00000000-0005-0000-0000-000048940000}"/>
    <cellStyle name="Процентный 4 2 2 81 3" xfId="13914" xr:uid="{00000000-0005-0000-0000-000049940000}"/>
    <cellStyle name="Процентный 4 2 2 81 4" xfId="19254" xr:uid="{00000000-0005-0000-0000-00004A940000}"/>
    <cellStyle name="Процентный 4 2 2 81 5" xfId="24594" xr:uid="{00000000-0005-0000-0000-00004B940000}"/>
    <cellStyle name="Процентный 4 2 2 81 6" xfId="29934" xr:uid="{00000000-0005-0000-0000-00004C940000}"/>
    <cellStyle name="Процентный 4 2 2 81 7" xfId="35274" xr:uid="{00000000-0005-0000-0000-00004D940000}"/>
    <cellStyle name="Процентный 4 2 2 81 8" xfId="40614" xr:uid="{00000000-0005-0000-0000-00004E940000}"/>
    <cellStyle name="Процентный 4 2 2 81 9" xfId="45954" xr:uid="{00000000-0005-0000-0000-00004F940000}"/>
    <cellStyle name="Процентный 4 2 2 82" xfId="3263" xr:uid="{00000000-0005-0000-0000-000050940000}"/>
    <cellStyle name="Процентный 4 2 2 82 10" xfId="51326" xr:uid="{00000000-0005-0000-0000-000051940000}"/>
    <cellStyle name="Процентный 4 2 2 82 2" xfId="8606" xr:uid="{00000000-0005-0000-0000-000052940000}"/>
    <cellStyle name="Процентный 4 2 2 82 2 2" xfId="56667" xr:uid="{00000000-0005-0000-0000-000053940000}"/>
    <cellStyle name="Процентный 4 2 2 82 3" xfId="13946" xr:uid="{00000000-0005-0000-0000-000054940000}"/>
    <cellStyle name="Процентный 4 2 2 82 4" xfId="19286" xr:uid="{00000000-0005-0000-0000-000055940000}"/>
    <cellStyle name="Процентный 4 2 2 82 5" xfId="24626" xr:uid="{00000000-0005-0000-0000-000056940000}"/>
    <cellStyle name="Процентный 4 2 2 82 6" xfId="29966" xr:uid="{00000000-0005-0000-0000-000057940000}"/>
    <cellStyle name="Процентный 4 2 2 82 7" xfId="35306" xr:uid="{00000000-0005-0000-0000-000058940000}"/>
    <cellStyle name="Процентный 4 2 2 82 8" xfId="40646" xr:uid="{00000000-0005-0000-0000-000059940000}"/>
    <cellStyle name="Процентный 4 2 2 82 9" xfId="45986" xr:uid="{00000000-0005-0000-0000-00005A940000}"/>
    <cellStyle name="Процентный 4 2 2 83" xfId="3295" xr:uid="{00000000-0005-0000-0000-00005B940000}"/>
    <cellStyle name="Процентный 4 2 2 83 10" xfId="51358" xr:uid="{00000000-0005-0000-0000-00005C940000}"/>
    <cellStyle name="Процентный 4 2 2 83 2" xfId="8638" xr:uid="{00000000-0005-0000-0000-00005D940000}"/>
    <cellStyle name="Процентный 4 2 2 83 2 2" xfId="56699" xr:uid="{00000000-0005-0000-0000-00005E940000}"/>
    <cellStyle name="Процентный 4 2 2 83 3" xfId="13978" xr:uid="{00000000-0005-0000-0000-00005F940000}"/>
    <cellStyle name="Процентный 4 2 2 83 4" xfId="19318" xr:uid="{00000000-0005-0000-0000-000060940000}"/>
    <cellStyle name="Процентный 4 2 2 83 5" xfId="24658" xr:uid="{00000000-0005-0000-0000-000061940000}"/>
    <cellStyle name="Процентный 4 2 2 83 6" xfId="29998" xr:uid="{00000000-0005-0000-0000-000062940000}"/>
    <cellStyle name="Процентный 4 2 2 83 7" xfId="35338" xr:uid="{00000000-0005-0000-0000-000063940000}"/>
    <cellStyle name="Процентный 4 2 2 83 8" xfId="40678" xr:uid="{00000000-0005-0000-0000-000064940000}"/>
    <cellStyle name="Процентный 4 2 2 83 9" xfId="46018" xr:uid="{00000000-0005-0000-0000-000065940000}"/>
    <cellStyle name="Процентный 4 2 2 84" xfId="3327" xr:uid="{00000000-0005-0000-0000-000066940000}"/>
    <cellStyle name="Процентный 4 2 2 84 10" xfId="51390" xr:uid="{00000000-0005-0000-0000-000067940000}"/>
    <cellStyle name="Процентный 4 2 2 84 2" xfId="8670" xr:uid="{00000000-0005-0000-0000-000068940000}"/>
    <cellStyle name="Процентный 4 2 2 84 2 2" xfId="56731" xr:uid="{00000000-0005-0000-0000-000069940000}"/>
    <cellStyle name="Процентный 4 2 2 84 3" xfId="14010" xr:uid="{00000000-0005-0000-0000-00006A940000}"/>
    <cellStyle name="Процентный 4 2 2 84 4" xfId="19350" xr:uid="{00000000-0005-0000-0000-00006B940000}"/>
    <cellStyle name="Процентный 4 2 2 84 5" xfId="24690" xr:uid="{00000000-0005-0000-0000-00006C940000}"/>
    <cellStyle name="Процентный 4 2 2 84 6" xfId="30030" xr:uid="{00000000-0005-0000-0000-00006D940000}"/>
    <cellStyle name="Процентный 4 2 2 84 7" xfId="35370" xr:uid="{00000000-0005-0000-0000-00006E940000}"/>
    <cellStyle name="Процентный 4 2 2 84 8" xfId="40710" xr:uid="{00000000-0005-0000-0000-00006F940000}"/>
    <cellStyle name="Процентный 4 2 2 84 9" xfId="46050" xr:uid="{00000000-0005-0000-0000-000070940000}"/>
    <cellStyle name="Процентный 4 2 2 85" xfId="3359" xr:uid="{00000000-0005-0000-0000-000071940000}"/>
    <cellStyle name="Процентный 4 2 2 85 10" xfId="51422" xr:uid="{00000000-0005-0000-0000-000072940000}"/>
    <cellStyle name="Процентный 4 2 2 85 2" xfId="8702" xr:uid="{00000000-0005-0000-0000-000073940000}"/>
    <cellStyle name="Процентный 4 2 2 85 2 2" xfId="56763" xr:uid="{00000000-0005-0000-0000-000074940000}"/>
    <cellStyle name="Процентный 4 2 2 85 3" xfId="14042" xr:uid="{00000000-0005-0000-0000-000075940000}"/>
    <cellStyle name="Процентный 4 2 2 85 4" xfId="19382" xr:uid="{00000000-0005-0000-0000-000076940000}"/>
    <cellStyle name="Процентный 4 2 2 85 5" xfId="24722" xr:uid="{00000000-0005-0000-0000-000077940000}"/>
    <cellStyle name="Процентный 4 2 2 85 6" xfId="30062" xr:uid="{00000000-0005-0000-0000-000078940000}"/>
    <cellStyle name="Процентный 4 2 2 85 7" xfId="35402" xr:uid="{00000000-0005-0000-0000-000079940000}"/>
    <cellStyle name="Процентный 4 2 2 85 8" xfId="40742" xr:uid="{00000000-0005-0000-0000-00007A940000}"/>
    <cellStyle name="Процентный 4 2 2 85 9" xfId="46082" xr:uid="{00000000-0005-0000-0000-00007B940000}"/>
    <cellStyle name="Процентный 4 2 2 86" xfId="3391" xr:uid="{00000000-0005-0000-0000-00007C940000}"/>
    <cellStyle name="Процентный 4 2 2 86 10" xfId="51454" xr:uid="{00000000-0005-0000-0000-00007D940000}"/>
    <cellStyle name="Процентный 4 2 2 86 2" xfId="8734" xr:uid="{00000000-0005-0000-0000-00007E940000}"/>
    <cellStyle name="Процентный 4 2 2 86 2 2" xfId="56795" xr:uid="{00000000-0005-0000-0000-00007F940000}"/>
    <cellStyle name="Процентный 4 2 2 86 3" xfId="14074" xr:uid="{00000000-0005-0000-0000-000080940000}"/>
    <cellStyle name="Процентный 4 2 2 86 4" xfId="19414" xr:uid="{00000000-0005-0000-0000-000081940000}"/>
    <cellStyle name="Процентный 4 2 2 86 5" xfId="24754" xr:uid="{00000000-0005-0000-0000-000082940000}"/>
    <cellStyle name="Процентный 4 2 2 86 6" xfId="30094" xr:uid="{00000000-0005-0000-0000-000083940000}"/>
    <cellStyle name="Процентный 4 2 2 86 7" xfId="35434" xr:uid="{00000000-0005-0000-0000-000084940000}"/>
    <cellStyle name="Процентный 4 2 2 86 8" xfId="40774" xr:uid="{00000000-0005-0000-0000-000085940000}"/>
    <cellStyle name="Процентный 4 2 2 86 9" xfId="46114" xr:uid="{00000000-0005-0000-0000-000086940000}"/>
    <cellStyle name="Процентный 4 2 2 87" xfId="3423" xr:uid="{00000000-0005-0000-0000-000087940000}"/>
    <cellStyle name="Процентный 4 2 2 87 10" xfId="51486" xr:uid="{00000000-0005-0000-0000-000088940000}"/>
    <cellStyle name="Процентный 4 2 2 87 2" xfId="8766" xr:uid="{00000000-0005-0000-0000-000089940000}"/>
    <cellStyle name="Процентный 4 2 2 87 2 2" xfId="56827" xr:uid="{00000000-0005-0000-0000-00008A940000}"/>
    <cellStyle name="Процентный 4 2 2 87 3" xfId="14106" xr:uid="{00000000-0005-0000-0000-00008B940000}"/>
    <cellStyle name="Процентный 4 2 2 87 4" xfId="19446" xr:uid="{00000000-0005-0000-0000-00008C940000}"/>
    <cellStyle name="Процентный 4 2 2 87 5" xfId="24786" xr:uid="{00000000-0005-0000-0000-00008D940000}"/>
    <cellStyle name="Процентный 4 2 2 87 6" xfId="30126" xr:uid="{00000000-0005-0000-0000-00008E940000}"/>
    <cellStyle name="Процентный 4 2 2 87 7" xfId="35466" xr:uid="{00000000-0005-0000-0000-00008F940000}"/>
    <cellStyle name="Процентный 4 2 2 87 8" xfId="40806" xr:uid="{00000000-0005-0000-0000-000090940000}"/>
    <cellStyle name="Процентный 4 2 2 87 9" xfId="46146" xr:uid="{00000000-0005-0000-0000-000091940000}"/>
    <cellStyle name="Процентный 4 2 2 88" xfId="3455" xr:uid="{00000000-0005-0000-0000-000092940000}"/>
    <cellStyle name="Процентный 4 2 2 88 10" xfId="51518" xr:uid="{00000000-0005-0000-0000-000093940000}"/>
    <cellStyle name="Процентный 4 2 2 88 2" xfId="8798" xr:uid="{00000000-0005-0000-0000-000094940000}"/>
    <cellStyle name="Процентный 4 2 2 88 2 2" xfId="56859" xr:uid="{00000000-0005-0000-0000-000095940000}"/>
    <cellStyle name="Процентный 4 2 2 88 3" xfId="14138" xr:uid="{00000000-0005-0000-0000-000096940000}"/>
    <cellStyle name="Процентный 4 2 2 88 4" xfId="19478" xr:uid="{00000000-0005-0000-0000-000097940000}"/>
    <cellStyle name="Процентный 4 2 2 88 5" xfId="24818" xr:uid="{00000000-0005-0000-0000-000098940000}"/>
    <cellStyle name="Процентный 4 2 2 88 6" xfId="30158" xr:uid="{00000000-0005-0000-0000-000099940000}"/>
    <cellStyle name="Процентный 4 2 2 88 7" xfId="35498" xr:uid="{00000000-0005-0000-0000-00009A940000}"/>
    <cellStyle name="Процентный 4 2 2 88 8" xfId="40838" xr:uid="{00000000-0005-0000-0000-00009B940000}"/>
    <cellStyle name="Процентный 4 2 2 88 9" xfId="46178" xr:uid="{00000000-0005-0000-0000-00009C940000}"/>
    <cellStyle name="Процентный 4 2 2 89" xfId="3487" xr:uid="{00000000-0005-0000-0000-00009D940000}"/>
    <cellStyle name="Процентный 4 2 2 89 10" xfId="51550" xr:uid="{00000000-0005-0000-0000-00009E940000}"/>
    <cellStyle name="Процентный 4 2 2 89 2" xfId="8830" xr:uid="{00000000-0005-0000-0000-00009F940000}"/>
    <cellStyle name="Процентный 4 2 2 89 2 2" xfId="56891" xr:uid="{00000000-0005-0000-0000-0000A0940000}"/>
    <cellStyle name="Процентный 4 2 2 89 3" xfId="14170" xr:uid="{00000000-0005-0000-0000-0000A1940000}"/>
    <cellStyle name="Процентный 4 2 2 89 4" xfId="19510" xr:uid="{00000000-0005-0000-0000-0000A2940000}"/>
    <cellStyle name="Процентный 4 2 2 89 5" xfId="24850" xr:uid="{00000000-0005-0000-0000-0000A3940000}"/>
    <cellStyle name="Процентный 4 2 2 89 6" xfId="30190" xr:uid="{00000000-0005-0000-0000-0000A4940000}"/>
    <cellStyle name="Процентный 4 2 2 89 7" xfId="35530" xr:uid="{00000000-0005-0000-0000-0000A5940000}"/>
    <cellStyle name="Процентный 4 2 2 89 8" xfId="40870" xr:uid="{00000000-0005-0000-0000-0000A6940000}"/>
    <cellStyle name="Процентный 4 2 2 89 9" xfId="46210" xr:uid="{00000000-0005-0000-0000-0000A7940000}"/>
    <cellStyle name="Процентный 4 2 2 9" xfId="1155" xr:uid="{00000000-0005-0000-0000-0000A8940000}"/>
    <cellStyle name="Процентный 4 2 2 9 10" xfId="49218" xr:uid="{00000000-0005-0000-0000-0000A9940000}"/>
    <cellStyle name="Процентный 4 2 2 9 2" xfId="6497" xr:uid="{00000000-0005-0000-0000-0000AA940000}"/>
    <cellStyle name="Процентный 4 2 2 9 2 2" xfId="54559" xr:uid="{00000000-0005-0000-0000-0000AB940000}"/>
    <cellStyle name="Процентный 4 2 2 9 3" xfId="11838" xr:uid="{00000000-0005-0000-0000-0000AC940000}"/>
    <cellStyle name="Процентный 4 2 2 9 4" xfId="17178" xr:uid="{00000000-0005-0000-0000-0000AD940000}"/>
    <cellStyle name="Процентный 4 2 2 9 5" xfId="22518" xr:uid="{00000000-0005-0000-0000-0000AE940000}"/>
    <cellStyle name="Процентный 4 2 2 9 6" xfId="27858" xr:uid="{00000000-0005-0000-0000-0000AF940000}"/>
    <cellStyle name="Процентный 4 2 2 9 7" xfId="33198" xr:uid="{00000000-0005-0000-0000-0000B0940000}"/>
    <cellStyle name="Процентный 4 2 2 9 8" xfId="38538" xr:uid="{00000000-0005-0000-0000-0000B1940000}"/>
    <cellStyle name="Процентный 4 2 2 9 9" xfId="43878" xr:uid="{00000000-0005-0000-0000-0000B2940000}"/>
    <cellStyle name="Процентный 4 2 2 90" xfId="3519" xr:uid="{00000000-0005-0000-0000-0000B3940000}"/>
    <cellStyle name="Процентный 4 2 2 90 10" xfId="51582" xr:uid="{00000000-0005-0000-0000-0000B4940000}"/>
    <cellStyle name="Процентный 4 2 2 90 2" xfId="8862" xr:uid="{00000000-0005-0000-0000-0000B5940000}"/>
    <cellStyle name="Процентный 4 2 2 90 2 2" xfId="56923" xr:uid="{00000000-0005-0000-0000-0000B6940000}"/>
    <cellStyle name="Процентный 4 2 2 90 3" xfId="14202" xr:uid="{00000000-0005-0000-0000-0000B7940000}"/>
    <cellStyle name="Процентный 4 2 2 90 4" xfId="19542" xr:uid="{00000000-0005-0000-0000-0000B8940000}"/>
    <cellStyle name="Процентный 4 2 2 90 5" xfId="24882" xr:uid="{00000000-0005-0000-0000-0000B9940000}"/>
    <cellStyle name="Процентный 4 2 2 90 6" xfId="30222" xr:uid="{00000000-0005-0000-0000-0000BA940000}"/>
    <cellStyle name="Процентный 4 2 2 90 7" xfId="35562" xr:uid="{00000000-0005-0000-0000-0000BB940000}"/>
    <cellStyle name="Процентный 4 2 2 90 8" xfId="40902" xr:uid="{00000000-0005-0000-0000-0000BC940000}"/>
    <cellStyle name="Процентный 4 2 2 90 9" xfId="46242" xr:uid="{00000000-0005-0000-0000-0000BD940000}"/>
    <cellStyle name="Процентный 4 2 2 91" xfId="3551" xr:uid="{00000000-0005-0000-0000-0000BE940000}"/>
    <cellStyle name="Процентный 4 2 2 91 10" xfId="51614" xr:uid="{00000000-0005-0000-0000-0000BF940000}"/>
    <cellStyle name="Процентный 4 2 2 91 2" xfId="8894" xr:uid="{00000000-0005-0000-0000-0000C0940000}"/>
    <cellStyle name="Процентный 4 2 2 91 2 2" xfId="56955" xr:uid="{00000000-0005-0000-0000-0000C1940000}"/>
    <cellStyle name="Процентный 4 2 2 91 3" xfId="14234" xr:uid="{00000000-0005-0000-0000-0000C2940000}"/>
    <cellStyle name="Процентный 4 2 2 91 4" xfId="19574" xr:uid="{00000000-0005-0000-0000-0000C3940000}"/>
    <cellStyle name="Процентный 4 2 2 91 5" xfId="24914" xr:uid="{00000000-0005-0000-0000-0000C4940000}"/>
    <cellStyle name="Процентный 4 2 2 91 6" xfId="30254" xr:uid="{00000000-0005-0000-0000-0000C5940000}"/>
    <cellStyle name="Процентный 4 2 2 91 7" xfId="35594" xr:uid="{00000000-0005-0000-0000-0000C6940000}"/>
    <cellStyle name="Процентный 4 2 2 91 8" xfId="40934" xr:uid="{00000000-0005-0000-0000-0000C7940000}"/>
    <cellStyle name="Процентный 4 2 2 91 9" xfId="46274" xr:uid="{00000000-0005-0000-0000-0000C8940000}"/>
    <cellStyle name="Процентный 4 2 2 92" xfId="3583" xr:uid="{00000000-0005-0000-0000-0000C9940000}"/>
    <cellStyle name="Процентный 4 2 2 92 10" xfId="51646" xr:uid="{00000000-0005-0000-0000-0000CA940000}"/>
    <cellStyle name="Процентный 4 2 2 92 2" xfId="8926" xr:uid="{00000000-0005-0000-0000-0000CB940000}"/>
    <cellStyle name="Процентный 4 2 2 92 2 2" xfId="56987" xr:uid="{00000000-0005-0000-0000-0000CC940000}"/>
    <cellStyle name="Процентный 4 2 2 92 3" xfId="14266" xr:uid="{00000000-0005-0000-0000-0000CD940000}"/>
    <cellStyle name="Процентный 4 2 2 92 4" xfId="19606" xr:uid="{00000000-0005-0000-0000-0000CE940000}"/>
    <cellStyle name="Процентный 4 2 2 92 5" xfId="24946" xr:uid="{00000000-0005-0000-0000-0000CF940000}"/>
    <cellStyle name="Процентный 4 2 2 92 6" xfId="30286" xr:uid="{00000000-0005-0000-0000-0000D0940000}"/>
    <cellStyle name="Процентный 4 2 2 92 7" xfId="35626" xr:uid="{00000000-0005-0000-0000-0000D1940000}"/>
    <cellStyle name="Процентный 4 2 2 92 8" xfId="40966" xr:uid="{00000000-0005-0000-0000-0000D2940000}"/>
    <cellStyle name="Процентный 4 2 2 92 9" xfId="46306" xr:uid="{00000000-0005-0000-0000-0000D3940000}"/>
    <cellStyle name="Процентный 4 2 2 93" xfId="3615" xr:uid="{00000000-0005-0000-0000-0000D4940000}"/>
    <cellStyle name="Процентный 4 2 2 93 10" xfId="51678" xr:uid="{00000000-0005-0000-0000-0000D5940000}"/>
    <cellStyle name="Процентный 4 2 2 93 2" xfId="8958" xr:uid="{00000000-0005-0000-0000-0000D6940000}"/>
    <cellStyle name="Процентный 4 2 2 93 2 2" xfId="57019" xr:uid="{00000000-0005-0000-0000-0000D7940000}"/>
    <cellStyle name="Процентный 4 2 2 93 3" xfId="14298" xr:uid="{00000000-0005-0000-0000-0000D8940000}"/>
    <cellStyle name="Процентный 4 2 2 93 4" xfId="19638" xr:uid="{00000000-0005-0000-0000-0000D9940000}"/>
    <cellStyle name="Процентный 4 2 2 93 5" xfId="24978" xr:uid="{00000000-0005-0000-0000-0000DA940000}"/>
    <cellStyle name="Процентный 4 2 2 93 6" xfId="30318" xr:uid="{00000000-0005-0000-0000-0000DB940000}"/>
    <cellStyle name="Процентный 4 2 2 93 7" xfId="35658" xr:uid="{00000000-0005-0000-0000-0000DC940000}"/>
    <cellStyle name="Процентный 4 2 2 93 8" xfId="40998" xr:uid="{00000000-0005-0000-0000-0000DD940000}"/>
    <cellStyle name="Процентный 4 2 2 93 9" xfId="46338" xr:uid="{00000000-0005-0000-0000-0000DE940000}"/>
    <cellStyle name="Процентный 4 2 2 94" xfId="3647" xr:uid="{00000000-0005-0000-0000-0000DF940000}"/>
    <cellStyle name="Процентный 4 2 2 94 10" xfId="51710" xr:uid="{00000000-0005-0000-0000-0000E0940000}"/>
    <cellStyle name="Процентный 4 2 2 94 2" xfId="8990" xr:uid="{00000000-0005-0000-0000-0000E1940000}"/>
    <cellStyle name="Процентный 4 2 2 94 2 2" xfId="57051" xr:uid="{00000000-0005-0000-0000-0000E2940000}"/>
    <cellStyle name="Процентный 4 2 2 94 3" xfId="14330" xr:uid="{00000000-0005-0000-0000-0000E3940000}"/>
    <cellStyle name="Процентный 4 2 2 94 4" xfId="19670" xr:uid="{00000000-0005-0000-0000-0000E4940000}"/>
    <cellStyle name="Процентный 4 2 2 94 5" xfId="25010" xr:uid="{00000000-0005-0000-0000-0000E5940000}"/>
    <cellStyle name="Процентный 4 2 2 94 6" xfId="30350" xr:uid="{00000000-0005-0000-0000-0000E6940000}"/>
    <cellStyle name="Процентный 4 2 2 94 7" xfId="35690" xr:uid="{00000000-0005-0000-0000-0000E7940000}"/>
    <cellStyle name="Процентный 4 2 2 94 8" xfId="41030" xr:uid="{00000000-0005-0000-0000-0000E8940000}"/>
    <cellStyle name="Процентный 4 2 2 94 9" xfId="46370" xr:uid="{00000000-0005-0000-0000-0000E9940000}"/>
    <cellStyle name="Процентный 4 2 2 95" xfId="3679" xr:uid="{00000000-0005-0000-0000-0000EA940000}"/>
    <cellStyle name="Процентный 4 2 2 95 10" xfId="51742" xr:uid="{00000000-0005-0000-0000-0000EB940000}"/>
    <cellStyle name="Процентный 4 2 2 95 2" xfId="9022" xr:uid="{00000000-0005-0000-0000-0000EC940000}"/>
    <cellStyle name="Процентный 4 2 2 95 2 2" xfId="57083" xr:uid="{00000000-0005-0000-0000-0000ED940000}"/>
    <cellStyle name="Процентный 4 2 2 95 3" xfId="14362" xr:uid="{00000000-0005-0000-0000-0000EE940000}"/>
    <cellStyle name="Процентный 4 2 2 95 4" xfId="19702" xr:uid="{00000000-0005-0000-0000-0000EF940000}"/>
    <cellStyle name="Процентный 4 2 2 95 5" xfId="25042" xr:uid="{00000000-0005-0000-0000-0000F0940000}"/>
    <cellStyle name="Процентный 4 2 2 95 6" xfId="30382" xr:uid="{00000000-0005-0000-0000-0000F1940000}"/>
    <cellStyle name="Процентный 4 2 2 95 7" xfId="35722" xr:uid="{00000000-0005-0000-0000-0000F2940000}"/>
    <cellStyle name="Процентный 4 2 2 95 8" xfId="41062" xr:uid="{00000000-0005-0000-0000-0000F3940000}"/>
    <cellStyle name="Процентный 4 2 2 95 9" xfId="46402" xr:uid="{00000000-0005-0000-0000-0000F4940000}"/>
    <cellStyle name="Процентный 4 2 2 96" xfId="3711" xr:uid="{00000000-0005-0000-0000-0000F5940000}"/>
    <cellStyle name="Процентный 4 2 2 96 10" xfId="51774" xr:uid="{00000000-0005-0000-0000-0000F6940000}"/>
    <cellStyle name="Процентный 4 2 2 96 2" xfId="9054" xr:uid="{00000000-0005-0000-0000-0000F7940000}"/>
    <cellStyle name="Процентный 4 2 2 96 2 2" xfId="57115" xr:uid="{00000000-0005-0000-0000-0000F8940000}"/>
    <cellStyle name="Процентный 4 2 2 96 3" xfId="14394" xr:uid="{00000000-0005-0000-0000-0000F9940000}"/>
    <cellStyle name="Процентный 4 2 2 96 4" xfId="19734" xr:uid="{00000000-0005-0000-0000-0000FA940000}"/>
    <cellStyle name="Процентный 4 2 2 96 5" xfId="25074" xr:uid="{00000000-0005-0000-0000-0000FB940000}"/>
    <cellStyle name="Процентный 4 2 2 96 6" xfId="30414" xr:uid="{00000000-0005-0000-0000-0000FC940000}"/>
    <cellStyle name="Процентный 4 2 2 96 7" xfId="35754" xr:uid="{00000000-0005-0000-0000-0000FD940000}"/>
    <cellStyle name="Процентный 4 2 2 96 8" xfId="41094" xr:uid="{00000000-0005-0000-0000-0000FE940000}"/>
    <cellStyle name="Процентный 4 2 2 96 9" xfId="46434" xr:uid="{00000000-0005-0000-0000-0000FF940000}"/>
    <cellStyle name="Процентный 4 2 2 97" xfId="3743" xr:uid="{00000000-0005-0000-0000-000000950000}"/>
    <cellStyle name="Процентный 4 2 2 97 10" xfId="51806" xr:uid="{00000000-0005-0000-0000-000001950000}"/>
    <cellStyle name="Процентный 4 2 2 97 2" xfId="9086" xr:uid="{00000000-0005-0000-0000-000002950000}"/>
    <cellStyle name="Процентный 4 2 2 97 2 2" xfId="57147" xr:uid="{00000000-0005-0000-0000-000003950000}"/>
    <cellStyle name="Процентный 4 2 2 97 3" xfId="14426" xr:uid="{00000000-0005-0000-0000-000004950000}"/>
    <cellStyle name="Процентный 4 2 2 97 4" xfId="19766" xr:uid="{00000000-0005-0000-0000-000005950000}"/>
    <cellStyle name="Процентный 4 2 2 97 5" xfId="25106" xr:uid="{00000000-0005-0000-0000-000006950000}"/>
    <cellStyle name="Процентный 4 2 2 97 6" xfId="30446" xr:uid="{00000000-0005-0000-0000-000007950000}"/>
    <cellStyle name="Процентный 4 2 2 97 7" xfId="35786" xr:uid="{00000000-0005-0000-0000-000008950000}"/>
    <cellStyle name="Процентный 4 2 2 97 8" xfId="41126" xr:uid="{00000000-0005-0000-0000-000009950000}"/>
    <cellStyle name="Процентный 4 2 2 97 9" xfId="46466" xr:uid="{00000000-0005-0000-0000-00000A950000}"/>
    <cellStyle name="Процентный 4 2 2 98" xfId="3775" xr:uid="{00000000-0005-0000-0000-00000B950000}"/>
    <cellStyle name="Процентный 4 2 2 98 10" xfId="51838" xr:uid="{00000000-0005-0000-0000-00000C950000}"/>
    <cellStyle name="Процентный 4 2 2 98 2" xfId="9118" xr:uid="{00000000-0005-0000-0000-00000D950000}"/>
    <cellStyle name="Процентный 4 2 2 98 2 2" xfId="57179" xr:uid="{00000000-0005-0000-0000-00000E950000}"/>
    <cellStyle name="Процентный 4 2 2 98 3" xfId="14458" xr:uid="{00000000-0005-0000-0000-00000F950000}"/>
    <cellStyle name="Процентный 4 2 2 98 4" xfId="19798" xr:uid="{00000000-0005-0000-0000-000010950000}"/>
    <cellStyle name="Процентный 4 2 2 98 5" xfId="25138" xr:uid="{00000000-0005-0000-0000-000011950000}"/>
    <cellStyle name="Процентный 4 2 2 98 6" xfId="30478" xr:uid="{00000000-0005-0000-0000-000012950000}"/>
    <cellStyle name="Процентный 4 2 2 98 7" xfId="35818" xr:uid="{00000000-0005-0000-0000-000013950000}"/>
    <cellStyle name="Процентный 4 2 2 98 8" xfId="41158" xr:uid="{00000000-0005-0000-0000-000014950000}"/>
    <cellStyle name="Процентный 4 2 2 98 9" xfId="46498" xr:uid="{00000000-0005-0000-0000-000015950000}"/>
    <cellStyle name="Процентный 4 2 2 99" xfId="3807" xr:uid="{00000000-0005-0000-0000-000016950000}"/>
    <cellStyle name="Процентный 4 2 2 99 10" xfId="51870" xr:uid="{00000000-0005-0000-0000-000017950000}"/>
    <cellStyle name="Процентный 4 2 2 99 2" xfId="9150" xr:uid="{00000000-0005-0000-0000-000018950000}"/>
    <cellStyle name="Процентный 4 2 2 99 2 2" xfId="57211" xr:uid="{00000000-0005-0000-0000-000019950000}"/>
    <cellStyle name="Процентный 4 2 2 99 3" xfId="14490" xr:uid="{00000000-0005-0000-0000-00001A950000}"/>
    <cellStyle name="Процентный 4 2 2 99 4" xfId="19830" xr:uid="{00000000-0005-0000-0000-00001B950000}"/>
    <cellStyle name="Процентный 4 2 2 99 5" xfId="25170" xr:uid="{00000000-0005-0000-0000-00001C950000}"/>
    <cellStyle name="Процентный 4 2 2 99 6" xfId="30510" xr:uid="{00000000-0005-0000-0000-00001D950000}"/>
    <cellStyle name="Процентный 4 2 2 99 7" xfId="35850" xr:uid="{00000000-0005-0000-0000-00001E950000}"/>
    <cellStyle name="Процентный 4 2 2 99 8" xfId="41190" xr:uid="{00000000-0005-0000-0000-00001F950000}"/>
    <cellStyle name="Процентный 4 2 2 99 9" xfId="46530" xr:uid="{00000000-0005-0000-0000-000020950000}"/>
    <cellStyle name="Процентный 4 2 20" xfId="277" xr:uid="{00000000-0005-0000-0000-000021950000}"/>
    <cellStyle name="Процентный 4 2 20 10" xfId="42999" xr:uid="{00000000-0005-0000-0000-000022950000}"/>
    <cellStyle name="Процентный 4 2 20 11" xfId="48339" xr:uid="{00000000-0005-0000-0000-000023950000}"/>
    <cellStyle name="Процентный 4 2 20 2" xfId="744" xr:uid="{00000000-0005-0000-0000-000024950000}"/>
    <cellStyle name="Процентный 4 2 20 2 10" xfId="48806" xr:uid="{00000000-0005-0000-0000-000025950000}"/>
    <cellStyle name="Процентный 4 2 20 2 2" xfId="6085" xr:uid="{00000000-0005-0000-0000-000026950000}"/>
    <cellStyle name="Процентный 4 2 20 2 2 2" xfId="54147" xr:uid="{00000000-0005-0000-0000-000027950000}"/>
    <cellStyle name="Процентный 4 2 20 2 3" xfId="11426" xr:uid="{00000000-0005-0000-0000-000028950000}"/>
    <cellStyle name="Процентный 4 2 20 2 4" xfId="16766" xr:uid="{00000000-0005-0000-0000-000029950000}"/>
    <cellStyle name="Процентный 4 2 20 2 5" xfId="22106" xr:uid="{00000000-0005-0000-0000-00002A950000}"/>
    <cellStyle name="Процентный 4 2 20 2 6" xfId="27446" xr:uid="{00000000-0005-0000-0000-00002B950000}"/>
    <cellStyle name="Процентный 4 2 20 2 7" xfId="32786" xr:uid="{00000000-0005-0000-0000-00002C950000}"/>
    <cellStyle name="Процентный 4 2 20 2 8" xfId="38126" xr:uid="{00000000-0005-0000-0000-00002D950000}"/>
    <cellStyle name="Процентный 4 2 20 2 9" xfId="43466" xr:uid="{00000000-0005-0000-0000-00002E950000}"/>
    <cellStyle name="Процентный 4 2 20 3" xfId="5618" xr:uid="{00000000-0005-0000-0000-00002F950000}"/>
    <cellStyle name="Процентный 4 2 20 3 2" xfId="53680" xr:uid="{00000000-0005-0000-0000-000030950000}"/>
    <cellStyle name="Процентный 4 2 20 4" xfId="10959" xr:uid="{00000000-0005-0000-0000-000031950000}"/>
    <cellStyle name="Процентный 4 2 20 5" xfId="16299" xr:uid="{00000000-0005-0000-0000-000032950000}"/>
    <cellStyle name="Процентный 4 2 20 6" xfId="21639" xr:uid="{00000000-0005-0000-0000-000033950000}"/>
    <cellStyle name="Процентный 4 2 20 7" xfId="26979" xr:uid="{00000000-0005-0000-0000-000034950000}"/>
    <cellStyle name="Процентный 4 2 20 8" xfId="32319" xr:uid="{00000000-0005-0000-0000-000035950000}"/>
    <cellStyle name="Процентный 4 2 20 9" xfId="37659" xr:uid="{00000000-0005-0000-0000-000036950000}"/>
    <cellStyle name="Процентный 4 2 21" xfId="287" xr:uid="{00000000-0005-0000-0000-000037950000}"/>
    <cellStyle name="Процентный 4 2 21 10" xfId="43009" xr:uid="{00000000-0005-0000-0000-000038950000}"/>
    <cellStyle name="Процентный 4 2 21 11" xfId="48349" xr:uid="{00000000-0005-0000-0000-000039950000}"/>
    <cellStyle name="Процентный 4 2 21 2" xfId="754" xr:uid="{00000000-0005-0000-0000-00003A950000}"/>
    <cellStyle name="Процентный 4 2 21 2 10" xfId="48816" xr:uid="{00000000-0005-0000-0000-00003B950000}"/>
    <cellStyle name="Процентный 4 2 21 2 2" xfId="6095" xr:uid="{00000000-0005-0000-0000-00003C950000}"/>
    <cellStyle name="Процентный 4 2 21 2 2 2" xfId="54157" xr:uid="{00000000-0005-0000-0000-00003D950000}"/>
    <cellStyle name="Процентный 4 2 21 2 3" xfId="11436" xr:uid="{00000000-0005-0000-0000-00003E950000}"/>
    <cellStyle name="Процентный 4 2 21 2 4" xfId="16776" xr:uid="{00000000-0005-0000-0000-00003F950000}"/>
    <cellStyle name="Процентный 4 2 21 2 5" xfId="22116" xr:uid="{00000000-0005-0000-0000-000040950000}"/>
    <cellStyle name="Процентный 4 2 21 2 6" xfId="27456" xr:uid="{00000000-0005-0000-0000-000041950000}"/>
    <cellStyle name="Процентный 4 2 21 2 7" xfId="32796" xr:uid="{00000000-0005-0000-0000-000042950000}"/>
    <cellStyle name="Процентный 4 2 21 2 8" xfId="38136" xr:uid="{00000000-0005-0000-0000-000043950000}"/>
    <cellStyle name="Процентный 4 2 21 2 9" xfId="43476" xr:uid="{00000000-0005-0000-0000-000044950000}"/>
    <cellStyle name="Процентный 4 2 21 3" xfId="5628" xr:uid="{00000000-0005-0000-0000-000045950000}"/>
    <cellStyle name="Процентный 4 2 21 3 2" xfId="53690" xr:uid="{00000000-0005-0000-0000-000046950000}"/>
    <cellStyle name="Процентный 4 2 21 4" xfId="10969" xr:uid="{00000000-0005-0000-0000-000047950000}"/>
    <cellStyle name="Процентный 4 2 21 5" xfId="16309" xr:uid="{00000000-0005-0000-0000-000048950000}"/>
    <cellStyle name="Процентный 4 2 21 6" xfId="21649" xr:uid="{00000000-0005-0000-0000-000049950000}"/>
    <cellStyle name="Процентный 4 2 21 7" xfId="26989" xr:uid="{00000000-0005-0000-0000-00004A950000}"/>
    <cellStyle name="Процентный 4 2 21 8" xfId="32329" xr:uid="{00000000-0005-0000-0000-00004B950000}"/>
    <cellStyle name="Процентный 4 2 21 9" xfId="37669" xr:uid="{00000000-0005-0000-0000-00004C950000}"/>
    <cellStyle name="Процентный 4 2 22" xfId="297" xr:uid="{00000000-0005-0000-0000-00004D950000}"/>
    <cellStyle name="Процентный 4 2 22 10" xfId="43019" xr:uid="{00000000-0005-0000-0000-00004E950000}"/>
    <cellStyle name="Процентный 4 2 22 11" xfId="48359" xr:uid="{00000000-0005-0000-0000-00004F950000}"/>
    <cellStyle name="Процентный 4 2 22 2" xfId="764" xr:uid="{00000000-0005-0000-0000-000050950000}"/>
    <cellStyle name="Процентный 4 2 22 2 10" xfId="48826" xr:uid="{00000000-0005-0000-0000-000051950000}"/>
    <cellStyle name="Процентный 4 2 22 2 2" xfId="6105" xr:uid="{00000000-0005-0000-0000-000052950000}"/>
    <cellStyle name="Процентный 4 2 22 2 2 2" xfId="54167" xr:uid="{00000000-0005-0000-0000-000053950000}"/>
    <cellStyle name="Процентный 4 2 22 2 3" xfId="11446" xr:uid="{00000000-0005-0000-0000-000054950000}"/>
    <cellStyle name="Процентный 4 2 22 2 4" xfId="16786" xr:uid="{00000000-0005-0000-0000-000055950000}"/>
    <cellStyle name="Процентный 4 2 22 2 5" xfId="22126" xr:uid="{00000000-0005-0000-0000-000056950000}"/>
    <cellStyle name="Процентный 4 2 22 2 6" xfId="27466" xr:uid="{00000000-0005-0000-0000-000057950000}"/>
    <cellStyle name="Процентный 4 2 22 2 7" xfId="32806" xr:uid="{00000000-0005-0000-0000-000058950000}"/>
    <cellStyle name="Процентный 4 2 22 2 8" xfId="38146" xr:uid="{00000000-0005-0000-0000-000059950000}"/>
    <cellStyle name="Процентный 4 2 22 2 9" xfId="43486" xr:uid="{00000000-0005-0000-0000-00005A950000}"/>
    <cellStyle name="Процентный 4 2 22 3" xfId="5638" xr:uid="{00000000-0005-0000-0000-00005B950000}"/>
    <cellStyle name="Процентный 4 2 22 3 2" xfId="53700" xr:uid="{00000000-0005-0000-0000-00005C950000}"/>
    <cellStyle name="Процентный 4 2 22 4" xfId="10979" xr:uid="{00000000-0005-0000-0000-00005D950000}"/>
    <cellStyle name="Процентный 4 2 22 5" xfId="16319" xr:uid="{00000000-0005-0000-0000-00005E950000}"/>
    <cellStyle name="Процентный 4 2 22 6" xfId="21659" xr:uid="{00000000-0005-0000-0000-00005F950000}"/>
    <cellStyle name="Процентный 4 2 22 7" xfId="26999" xr:uid="{00000000-0005-0000-0000-000060950000}"/>
    <cellStyle name="Процентный 4 2 22 8" xfId="32339" xr:uid="{00000000-0005-0000-0000-000061950000}"/>
    <cellStyle name="Процентный 4 2 22 9" xfId="37679" xr:uid="{00000000-0005-0000-0000-000062950000}"/>
    <cellStyle name="Процентный 4 2 23" xfId="307" xr:uid="{00000000-0005-0000-0000-000063950000}"/>
    <cellStyle name="Процентный 4 2 23 10" xfId="43029" xr:uid="{00000000-0005-0000-0000-000064950000}"/>
    <cellStyle name="Процентный 4 2 23 11" xfId="48369" xr:uid="{00000000-0005-0000-0000-000065950000}"/>
    <cellStyle name="Процентный 4 2 23 2" xfId="774" xr:uid="{00000000-0005-0000-0000-000066950000}"/>
    <cellStyle name="Процентный 4 2 23 2 10" xfId="48836" xr:uid="{00000000-0005-0000-0000-000067950000}"/>
    <cellStyle name="Процентный 4 2 23 2 2" xfId="6115" xr:uid="{00000000-0005-0000-0000-000068950000}"/>
    <cellStyle name="Процентный 4 2 23 2 2 2" xfId="54177" xr:uid="{00000000-0005-0000-0000-000069950000}"/>
    <cellStyle name="Процентный 4 2 23 2 3" xfId="11456" xr:uid="{00000000-0005-0000-0000-00006A950000}"/>
    <cellStyle name="Процентный 4 2 23 2 4" xfId="16796" xr:uid="{00000000-0005-0000-0000-00006B950000}"/>
    <cellStyle name="Процентный 4 2 23 2 5" xfId="22136" xr:uid="{00000000-0005-0000-0000-00006C950000}"/>
    <cellStyle name="Процентный 4 2 23 2 6" xfId="27476" xr:uid="{00000000-0005-0000-0000-00006D950000}"/>
    <cellStyle name="Процентный 4 2 23 2 7" xfId="32816" xr:uid="{00000000-0005-0000-0000-00006E950000}"/>
    <cellStyle name="Процентный 4 2 23 2 8" xfId="38156" xr:uid="{00000000-0005-0000-0000-00006F950000}"/>
    <cellStyle name="Процентный 4 2 23 2 9" xfId="43496" xr:uid="{00000000-0005-0000-0000-000070950000}"/>
    <cellStyle name="Процентный 4 2 23 3" xfId="5648" xr:uid="{00000000-0005-0000-0000-000071950000}"/>
    <cellStyle name="Процентный 4 2 23 3 2" xfId="53710" xr:uid="{00000000-0005-0000-0000-000072950000}"/>
    <cellStyle name="Процентный 4 2 23 4" xfId="10989" xr:uid="{00000000-0005-0000-0000-000073950000}"/>
    <cellStyle name="Процентный 4 2 23 5" xfId="16329" xr:uid="{00000000-0005-0000-0000-000074950000}"/>
    <cellStyle name="Процентный 4 2 23 6" xfId="21669" xr:uid="{00000000-0005-0000-0000-000075950000}"/>
    <cellStyle name="Процентный 4 2 23 7" xfId="27009" xr:uid="{00000000-0005-0000-0000-000076950000}"/>
    <cellStyle name="Процентный 4 2 23 8" xfId="32349" xr:uid="{00000000-0005-0000-0000-000077950000}"/>
    <cellStyle name="Процентный 4 2 23 9" xfId="37689" xr:uid="{00000000-0005-0000-0000-000078950000}"/>
    <cellStyle name="Процентный 4 2 24" xfId="317" xr:uid="{00000000-0005-0000-0000-000079950000}"/>
    <cellStyle name="Процентный 4 2 24 10" xfId="43039" xr:uid="{00000000-0005-0000-0000-00007A950000}"/>
    <cellStyle name="Процентный 4 2 24 11" xfId="48379" xr:uid="{00000000-0005-0000-0000-00007B950000}"/>
    <cellStyle name="Процентный 4 2 24 2" xfId="784" xr:uid="{00000000-0005-0000-0000-00007C950000}"/>
    <cellStyle name="Процентный 4 2 24 2 10" xfId="48846" xr:uid="{00000000-0005-0000-0000-00007D950000}"/>
    <cellStyle name="Процентный 4 2 24 2 2" xfId="6125" xr:uid="{00000000-0005-0000-0000-00007E950000}"/>
    <cellStyle name="Процентный 4 2 24 2 2 2" xfId="54187" xr:uid="{00000000-0005-0000-0000-00007F950000}"/>
    <cellStyle name="Процентный 4 2 24 2 3" xfId="11466" xr:uid="{00000000-0005-0000-0000-000080950000}"/>
    <cellStyle name="Процентный 4 2 24 2 4" xfId="16806" xr:uid="{00000000-0005-0000-0000-000081950000}"/>
    <cellStyle name="Процентный 4 2 24 2 5" xfId="22146" xr:uid="{00000000-0005-0000-0000-000082950000}"/>
    <cellStyle name="Процентный 4 2 24 2 6" xfId="27486" xr:uid="{00000000-0005-0000-0000-000083950000}"/>
    <cellStyle name="Процентный 4 2 24 2 7" xfId="32826" xr:uid="{00000000-0005-0000-0000-000084950000}"/>
    <cellStyle name="Процентный 4 2 24 2 8" xfId="38166" xr:uid="{00000000-0005-0000-0000-000085950000}"/>
    <cellStyle name="Процентный 4 2 24 2 9" xfId="43506" xr:uid="{00000000-0005-0000-0000-000086950000}"/>
    <cellStyle name="Процентный 4 2 24 3" xfId="5658" xr:uid="{00000000-0005-0000-0000-000087950000}"/>
    <cellStyle name="Процентный 4 2 24 3 2" xfId="53720" xr:uid="{00000000-0005-0000-0000-000088950000}"/>
    <cellStyle name="Процентный 4 2 24 4" xfId="10999" xr:uid="{00000000-0005-0000-0000-000089950000}"/>
    <cellStyle name="Процентный 4 2 24 5" xfId="16339" xr:uid="{00000000-0005-0000-0000-00008A950000}"/>
    <cellStyle name="Процентный 4 2 24 6" xfId="21679" xr:uid="{00000000-0005-0000-0000-00008B950000}"/>
    <cellStyle name="Процентный 4 2 24 7" xfId="27019" xr:uid="{00000000-0005-0000-0000-00008C950000}"/>
    <cellStyle name="Процентный 4 2 24 8" xfId="32359" xr:uid="{00000000-0005-0000-0000-00008D950000}"/>
    <cellStyle name="Процентный 4 2 24 9" xfId="37699" xr:uid="{00000000-0005-0000-0000-00008E950000}"/>
    <cellStyle name="Процентный 4 2 25" xfId="327" xr:uid="{00000000-0005-0000-0000-00008F950000}"/>
    <cellStyle name="Процентный 4 2 25 10" xfId="43049" xr:uid="{00000000-0005-0000-0000-000090950000}"/>
    <cellStyle name="Процентный 4 2 25 11" xfId="48389" xr:uid="{00000000-0005-0000-0000-000091950000}"/>
    <cellStyle name="Процентный 4 2 25 2" xfId="794" xr:uid="{00000000-0005-0000-0000-000092950000}"/>
    <cellStyle name="Процентный 4 2 25 2 10" xfId="48856" xr:uid="{00000000-0005-0000-0000-000093950000}"/>
    <cellStyle name="Процентный 4 2 25 2 2" xfId="6135" xr:uid="{00000000-0005-0000-0000-000094950000}"/>
    <cellStyle name="Процентный 4 2 25 2 2 2" xfId="54197" xr:uid="{00000000-0005-0000-0000-000095950000}"/>
    <cellStyle name="Процентный 4 2 25 2 3" xfId="11476" xr:uid="{00000000-0005-0000-0000-000096950000}"/>
    <cellStyle name="Процентный 4 2 25 2 4" xfId="16816" xr:uid="{00000000-0005-0000-0000-000097950000}"/>
    <cellStyle name="Процентный 4 2 25 2 5" xfId="22156" xr:uid="{00000000-0005-0000-0000-000098950000}"/>
    <cellStyle name="Процентный 4 2 25 2 6" xfId="27496" xr:uid="{00000000-0005-0000-0000-000099950000}"/>
    <cellStyle name="Процентный 4 2 25 2 7" xfId="32836" xr:uid="{00000000-0005-0000-0000-00009A950000}"/>
    <cellStyle name="Процентный 4 2 25 2 8" xfId="38176" xr:uid="{00000000-0005-0000-0000-00009B950000}"/>
    <cellStyle name="Процентный 4 2 25 2 9" xfId="43516" xr:uid="{00000000-0005-0000-0000-00009C950000}"/>
    <cellStyle name="Процентный 4 2 25 3" xfId="5668" xr:uid="{00000000-0005-0000-0000-00009D950000}"/>
    <cellStyle name="Процентный 4 2 25 3 2" xfId="53730" xr:uid="{00000000-0005-0000-0000-00009E950000}"/>
    <cellStyle name="Процентный 4 2 25 4" xfId="11009" xr:uid="{00000000-0005-0000-0000-00009F950000}"/>
    <cellStyle name="Процентный 4 2 25 5" xfId="16349" xr:uid="{00000000-0005-0000-0000-0000A0950000}"/>
    <cellStyle name="Процентный 4 2 25 6" xfId="21689" xr:uid="{00000000-0005-0000-0000-0000A1950000}"/>
    <cellStyle name="Процентный 4 2 25 7" xfId="27029" xr:uid="{00000000-0005-0000-0000-0000A2950000}"/>
    <cellStyle name="Процентный 4 2 25 8" xfId="32369" xr:uid="{00000000-0005-0000-0000-0000A3950000}"/>
    <cellStyle name="Процентный 4 2 25 9" xfId="37709" xr:uid="{00000000-0005-0000-0000-0000A4950000}"/>
    <cellStyle name="Процентный 4 2 26" xfId="337" xr:uid="{00000000-0005-0000-0000-0000A5950000}"/>
    <cellStyle name="Процентный 4 2 26 10" xfId="43059" xr:uid="{00000000-0005-0000-0000-0000A6950000}"/>
    <cellStyle name="Процентный 4 2 26 11" xfId="48399" xr:uid="{00000000-0005-0000-0000-0000A7950000}"/>
    <cellStyle name="Процентный 4 2 26 2" xfId="804" xr:uid="{00000000-0005-0000-0000-0000A8950000}"/>
    <cellStyle name="Процентный 4 2 26 2 10" xfId="48866" xr:uid="{00000000-0005-0000-0000-0000A9950000}"/>
    <cellStyle name="Процентный 4 2 26 2 2" xfId="6145" xr:uid="{00000000-0005-0000-0000-0000AA950000}"/>
    <cellStyle name="Процентный 4 2 26 2 2 2" xfId="54207" xr:uid="{00000000-0005-0000-0000-0000AB950000}"/>
    <cellStyle name="Процентный 4 2 26 2 3" xfId="11486" xr:uid="{00000000-0005-0000-0000-0000AC950000}"/>
    <cellStyle name="Процентный 4 2 26 2 4" xfId="16826" xr:uid="{00000000-0005-0000-0000-0000AD950000}"/>
    <cellStyle name="Процентный 4 2 26 2 5" xfId="22166" xr:uid="{00000000-0005-0000-0000-0000AE950000}"/>
    <cellStyle name="Процентный 4 2 26 2 6" xfId="27506" xr:uid="{00000000-0005-0000-0000-0000AF950000}"/>
    <cellStyle name="Процентный 4 2 26 2 7" xfId="32846" xr:uid="{00000000-0005-0000-0000-0000B0950000}"/>
    <cellStyle name="Процентный 4 2 26 2 8" xfId="38186" xr:uid="{00000000-0005-0000-0000-0000B1950000}"/>
    <cellStyle name="Процентный 4 2 26 2 9" xfId="43526" xr:uid="{00000000-0005-0000-0000-0000B2950000}"/>
    <cellStyle name="Процентный 4 2 26 3" xfId="5678" xr:uid="{00000000-0005-0000-0000-0000B3950000}"/>
    <cellStyle name="Процентный 4 2 26 3 2" xfId="53740" xr:uid="{00000000-0005-0000-0000-0000B4950000}"/>
    <cellStyle name="Процентный 4 2 26 4" xfId="11019" xr:uid="{00000000-0005-0000-0000-0000B5950000}"/>
    <cellStyle name="Процентный 4 2 26 5" xfId="16359" xr:uid="{00000000-0005-0000-0000-0000B6950000}"/>
    <cellStyle name="Процентный 4 2 26 6" xfId="21699" xr:uid="{00000000-0005-0000-0000-0000B7950000}"/>
    <cellStyle name="Процентный 4 2 26 7" xfId="27039" xr:uid="{00000000-0005-0000-0000-0000B8950000}"/>
    <cellStyle name="Процентный 4 2 26 8" xfId="32379" xr:uid="{00000000-0005-0000-0000-0000B9950000}"/>
    <cellStyle name="Процентный 4 2 26 9" xfId="37719" xr:uid="{00000000-0005-0000-0000-0000BA950000}"/>
    <cellStyle name="Процентный 4 2 27" xfId="347" xr:uid="{00000000-0005-0000-0000-0000BB950000}"/>
    <cellStyle name="Процентный 4 2 27 10" xfId="43069" xr:uid="{00000000-0005-0000-0000-0000BC950000}"/>
    <cellStyle name="Процентный 4 2 27 11" xfId="48409" xr:uid="{00000000-0005-0000-0000-0000BD950000}"/>
    <cellStyle name="Процентный 4 2 27 2" xfId="814" xr:uid="{00000000-0005-0000-0000-0000BE950000}"/>
    <cellStyle name="Процентный 4 2 27 2 10" xfId="48876" xr:uid="{00000000-0005-0000-0000-0000BF950000}"/>
    <cellStyle name="Процентный 4 2 27 2 2" xfId="6155" xr:uid="{00000000-0005-0000-0000-0000C0950000}"/>
    <cellStyle name="Процентный 4 2 27 2 2 2" xfId="54217" xr:uid="{00000000-0005-0000-0000-0000C1950000}"/>
    <cellStyle name="Процентный 4 2 27 2 3" xfId="11496" xr:uid="{00000000-0005-0000-0000-0000C2950000}"/>
    <cellStyle name="Процентный 4 2 27 2 4" xfId="16836" xr:uid="{00000000-0005-0000-0000-0000C3950000}"/>
    <cellStyle name="Процентный 4 2 27 2 5" xfId="22176" xr:uid="{00000000-0005-0000-0000-0000C4950000}"/>
    <cellStyle name="Процентный 4 2 27 2 6" xfId="27516" xr:uid="{00000000-0005-0000-0000-0000C5950000}"/>
    <cellStyle name="Процентный 4 2 27 2 7" xfId="32856" xr:uid="{00000000-0005-0000-0000-0000C6950000}"/>
    <cellStyle name="Процентный 4 2 27 2 8" xfId="38196" xr:uid="{00000000-0005-0000-0000-0000C7950000}"/>
    <cellStyle name="Процентный 4 2 27 2 9" xfId="43536" xr:uid="{00000000-0005-0000-0000-0000C8950000}"/>
    <cellStyle name="Процентный 4 2 27 3" xfId="5688" xr:uid="{00000000-0005-0000-0000-0000C9950000}"/>
    <cellStyle name="Процентный 4 2 27 3 2" xfId="53750" xr:uid="{00000000-0005-0000-0000-0000CA950000}"/>
    <cellStyle name="Процентный 4 2 27 4" xfId="11029" xr:uid="{00000000-0005-0000-0000-0000CB950000}"/>
    <cellStyle name="Процентный 4 2 27 5" xfId="16369" xr:uid="{00000000-0005-0000-0000-0000CC950000}"/>
    <cellStyle name="Процентный 4 2 27 6" xfId="21709" xr:uid="{00000000-0005-0000-0000-0000CD950000}"/>
    <cellStyle name="Процентный 4 2 27 7" xfId="27049" xr:uid="{00000000-0005-0000-0000-0000CE950000}"/>
    <cellStyle name="Процентный 4 2 27 8" xfId="32389" xr:uid="{00000000-0005-0000-0000-0000CF950000}"/>
    <cellStyle name="Процентный 4 2 27 9" xfId="37729" xr:uid="{00000000-0005-0000-0000-0000D0950000}"/>
    <cellStyle name="Процентный 4 2 28" xfId="357" xr:uid="{00000000-0005-0000-0000-0000D1950000}"/>
    <cellStyle name="Процентный 4 2 28 10" xfId="43079" xr:uid="{00000000-0005-0000-0000-0000D2950000}"/>
    <cellStyle name="Процентный 4 2 28 11" xfId="48419" xr:uid="{00000000-0005-0000-0000-0000D3950000}"/>
    <cellStyle name="Процентный 4 2 28 2" xfId="824" xr:uid="{00000000-0005-0000-0000-0000D4950000}"/>
    <cellStyle name="Процентный 4 2 28 2 10" xfId="48886" xr:uid="{00000000-0005-0000-0000-0000D5950000}"/>
    <cellStyle name="Процентный 4 2 28 2 2" xfId="6165" xr:uid="{00000000-0005-0000-0000-0000D6950000}"/>
    <cellStyle name="Процентный 4 2 28 2 2 2" xfId="54227" xr:uid="{00000000-0005-0000-0000-0000D7950000}"/>
    <cellStyle name="Процентный 4 2 28 2 3" xfId="11506" xr:uid="{00000000-0005-0000-0000-0000D8950000}"/>
    <cellStyle name="Процентный 4 2 28 2 4" xfId="16846" xr:uid="{00000000-0005-0000-0000-0000D9950000}"/>
    <cellStyle name="Процентный 4 2 28 2 5" xfId="22186" xr:uid="{00000000-0005-0000-0000-0000DA950000}"/>
    <cellStyle name="Процентный 4 2 28 2 6" xfId="27526" xr:uid="{00000000-0005-0000-0000-0000DB950000}"/>
    <cellStyle name="Процентный 4 2 28 2 7" xfId="32866" xr:uid="{00000000-0005-0000-0000-0000DC950000}"/>
    <cellStyle name="Процентный 4 2 28 2 8" xfId="38206" xr:uid="{00000000-0005-0000-0000-0000DD950000}"/>
    <cellStyle name="Процентный 4 2 28 2 9" xfId="43546" xr:uid="{00000000-0005-0000-0000-0000DE950000}"/>
    <cellStyle name="Процентный 4 2 28 3" xfId="5698" xr:uid="{00000000-0005-0000-0000-0000DF950000}"/>
    <cellStyle name="Процентный 4 2 28 3 2" xfId="53760" xr:uid="{00000000-0005-0000-0000-0000E0950000}"/>
    <cellStyle name="Процентный 4 2 28 4" xfId="11039" xr:uid="{00000000-0005-0000-0000-0000E1950000}"/>
    <cellStyle name="Процентный 4 2 28 5" xfId="16379" xr:uid="{00000000-0005-0000-0000-0000E2950000}"/>
    <cellStyle name="Процентный 4 2 28 6" xfId="21719" xr:uid="{00000000-0005-0000-0000-0000E3950000}"/>
    <cellStyle name="Процентный 4 2 28 7" xfId="27059" xr:uid="{00000000-0005-0000-0000-0000E4950000}"/>
    <cellStyle name="Процентный 4 2 28 8" xfId="32399" xr:uid="{00000000-0005-0000-0000-0000E5950000}"/>
    <cellStyle name="Процентный 4 2 28 9" xfId="37739" xr:uid="{00000000-0005-0000-0000-0000E6950000}"/>
    <cellStyle name="Процентный 4 2 29" xfId="367" xr:uid="{00000000-0005-0000-0000-0000E7950000}"/>
    <cellStyle name="Процентный 4 2 29 10" xfId="43089" xr:uid="{00000000-0005-0000-0000-0000E8950000}"/>
    <cellStyle name="Процентный 4 2 29 11" xfId="48429" xr:uid="{00000000-0005-0000-0000-0000E9950000}"/>
    <cellStyle name="Процентный 4 2 29 2" xfId="834" xr:uid="{00000000-0005-0000-0000-0000EA950000}"/>
    <cellStyle name="Процентный 4 2 29 2 10" xfId="48896" xr:uid="{00000000-0005-0000-0000-0000EB950000}"/>
    <cellStyle name="Процентный 4 2 29 2 2" xfId="6175" xr:uid="{00000000-0005-0000-0000-0000EC950000}"/>
    <cellStyle name="Процентный 4 2 29 2 2 2" xfId="54237" xr:uid="{00000000-0005-0000-0000-0000ED950000}"/>
    <cellStyle name="Процентный 4 2 29 2 3" xfId="11516" xr:uid="{00000000-0005-0000-0000-0000EE950000}"/>
    <cellStyle name="Процентный 4 2 29 2 4" xfId="16856" xr:uid="{00000000-0005-0000-0000-0000EF950000}"/>
    <cellStyle name="Процентный 4 2 29 2 5" xfId="22196" xr:uid="{00000000-0005-0000-0000-0000F0950000}"/>
    <cellStyle name="Процентный 4 2 29 2 6" xfId="27536" xr:uid="{00000000-0005-0000-0000-0000F1950000}"/>
    <cellStyle name="Процентный 4 2 29 2 7" xfId="32876" xr:uid="{00000000-0005-0000-0000-0000F2950000}"/>
    <cellStyle name="Процентный 4 2 29 2 8" xfId="38216" xr:uid="{00000000-0005-0000-0000-0000F3950000}"/>
    <cellStyle name="Процентный 4 2 29 2 9" xfId="43556" xr:uid="{00000000-0005-0000-0000-0000F4950000}"/>
    <cellStyle name="Процентный 4 2 29 3" xfId="5708" xr:uid="{00000000-0005-0000-0000-0000F5950000}"/>
    <cellStyle name="Процентный 4 2 29 3 2" xfId="53770" xr:uid="{00000000-0005-0000-0000-0000F6950000}"/>
    <cellStyle name="Процентный 4 2 29 4" xfId="11049" xr:uid="{00000000-0005-0000-0000-0000F7950000}"/>
    <cellStyle name="Процентный 4 2 29 5" xfId="16389" xr:uid="{00000000-0005-0000-0000-0000F8950000}"/>
    <cellStyle name="Процентный 4 2 29 6" xfId="21729" xr:uid="{00000000-0005-0000-0000-0000F9950000}"/>
    <cellStyle name="Процентный 4 2 29 7" xfId="27069" xr:uid="{00000000-0005-0000-0000-0000FA950000}"/>
    <cellStyle name="Процентный 4 2 29 8" xfId="32409" xr:uid="{00000000-0005-0000-0000-0000FB950000}"/>
    <cellStyle name="Процентный 4 2 29 9" xfId="37749" xr:uid="{00000000-0005-0000-0000-0000FC950000}"/>
    <cellStyle name="Процентный 4 2 3" xfId="109" xr:uid="{00000000-0005-0000-0000-0000FD950000}"/>
    <cellStyle name="Процентный 4 2 3 10" xfId="42831" xr:uid="{00000000-0005-0000-0000-0000FE950000}"/>
    <cellStyle name="Процентный 4 2 3 11" xfId="48171" xr:uid="{00000000-0005-0000-0000-0000FF950000}"/>
    <cellStyle name="Процентный 4 2 3 2" xfId="576" xr:uid="{00000000-0005-0000-0000-000000960000}"/>
    <cellStyle name="Процентный 4 2 3 2 10" xfId="48638" xr:uid="{00000000-0005-0000-0000-000001960000}"/>
    <cellStyle name="Процентный 4 2 3 2 2" xfId="5917" xr:uid="{00000000-0005-0000-0000-000002960000}"/>
    <cellStyle name="Процентный 4 2 3 2 2 2" xfId="53979" xr:uid="{00000000-0005-0000-0000-000003960000}"/>
    <cellStyle name="Процентный 4 2 3 2 3" xfId="11258" xr:uid="{00000000-0005-0000-0000-000004960000}"/>
    <cellStyle name="Процентный 4 2 3 2 4" xfId="16598" xr:uid="{00000000-0005-0000-0000-000005960000}"/>
    <cellStyle name="Процентный 4 2 3 2 5" xfId="21938" xr:uid="{00000000-0005-0000-0000-000006960000}"/>
    <cellStyle name="Процентный 4 2 3 2 6" xfId="27278" xr:uid="{00000000-0005-0000-0000-000007960000}"/>
    <cellStyle name="Процентный 4 2 3 2 7" xfId="32618" xr:uid="{00000000-0005-0000-0000-000008960000}"/>
    <cellStyle name="Процентный 4 2 3 2 8" xfId="37958" xr:uid="{00000000-0005-0000-0000-000009960000}"/>
    <cellStyle name="Процентный 4 2 3 2 9" xfId="43298" xr:uid="{00000000-0005-0000-0000-00000A960000}"/>
    <cellStyle name="Процентный 4 2 3 3" xfId="5450" xr:uid="{00000000-0005-0000-0000-00000B960000}"/>
    <cellStyle name="Процентный 4 2 3 3 2" xfId="53512" xr:uid="{00000000-0005-0000-0000-00000C960000}"/>
    <cellStyle name="Процентный 4 2 3 4" xfId="10791" xr:uid="{00000000-0005-0000-0000-00000D960000}"/>
    <cellStyle name="Процентный 4 2 3 5" xfId="16131" xr:uid="{00000000-0005-0000-0000-00000E960000}"/>
    <cellStyle name="Процентный 4 2 3 6" xfId="21471" xr:uid="{00000000-0005-0000-0000-00000F960000}"/>
    <cellStyle name="Процентный 4 2 3 7" xfId="26811" xr:uid="{00000000-0005-0000-0000-000010960000}"/>
    <cellStyle name="Процентный 4 2 3 8" xfId="32151" xr:uid="{00000000-0005-0000-0000-000011960000}"/>
    <cellStyle name="Процентный 4 2 3 9" xfId="37491" xr:uid="{00000000-0005-0000-0000-000012960000}"/>
    <cellStyle name="Процентный 4 2 30" xfId="377" xr:uid="{00000000-0005-0000-0000-000013960000}"/>
    <cellStyle name="Процентный 4 2 30 10" xfId="43099" xr:uid="{00000000-0005-0000-0000-000014960000}"/>
    <cellStyle name="Процентный 4 2 30 11" xfId="48439" xr:uid="{00000000-0005-0000-0000-000015960000}"/>
    <cellStyle name="Процентный 4 2 30 2" xfId="844" xr:uid="{00000000-0005-0000-0000-000016960000}"/>
    <cellStyle name="Процентный 4 2 30 2 10" xfId="48906" xr:uid="{00000000-0005-0000-0000-000017960000}"/>
    <cellStyle name="Процентный 4 2 30 2 2" xfId="6185" xr:uid="{00000000-0005-0000-0000-000018960000}"/>
    <cellStyle name="Процентный 4 2 30 2 2 2" xfId="54247" xr:uid="{00000000-0005-0000-0000-000019960000}"/>
    <cellStyle name="Процентный 4 2 30 2 3" xfId="11526" xr:uid="{00000000-0005-0000-0000-00001A960000}"/>
    <cellStyle name="Процентный 4 2 30 2 4" xfId="16866" xr:uid="{00000000-0005-0000-0000-00001B960000}"/>
    <cellStyle name="Процентный 4 2 30 2 5" xfId="22206" xr:uid="{00000000-0005-0000-0000-00001C960000}"/>
    <cellStyle name="Процентный 4 2 30 2 6" xfId="27546" xr:uid="{00000000-0005-0000-0000-00001D960000}"/>
    <cellStyle name="Процентный 4 2 30 2 7" xfId="32886" xr:uid="{00000000-0005-0000-0000-00001E960000}"/>
    <cellStyle name="Процентный 4 2 30 2 8" xfId="38226" xr:uid="{00000000-0005-0000-0000-00001F960000}"/>
    <cellStyle name="Процентный 4 2 30 2 9" xfId="43566" xr:uid="{00000000-0005-0000-0000-000020960000}"/>
    <cellStyle name="Процентный 4 2 30 3" xfId="5718" xr:uid="{00000000-0005-0000-0000-000021960000}"/>
    <cellStyle name="Процентный 4 2 30 3 2" xfId="53780" xr:uid="{00000000-0005-0000-0000-000022960000}"/>
    <cellStyle name="Процентный 4 2 30 4" xfId="11059" xr:uid="{00000000-0005-0000-0000-000023960000}"/>
    <cellStyle name="Процентный 4 2 30 5" xfId="16399" xr:uid="{00000000-0005-0000-0000-000024960000}"/>
    <cellStyle name="Процентный 4 2 30 6" xfId="21739" xr:uid="{00000000-0005-0000-0000-000025960000}"/>
    <cellStyle name="Процентный 4 2 30 7" xfId="27079" xr:uid="{00000000-0005-0000-0000-000026960000}"/>
    <cellStyle name="Процентный 4 2 30 8" xfId="32419" xr:uid="{00000000-0005-0000-0000-000027960000}"/>
    <cellStyle name="Процентный 4 2 30 9" xfId="37759" xr:uid="{00000000-0005-0000-0000-000028960000}"/>
    <cellStyle name="Процентный 4 2 31" xfId="387" xr:uid="{00000000-0005-0000-0000-000029960000}"/>
    <cellStyle name="Процентный 4 2 31 10" xfId="43109" xr:uid="{00000000-0005-0000-0000-00002A960000}"/>
    <cellStyle name="Процентный 4 2 31 11" xfId="48449" xr:uid="{00000000-0005-0000-0000-00002B960000}"/>
    <cellStyle name="Процентный 4 2 31 2" xfId="854" xr:uid="{00000000-0005-0000-0000-00002C960000}"/>
    <cellStyle name="Процентный 4 2 31 2 10" xfId="48916" xr:uid="{00000000-0005-0000-0000-00002D960000}"/>
    <cellStyle name="Процентный 4 2 31 2 2" xfId="6195" xr:uid="{00000000-0005-0000-0000-00002E960000}"/>
    <cellStyle name="Процентный 4 2 31 2 2 2" xfId="54257" xr:uid="{00000000-0005-0000-0000-00002F960000}"/>
    <cellStyle name="Процентный 4 2 31 2 3" xfId="11536" xr:uid="{00000000-0005-0000-0000-000030960000}"/>
    <cellStyle name="Процентный 4 2 31 2 4" xfId="16876" xr:uid="{00000000-0005-0000-0000-000031960000}"/>
    <cellStyle name="Процентный 4 2 31 2 5" xfId="22216" xr:uid="{00000000-0005-0000-0000-000032960000}"/>
    <cellStyle name="Процентный 4 2 31 2 6" xfId="27556" xr:uid="{00000000-0005-0000-0000-000033960000}"/>
    <cellStyle name="Процентный 4 2 31 2 7" xfId="32896" xr:uid="{00000000-0005-0000-0000-000034960000}"/>
    <cellStyle name="Процентный 4 2 31 2 8" xfId="38236" xr:uid="{00000000-0005-0000-0000-000035960000}"/>
    <cellStyle name="Процентный 4 2 31 2 9" xfId="43576" xr:uid="{00000000-0005-0000-0000-000036960000}"/>
    <cellStyle name="Процентный 4 2 31 3" xfId="5728" xr:uid="{00000000-0005-0000-0000-000037960000}"/>
    <cellStyle name="Процентный 4 2 31 3 2" xfId="53790" xr:uid="{00000000-0005-0000-0000-000038960000}"/>
    <cellStyle name="Процентный 4 2 31 4" xfId="11069" xr:uid="{00000000-0005-0000-0000-000039960000}"/>
    <cellStyle name="Процентный 4 2 31 5" xfId="16409" xr:uid="{00000000-0005-0000-0000-00003A960000}"/>
    <cellStyle name="Процентный 4 2 31 6" xfId="21749" xr:uid="{00000000-0005-0000-0000-00003B960000}"/>
    <cellStyle name="Процентный 4 2 31 7" xfId="27089" xr:uid="{00000000-0005-0000-0000-00003C960000}"/>
    <cellStyle name="Процентный 4 2 31 8" xfId="32429" xr:uid="{00000000-0005-0000-0000-00003D960000}"/>
    <cellStyle name="Процентный 4 2 31 9" xfId="37769" xr:uid="{00000000-0005-0000-0000-00003E960000}"/>
    <cellStyle name="Процентный 4 2 32" xfId="397" xr:uid="{00000000-0005-0000-0000-00003F960000}"/>
    <cellStyle name="Процентный 4 2 32 10" xfId="43119" xr:uid="{00000000-0005-0000-0000-000040960000}"/>
    <cellStyle name="Процентный 4 2 32 11" xfId="48459" xr:uid="{00000000-0005-0000-0000-000041960000}"/>
    <cellStyle name="Процентный 4 2 32 2" xfId="864" xr:uid="{00000000-0005-0000-0000-000042960000}"/>
    <cellStyle name="Процентный 4 2 32 2 10" xfId="48926" xr:uid="{00000000-0005-0000-0000-000043960000}"/>
    <cellStyle name="Процентный 4 2 32 2 2" xfId="6205" xr:uid="{00000000-0005-0000-0000-000044960000}"/>
    <cellStyle name="Процентный 4 2 32 2 2 2" xfId="54267" xr:uid="{00000000-0005-0000-0000-000045960000}"/>
    <cellStyle name="Процентный 4 2 32 2 3" xfId="11546" xr:uid="{00000000-0005-0000-0000-000046960000}"/>
    <cellStyle name="Процентный 4 2 32 2 4" xfId="16886" xr:uid="{00000000-0005-0000-0000-000047960000}"/>
    <cellStyle name="Процентный 4 2 32 2 5" xfId="22226" xr:uid="{00000000-0005-0000-0000-000048960000}"/>
    <cellStyle name="Процентный 4 2 32 2 6" xfId="27566" xr:uid="{00000000-0005-0000-0000-000049960000}"/>
    <cellStyle name="Процентный 4 2 32 2 7" xfId="32906" xr:uid="{00000000-0005-0000-0000-00004A960000}"/>
    <cellStyle name="Процентный 4 2 32 2 8" xfId="38246" xr:uid="{00000000-0005-0000-0000-00004B960000}"/>
    <cellStyle name="Процентный 4 2 32 2 9" xfId="43586" xr:uid="{00000000-0005-0000-0000-00004C960000}"/>
    <cellStyle name="Процентный 4 2 32 3" xfId="5738" xr:uid="{00000000-0005-0000-0000-00004D960000}"/>
    <cellStyle name="Процентный 4 2 32 3 2" xfId="53800" xr:uid="{00000000-0005-0000-0000-00004E960000}"/>
    <cellStyle name="Процентный 4 2 32 4" xfId="11079" xr:uid="{00000000-0005-0000-0000-00004F960000}"/>
    <cellStyle name="Процентный 4 2 32 5" xfId="16419" xr:uid="{00000000-0005-0000-0000-000050960000}"/>
    <cellStyle name="Процентный 4 2 32 6" xfId="21759" xr:uid="{00000000-0005-0000-0000-000051960000}"/>
    <cellStyle name="Процентный 4 2 32 7" xfId="27099" xr:uid="{00000000-0005-0000-0000-000052960000}"/>
    <cellStyle name="Процентный 4 2 32 8" xfId="32439" xr:uid="{00000000-0005-0000-0000-000053960000}"/>
    <cellStyle name="Процентный 4 2 32 9" xfId="37779" xr:uid="{00000000-0005-0000-0000-000054960000}"/>
    <cellStyle name="Процентный 4 2 33" xfId="407" xr:uid="{00000000-0005-0000-0000-000055960000}"/>
    <cellStyle name="Процентный 4 2 33 10" xfId="43129" xr:uid="{00000000-0005-0000-0000-000056960000}"/>
    <cellStyle name="Процентный 4 2 33 11" xfId="48469" xr:uid="{00000000-0005-0000-0000-000057960000}"/>
    <cellStyle name="Процентный 4 2 33 2" xfId="874" xr:uid="{00000000-0005-0000-0000-000058960000}"/>
    <cellStyle name="Процентный 4 2 33 2 10" xfId="48936" xr:uid="{00000000-0005-0000-0000-000059960000}"/>
    <cellStyle name="Процентный 4 2 33 2 2" xfId="6215" xr:uid="{00000000-0005-0000-0000-00005A960000}"/>
    <cellStyle name="Процентный 4 2 33 2 2 2" xfId="54277" xr:uid="{00000000-0005-0000-0000-00005B960000}"/>
    <cellStyle name="Процентный 4 2 33 2 3" xfId="11556" xr:uid="{00000000-0005-0000-0000-00005C960000}"/>
    <cellStyle name="Процентный 4 2 33 2 4" xfId="16896" xr:uid="{00000000-0005-0000-0000-00005D960000}"/>
    <cellStyle name="Процентный 4 2 33 2 5" xfId="22236" xr:uid="{00000000-0005-0000-0000-00005E960000}"/>
    <cellStyle name="Процентный 4 2 33 2 6" xfId="27576" xr:uid="{00000000-0005-0000-0000-00005F960000}"/>
    <cellStyle name="Процентный 4 2 33 2 7" xfId="32916" xr:uid="{00000000-0005-0000-0000-000060960000}"/>
    <cellStyle name="Процентный 4 2 33 2 8" xfId="38256" xr:uid="{00000000-0005-0000-0000-000061960000}"/>
    <cellStyle name="Процентный 4 2 33 2 9" xfId="43596" xr:uid="{00000000-0005-0000-0000-000062960000}"/>
    <cellStyle name="Процентный 4 2 33 3" xfId="5748" xr:uid="{00000000-0005-0000-0000-000063960000}"/>
    <cellStyle name="Процентный 4 2 33 3 2" xfId="53810" xr:uid="{00000000-0005-0000-0000-000064960000}"/>
    <cellStyle name="Процентный 4 2 33 4" xfId="11089" xr:uid="{00000000-0005-0000-0000-000065960000}"/>
    <cellStyle name="Процентный 4 2 33 5" xfId="16429" xr:uid="{00000000-0005-0000-0000-000066960000}"/>
    <cellStyle name="Процентный 4 2 33 6" xfId="21769" xr:uid="{00000000-0005-0000-0000-000067960000}"/>
    <cellStyle name="Процентный 4 2 33 7" xfId="27109" xr:uid="{00000000-0005-0000-0000-000068960000}"/>
    <cellStyle name="Процентный 4 2 33 8" xfId="32449" xr:uid="{00000000-0005-0000-0000-000069960000}"/>
    <cellStyle name="Процентный 4 2 33 9" xfId="37789" xr:uid="{00000000-0005-0000-0000-00006A960000}"/>
    <cellStyle name="Процентный 4 2 34" xfId="417" xr:uid="{00000000-0005-0000-0000-00006B960000}"/>
    <cellStyle name="Процентный 4 2 34 10" xfId="43139" xr:uid="{00000000-0005-0000-0000-00006C960000}"/>
    <cellStyle name="Процентный 4 2 34 11" xfId="48479" xr:uid="{00000000-0005-0000-0000-00006D960000}"/>
    <cellStyle name="Процентный 4 2 34 2" xfId="884" xr:uid="{00000000-0005-0000-0000-00006E960000}"/>
    <cellStyle name="Процентный 4 2 34 2 10" xfId="48946" xr:uid="{00000000-0005-0000-0000-00006F960000}"/>
    <cellStyle name="Процентный 4 2 34 2 2" xfId="6225" xr:uid="{00000000-0005-0000-0000-000070960000}"/>
    <cellStyle name="Процентный 4 2 34 2 2 2" xfId="54287" xr:uid="{00000000-0005-0000-0000-000071960000}"/>
    <cellStyle name="Процентный 4 2 34 2 3" xfId="11566" xr:uid="{00000000-0005-0000-0000-000072960000}"/>
    <cellStyle name="Процентный 4 2 34 2 4" xfId="16906" xr:uid="{00000000-0005-0000-0000-000073960000}"/>
    <cellStyle name="Процентный 4 2 34 2 5" xfId="22246" xr:uid="{00000000-0005-0000-0000-000074960000}"/>
    <cellStyle name="Процентный 4 2 34 2 6" xfId="27586" xr:uid="{00000000-0005-0000-0000-000075960000}"/>
    <cellStyle name="Процентный 4 2 34 2 7" xfId="32926" xr:uid="{00000000-0005-0000-0000-000076960000}"/>
    <cellStyle name="Процентный 4 2 34 2 8" xfId="38266" xr:uid="{00000000-0005-0000-0000-000077960000}"/>
    <cellStyle name="Процентный 4 2 34 2 9" xfId="43606" xr:uid="{00000000-0005-0000-0000-000078960000}"/>
    <cellStyle name="Процентный 4 2 34 3" xfId="5758" xr:uid="{00000000-0005-0000-0000-000079960000}"/>
    <cellStyle name="Процентный 4 2 34 3 2" xfId="53820" xr:uid="{00000000-0005-0000-0000-00007A960000}"/>
    <cellStyle name="Процентный 4 2 34 4" xfId="11099" xr:uid="{00000000-0005-0000-0000-00007B960000}"/>
    <cellStyle name="Процентный 4 2 34 5" xfId="16439" xr:uid="{00000000-0005-0000-0000-00007C960000}"/>
    <cellStyle name="Процентный 4 2 34 6" xfId="21779" xr:uid="{00000000-0005-0000-0000-00007D960000}"/>
    <cellStyle name="Процентный 4 2 34 7" xfId="27119" xr:uid="{00000000-0005-0000-0000-00007E960000}"/>
    <cellStyle name="Процентный 4 2 34 8" xfId="32459" xr:uid="{00000000-0005-0000-0000-00007F960000}"/>
    <cellStyle name="Процентный 4 2 34 9" xfId="37799" xr:uid="{00000000-0005-0000-0000-000080960000}"/>
    <cellStyle name="Процентный 4 2 35" xfId="429" xr:uid="{00000000-0005-0000-0000-000081960000}"/>
    <cellStyle name="Процентный 4 2 35 10" xfId="43151" xr:uid="{00000000-0005-0000-0000-000082960000}"/>
    <cellStyle name="Процентный 4 2 35 11" xfId="48491" xr:uid="{00000000-0005-0000-0000-000083960000}"/>
    <cellStyle name="Процентный 4 2 35 2" xfId="896" xr:uid="{00000000-0005-0000-0000-000084960000}"/>
    <cellStyle name="Процентный 4 2 35 2 10" xfId="48958" xr:uid="{00000000-0005-0000-0000-000085960000}"/>
    <cellStyle name="Процентный 4 2 35 2 2" xfId="6237" xr:uid="{00000000-0005-0000-0000-000086960000}"/>
    <cellStyle name="Процентный 4 2 35 2 2 2" xfId="54299" xr:uid="{00000000-0005-0000-0000-000087960000}"/>
    <cellStyle name="Процентный 4 2 35 2 3" xfId="11578" xr:uid="{00000000-0005-0000-0000-000088960000}"/>
    <cellStyle name="Процентный 4 2 35 2 4" xfId="16918" xr:uid="{00000000-0005-0000-0000-000089960000}"/>
    <cellStyle name="Процентный 4 2 35 2 5" xfId="22258" xr:uid="{00000000-0005-0000-0000-00008A960000}"/>
    <cellStyle name="Процентный 4 2 35 2 6" xfId="27598" xr:uid="{00000000-0005-0000-0000-00008B960000}"/>
    <cellStyle name="Процентный 4 2 35 2 7" xfId="32938" xr:uid="{00000000-0005-0000-0000-00008C960000}"/>
    <cellStyle name="Процентный 4 2 35 2 8" xfId="38278" xr:uid="{00000000-0005-0000-0000-00008D960000}"/>
    <cellStyle name="Процентный 4 2 35 2 9" xfId="43618" xr:uid="{00000000-0005-0000-0000-00008E960000}"/>
    <cellStyle name="Процентный 4 2 35 3" xfId="5770" xr:uid="{00000000-0005-0000-0000-00008F960000}"/>
    <cellStyle name="Процентный 4 2 35 3 2" xfId="53832" xr:uid="{00000000-0005-0000-0000-000090960000}"/>
    <cellStyle name="Процентный 4 2 35 4" xfId="11111" xr:uid="{00000000-0005-0000-0000-000091960000}"/>
    <cellStyle name="Процентный 4 2 35 5" xfId="16451" xr:uid="{00000000-0005-0000-0000-000092960000}"/>
    <cellStyle name="Процентный 4 2 35 6" xfId="21791" xr:uid="{00000000-0005-0000-0000-000093960000}"/>
    <cellStyle name="Процентный 4 2 35 7" xfId="27131" xr:uid="{00000000-0005-0000-0000-000094960000}"/>
    <cellStyle name="Процентный 4 2 35 8" xfId="32471" xr:uid="{00000000-0005-0000-0000-000095960000}"/>
    <cellStyle name="Процентный 4 2 35 9" xfId="37811" xr:uid="{00000000-0005-0000-0000-000096960000}"/>
    <cellStyle name="Процентный 4 2 36" xfId="441" xr:uid="{00000000-0005-0000-0000-000097960000}"/>
    <cellStyle name="Процентный 4 2 36 10" xfId="43163" xr:uid="{00000000-0005-0000-0000-000098960000}"/>
    <cellStyle name="Процентный 4 2 36 11" xfId="48503" xr:uid="{00000000-0005-0000-0000-000099960000}"/>
    <cellStyle name="Процентный 4 2 36 2" xfId="908" xr:uid="{00000000-0005-0000-0000-00009A960000}"/>
    <cellStyle name="Процентный 4 2 36 2 10" xfId="48970" xr:uid="{00000000-0005-0000-0000-00009B960000}"/>
    <cellStyle name="Процентный 4 2 36 2 2" xfId="6249" xr:uid="{00000000-0005-0000-0000-00009C960000}"/>
    <cellStyle name="Процентный 4 2 36 2 2 2" xfId="54311" xr:uid="{00000000-0005-0000-0000-00009D960000}"/>
    <cellStyle name="Процентный 4 2 36 2 3" xfId="11590" xr:uid="{00000000-0005-0000-0000-00009E960000}"/>
    <cellStyle name="Процентный 4 2 36 2 4" xfId="16930" xr:uid="{00000000-0005-0000-0000-00009F960000}"/>
    <cellStyle name="Процентный 4 2 36 2 5" xfId="22270" xr:uid="{00000000-0005-0000-0000-0000A0960000}"/>
    <cellStyle name="Процентный 4 2 36 2 6" xfId="27610" xr:uid="{00000000-0005-0000-0000-0000A1960000}"/>
    <cellStyle name="Процентный 4 2 36 2 7" xfId="32950" xr:uid="{00000000-0005-0000-0000-0000A2960000}"/>
    <cellStyle name="Процентный 4 2 36 2 8" xfId="38290" xr:uid="{00000000-0005-0000-0000-0000A3960000}"/>
    <cellStyle name="Процентный 4 2 36 2 9" xfId="43630" xr:uid="{00000000-0005-0000-0000-0000A4960000}"/>
    <cellStyle name="Процентный 4 2 36 3" xfId="5782" xr:uid="{00000000-0005-0000-0000-0000A5960000}"/>
    <cellStyle name="Процентный 4 2 36 3 2" xfId="53844" xr:uid="{00000000-0005-0000-0000-0000A6960000}"/>
    <cellStyle name="Процентный 4 2 36 4" xfId="11123" xr:uid="{00000000-0005-0000-0000-0000A7960000}"/>
    <cellStyle name="Процентный 4 2 36 5" xfId="16463" xr:uid="{00000000-0005-0000-0000-0000A8960000}"/>
    <cellStyle name="Процентный 4 2 36 6" xfId="21803" xr:uid="{00000000-0005-0000-0000-0000A9960000}"/>
    <cellStyle name="Процентный 4 2 36 7" xfId="27143" xr:uid="{00000000-0005-0000-0000-0000AA960000}"/>
    <cellStyle name="Процентный 4 2 36 8" xfId="32483" xr:uid="{00000000-0005-0000-0000-0000AB960000}"/>
    <cellStyle name="Процентный 4 2 36 9" xfId="37823" xr:uid="{00000000-0005-0000-0000-0000AC960000}"/>
    <cellStyle name="Процентный 4 2 37" xfId="453" xr:uid="{00000000-0005-0000-0000-0000AD960000}"/>
    <cellStyle name="Процентный 4 2 37 10" xfId="43175" xr:uid="{00000000-0005-0000-0000-0000AE960000}"/>
    <cellStyle name="Процентный 4 2 37 11" xfId="48515" xr:uid="{00000000-0005-0000-0000-0000AF960000}"/>
    <cellStyle name="Процентный 4 2 37 2" xfId="920" xr:uid="{00000000-0005-0000-0000-0000B0960000}"/>
    <cellStyle name="Процентный 4 2 37 2 10" xfId="48982" xr:uid="{00000000-0005-0000-0000-0000B1960000}"/>
    <cellStyle name="Процентный 4 2 37 2 2" xfId="6261" xr:uid="{00000000-0005-0000-0000-0000B2960000}"/>
    <cellStyle name="Процентный 4 2 37 2 2 2" xfId="54323" xr:uid="{00000000-0005-0000-0000-0000B3960000}"/>
    <cellStyle name="Процентный 4 2 37 2 3" xfId="11602" xr:uid="{00000000-0005-0000-0000-0000B4960000}"/>
    <cellStyle name="Процентный 4 2 37 2 4" xfId="16942" xr:uid="{00000000-0005-0000-0000-0000B5960000}"/>
    <cellStyle name="Процентный 4 2 37 2 5" xfId="22282" xr:uid="{00000000-0005-0000-0000-0000B6960000}"/>
    <cellStyle name="Процентный 4 2 37 2 6" xfId="27622" xr:uid="{00000000-0005-0000-0000-0000B7960000}"/>
    <cellStyle name="Процентный 4 2 37 2 7" xfId="32962" xr:uid="{00000000-0005-0000-0000-0000B8960000}"/>
    <cellStyle name="Процентный 4 2 37 2 8" xfId="38302" xr:uid="{00000000-0005-0000-0000-0000B9960000}"/>
    <cellStyle name="Процентный 4 2 37 2 9" xfId="43642" xr:uid="{00000000-0005-0000-0000-0000BA960000}"/>
    <cellStyle name="Процентный 4 2 37 3" xfId="5794" xr:uid="{00000000-0005-0000-0000-0000BB960000}"/>
    <cellStyle name="Процентный 4 2 37 3 2" xfId="53856" xr:uid="{00000000-0005-0000-0000-0000BC960000}"/>
    <cellStyle name="Процентный 4 2 37 4" xfId="11135" xr:uid="{00000000-0005-0000-0000-0000BD960000}"/>
    <cellStyle name="Процентный 4 2 37 5" xfId="16475" xr:uid="{00000000-0005-0000-0000-0000BE960000}"/>
    <cellStyle name="Процентный 4 2 37 6" xfId="21815" xr:uid="{00000000-0005-0000-0000-0000BF960000}"/>
    <cellStyle name="Процентный 4 2 37 7" xfId="27155" xr:uid="{00000000-0005-0000-0000-0000C0960000}"/>
    <cellStyle name="Процентный 4 2 37 8" xfId="32495" xr:uid="{00000000-0005-0000-0000-0000C1960000}"/>
    <cellStyle name="Процентный 4 2 37 9" xfId="37835" xr:uid="{00000000-0005-0000-0000-0000C2960000}"/>
    <cellStyle name="Процентный 4 2 38" xfId="465" xr:uid="{00000000-0005-0000-0000-0000C3960000}"/>
    <cellStyle name="Процентный 4 2 38 10" xfId="43187" xr:uid="{00000000-0005-0000-0000-0000C4960000}"/>
    <cellStyle name="Процентный 4 2 38 11" xfId="48527" xr:uid="{00000000-0005-0000-0000-0000C5960000}"/>
    <cellStyle name="Процентный 4 2 38 2" xfId="932" xr:uid="{00000000-0005-0000-0000-0000C6960000}"/>
    <cellStyle name="Процентный 4 2 38 2 10" xfId="48994" xr:uid="{00000000-0005-0000-0000-0000C7960000}"/>
    <cellStyle name="Процентный 4 2 38 2 2" xfId="6273" xr:uid="{00000000-0005-0000-0000-0000C8960000}"/>
    <cellStyle name="Процентный 4 2 38 2 2 2" xfId="54335" xr:uid="{00000000-0005-0000-0000-0000C9960000}"/>
    <cellStyle name="Процентный 4 2 38 2 3" xfId="11614" xr:uid="{00000000-0005-0000-0000-0000CA960000}"/>
    <cellStyle name="Процентный 4 2 38 2 4" xfId="16954" xr:uid="{00000000-0005-0000-0000-0000CB960000}"/>
    <cellStyle name="Процентный 4 2 38 2 5" xfId="22294" xr:uid="{00000000-0005-0000-0000-0000CC960000}"/>
    <cellStyle name="Процентный 4 2 38 2 6" xfId="27634" xr:uid="{00000000-0005-0000-0000-0000CD960000}"/>
    <cellStyle name="Процентный 4 2 38 2 7" xfId="32974" xr:uid="{00000000-0005-0000-0000-0000CE960000}"/>
    <cellStyle name="Процентный 4 2 38 2 8" xfId="38314" xr:uid="{00000000-0005-0000-0000-0000CF960000}"/>
    <cellStyle name="Процентный 4 2 38 2 9" xfId="43654" xr:uid="{00000000-0005-0000-0000-0000D0960000}"/>
    <cellStyle name="Процентный 4 2 38 3" xfId="5806" xr:uid="{00000000-0005-0000-0000-0000D1960000}"/>
    <cellStyle name="Процентный 4 2 38 3 2" xfId="53868" xr:uid="{00000000-0005-0000-0000-0000D2960000}"/>
    <cellStyle name="Процентный 4 2 38 4" xfId="11147" xr:uid="{00000000-0005-0000-0000-0000D3960000}"/>
    <cellStyle name="Процентный 4 2 38 5" xfId="16487" xr:uid="{00000000-0005-0000-0000-0000D4960000}"/>
    <cellStyle name="Процентный 4 2 38 6" xfId="21827" xr:uid="{00000000-0005-0000-0000-0000D5960000}"/>
    <cellStyle name="Процентный 4 2 38 7" xfId="27167" xr:uid="{00000000-0005-0000-0000-0000D6960000}"/>
    <cellStyle name="Процентный 4 2 38 8" xfId="32507" xr:uid="{00000000-0005-0000-0000-0000D7960000}"/>
    <cellStyle name="Процентный 4 2 38 9" xfId="37847" xr:uid="{00000000-0005-0000-0000-0000D8960000}"/>
    <cellStyle name="Процентный 4 2 39" xfId="477" xr:uid="{00000000-0005-0000-0000-0000D9960000}"/>
    <cellStyle name="Процентный 4 2 39 10" xfId="43199" xr:uid="{00000000-0005-0000-0000-0000DA960000}"/>
    <cellStyle name="Процентный 4 2 39 11" xfId="48539" xr:uid="{00000000-0005-0000-0000-0000DB960000}"/>
    <cellStyle name="Процентный 4 2 39 2" xfId="944" xr:uid="{00000000-0005-0000-0000-0000DC960000}"/>
    <cellStyle name="Процентный 4 2 39 2 10" xfId="49006" xr:uid="{00000000-0005-0000-0000-0000DD960000}"/>
    <cellStyle name="Процентный 4 2 39 2 2" xfId="6285" xr:uid="{00000000-0005-0000-0000-0000DE960000}"/>
    <cellStyle name="Процентный 4 2 39 2 2 2" xfId="54347" xr:uid="{00000000-0005-0000-0000-0000DF960000}"/>
    <cellStyle name="Процентный 4 2 39 2 3" xfId="11626" xr:uid="{00000000-0005-0000-0000-0000E0960000}"/>
    <cellStyle name="Процентный 4 2 39 2 4" xfId="16966" xr:uid="{00000000-0005-0000-0000-0000E1960000}"/>
    <cellStyle name="Процентный 4 2 39 2 5" xfId="22306" xr:uid="{00000000-0005-0000-0000-0000E2960000}"/>
    <cellStyle name="Процентный 4 2 39 2 6" xfId="27646" xr:uid="{00000000-0005-0000-0000-0000E3960000}"/>
    <cellStyle name="Процентный 4 2 39 2 7" xfId="32986" xr:uid="{00000000-0005-0000-0000-0000E4960000}"/>
    <cellStyle name="Процентный 4 2 39 2 8" xfId="38326" xr:uid="{00000000-0005-0000-0000-0000E5960000}"/>
    <cellStyle name="Процентный 4 2 39 2 9" xfId="43666" xr:uid="{00000000-0005-0000-0000-0000E6960000}"/>
    <cellStyle name="Процентный 4 2 39 3" xfId="5818" xr:uid="{00000000-0005-0000-0000-0000E7960000}"/>
    <cellStyle name="Процентный 4 2 39 3 2" xfId="53880" xr:uid="{00000000-0005-0000-0000-0000E8960000}"/>
    <cellStyle name="Процентный 4 2 39 4" xfId="11159" xr:uid="{00000000-0005-0000-0000-0000E9960000}"/>
    <cellStyle name="Процентный 4 2 39 5" xfId="16499" xr:uid="{00000000-0005-0000-0000-0000EA960000}"/>
    <cellStyle name="Процентный 4 2 39 6" xfId="21839" xr:uid="{00000000-0005-0000-0000-0000EB960000}"/>
    <cellStyle name="Процентный 4 2 39 7" xfId="27179" xr:uid="{00000000-0005-0000-0000-0000EC960000}"/>
    <cellStyle name="Процентный 4 2 39 8" xfId="32519" xr:uid="{00000000-0005-0000-0000-0000ED960000}"/>
    <cellStyle name="Процентный 4 2 39 9" xfId="37859" xr:uid="{00000000-0005-0000-0000-0000EE960000}"/>
    <cellStyle name="Процентный 4 2 4" xfId="117" xr:uid="{00000000-0005-0000-0000-0000EF960000}"/>
    <cellStyle name="Процентный 4 2 4 10" xfId="42839" xr:uid="{00000000-0005-0000-0000-0000F0960000}"/>
    <cellStyle name="Процентный 4 2 4 11" xfId="48179" xr:uid="{00000000-0005-0000-0000-0000F1960000}"/>
    <cellStyle name="Процентный 4 2 4 2" xfId="584" xr:uid="{00000000-0005-0000-0000-0000F2960000}"/>
    <cellStyle name="Процентный 4 2 4 2 10" xfId="48646" xr:uid="{00000000-0005-0000-0000-0000F3960000}"/>
    <cellStyle name="Процентный 4 2 4 2 2" xfId="5925" xr:uid="{00000000-0005-0000-0000-0000F4960000}"/>
    <cellStyle name="Процентный 4 2 4 2 2 2" xfId="53987" xr:uid="{00000000-0005-0000-0000-0000F5960000}"/>
    <cellStyle name="Процентный 4 2 4 2 3" xfId="11266" xr:uid="{00000000-0005-0000-0000-0000F6960000}"/>
    <cellStyle name="Процентный 4 2 4 2 4" xfId="16606" xr:uid="{00000000-0005-0000-0000-0000F7960000}"/>
    <cellStyle name="Процентный 4 2 4 2 5" xfId="21946" xr:uid="{00000000-0005-0000-0000-0000F8960000}"/>
    <cellStyle name="Процентный 4 2 4 2 6" xfId="27286" xr:uid="{00000000-0005-0000-0000-0000F9960000}"/>
    <cellStyle name="Процентный 4 2 4 2 7" xfId="32626" xr:uid="{00000000-0005-0000-0000-0000FA960000}"/>
    <cellStyle name="Процентный 4 2 4 2 8" xfId="37966" xr:uid="{00000000-0005-0000-0000-0000FB960000}"/>
    <cellStyle name="Процентный 4 2 4 2 9" xfId="43306" xr:uid="{00000000-0005-0000-0000-0000FC960000}"/>
    <cellStyle name="Процентный 4 2 4 3" xfId="5458" xr:uid="{00000000-0005-0000-0000-0000FD960000}"/>
    <cellStyle name="Процентный 4 2 4 3 2" xfId="53520" xr:uid="{00000000-0005-0000-0000-0000FE960000}"/>
    <cellStyle name="Процентный 4 2 4 4" xfId="10799" xr:uid="{00000000-0005-0000-0000-0000FF960000}"/>
    <cellStyle name="Процентный 4 2 4 5" xfId="16139" xr:uid="{00000000-0005-0000-0000-000000970000}"/>
    <cellStyle name="Процентный 4 2 4 6" xfId="21479" xr:uid="{00000000-0005-0000-0000-000001970000}"/>
    <cellStyle name="Процентный 4 2 4 7" xfId="26819" xr:uid="{00000000-0005-0000-0000-000002970000}"/>
    <cellStyle name="Процентный 4 2 4 8" xfId="32159" xr:uid="{00000000-0005-0000-0000-000003970000}"/>
    <cellStyle name="Процентный 4 2 4 9" xfId="37499" xr:uid="{00000000-0005-0000-0000-000004970000}"/>
    <cellStyle name="Процентный 4 2 40" xfId="489" xr:uid="{00000000-0005-0000-0000-000005970000}"/>
    <cellStyle name="Процентный 4 2 40 10" xfId="43211" xr:uid="{00000000-0005-0000-0000-000006970000}"/>
    <cellStyle name="Процентный 4 2 40 11" xfId="48551" xr:uid="{00000000-0005-0000-0000-000007970000}"/>
    <cellStyle name="Процентный 4 2 40 2" xfId="956" xr:uid="{00000000-0005-0000-0000-000008970000}"/>
    <cellStyle name="Процентный 4 2 40 2 10" xfId="49018" xr:uid="{00000000-0005-0000-0000-000009970000}"/>
    <cellStyle name="Процентный 4 2 40 2 2" xfId="6297" xr:uid="{00000000-0005-0000-0000-00000A970000}"/>
    <cellStyle name="Процентный 4 2 40 2 2 2" xfId="54359" xr:uid="{00000000-0005-0000-0000-00000B970000}"/>
    <cellStyle name="Процентный 4 2 40 2 3" xfId="11638" xr:uid="{00000000-0005-0000-0000-00000C970000}"/>
    <cellStyle name="Процентный 4 2 40 2 4" xfId="16978" xr:uid="{00000000-0005-0000-0000-00000D970000}"/>
    <cellStyle name="Процентный 4 2 40 2 5" xfId="22318" xr:uid="{00000000-0005-0000-0000-00000E970000}"/>
    <cellStyle name="Процентный 4 2 40 2 6" xfId="27658" xr:uid="{00000000-0005-0000-0000-00000F970000}"/>
    <cellStyle name="Процентный 4 2 40 2 7" xfId="32998" xr:uid="{00000000-0005-0000-0000-000010970000}"/>
    <cellStyle name="Процентный 4 2 40 2 8" xfId="38338" xr:uid="{00000000-0005-0000-0000-000011970000}"/>
    <cellStyle name="Процентный 4 2 40 2 9" xfId="43678" xr:uid="{00000000-0005-0000-0000-000012970000}"/>
    <cellStyle name="Процентный 4 2 40 3" xfId="5830" xr:uid="{00000000-0005-0000-0000-000013970000}"/>
    <cellStyle name="Процентный 4 2 40 3 2" xfId="53892" xr:uid="{00000000-0005-0000-0000-000014970000}"/>
    <cellStyle name="Процентный 4 2 40 4" xfId="11171" xr:uid="{00000000-0005-0000-0000-000015970000}"/>
    <cellStyle name="Процентный 4 2 40 5" xfId="16511" xr:uid="{00000000-0005-0000-0000-000016970000}"/>
    <cellStyle name="Процентный 4 2 40 6" xfId="21851" xr:uid="{00000000-0005-0000-0000-000017970000}"/>
    <cellStyle name="Процентный 4 2 40 7" xfId="27191" xr:uid="{00000000-0005-0000-0000-000018970000}"/>
    <cellStyle name="Процентный 4 2 40 8" xfId="32531" xr:uid="{00000000-0005-0000-0000-000019970000}"/>
    <cellStyle name="Процентный 4 2 40 9" xfId="37871" xr:uid="{00000000-0005-0000-0000-00001A970000}"/>
    <cellStyle name="Процентный 4 2 41" xfId="501" xr:uid="{00000000-0005-0000-0000-00001B970000}"/>
    <cellStyle name="Процентный 4 2 41 10" xfId="43223" xr:uid="{00000000-0005-0000-0000-00001C970000}"/>
    <cellStyle name="Процентный 4 2 41 11" xfId="48563" xr:uid="{00000000-0005-0000-0000-00001D970000}"/>
    <cellStyle name="Процентный 4 2 41 2" xfId="968" xr:uid="{00000000-0005-0000-0000-00001E970000}"/>
    <cellStyle name="Процентный 4 2 41 2 10" xfId="49030" xr:uid="{00000000-0005-0000-0000-00001F970000}"/>
    <cellStyle name="Процентный 4 2 41 2 2" xfId="6309" xr:uid="{00000000-0005-0000-0000-000020970000}"/>
    <cellStyle name="Процентный 4 2 41 2 2 2" xfId="54371" xr:uid="{00000000-0005-0000-0000-000021970000}"/>
    <cellStyle name="Процентный 4 2 41 2 3" xfId="11650" xr:uid="{00000000-0005-0000-0000-000022970000}"/>
    <cellStyle name="Процентный 4 2 41 2 4" xfId="16990" xr:uid="{00000000-0005-0000-0000-000023970000}"/>
    <cellStyle name="Процентный 4 2 41 2 5" xfId="22330" xr:uid="{00000000-0005-0000-0000-000024970000}"/>
    <cellStyle name="Процентный 4 2 41 2 6" xfId="27670" xr:uid="{00000000-0005-0000-0000-000025970000}"/>
    <cellStyle name="Процентный 4 2 41 2 7" xfId="33010" xr:uid="{00000000-0005-0000-0000-000026970000}"/>
    <cellStyle name="Процентный 4 2 41 2 8" xfId="38350" xr:uid="{00000000-0005-0000-0000-000027970000}"/>
    <cellStyle name="Процентный 4 2 41 2 9" xfId="43690" xr:uid="{00000000-0005-0000-0000-000028970000}"/>
    <cellStyle name="Процентный 4 2 41 3" xfId="5842" xr:uid="{00000000-0005-0000-0000-000029970000}"/>
    <cellStyle name="Процентный 4 2 41 3 2" xfId="53904" xr:uid="{00000000-0005-0000-0000-00002A970000}"/>
    <cellStyle name="Процентный 4 2 41 4" xfId="11183" xr:uid="{00000000-0005-0000-0000-00002B970000}"/>
    <cellStyle name="Процентный 4 2 41 5" xfId="16523" xr:uid="{00000000-0005-0000-0000-00002C970000}"/>
    <cellStyle name="Процентный 4 2 41 6" xfId="21863" xr:uid="{00000000-0005-0000-0000-00002D970000}"/>
    <cellStyle name="Процентный 4 2 41 7" xfId="27203" xr:uid="{00000000-0005-0000-0000-00002E970000}"/>
    <cellStyle name="Процентный 4 2 41 8" xfId="32543" xr:uid="{00000000-0005-0000-0000-00002F970000}"/>
    <cellStyle name="Процентный 4 2 41 9" xfId="37883" xr:uid="{00000000-0005-0000-0000-000030970000}"/>
    <cellStyle name="Процентный 4 2 42" xfId="513" xr:uid="{00000000-0005-0000-0000-000031970000}"/>
    <cellStyle name="Процентный 4 2 42 10" xfId="43235" xr:uid="{00000000-0005-0000-0000-000032970000}"/>
    <cellStyle name="Процентный 4 2 42 11" xfId="48575" xr:uid="{00000000-0005-0000-0000-000033970000}"/>
    <cellStyle name="Процентный 4 2 42 2" xfId="980" xr:uid="{00000000-0005-0000-0000-000034970000}"/>
    <cellStyle name="Процентный 4 2 42 2 10" xfId="49042" xr:uid="{00000000-0005-0000-0000-000035970000}"/>
    <cellStyle name="Процентный 4 2 42 2 2" xfId="6321" xr:uid="{00000000-0005-0000-0000-000036970000}"/>
    <cellStyle name="Процентный 4 2 42 2 2 2" xfId="54383" xr:uid="{00000000-0005-0000-0000-000037970000}"/>
    <cellStyle name="Процентный 4 2 42 2 3" xfId="11662" xr:uid="{00000000-0005-0000-0000-000038970000}"/>
    <cellStyle name="Процентный 4 2 42 2 4" xfId="17002" xr:uid="{00000000-0005-0000-0000-000039970000}"/>
    <cellStyle name="Процентный 4 2 42 2 5" xfId="22342" xr:uid="{00000000-0005-0000-0000-00003A970000}"/>
    <cellStyle name="Процентный 4 2 42 2 6" xfId="27682" xr:uid="{00000000-0005-0000-0000-00003B970000}"/>
    <cellStyle name="Процентный 4 2 42 2 7" xfId="33022" xr:uid="{00000000-0005-0000-0000-00003C970000}"/>
    <cellStyle name="Процентный 4 2 42 2 8" xfId="38362" xr:uid="{00000000-0005-0000-0000-00003D970000}"/>
    <cellStyle name="Процентный 4 2 42 2 9" xfId="43702" xr:uid="{00000000-0005-0000-0000-00003E970000}"/>
    <cellStyle name="Процентный 4 2 42 3" xfId="5854" xr:uid="{00000000-0005-0000-0000-00003F970000}"/>
    <cellStyle name="Процентный 4 2 42 3 2" xfId="53916" xr:uid="{00000000-0005-0000-0000-000040970000}"/>
    <cellStyle name="Процентный 4 2 42 4" xfId="11195" xr:uid="{00000000-0005-0000-0000-000041970000}"/>
    <cellStyle name="Процентный 4 2 42 5" xfId="16535" xr:uid="{00000000-0005-0000-0000-000042970000}"/>
    <cellStyle name="Процентный 4 2 42 6" xfId="21875" xr:uid="{00000000-0005-0000-0000-000043970000}"/>
    <cellStyle name="Процентный 4 2 42 7" xfId="27215" xr:uid="{00000000-0005-0000-0000-000044970000}"/>
    <cellStyle name="Процентный 4 2 42 8" xfId="32555" xr:uid="{00000000-0005-0000-0000-000045970000}"/>
    <cellStyle name="Процентный 4 2 42 9" xfId="37895" xr:uid="{00000000-0005-0000-0000-000046970000}"/>
    <cellStyle name="Процентный 4 2 43" xfId="524" xr:uid="{00000000-0005-0000-0000-000047970000}"/>
    <cellStyle name="Процентный 4 2 43 10" xfId="48586" xr:uid="{00000000-0005-0000-0000-000048970000}"/>
    <cellStyle name="Процентный 4 2 43 2" xfId="5865" xr:uid="{00000000-0005-0000-0000-000049970000}"/>
    <cellStyle name="Процентный 4 2 43 2 2" xfId="53927" xr:uid="{00000000-0005-0000-0000-00004A970000}"/>
    <cellStyle name="Процентный 4 2 43 3" xfId="11206" xr:uid="{00000000-0005-0000-0000-00004B970000}"/>
    <cellStyle name="Процентный 4 2 43 4" xfId="16546" xr:uid="{00000000-0005-0000-0000-00004C970000}"/>
    <cellStyle name="Процентный 4 2 43 5" xfId="21886" xr:uid="{00000000-0005-0000-0000-00004D970000}"/>
    <cellStyle name="Процентный 4 2 43 6" xfId="27226" xr:uid="{00000000-0005-0000-0000-00004E970000}"/>
    <cellStyle name="Процентный 4 2 43 7" xfId="32566" xr:uid="{00000000-0005-0000-0000-00004F970000}"/>
    <cellStyle name="Процентный 4 2 43 8" xfId="37906" xr:uid="{00000000-0005-0000-0000-000050970000}"/>
    <cellStyle name="Процентный 4 2 43 9" xfId="43246" xr:uid="{00000000-0005-0000-0000-000051970000}"/>
    <cellStyle name="Процентный 4 2 44" xfId="992" xr:uid="{00000000-0005-0000-0000-000052970000}"/>
    <cellStyle name="Процентный 4 2 44 10" xfId="49054" xr:uid="{00000000-0005-0000-0000-000053970000}"/>
    <cellStyle name="Процентный 4 2 44 2" xfId="6333" xr:uid="{00000000-0005-0000-0000-000054970000}"/>
    <cellStyle name="Процентный 4 2 44 2 2" xfId="54395" xr:uid="{00000000-0005-0000-0000-000055970000}"/>
    <cellStyle name="Процентный 4 2 44 3" xfId="11674" xr:uid="{00000000-0005-0000-0000-000056970000}"/>
    <cellStyle name="Процентный 4 2 44 4" xfId="17014" xr:uid="{00000000-0005-0000-0000-000057970000}"/>
    <cellStyle name="Процентный 4 2 44 5" xfId="22354" xr:uid="{00000000-0005-0000-0000-000058970000}"/>
    <cellStyle name="Процентный 4 2 44 6" xfId="27694" xr:uid="{00000000-0005-0000-0000-000059970000}"/>
    <cellStyle name="Процентный 4 2 44 7" xfId="33034" xr:uid="{00000000-0005-0000-0000-00005A970000}"/>
    <cellStyle name="Процентный 4 2 44 8" xfId="38374" xr:uid="{00000000-0005-0000-0000-00005B970000}"/>
    <cellStyle name="Процентный 4 2 44 9" xfId="43714" xr:uid="{00000000-0005-0000-0000-00005C970000}"/>
    <cellStyle name="Процентный 4 2 45" xfId="1016" xr:uid="{00000000-0005-0000-0000-00005D970000}"/>
    <cellStyle name="Процентный 4 2 45 10" xfId="49078" xr:uid="{00000000-0005-0000-0000-00005E970000}"/>
    <cellStyle name="Процентный 4 2 45 2" xfId="6357" xr:uid="{00000000-0005-0000-0000-00005F970000}"/>
    <cellStyle name="Процентный 4 2 45 2 2" xfId="54419" xr:uid="{00000000-0005-0000-0000-000060970000}"/>
    <cellStyle name="Процентный 4 2 45 3" xfId="11698" xr:uid="{00000000-0005-0000-0000-000061970000}"/>
    <cellStyle name="Процентный 4 2 45 4" xfId="17038" xr:uid="{00000000-0005-0000-0000-000062970000}"/>
    <cellStyle name="Процентный 4 2 45 5" xfId="22378" xr:uid="{00000000-0005-0000-0000-000063970000}"/>
    <cellStyle name="Процентный 4 2 45 6" xfId="27718" xr:uid="{00000000-0005-0000-0000-000064970000}"/>
    <cellStyle name="Процентный 4 2 45 7" xfId="33058" xr:uid="{00000000-0005-0000-0000-000065970000}"/>
    <cellStyle name="Процентный 4 2 45 8" xfId="38398" xr:uid="{00000000-0005-0000-0000-000066970000}"/>
    <cellStyle name="Процентный 4 2 45 9" xfId="43738" xr:uid="{00000000-0005-0000-0000-000067970000}"/>
    <cellStyle name="Процентный 4 2 46" xfId="1040" xr:uid="{00000000-0005-0000-0000-000068970000}"/>
    <cellStyle name="Процентный 4 2 46 10" xfId="49102" xr:uid="{00000000-0005-0000-0000-000069970000}"/>
    <cellStyle name="Процентный 4 2 46 2" xfId="6381" xr:uid="{00000000-0005-0000-0000-00006A970000}"/>
    <cellStyle name="Процентный 4 2 46 2 2" xfId="54443" xr:uid="{00000000-0005-0000-0000-00006B970000}"/>
    <cellStyle name="Процентный 4 2 46 3" xfId="11722" xr:uid="{00000000-0005-0000-0000-00006C970000}"/>
    <cellStyle name="Процентный 4 2 46 4" xfId="17062" xr:uid="{00000000-0005-0000-0000-00006D970000}"/>
    <cellStyle name="Процентный 4 2 46 5" xfId="22402" xr:uid="{00000000-0005-0000-0000-00006E970000}"/>
    <cellStyle name="Процентный 4 2 46 6" xfId="27742" xr:uid="{00000000-0005-0000-0000-00006F970000}"/>
    <cellStyle name="Процентный 4 2 46 7" xfId="33082" xr:uid="{00000000-0005-0000-0000-000070970000}"/>
    <cellStyle name="Процентный 4 2 46 8" xfId="38422" xr:uid="{00000000-0005-0000-0000-000071970000}"/>
    <cellStyle name="Процентный 4 2 46 9" xfId="43762" xr:uid="{00000000-0005-0000-0000-000072970000}"/>
    <cellStyle name="Процентный 4 2 47" xfId="1065" xr:uid="{00000000-0005-0000-0000-000073970000}"/>
    <cellStyle name="Процентный 4 2 47 10" xfId="49128" xr:uid="{00000000-0005-0000-0000-000074970000}"/>
    <cellStyle name="Процентный 4 2 47 2" xfId="6407" xr:uid="{00000000-0005-0000-0000-000075970000}"/>
    <cellStyle name="Процентный 4 2 47 2 2" xfId="54469" xr:uid="{00000000-0005-0000-0000-000076970000}"/>
    <cellStyle name="Процентный 4 2 47 3" xfId="11748" xr:uid="{00000000-0005-0000-0000-000077970000}"/>
    <cellStyle name="Процентный 4 2 47 4" xfId="17088" xr:uid="{00000000-0005-0000-0000-000078970000}"/>
    <cellStyle name="Процентный 4 2 47 5" xfId="22428" xr:uid="{00000000-0005-0000-0000-000079970000}"/>
    <cellStyle name="Процентный 4 2 47 6" xfId="27768" xr:uid="{00000000-0005-0000-0000-00007A970000}"/>
    <cellStyle name="Процентный 4 2 47 7" xfId="33108" xr:uid="{00000000-0005-0000-0000-00007B970000}"/>
    <cellStyle name="Процентный 4 2 47 8" xfId="38448" xr:uid="{00000000-0005-0000-0000-00007C970000}"/>
    <cellStyle name="Процентный 4 2 47 9" xfId="43788" xr:uid="{00000000-0005-0000-0000-00007D970000}"/>
    <cellStyle name="Процентный 4 2 48" xfId="1091" xr:uid="{00000000-0005-0000-0000-00007E970000}"/>
    <cellStyle name="Процентный 4 2 48 10" xfId="49154" xr:uid="{00000000-0005-0000-0000-00007F970000}"/>
    <cellStyle name="Процентный 4 2 48 2" xfId="6433" xr:uid="{00000000-0005-0000-0000-000080970000}"/>
    <cellStyle name="Процентный 4 2 48 2 2" xfId="54495" xr:uid="{00000000-0005-0000-0000-000081970000}"/>
    <cellStyle name="Процентный 4 2 48 3" xfId="11774" xr:uid="{00000000-0005-0000-0000-000082970000}"/>
    <cellStyle name="Процентный 4 2 48 4" xfId="17114" xr:uid="{00000000-0005-0000-0000-000083970000}"/>
    <cellStyle name="Процентный 4 2 48 5" xfId="22454" xr:uid="{00000000-0005-0000-0000-000084970000}"/>
    <cellStyle name="Процентный 4 2 48 6" xfId="27794" xr:uid="{00000000-0005-0000-0000-000085970000}"/>
    <cellStyle name="Процентный 4 2 48 7" xfId="33134" xr:uid="{00000000-0005-0000-0000-000086970000}"/>
    <cellStyle name="Процентный 4 2 48 8" xfId="38474" xr:uid="{00000000-0005-0000-0000-000087970000}"/>
    <cellStyle name="Процентный 4 2 48 9" xfId="43814" xr:uid="{00000000-0005-0000-0000-000088970000}"/>
    <cellStyle name="Процентный 4 2 49" xfId="1117" xr:uid="{00000000-0005-0000-0000-000089970000}"/>
    <cellStyle name="Процентный 4 2 49 10" xfId="49180" xr:uid="{00000000-0005-0000-0000-00008A970000}"/>
    <cellStyle name="Процентный 4 2 49 2" xfId="6459" xr:uid="{00000000-0005-0000-0000-00008B970000}"/>
    <cellStyle name="Процентный 4 2 49 2 2" xfId="54521" xr:uid="{00000000-0005-0000-0000-00008C970000}"/>
    <cellStyle name="Процентный 4 2 49 3" xfId="11800" xr:uid="{00000000-0005-0000-0000-00008D970000}"/>
    <cellStyle name="Процентный 4 2 49 4" xfId="17140" xr:uid="{00000000-0005-0000-0000-00008E970000}"/>
    <cellStyle name="Процентный 4 2 49 5" xfId="22480" xr:uid="{00000000-0005-0000-0000-00008F970000}"/>
    <cellStyle name="Процентный 4 2 49 6" xfId="27820" xr:uid="{00000000-0005-0000-0000-000090970000}"/>
    <cellStyle name="Процентный 4 2 49 7" xfId="33160" xr:uid="{00000000-0005-0000-0000-000091970000}"/>
    <cellStyle name="Процентный 4 2 49 8" xfId="38500" xr:uid="{00000000-0005-0000-0000-000092970000}"/>
    <cellStyle name="Процентный 4 2 49 9" xfId="43840" xr:uid="{00000000-0005-0000-0000-000093970000}"/>
    <cellStyle name="Процентный 4 2 5" xfId="127" xr:uid="{00000000-0005-0000-0000-000094970000}"/>
    <cellStyle name="Процентный 4 2 5 10" xfId="42849" xr:uid="{00000000-0005-0000-0000-000095970000}"/>
    <cellStyle name="Процентный 4 2 5 11" xfId="48189" xr:uid="{00000000-0005-0000-0000-000096970000}"/>
    <cellStyle name="Процентный 4 2 5 2" xfId="594" xr:uid="{00000000-0005-0000-0000-000097970000}"/>
    <cellStyle name="Процентный 4 2 5 2 10" xfId="48656" xr:uid="{00000000-0005-0000-0000-000098970000}"/>
    <cellStyle name="Процентный 4 2 5 2 2" xfId="5935" xr:uid="{00000000-0005-0000-0000-000099970000}"/>
    <cellStyle name="Процентный 4 2 5 2 2 2" xfId="53997" xr:uid="{00000000-0005-0000-0000-00009A970000}"/>
    <cellStyle name="Процентный 4 2 5 2 3" xfId="11276" xr:uid="{00000000-0005-0000-0000-00009B970000}"/>
    <cellStyle name="Процентный 4 2 5 2 4" xfId="16616" xr:uid="{00000000-0005-0000-0000-00009C970000}"/>
    <cellStyle name="Процентный 4 2 5 2 5" xfId="21956" xr:uid="{00000000-0005-0000-0000-00009D970000}"/>
    <cellStyle name="Процентный 4 2 5 2 6" xfId="27296" xr:uid="{00000000-0005-0000-0000-00009E970000}"/>
    <cellStyle name="Процентный 4 2 5 2 7" xfId="32636" xr:uid="{00000000-0005-0000-0000-00009F970000}"/>
    <cellStyle name="Процентный 4 2 5 2 8" xfId="37976" xr:uid="{00000000-0005-0000-0000-0000A0970000}"/>
    <cellStyle name="Процентный 4 2 5 2 9" xfId="43316" xr:uid="{00000000-0005-0000-0000-0000A1970000}"/>
    <cellStyle name="Процентный 4 2 5 3" xfId="5468" xr:uid="{00000000-0005-0000-0000-0000A2970000}"/>
    <cellStyle name="Процентный 4 2 5 3 2" xfId="53530" xr:uid="{00000000-0005-0000-0000-0000A3970000}"/>
    <cellStyle name="Процентный 4 2 5 4" xfId="10809" xr:uid="{00000000-0005-0000-0000-0000A4970000}"/>
    <cellStyle name="Процентный 4 2 5 5" xfId="16149" xr:uid="{00000000-0005-0000-0000-0000A5970000}"/>
    <cellStyle name="Процентный 4 2 5 6" xfId="21489" xr:uid="{00000000-0005-0000-0000-0000A6970000}"/>
    <cellStyle name="Процентный 4 2 5 7" xfId="26829" xr:uid="{00000000-0005-0000-0000-0000A7970000}"/>
    <cellStyle name="Процентный 4 2 5 8" xfId="32169" xr:uid="{00000000-0005-0000-0000-0000A8970000}"/>
    <cellStyle name="Процентный 4 2 5 9" xfId="37509" xr:uid="{00000000-0005-0000-0000-0000A9970000}"/>
    <cellStyle name="Процентный 4 2 50" xfId="1143" xr:uid="{00000000-0005-0000-0000-0000AA970000}"/>
    <cellStyle name="Процентный 4 2 50 10" xfId="49206" xr:uid="{00000000-0005-0000-0000-0000AB970000}"/>
    <cellStyle name="Процентный 4 2 50 2" xfId="6485" xr:uid="{00000000-0005-0000-0000-0000AC970000}"/>
    <cellStyle name="Процентный 4 2 50 2 2" xfId="54547" xr:uid="{00000000-0005-0000-0000-0000AD970000}"/>
    <cellStyle name="Процентный 4 2 50 3" xfId="11826" xr:uid="{00000000-0005-0000-0000-0000AE970000}"/>
    <cellStyle name="Процентный 4 2 50 4" xfId="17166" xr:uid="{00000000-0005-0000-0000-0000AF970000}"/>
    <cellStyle name="Процентный 4 2 50 5" xfId="22506" xr:uid="{00000000-0005-0000-0000-0000B0970000}"/>
    <cellStyle name="Процентный 4 2 50 6" xfId="27846" xr:uid="{00000000-0005-0000-0000-0000B1970000}"/>
    <cellStyle name="Процентный 4 2 50 7" xfId="33186" xr:uid="{00000000-0005-0000-0000-0000B2970000}"/>
    <cellStyle name="Процентный 4 2 50 8" xfId="38526" xr:uid="{00000000-0005-0000-0000-0000B3970000}"/>
    <cellStyle name="Процентный 4 2 50 9" xfId="43866" xr:uid="{00000000-0005-0000-0000-0000B4970000}"/>
    <cellStyle name="Процентный 4 2 51" xfId="1169" xr:uid="{00000000-0005-0000-0000-0000B5970000}"/>
    <cellStyle name="Процентный 4 2 51 10" xfId="49232" xr:uid="{00000000-0005-0000-0000-0000B6970000}"/>
    <cellStyle name="Процентный 4 2 51 2" xfId="6511" xr:uid="{00000000-0005-0000-0000-0000B7970000}"/>
    <cellStyle name="Процентный 4 2 51 2 2" xfId="54573" xr:uid="{00000000-0005-0000-0000-0000B8970000}"/>
    <cellStyle name="Процентный 4 2 51 3" xfId="11852" xr:uid="{00000000-0005-0000-0000-0000B9970000}"/>
    <cellStyle name="Процентный 4 2 51 4" xfId="17192" xr:uid="{00000000-0005-0000-0000-0000BA970000}"/>
    <cellStyle name="Процентный 4 2 51 5" xfId="22532" xr:uid="{00000000-0005-0000-0000-0000BB970000}"/>
    <cellStyle name="Процентный 4 2 51 6" xfId="27872" xr:uid="{00000000-0005-0000-0000-0000BC970000}"/>
    <cellStyle name="Процентный 4 2 51 7" xfId="33212" xr:uid="{00000000-0005-0000-0000-0000BD970000}"/>
    <cellStyle name="Процентный 4 2 51 8" xfId="38552" xr:uid="{00000000-0005-0000-0000-0000BE970000}"/>
    <cellStyle name="Процентный 4 2 51 9" xfId="43892" xr:uid="{00000000-0005-0000-0000-0000BF970000}"/>
    <cellStyle name="Процентный 4 2 52" xfId="1195" xr:uid="{00000000-0005-0000-0000-0000C0970000}"/>
    <cellStyle name="Процентный 4 2 52 10" xfId="49258" xr:uid="{00000000-0005-0000-0000-0000C1970000}"/>
    <cellStyle name="Процентный 4 2 52 2" xfId="6537" xr:uid="{00000000-0005-0000-0000-0000C2970000}"/>
    <cellStyle name="Процентный 4 2 52 2 2" xfId="54599" xr:uid="{00000000-0005-0000-0000-0000C3970000}"/>
    <cellStyle name="Процентный 4 2 52 3" xfId="11878" xr:uid="{00000000-0005-0000-0000-0000C4970000}"/>
    <cellStyle name="Процентный 4 2 52 4" xfId="17218" xr:uid="{00000000-0005-0000-0000-0000C5970000}"/>
    <cellStyle name="Процентный 4 2 52 5" xfId="22558" xr:uid="{00000000-0005-0000-0000-0000C6970000}"/>
    <cellStyle name="Процентный 4 2 52 6" xfId="27898" xr:uid="{00000000-0005-0000-0000-0000C7970000}"/>
    <cellStyle name="Процентный 4 2 52 7" xfId="33238" xr:uid="{00000000-0005-0000-0000-0000C8970000}"/>
    <cellStyle name="Процентный 4 2 52 8" xfId="38578" xr:uid="{00000000-0005-0000-0000-0000C9970000}"/>
    <cellStyle name="Процентный 4 2 52 9" xfId="43918" xr:uid="{00000000-0005-0000-0000-0000CA970000}"/>
    <cellStyle name="Процентный 4 2 53" xfId="1221" xr:uid="{00000000-0005-0000-0000-0000CB970000}"/>
    <cellStyle name="Процентный 4 2 53 10" xfId="49284" xr:uid="{00000000-0005-0000-0000-0000CC970000}"/>
    <cellStyle name="Процентный 4 2 53 2" xfId="6563" xr:uid="{00000000-0005-0000-0000-0000CD970000}"/>
    <cellStyle name="Процентный 4 2 53 2 2" xfId="54625" xr:uid="{00000000-0005-0000-0000-0000CE970000}"/>
    <cellStyle name="Процентный 4 2 53 3" xfId="11904" xr:uid="{00000000-0005-0000-0000-0000CF970000}"/>
    <cellStyle name="Процентный 4 2 53 4" xfId="17244" xr:uid="{00000000-0005-0000-0000-0000D0970000}"/>
    <cellStyle name="Процентный 4 2 53 5" xfId="22584" xr:uid="{00000000-0005-0000-0000-0000D1970000}"/>
    <cellStyle name="Процентный 4 2 53 6" xfId="27924" xr:uid="{00000000-0005-0000-0000-0000D2970000}"/>
    <cellStyle name="Процентный 4 2 53 7" xfId="33264" xr:uid="{00000000-0005-0000-0000-0000D3970000}"/>
    <cellStyle name="Процентный 4 2 53 8" xfId="38604" xr:uid="{00000000-0005-0000-0000-0000D4970000}"/>
    <cellStyle name="Процентный 4 2 53 9" xfId="43944" xr:uid="{00000000-0005-0000-0000-0000D5970000}"/>
    <cellStyle name="Процентный 4 2 54" xfId="1247" xr:uid="{00000000-0005-0000-0000-0000D6970000}"/>
    <cellStyle name="Процентный 4 2 54 10" xfId="49310" xr:uid="{00000000-0005-0000-0000-0000D7970000}"/>
    <cellStyle name="Процентный 4 2 54 2" xfId="6589" xr:uid="{00000000-0005-0000-0000-0000D8970000}"/>
    <cellStyle name="Процентный 4 2 54 2 2" xfId="54651" xr:uid="{00000000-0005-0000-0000-0000D9970000}"/>
    <cellStyle name="Процентный 4 2 54 3" xfId="11930" xr:uid="{00000000-0005-0000-0000-0000DA970000}"/>
    <cellStyle name="Процентный 4 2 54 4" xfId="17270" xr:uid="{00000000-0005-0000-0000-0000DB970000}"/>
    <cellStyle name="Процентный 4 2 54 5" xfId="22610" xr:uid="{00000000-0005-0000-0000-0000DC970000}"/>
    <cellStyle name="Процентный 4 2 54 6" xfId="27950" xr:uid="{00000000-0005-0000-0000-0000DD970000}"/>
    <cellStyle name="Процентный 4 2 54 7" xfId="33290" xr:uid="{00000000-0005-0000-0000-0000DE970000}"/>
    <cellStyle name="Процентный 4 2 54 8" xfId="38630" xr:uid="{00000000-0005-0000-0000-0000DF970000}"/>
    <cellStyle name="Процентный 4 2 54 9" xfId="43970" xr:uid="{00000000-0005-0000-0000-0000E0970000}"/>
    <cellStyle name="Процентный 4 2 55" xfId="1273" xr:uid="{00000000-0005-0000-0000-0000E1970000}"/>
    <cellStyle name="Процентный 4 2 55 10" xfId="49336" xr:uid="{00000000-0005-0000-0000-0000E2970000}"/>
    <cellStyle name="Процентный 4 2 55 2" xfId="6615" xr:uid="{00000000-0005-0000-0000-0000E3970000}"/>
    <cellStyle name="Процентный 4 2 55 2 2" xfId="54677" xr:uid="{00000000-0005-0000-0000-0000E4970000}"/>
    <cellStyle name="Процентный 4 2 55 3" xfId="11956" xr:uid="{00000000-0005-0000-0000-0000E5970000}"/>
    <cellStyle name="Процентный 4 2 55 4" xfId="17296" xr:uid="{00000000-0005-0000-0000-0000E6970000}"/>
    <cellStyle name="Процентный 4 2 55 5" xfId="22636" xr:uid="{00000000-0005-0000-0000-0000E7970000}"/>
    <cellStyle name="Процентный 4 2 55 6" xfId="27976" xr:uid="{00000000-0005-0000-0000-0000E8970000}"/>
    <cellStyle name="Процентный 4 2 55 7" xfId="33316" xr:uid="{00000000-0005-0000-0000-0000E9970000}"/>
    <cellStyle name="Процентный 4 2 55 8" xfId="38656" xr:uid="{00000000-0005-0000-0000-0000EA970000}"/>
    <cellStyle name="Процентный 4 2 55 9" xfId="43996" xr:uid="{00000000-0005-0000-0000-0000EB970000}"/>
    <cellStyle name="Процентный 4 2 56" xfId="1299" xr:uid="{00000000-0005-0000-0000-0000EC970000}"/>
    <cellStyle name="Процентный 4 2 56 10" xfId="49362" xr:uid="{00000000-0005-0000-0000-0000ED970000}"/>
    <cellStyle name="Процентный 4 2 56 2" xfId="6641" xr:uid="{00000000-0005-0000-0000-0000EE970000}"/>
    <cellStyle name="Процентный 4 2 56 2 2" xfId="54703" xr:uid="{00000000-0005-0000-0000-0000EF970000}"/>
    <cellStyle name="Процентный 4 2 56 3" xfId="11982" xr:uid="{00000000-0005-0000-0000-0000F0970000}"/>
    <cellStyle name="Процентный 4 2 56 4" xfId="17322" xr:uid="{00000000-0005-0000-0000-0000F1970000}"/>
    <cellStyle name="Процентный 4 2 56 5" xfId="22662" xr:uid="{00000000-0005-0000-0000-0000F2970000}"/>
    <cellStyle name="Процентный 4 2 56 6" xfId="28002" xr:uid="{00000000-0005-0000-0000-0000F3970000}"/>
    <cellStyle name="Процентный 4 2 56 7" xfId="33342" xr:uid="{00000000-0005-0000-0000-0000F4970000}"/>
    <cellStyle name="Процентный 4 2 56 8" xfId="38682" xr:uid="{00000000-0005-0000-0000-0000F5970000}"/>
    <cellStyle name="Процентный 4 2 56 9" xfId="44022" xr:uid="{00000000-0005-0000-0000-0000F6970000}"/>
    <cellStyle name="Процентный 4 2 57" xfId="1325" xr:uid="{00000000-0005-0000-0000-0000F7970000}"/>
    <cellStyle name="Процентный 4 2 57 10" xfId="49388" xr:uid="{00000000-0005-0000-0000-0000F8970000}"/>
    <cellStyle name="Процентный 4 2 57 2" xfId="6667" xr:uid="{00000000-0005-0000-0000-0000F9970000}"/>
    <cellStyle name="Процентный 4 2 57 2 2" xfId="54729" xr:uid="{00000000-0005-0000-0000-0000FA970000}"/>
    <cellStyle name="Процентный 4 2 57 3" xfId="12008" xr:uid="{00000000-0005-0000-0000-0000FB970000}"/>
    <cellStyle name="Процентный 4 2 57 4" xfId="17348" xr:uid="{00000000-0005-0000-0000-0000FC970000}"/>
    <cellStyle name="Процентный 4 2 57 5" xfId="22688" xr:uid="{00000000-0005-0000-0000-0000FD970000}"/>
    <cellStyle name="Процентный 4 2 57 6" xfId="28028" xr:uid="{00000000-0005-0000-0000-0000FE970000}"/>
    <cellStyle name="Процентный 4 2 57 7" xfId="33368" xr:uid="{00000000-0005-0000-0000-0000FF970000}"/>
    <cellStyle name="Процентный 4 2 57 8" xfId="38708" xr:uid="{00000000-0005-0000-0000-000000980000}"/>
    <cellStyle name="Процентный 4 2 57 9" xfId="44048" xr:uid="{00000000-0005-0000-0000-000001980000}"/>
    <cellStyle name="Процентный 4 2 58" xfId="1351" xr:uid="{00000000-0005-0000-0000-000002980000}"/>
    <cellStyle name="Процентный 4 2 58 10" xfId="49414" xr:uid="{00000000-0005-0000-0000-000003980000}"/>
    <cellStyle name="Процентный 4 2 58 2" xfId="6693" xr:uid="{00000000-0005-0000-0000-000004980000}"/>
    <cellStyle name="Процентный 4 2 58 2 2" xfId="54755" xr:uid="{00000000-0005-0000-0000-000005980000}"/>
    <cellStyle name="Процентный 4 2 58 3" xfId="12034" xr:uid="{00000000-0005-0000-0000-000006980000}"/>
    <cellStyle name="Процентный 4 2 58 4" xfId="17374" xr:uid="{00000000-0005-0000-0000-000007980000}"/>
    <cellStyle name="Процентный 4 2 58 5" xfId="22714" xr:uid="{00000000-0005-0000-0000-000008980000}"/>
    <cellStyle name="Процентный 4 2 58 6" xfId="28054" xr:uid="{00000000-0005-0000-0000-000009980000}"/>
    <cellStyle name="Процентный 4 2 58 7" xfId="33394" xr:uid="{00000000-0005-0000-0000-00000A980000}"/>
    <cellStyle name="Процентный 4 2 58 8" xfId="38734" xr:uid="{00000000-0005-0000-0000-00000B980000}"/>
    <cellStyle name="Процентный 4 2 58 9" xfId="44074" xr:uid="{00000000-0005-0000-0000-00000C980000}"/>
    <cellStyle name="Процентный 4 2 59" xfId="1377" xr:uid="{00000000-0005-0000-0000-00000D980000}"/>
    <cellStyle name="Процентный 4 2 59 10" xfId="49440" xr:uid="{00000000-0005-0000-0000-00000E980000}"/>
    <cellStyle name="Процентный 4 2 59 2" xfId="6719" xr:uid="{00000000-0005-0000-0000-00000F980000}"/>
    <cellStyle name="Процентный 4 2 59 2 2" xfId="54781" xr:uid="{00000000-0005-0000-0000-000010980000}"/>
    <cellStyle name="Процентный 4 2 59 3" xfId="12060" xr:uid="{00000000-0005-0000-0000-000011980000}"/>
    <cellStyle name="Процентный 4 2 59 4" xfId="17400" xr:uid="{00000000-0005-0000-0000-000012980000}"/>
    <cellStyle name="Процентный 4 2 59 5" xfId="22740" xr:uid="{00000000-0005-0000-0000-000013980000}"/>
    <cellStyle name="Процентный 4 2 59 6" xfId="28080" xr:uid="{00000000-0005-0000-0000-000014980000}"/>
    <cellStyle name="Процентный 4 2 59 7" xfId="33420" xr:uid="{00000000-0005-0000-0000-000015980000}"/>
    <cellStyle name="Процентный 4 2 59 8" xfId="38760" xr:uid="{00000000-0005-0000-0000-000016980000}"/>
    <cellStyle name="Процентный 4 2 59 9" xfId="44100" xr:uid="{00000000-0005-0000-0000-000017980000}"/>
    <cellStyle name="Процентный 4 2 6" xfId="137" xr:uid="{00000000-0005-0000-0000-000018980000}"/>
    <cellStyle name="Процентный 4 2 6 10" xfId="42859" xr:uid="{00000000-0005-0000-0000-000019980000}"/>
    <cellStyle name="Процентный 4 2 6 11" xfId="48199" xr:uid="{00000000-0005-0000-0000-00001A980000}"/>
    <cellStyle name="Процентный 4 2 6 2" xfId="604" xr:uid="{00000000-0005-0000-0000-00001B980000}"/>
    <cellStyle name="Процентный 4 2 6 2 10" xfId="48666" xr:uid="{00000000-0005-0000-0000-00001C980000}"/>
    <cellStyle name="Процентный 4 2 6 2 2" xfId="5945" xr:uid="{00000000-0005-0000-0000-00001D980000}"/>
    <cellStyle name="Процентный 4 2 6 2 2 2" xfId="54007" xr:uid="{00000000-0005-0000-0000-00001E980000}"/>
    <cellStyle name="Процентный 4 2 6 2 3" xfId="11286" xr:uid="{00000000-0005-0000-0000-00001F980000}"/>
    <cellStyle name="Процентный 4 2 6 2 4" xfId="16626" xr:uid="{00000000-0005-0000-0000-000020980000}"/>
    <cellStyle name="Процентный 4 2 6 2 5" xfId="21966" xr:uid="{00000000-0005-0000-0000-000021980000}"/>
    <cellStyle name="Процентный 4 2 6 2 6" xfId="27306" xr:uid="{00000000-0005-0000-0000-000022980000}"/>
    <cellStyle name="Процентный 4 2 6 2 7" xfId="32646" xr:uid="{00000000-0005-0000-0000-000023980000}"/>
    <cellStyle name="Процентный 4 2 6 2 8" xfId="37986" xr:uid="{00000000-0005-0000-0000-000024980000}"/>
    <cellStyle name="Процентный 4 2 6 2 9" xfId="43326" xr:uid="{00000000-0005-0000-0000-000025980000}"/>
    <cellStyle name="Процентный 4 2 6 3" xfId="5478" xr:uid="{00000000-0005-0000-0000-000026980000}"/>
    <cellStyle name="Процентный 4 2 6 3 2" xfId="53540" xr:uid="{00000000-0005-0000-0000-000027980000}"/>
    <cellStyle name="Процентный 4 2 6 4" xfId="10819" xr:uid="{00000000-0005-0000-0000-000028980000}"/>
    <cellStyle name="Процентный 4 2 6 5" xfId="16159" xr:uid="{00000000-0005-0000-0000-000029980000}"/>
    <cellStyle name="Процентный 4 2 6 6" xfId="21499" xr:uid="{00000000-0005-0000-0000-00002A980000}"/>
    <cellStyle name="Процентный 4 2 6 7" xfId="26839" xr:uid="{00000000-0005-0000-0000-00002B980000}"/>
    <cellStyle name="Процентный 4 2 6 8" xfId="32179" xr:uid="{00000000-0005-0000-0000-00002C980000}"/>
    <cellStyle name="Процентный 4 2 6 9" xfId="37519" xr:uid="{00000000-0005-0000-0000-00002D980000}"/>
    <cellStyle name="Процентный 4 2 60" xfId="1403" xr:uid="{00000000-0005-0000-0000-00002E980000}"/>
    <cellStyle name="Процентный 4 2 60 10" xfId="49466" xr:uid="{00000000-0005-0000-0000-00002F980000}"/>
    <cellStyle name="Процентный 4 2 60 2" xfId="6745" xr:uid="{00000000-0005-0000-0000-000030980000}"/>
    <cellStyle name="Процентный 4 2 60 2 2" xfId="54807" xr:uid="{00000000-0005-0000-0000-000031980000}"/>
    <cellStyle name="Процентный 4 2 60 3" xfId="12086" xr:uid="{00000000-0005-0000-0000-000032980000}"/>
    <cellStyle name="Процентный 4 2 60 4" xfId="17426" xr:uid="{00000000-0005-0000-0000-000033980000}"/>
    <cellStyle name="Процентный 4 2 60 5" xfId="22766" xr:uid="{00000000-0005-0000-0000-000034980000}"/>
    <cellStyle name="Процентный 4 2 60 6" xfId="28106" xr:uid="{00000000-0005-0000-0000-000035980000}"/>
    <cellStyle name="Процентный 4 2 60 7" xfId="33446" xr:uid="{00000000-0005-0000-0000-000036980000}"/>
    <cellStyle name="Процентный 4 2 60 8" xfId="38786" xr:uid="{00000000-0005-0000-0000-000037980000}"/>
    <cellStyle name="Процентный 4 2 60 9" xfId="44126" xr:uid="{00000000-0005-0000-0000-000038980000}"/>
    <cellStyle name="Процентный 4 2 61" xfId="1429" xr:uid="{00000000-0005-0000-0000-000039980000}"/>
    <cellStyle name="Процентный 4 2 61 10" xfId="49492" xr:uid="{00000000-0005-0000-0000-00003A980000}"/>
    <cellStyle name="Процентный 4 2 61 2" xfId="6771" xr:uid="{00000000-0005-0000-0000-00003B980000}"/>
    <cellStyle name="Процентный 4 2 61 2 2" xfId="54833" xr:uid="{00000000-0005-0000-0000-00003C980000}"/>
    <cellStyle name="Процентный 4 2 61 3" xfId="12112" xr:uid="{00000000-0005-0000-0000-00003D980000}"/>
    <cellStyle name="Процентный 4 2 61 4" xfId="17452" xr:uid="{00000000-0005-0000-0000-00003E980000}"/>
    <cellStyle name="Процентный 4 2 61 5" xfId="22792" xr:uid="{00000000-0005-0000-0000-00003F980000}"/>
    <cellStyle name="Процентный 4 2 61 6" xfId="28132" xr:uid="{00000000-0005-0000-0000-000040980000}"/>
    <cellStyle name="Процентный 4 2 61 7" xfId="33472" xr:uid="{00000000-0005-0000-0000-000041980000}"/>
    <cellStyle name="Процентный 4 2 61 8" xfId="38812" xr:uid="{00000000-0005-0000-0000-000042980000}"/>
    <cellStyle name="Процентный 4 2 61 9" xfId="44152" xr:uid="{00000000-0005-0000-0000-000043980000}"/>
    <cellStyle name="Процентный 4 2 62" xfId="1455" xr:uid="{00000000-0005-0000-0000-000044980000}"/>
    <cellStyle name="Процентный 4 2 62 10" xfId="49518" xr:uid="{00000000-0005-0000-0000-000045980000}"/>
    <cellStyle name="Процентный 4 2 62 2" xfId="6797" xr:uid="{00000000-0005-0000-0000-000046980000}"/>
    <cellStyle name="Процентный 4 2 62 2 2" xfId="54859" xr:uid="{00000000-0005-0000-0000-000047980000}"/>
    <cellStyle name="Процентный 4 2 62 3" xfId="12138" xr:uid="{00000000-0005-0000-0000-000048980000}"/>
    <cellStyle name="Процентный 4 2 62 4" xfId="17478" xr:uid="{00000000-0005-0000-0000-000049980000}"/>
    <cellStyle name="Процентный 4 2 62 5" xfId="22818" xr:uid="{00000000-0005-0000-0000-00004A980000}"/>
    <cellStyle name="Процентный 4 2 62 6" xfId="28158" xr:uid="{00000000-0005-0000-0000-00004B980000}"/>
    <cellStyle name="Процентный 4 2 62 7" xfId="33498" xr:uid="{00000000-0005-0000-0000-00004C980000}"/>
    <cellStyle name="Процентный 4 2 62 8" xfId="38838" xr:uid="{00000000-0005-0000-0000-00004D980000}"/>
    <cellStyle name="Процентный 4 2 62 9" xfId="44178" xr:uid="{00000000-0005-0000-0000-00004E980000}"/>
    <cellStyle name="Процентный 4 2 63" xfId="1481" xr:uid="{00000000-0005-0000-0000-00004F980000}"/>
    <cellStyle name="Процентный 4 2 63 10" xfId="49544" xr:uid="{00000000-0005-0000-0000-000050980000}"/>
    <cellStyle name="Процентный 4 2 63 2" xfId="6823" xr:uid="{00000000-0005-0000-0000-000051980000}"/>
    <cellStyle name="Процентный 4 2 63 2 2" xfId="54885" xr:uid="{00000000-0005-0000-0000-000052980000}"/>
    <cellStyle name="Процентный 4 2 63 3" xfId="12164" xr:uid="{00000000-0005-0000-0000-000053980000}"/>
    <cellStyle name="Процентный 4 2 63 4" xfId="17504" xr:uid="{00000000-0005-0000-0000-000054980000}"/>
    <cellStyle name="Процентный 4 2 63 5" xfId="22844" xr:uid="{00000000-0005-0000-0000-000055980000}"/>
    <cellStyle name="Процентный 4 2 63 6" xfId="28184" xr:uid="{00000000-0005-0000-0000-000056980000}"/>
    <cellStyle name="Процентный 4 2 63 7" xfId="33524" xr:uid="{00000000-0005-0000-0000-000057980000}"/>
    <cellStyle name="Процентный 4 2 63 8" xfId="38864" xr:uid="{00000000-0005-0000-0000-000058980000}"/>
    <cellStyle name="Процентный 4 2 63 9" xfId="44204" xr:uid="{00000000-0005-0000-0000-000059980000}"/>
    <cellStyle name="Процентный 4 2 64" xfId="1507" xr:uid="{00000000-0005-0000-0000-00005A980000}"/>
    <cellStyle name="Процентный 4 2 64 10" xfId="49570" xr:uid="{00000000-0005-0000-0000-00005B980000}"/>
    <cellStyle name="Процентный 4 2 64 2" xfId="6849" xr:uid="{00000000-0005-0000-0000-00005C980000}"/>
    <cellStyle name="Процентный 4 2 64 2 2" xfId="54911" xr:uid="{00000000-0005-0000-0000-00005D980000}"/>
    <cellStyle name="Процентный 4 2 64 3" xfId="12190" xr:uid="{00000000-0005-0000-0000-00005E980000}"/>
    <cellStyle name="Процентный 4 2 64 4" xfId="17530" xr:uid="{00000000-0005-0000-0000-00005F980000}"/>
    <cellStyle name="Процентный 4 2 64 5" xfId="22870" xr:uid="{00000000-0005-0000-0000-000060980000}"/>
    <cellStyle name="Процентный 4 2 64 6" xfId="28210" xr:uid="{00000000-0005-0000-0000-000061980000}"/>
    <cellStyle name="Процентный 4 2 64 7" xfId="33550" xr:uid="{00000000-0005-0000-0000-000062980000}"/>
    <cellStyle name="Процентный 4 2 64 8" xfId="38890" xr:uid="{00000000-0005-0000-0000-000063980000}"/>
    <cellStyle name="Процентный 4 2 64 9" xfId="44230" xr:uid="{00000000-0005-0000-0000-000064980000}"/>
    <cellStyle name="Процентный 4 2 65" xfId="1533" xr:uid="{00000000-0005-0000-0000-000065980000}"/>
    <cellStyle name="Процентный 4 2 65 10" xfId="49596" xr:uid="{00000000-0005-0000-0000-000066980000}"/>
    <cellStyle name="Процентный 4 2 65 2" xfId="6875" xr:uid="{00000000-0005-0000-0000-000067980000}"/>
    <cellStyle name="Процентный 4 2 65 2 2" xfId="54937" xr:uid="{00000000-0005-0000-0000-000068980000}"/>
    <cellStyle name="Процентный 4 2 65 3" xfId="12216" xr:uid="{00000000-0005-0000-0000-000069980000}"/>
    <cellStyle name="Процентный 4 2 65 4" xfId="17556" xr:uid="{00000000-0005-0000-0000-00006A980000}"/>
    <cellStyle name="Процентный 4 2 65 5" xfId="22896" xr:uid="{00000000-0005-0000-0000-00006B980000}"/>
    <cellStyle name="Процентный 4 2 65 6" xfId="28236" xr:uid="{00000000-0005-0000-0000-00006C980000}"/>
    <cellStyle name="Процентный 4 2 65 7" xfId="33576" xr:uid="{00000000-0005-0000-0000-00006D980000}"/>
    <cellStyle name="Процентный 4 2 65 8" xfId="38916" xr:uid="{00000000-0005-0000-0000-00006E980000}"/>
    <cellStyle name="Процентный 4 2 65 9" xfId="44256" xr:uid="{00000000-0005-0000-0000-00006F980000}"/>
    <cellStyle name="Процентный 4 2 66" xfId="1559" xr:uid="{00000000-0005-0000-0000-000070980000}"/>
    <cellStyle name="Процентный 4 2 66 10" xfId="49622" xr:uid="{00000000-0005-0000-0000-000071980000}"/>
    <cellStyle name="Процентный 4 2 66 2" xfId="6901" xr:uid="{00000000-0005-0000-0000-000072980000}"/>
    <cellStyle name="Процентный 4 2 66 2 2" xfId="54963" xr:uid="{00000000-0005-0000-0000-000073980000}"/>
    <cellStyle name="Процентный 4 2 66 3" xfId="12242" xr:uid="{00000000-0005-0000-0000-000074980000}"/>
    <cellStyle name="Процентный 4 2 66 4" xfId="17582" xr:uid="{00000000-0005-0000-0000-000075980000}"/>
    <cellStyle name="Процентный 4 2 66 5" xfId="22922" xr:uid="{00000000-0005-0000-0000-000076980000}"/>
    <cellStyle name="Процентный 4 2 66 6" xfId="28262" xr:uid="{00000000-0005-0000-0000-000077980000}"/>
    <cellStyle name="Процентный 4 2 66 7" xfId="33602" xr:uid="{00000000-0005-0000-0000-000078980000}"/>
    <cellStyle name="Процентный 4 2 66 8" xfId="38942" xr:uid="{00000000-0005-0000-0000-000079980000}"/>
    <cellStyle name="Процентный 4 2 66 9" xfId="44282" xr:uid="{00000000-0005-0000-0000-00007A980000}"/>
    <cellStyle name="Процентный 4 2 67" xfId="1585" xr:uid="{00000000-0005-0000-0000-00007B980000}"/>
    <cellStyle name="Процентный 4 2 67 10" xfId="49648" xr:uid="{00000000-0005-0000-0000-00007C980000}"/>
    <cellStyle name="Процентный 4 2 67 2" xfId="6927" xr:uid="{00000000-0005-0000-0000-00007D980000}"/>
    <cellStyle name="Процентный 4 2 67 2 2" xfId="54989" xr:uid="{00000000-0005-0000-0000-00007E980000}"/>
    <cellStyle name="Процентный 4 2 67 3" xfId="12268" xr:uid="{00000000-0005-0000-0000-00007F980000}"/>
    <cellStyle name="Процентный 4 2 67 4" xfId="17608" xr:uid="{00000000-0005-0000-0000-000080980000}"/>
    <cellStyle name="Процентный 4 2 67 5" xfId="22948" xr:uid="{00000000-0005-0000-0000-000081980000}"/>
    <cellStyle name="Процентный 4 2 67 6" xfId="28288" xr:uid="{00000000-0005-0000-0000-000082980000}"/>
    <cellStyle name="Процентный 4 2 67 7" xfId="33628" xr:uid="{00000000-0005-0000-0000-000083980000}"/>
    <cellStyle name="Процентный 4 2 67 8" xfId="38968" xr:uid="{00000000-0005-0000-0000-000084980000}"/>
    <cellStyle name="Процентный 4 2 67 9" xfId="44308" xr:uid="{00000000-0005-0000-0000-000085980000}"/>
    <cellStyle name="Процентный 4 2 68" xfId="1611" xr:uid="{00000000-0005-0000-0000-000086980000}"/>
    <cellStyle name="Процентный 4 2 68 10" xfId="49674" xr:uid="{00000000-0005-0000-0000-000087980000}"/>
    <cellStyle name="Процентный 4 2 68 2" xfId="6953" xr:uid="{00000000-0005-0000-0000-000088980000}"/>
    <cellStyle name="Процентный 4 2 68 2 2" xfId="55015" xr:uid="{00000000-0005-0000-0000-000089980000}"/>
    <cellStyle name="Процентный 4 2 68 3" xfId="12294" xr:uid="{00000000-0005-0000-0000-00008A980000}"/>
    <cellStyle name="Процентный 4 2 68 4" xfId="17634" xr:uid="{00000000-0005-0000-0000-00008B980000}"/>
    <cellStyle name="Процентный 4 2 68 5" xfId="22974" xr:uid="{00000000-0005-0000-0000-00008C980000}"/>
    <cellStyle name="Процентный 4 2 68 6" xfId="28314" xr:uid="{00000000-0005-0000-0000-00008D980000}"/>
    <cellStyle name="Процентный 4 2 68 7" xfId="33654" xr:uid="{00000000-0005-0000-0000-00008E980000}"/>
    <cellStyle name="Процентный 4 2 68 8" xfId="38994" xr:uid="{00000000-0005-0000-0000-00008F980000}"/>
    <cellStyle name="Процентный 4 2 68 9" xfId="44334" xr:uid="{00000000-0005-0000-0000-000090980000}"/>
    <cellStyle name="Процентный 4 2 69" xfId="1637" xr:uid="{00000000-0005-0000-0000-000091980000}"/>
    <cellStyle name="Процентный 4 2 69 10" xfId="49700" xr:uid="{00000000-0005-0000-0000-000092980000}"/>
    <cellStyle name="Процентный 4 2 69 2" xfId="6979" xr:uid="{00000000-0005-0000-0000-000093980000}"/>
    <cellStyle name="Процентный 4 2 69 2 2" xfId="55041" xr:uid="{00000000-0005-0000-0000-000094980000}"/>
    <cellStyle name="Процентный 4 2 69 3" xfId="12320" xr:uid="{00000000-0005-0000-0000-000095980000}"/>
    <cellStyle name="Процентный 4 2 69 4" xfId="17660" xr:uid="{00000000-0005-0000-0000-000096980000}"/>
    <cellStyle name="Процентный 4 2 69 5" xfId="23000" xr:uid="{00000000-0005-0000-0000-000097980000}"/>
    <cellStyle name="Процентный 4 2 69 6" xfId="28340" xr:uid="{00000000-0005-0000-0000-000098980000}"/>
    <cellStyle name="Процентный 4 2 69 7" xfId="33680" xr:uid="{00000000-0005-0000-0000-000099980000}"/>
    <cellStyle name="Процентный 4 2 69 8" xfId="39020" xr:uid="{00000000-0005-0000-0000-00009A980000}"/>
    <cellStyle name="Процентный 4 2 69 9" xfId="44360" xr:uid="{00000000-0005-0000-0000-00009B980000}"/>
    <cellStyle name="Процентный 4 2 7" xfId="147" xr:uid="{00000000-0005-0000-0000-00009C980000}"/>
    <cellStyle name="Процентный 4 2 7 10" xfId="42869" xr:uid="{00000000-0005-0000-0000-00009D980000}"/>
    <cellStyle name="Процентный 4 2 7 11" xfId="48209" xr:uid="{00000000-0005-0000-0000-00009E980000}"/>
    <cellStyle name="Процентный 4 2 7 2" xfId="614" xr:uid="{00000000-0005-0000-0000-00009F980000}"/>
    <cellStyle name="Процентный 4 2 7 2 10" xfId="48676" xr:uid="{00000000-0005-0000-0000-0000A0980000}"/>
    <cellStyle name="Процентный 4 2 7 2 2" xfId="5955" xr:uid="{00000000-0005-0000-0000-0000A1980000}"/>
    <cellStyle name="Процентный 4 2 7 2 2 2" xfId="54017" xr:uid="{00000000-0005-0000-0000-0000A2980000}"/>
    <cellStyle name="Процентный 4 2 7 2 3" xfId="11296" xr:uid="{00000000-0005-0000-0000-0000A3980000}"/>
    <cellStyle name="Процентный 4 2 7 2 4" xfId="16636" xr:uid="{00000000-0005-0000-0000-0000A4980000}"/>
    <cellStyle name="Процентный 4 2 7 2 5" xfId="21976" xr:uid="{00000000-0005-0000-0000-0000A5980000}"/>
    <cellStyle name="Процентный 4 2 7 2 6" xfId="27316" xr:uid="{00000000-0005-0000-0000-0000A6980000}"/>
    <cellStyle name="Процентный 4 2 7 2 7" xfId="32656" xr:uid="{00000000-0005-0000-0000-0000A7980000}"/>
    <cellStyle name="Процентный 4 2 7 2 8" xfId="37996" xr:uid="{00000000-0005-0000-0000-0000A8980000}"/>
    <cellStyle name="Процентный 4 2 7 2 9" xfId="43336" xr:uid="{00000000-0005-0000-0000-0000A9980000}"/>
    <cellStyle name="Процентный 4 2 7 3" xfId="5488" xr:uid="{00000000-0005-0000-0000-0000AA980000}"/>
    <cellStyle name="Процентный 4 2 7 3 2" xfId="53550" xr:uid="{00000000-0005-0000-0000-0000AB980000}"/>
    <cellStyle name="Процентный 4 2 7 4" xfId="10829" xr:uid="{00000000-0005-0000-0000-0000AC980000}"/>
    <cellStyle name="Процентный 4 2 7 5" xfId="16169" xr:uid="{00000000-0005-0000-0000-0000AD980000}"/>
    <cellStyle name="Процентный 4 2 7 6" xfId="21509" xr:uid="{00000000-0005-0000-0000-0000AE980000}"/>
    <cellStyle name="Процентный 4 2 7 7" xfId="26849" xr:uid="{00000000-0005-0000-0000-0000AF980000}"/>
    <cellStyle name="Процентный 4 2 7 8" xfId="32189" xr:uid="{00000000-0005-0000-0000-0000B0980000}"/>
    <cellStyle name="Процентный 4 2 7 9" xfId="37529" xr:uid="{00000000-0005-0000-0000-0000B1980000}"/>
    <cellStyle name="Процентный 4 2 70" xfId="1663" xr:uid="{00000000-0005-0000-0000-0000B2980000}"/>
    <cellStyle name="Процентный 4 2 70 10" xfId="49726" xr:uid="{00000000-0005-0000-0000-0000B3980000}"/>
    <cellStyle name="Процентный 4 2 70 2" xfId="7005" xr:uid="{00000000-0005-0000-0000-0000B4980000}"/>
    <cellStyle name="Процентный 4 2 70 2 2" xfId="55067" xr:uid="{00000000-0005-0000-0000-0000B5980000}"/>
    <cellStyle name="Процентный 4 2 70 3" xfId="12346" xr:uid="{00000000-0005-0000-0000-0000B6980000}"/>
    <cellStyle name="Процентный 4 2 70 4" xfId="17686" xr:uid="{00000000-0005-0000-0000-0000B7980000}"/>
    <cellStyle name="Процентный 4 2 70 5" xfId="23026" xr:uid="{00000000-0005-0000-0000-0000B8980000}"/>
    <cellStyle name="Процентный 4 2 70 6" xfId="28366" xr:uid="{00000000-0005-0000-0000-0000B9980000}"/>
    <cellStyle name="Процентный 4 2 70 7" xfId="33706" xr:uid="{00000000-0005-0000-0000-0000BA980000}"/>
    <cellStyle name="Процентный 4 2 70 8" xfId="39046" xr:uid="{00000000-0005-0000-0000-0000BB980000}"/>
    <cellStyle name="Процентный 4 2 70 9" xfId="44386" xr:uid="{00000000-0005-0000-0000-0000BC980000}"/>
    <cellStyle name="Процентный 4 2 71" xfId="1689" xr:uid="{00000000-0005-0000-0000-0000BD980000}"/>
    <cellStyle name="Процентный 4 2 71 10" xfId="49752" xr:uid="{00000000-0005-0000-0000-0000BE980000}"/>
    <cellStyle name="Процентный 4 2 71 2" xfId="7031" xr:uid="{00000000-0005-0000-0000-0000BF980000}"/>
    <cellStyle name="Процентный 4 2 71 2 2" xfId="55093" xr:uid="{00000000-0005-0000-0000-0000C0980000}"/>
    <cellStyle name="Процентный 4 2 71 3" xfId="12372" xr:uid="{00000000-0005-0000-0000-0000C1980000}"/>
    <cellStyle name="Процентный 4 2 71 4" xfId="17712" xr:uid="{00000000-0005-0000-0000-0000C2980000}"/>
    <cellStyle name="Процентный 4 2 71 5" xfId="23052" xr:uid="{00000000-0005-0000-0000-0000C3980000}"/>
    <cellStyle name="Процентный 4 2 71 6" xfId="28392" xr:uid="{00000000-0005-0000-0000-0000C4980000}"/>
    <cellStyle name="Процентный 4 2 71 7" xfId="33732" xr:uid="{00000000-0005-0000-0000-0000C5980000}"/>
    <cellStyle name="Процентный 4 2 71 8" xfId="39072" xr:uid="{00000000-0005-0000-0000-0000C6980000}"/>
    <cellStyle name="Процентный 4 2 71 9" xfId="44412" xr:uid="{00000000-0005-0000-0000-0000C7980000}"/>
    <cellStyle name="Процентный 4 2 72" xfId="1715" xr:uid="{00000000-0005-0000-0000-0000C8980000}"/>
    <cellStyle name="Процентный 4 2 72 10" xfId="49778" xr:uid="{00000000-0005-0000-0000-0000C9980000}"/>
    <cellStyle name="Процентный 4 2 72 2" xfId="7057" xr:uid="{00000000-0005-0000-0000-0000CA980000}"/>
    <cellStyle name="Процентный 4 2 72 2 2" xfId="55119" xr:uid="{00000000-0005-0000-0000-0000CB980000}"/>
    <cellStyle name="Процентный 4 2 72 3" xfId="12398" xr:uid="{00000000-0005-0000-0000-0000CC980000}"/>
    <cellStyle name="Процентный 4 2 72 4" xfId="17738" xr:uid="{00000000-0005-0000-0000-0000CD980000}"/>
    <cellStyle name="Процентный 4 2 72 5" xfId="23078" xr:uid="{00000000-0005-0000-0000-0000CE980000}"/>
    <cellStyle name="Процентный 4 2 72 6" xfId="28418" xr:uid="{00000000-0005-0000-0000-0000CF980000}"/>
    <cellStyle name="Процентный 4 2 72 7" xfId="33758" xr:uid="{00000000-0005-0000-0000-0000D0980000}"/>
    <cellStyle name="Процентный 4 2 72 8" xfId="39098" xr:uid="{00000000-0005-0000-0000-0000D1980000}"/>
    <cellStyle name="Процентный 4 2 72 9" xfId="44438" xr:uid="{00000000-0005-0000-0000-0000D2980000}"/>
    <cellStyle name="Процентный 4 2 73" xfId="1741" xr:uid="{00000000-0005-0000-0000-0000D3980000}"/>
    <cellStyle name="Процентный 4 2 73 10" xfId="49804" xr:uid="{00000000-0005-0000-0000-0000D4980000}"/>
    <cellStyle name="Процентный 4 2 73 2" xfId="7083" xr:uid="{00000000-0005-0000-0000-0000D5980000}"/>
    <cellStyle name="Процентный 4 2 73 2 2" xfId="55145" xr:uid="{00000000-0005-0000-0000-0000D6980000}"/>
    <cellStyle name="Процентный 4 2 73 3" xfId="12424" xr:uid="{00000000-0005-0000-0000-0000D7980000}"/>
    <cellStyle name="Процентный 4 2 73 4" xfId="17764" xr:uid="{00000000-0005-0000-0000-0000D8980000}"/>
    <cellStyle name="Процентный 4 2 73 5" xfId="23104" xr:uid="{00000000-0005-0000-0000-0000D9980000}"/>
    <cellStyle name="Процентный 4 2 73 6" xfId="28444" xr:uid="{00000000-0005-0000-0000-0000DA980000}"/>
    <cellStyle name="Процентный 4 2 73 7" xfId="33784" xr:uid="{00000000-0005-0000-0000-0000DB980000}"/>
    <cellStyle name="Процентный 4 2 73 8" xfId="39124" xr:uid="{00000000-0005-0000-0000-0000DC980000}"/>
    <cellStyle name="Процентный 4 2 73 9" xfId="44464" xr:uid="{00000000-0005-0000-0000-0000DD980000}"/>
    <cellStyle name="Процентный 4 2 74" xfId="1767" xr:uid="{00000000-0005-0000-0000-0000DE980000}"/>
    <cellStyle name="Процентный 4 2 74 10" xfId="49830" xr:uid="{00000000-0005-0000-0000-0000DF980000}"/>
    <cellStyle name="Процентный 4 2 74 2" xfId="7109" xr:uid="{00000000-0005-0000-0000-0000E0980000}"/>
    <cellStyle name="Процентный 4 2 74 2 2" xfId="55171" xr:uid="{00000000-0005-0000-0000-0000E1980000}"/>
    <cellStyle name="Процентный 4 2 74 3" xfId="12450" xr:uid="{00000000-0005-0000-0000-0000E2980000}"/>
    <cellStyle name="Процентный 4 2 74 4" xfId="17790" xr:uid="{00000000-0005-0000-0000-0000E3980000}"/>
    <cellStyle name="Процентный 4 2 74 5" xfId="23130" xr:uid="{00000000-0005-0000-0000-0000E4980000}"/>
    <cellStyle name="Процентный 4 2 74 6" xfId="28470" xr:uid="{00000000-0005-0000-0000-0000E5980000}"/>
    <cellStyle name="Процентный 4 2 74 7" xfId="33810" xr:uid="{00000000-0005-0000-0000-0000E6980000}"/>
    <cellStyle name="Процентный 4 2 74 8" xfId="39150" xr:uid="{00000000-0005-0000-0000-0000E7980000}"/>
    <cellStyle name="Процентный 4 2 74 9" xfId="44490" xr:uid="{00000000-0005-0000-0000-0000E8980000}"/>
    <cellStyle name="Процентный 4 2 75" xfId="1793" xr:uid="{00000000-0005-0000-0000-0000E9980000}"/>
    <cellStyle name="Процентный 4 2 75 10" xfId="49856" xr:uid="{00000000-0005-0000-0000-0000EA980000}"/>
    <cellStyle name="Процентный 4 2 75 2" xfId="7135" xr:uid="{00000000-0005-0000-0000-0000EB980000}"/>
    <cellStyle name="Процентный 4 2 75 2 2" xfId="55197" xr:uid="{00000000-0005-0000-0000-0000EC980000}"/>
    <cellStyle name="Процентный 4 2 75 3" xfId="12476" xr:uid="{00000000-0005-0000-0000-0000ED980000}"/>
    <cellStyle name="Процентный 4 2 75 4" xfId="17816" xr:uid="{00000000-0005-0000-0000-0000EE980000}"/>
    <cellStyle name="Процентный 4 2 75 5" xfId="23156" xr:uid="{00000000-0005-0000-0000-0000EF980000}"/>
    <cellStyle name="Процентный 4 2 75 6" xfId="28496" xr:uid="{00000000-0005-0000-0000-0000F0980000}"/>
    <cellStyle name="Процентный 4 2 75 7" xfId="33836" xr:uid="{00000000-0005-0000-0000-0000F1980000}"/>
    <cellStyle name="Процентный 4 2 75 8" xfId="39176" xr:uid="{00000000-0005-0000-0000-0000F2980000}"/>
    <cellStyle name="Процентный 4 2 75 9" xfId="44516" xr:uid="{00000000-0005-0000-0000-0000F3980000}"/>
    <cellStyle name="Процентный 4 2 76" xfId="1819" xr:uid="{00000000-0005-0000-0000-0000F4980000}"/>
    <cellStyle name="Процентный 4 2 76 10" xfId="49882" xr:uid="{00000000-0005-0000-0000-0000F5980000}"/>
    <cellStyle name="Процентный 4 2 76 2" xfId="7161" xr:uid="{00000000-0005-0000-0000-0000F6980000}"/>
    <cellStyle name="Процентный 4 2 76 2 2" xfId="55223" xr:uid="{00000000-0005-0000-0000-0000F7980000}"/>
    <cellStyle name="Процентный 4 2 76 3" xfId="12502" xr:uid="{00000000-0005-0000-0000-0000F8980000}"/>
    <cellStyle name="Процентный 4 2 76 4" xfId="17842" xr:uid="{00000000-0005-0000-0000-0000F9980000}"/>
    <cellStyle name="Процентный 4 2 76 5" xfId="23182" xr:uid="{00000000-0005-0000-0000-0000FA980000}"/>
    <cellStyle name="Процентный 4 2 76 6" xfId="28522" xr:uid="{00000000-0005-0000-0000-0000FB980000}"/>
    <cellStyle name="Процентный 4 2 76 7" xfId="33862" xr:uid="{00000000-0005-0000-0000-0000FC980000}"/>
    <cellStyle name="Процентный 4 2 76 8" xfId="39202" xr:uid="{00000000-0005-0000-0000-0000FD980000}"/>
    <cellStyle name="Процентный 4 2 76 9" xfId="44542" xr:uid="{00000000-0005-0000-0000-0000FE980000}"/>
    <cellStyle name="Процентный 4 2 77" xfId="1845" xr:uid="{00000000-0005-0000-0000-0000FF980000}"/>
    <cellStyle name="Процентный 4 2 77 10" xfId="49908" xr:uid="{00000000-0005-0000-0000-000000990000}"/>
    <cellStyle name="Процентный 4 2 77 2" xfId="7187" xr:uid="{00000000-0005-0000-0000-000001990000}"/>
    <cellStyle name="Процентный 4 2 77 2 2" xfId="55249" xr:uid="{00000000-0005-0000-0000-000002990000}"/>
    <cellStyle name="Процентный 4 2 77 3" xfId="12528" xr:uid="{00000000-0005-0000-0000-000003990000}"/>
    <cellStyle name="Процентный 4 2 77 4" xfId="17868" xr:uid="{00000000-0005-0000-0000-000004990000}"/>
    <cellStyle name="Процентный 4 2 77 5" xfId="23208" xr:uid="{00000000-0005-0000-0000-000005990000}"/>
    <cellStyle name="Процентный 4 2 77 6" xfId="28548" xr:uid="{00000000-0005-0000-0000-000006990000}"/>
    <cellStyle name="Процентный 4 2 77 7" xfId="33888" xr:uid="{00000000-0005-0000-0000-000007990000}"/>
    <cellStyle name="Процентный 4 2 77 8" xfId="39228" xr:uid="{00000000-0005-0000-0000-000008990000}"/>
    <cellStyle name="Процентный 4 2 77 9" xfId="44568" xr:uid="{00000000-0005-0000-0000-000009990000}"/>
    <cellStyle name="Процентный 4 2 78" xfId="1871" xr:uid="{00000000-0005-0000-0000-00000A990000}"/>
    <cellStyle name="Процентный 4 2 78 10" xfId="49934" xr:uid="{00000000-0005-0000-0000-00000B990000}"/>
    <cellStyle name="Процентный 4 2 78 2" xfId="7213" xr:uid="{00000000-0005-0000-0000-00000C990000}"/>
    <cellStyle name="Процентный 4 2 78 2 2" xfId="55275" xr:uid="{00000000-0005-0000-0000-00000D990000}"/>
    <cellStyle name="Процентный 4 2 78 3" xfId="12554" xr:uid="{00000000-0005-0000-0000-00000E990000}"/>
    <cellStyle name="Процентный 4 2 78 4" xfId="17894" xr:uid="{00000000-0005-0000-0000-00000F990000}"/>
    <cellStyle name="Процентный 4 2 78 5" xfId="23234" xr:uid="{00000000-0005-0000-0000-000010990000}"/>
    <cellStyle name="Процентный 4 2 78 6" xfId="28574" xr:uid="{00000000-0005-0000-0000-000011990000}"/>
    <cellStyle name="Процентный 4 2 78 7" xfId="33914" xr:uid="{00000000-0005-0000-0000-000012990000}"/>
    <cellStyle name="Процентный 4 2 78 8" xfId="39254" xr:uid="{00000000-0005-0000-0000-000013990000}"/>
    <cellStyle name="Процентный 4 2 78 9" xfId="44594" xr:uid="{00000000-0005-0000-0000-000014990000}"/>
    <cellStyle name="Процентный 4 2 79" xfId="1897" xr:uid="{00000000-0005-0000-0000-000015990000}"/>
    <cellStyle name="Процентный 4 2 79 10" xfId="49960" xr:uid="{00000000-0005-0000-0000-000016990000}"/>
    <cellStyle name="Процентный 4 2 79 2" xfId="7239" xr:uid="{00000000-0005-0000-0000-000017990000}"/>
    <cellStyle name="Процентный 4 2 79 2 2" xfId="55301" xr:uid="{00000000-0005-0000-0000-000018990000}"/>
    <cellStyle name="Процентный 4 2 79 3" xfId="12580" xr:uid="{00000000-0005-0000-0000-000019990000}"/>
    <cellStyle name="Процентный 4 2 79 4" xfId="17920" xr:uid="{00000000-0005-0000-0000-00001A990000}"/>
    <cellStyle name="Процентный 4 2 79 5" xfId="23260" xr:uid="{00000000-0005-0000-0000-00001B990000}"/>
    <cellStyle name="Процентный 4 2 79 6" xfId="28600" xr:uid="{00000000-0005-0000-0000-00001C990000}"/>
    <cellStyle name="Процентный 4 2 79 7" xfId="33940" xr:uid="{00000000-0005-0000-0000-00001D990000}"/>
    <cellStyle name="Процентный 4 2 79 8" xfId="39280" xr:uid="{00000000-0005-0000-0000-00001E990000}"/>
    <cellStyle name="Процентный 4 2 79 9" xfId="44620" xr:uid="{00000000-0005-0000-0000-00001F990000}"/>
    <cellStyle name="Процентный 4 2 8" xfId="157" xr:uid="{00000000-0005-0000-0000-000020990000}"/>
    <cellStyle name="Процентный 4 2 8 10" xfId="42879" xr:uid="{00000000-0005-0000-0000-000021990000}"/>
    <cellStyle name="Процентный 4 2 8 11" xfId="48219" xr:uid="{00000000-0005-0000-0000-000022990000}"/>
    <cellStyle name="Процентный 4 2 8 2" xfId="624" xr:uid="{00000000-0005-0000-0000-000023990000}"/>
    <cellStyle name="Процентный 4 2 8 2 10" xfId="48686" xr:uid="{00000000-0005-0000-0000-000024990000}"/>
    <cellStyle name="Процентный 4 2 8 2 2" xfId="5965" xr:uid="{00000000-0005-0000-0000-000025990000}"/>
    <cellStyle name="Процентный 4 2 8 2 2 2" xfId="54027" xr:uid="{00000000-0005-0000-0000-000026990000}"/>
    <cellStyle name="Процентный 4 2 8 2 3" xfId="11306" xr:uid="{00000000-0005-0000-0000-000027990000}"/>
    <cellStyle name="Процентный 4 2 8 2 4" xfId="16646" xr:uid="{00000000-0005-0000-0000-000028990000}"/>
    <cellStyle name="Процентный 4 2 8 2 5" xfId="21986" xr:uid="{00000000-0005-0000-0000-000029990000}"/>
    <cellStyle name="Процентный 4 2 8 2 6" xfId="27326" xr:uid="{00000000-0005-0000-0000-00002A990000}"/>
    <cellStyle name="Процентный 4 2 8 2 7" xfId="32666" xr:uid="{00000000-0005-0000-0000-00002B990000}"/>
    <cellStyle name="Процентный 4 2 8 2 8" xfId="38006" xr:uid="{00000000-0005-0000-0000-00002C990000}"/>
    <cellStyle name="Процентный 4 2 8 2 9" xfId="43346" xr:uid="{00000000-0005-0000-0000-00002D990000}"/>
    <cellStyle name="Процентный 4 2 8 3" xfId="5498" xr:uid="{00000000-0005-0000-0000-00002E990000}"/>
    <cellStyle name="Процентный 4 2 8 3 2" xfId="53560" xr:uid="{00000000-0005-0000-0000-00002F990000}"/>
    <cellStyle name="Процентный 4 2 8 4" xfId="10839" xr:uid="{00000000-0005-0000-0000-000030990000}"/>
    <cellStyle name="Процентный 4 2 8 5" xfId="16179" xr:uid="{00000000-0005-0000-0000-000031990000}"/>
    <cellStyle name="Процентный 4 2 8 6" xfId="21519" xr:uid="{00000000-0005-0000-0000-000032990000}"/>
    <cellStyle name="Процентный 4 2 8 7" xfId="26859" xr:uid="{00000000-0005-0000-0000-000033990000}"/>
    <cellStyle name="Процентный 4 2 8 8" xfId="32199" xr:uid="{00000000-0005-0000-0000-000034990000}"/>
    <cellStyle name="Процентный 4 2 8 9" xfId="37539" xr:uid="{00000000-0005-0000-0000-000035990000}"/>
    <cellStyle name="Процентный 4 2 80" xfId="1923" xr:uid="{00000000-0005-0000-0000-000036990000}"/>
    <cellStyle name="Процентный 4 2 80 10" xfId="49986" xr:uid="{00000000-0005-0000-0000-000037990000}"/>
    <cellStyle name="Процентный 4 2 80 2" xfId="7265" xr:uid="{00000000-0005-0000-0000-000038990000}"/>
    <cellStyle name="Процентный 4 2 80 2 2" xfId="55327" xr:uid="{00000000-0005-0000-0000-000039990000}"/>
    <cellStyle name="Процентный 4 2 80 3" xfId="12606" xr:uid="{00000000-0005-0000-0000-00003A990000}"/>
    <cellStyle name="Процентный 4 2 80 4" xfId="17946" xr:uid="{00000000-0005-0000-0000-00003B990000}"/>
    <cellStyle name="Процентный 4 2 80 5" xfId="23286" xr:uid="{00000000-0005-0000-0000-00003C990000}"/>
    <cellStyle name="Процентный 4 2 80 6" xfId="28626" xr:uid="{00000000-0005-0000-0000-00003D990000}"/>
    <cellStyle name="Процентный 4 2 80 7" xfId="33966" xr:uid="{00000000-0005-0000-0000-00003E990000}"/>
    <cellStyle name="Процентный 4 2 80 8" xfId="39306" xr:uid="{00000000-0005-0000-0000-00003F990000}"/>
    <cellStyle name="Процентный 4 2 80 9" xfId="44646" xr:uid="{00000000-0005-0000-0000-000040990000}"/>
    <cellStyle name="Процентный 4 2 81" xfId="1951" xr:uid="{00000000-0005-0000-0000-000041990000}"/>
    <cellStyle name="Процентный 4 2 81 10" xfId="50014" xr:uid="{00000000-0005-0000-0000-000042990000}"/>
    <cellStyle name="Процентный 4 2 81 2" xfId="7293" xr:uid="{00000000-0005-0000-0000-000043990000}"/>
    <cellStyle name="Процентный 4 2 81 2 2" xfId="55355" xr:uid="{00000000-0005-0000-0000-000044990000}"/>
    <cellStyle name="Процентный 4 2 81 3" xfId="12634" xr:uid="{00000000-0005-0000-0000-000045990000}"/>
    <cellStyle name="Процентный 4 2 81 4" xfId="17974" xr:uid="{00000000-0005-0000-0000-000046990000}"/>
    <cellStyle name="Процентный 4 2 81 5" xfId="23314" xr:uid="{00000000-0005-0000-0000-000047990000}"/>
    <cellStyle name="Процентный 4 2 81 6" xfId="28654" xr:uid="{00000000-0005-0000-0000-000048990000}"/>
    <cellStyle name="Процентный 4 2 81 7" xfId="33994" xr:uid="{00000000-0005-0000-0000-000049990000}"/>
    <cellStyle name="Процентный 4 2 81 8" xfId="39334" xr:uid="{00000000-0005-0000-0000-00004A990000}"/>
    <cellStyle name="Процентный 4 2 81 9" xfId="44674" xr:uid="{00000000-0005-0000-0000-00004B990000}"/>
    <cellStyle name="Процентный 4 2 82" xfId="1978" xr:uid="{00000000-0005-0000-0000-00004C990000}"/>
    <cellStyle name="Процентный 4 2 82 10" xfId="50042" xr:uid="{00000000-0005-0000-0000-00004D990000}"/>
    <cellStyle name="Процентный 4 2 82 2" xfId="7321" xr:uid="{00000000-0005-0000-0000-00004E990000}"/>
    <cellStyle name="Процентный 4 2 82 2 2" xfId="55383" xr:uid="{00000000-0005-0000-0000-00004F990000}"/>
    <cellStyle name="Процентный 4 2 82 3" xfId="12662" xr:uid="{00000000-0005-0000-0000-000050990000}"/>
    <cellStyle name="Процентный 4 2 82 4" xfId="18002" xr:uid="{00000000-0005-0000-0000-000051990000}"/>
    <cellStyle name="Процентный 4 2 82 5" xfId="23342" xr:uid="{00000000-0005-0000-0000-000052990000}"/>
    <cellStyle name="Процентный 4 2 82 6" xfId="28682" xr:uid="{00000000-0005-0000-0000-000053990000}"/>
    <cellStyle name="Процентный 4 2 82 7" xfId="34022" xr:uid="{00000000-0005-0000-0000-000054990000}"/>
    <cellStyle name="Процентный 4 2 82 8" xfId="39362" xr:uid="{00000000-0005-0000-0000-000055990000}"/>
    <cellStyle name="Процентный 4 2 82 9" xfId="44702" xr:uid="{00000000-0005-0000-0000-000056990000}"/>
    <cellStyle name="Процентный 4 2 83" xfId="2006" xr:uid="{00000000-0005-0000-0000-000057990000}"/>
    <cellStyle name="Процентный 4 2 83 10" xfId="50070" xr:uid="{00000000-0005-0000-0000-000058990000}"/>
    <cellStyle name="Процентный 4 2 83 2" xfId="7349" xr:uid="{00000000-0005-0000-0000-000059990000}"/>
    <cellStyle name="Процентный 4 2 83 2 2" xfId="55411" xr:uid="{00000000-0005-0000-0000-00005A990000}"/>
    <cellStyle name="Процентный 4 2 83 3" xfId="12690" xr:uid="{00000000-0005-0000-0000-00005B990000}"/>
    <cellStyle name="Процентный 4 2 83 4" xfId="18030" xr:uid="{00000000-0005-0000-0000-00005C990000}"/>
    <cellStyle name="Процентный 4 2 83 5" xfId="23370" xr:uid="{00000000-0005-0000-0000-00005D990000}"/>
    <cellStyle name="Процентный 4 2 83 6" xfId="28710" xr:uid="{00000000-0005-0000-0000-00005E990000}"/>
    <cellStyle name="Процентный 4 2 83 7" xfId="34050" xr:uid="{00000000-0005-0000-0000-00005F990000}"/>
    <cellStyle name="Процентный 4 2 83 8" xfId="39390" xr:uid="{00000000-0005-0000-0000-000060990000}"/>
    <cellStyle name="Процентный 4 2 83 9" xfId="44730" xr:uid="{00000000-0005-0000-0000-000061990000}"/>
    <cellStyle name="Процентный 4 2 84" xfId="2034" xr:uid="{00000000-0005-0000-0000-000062990000}"/>
    <cellStyle name="Процентный 4 2 84 10" xfId="50098" xr:uid="{00000000-0005-0000-0000-000063990000}"/>
    <cellStyle name="Процентный 4 2 84 2" xfId="7377" xr:uid="{00000000-0005-0000-0000-000064990000}"/>
    <cellStyle name="Процентный 4 2 84 2 2" xfId="55439" xr:uid="{00000000-0005-0000-0000-000065990000}"/>
    <cellStyle name="Процентный 4 2 84 3" xfId="12718" xr:uid="{00000000-0005-0000-0000-000066990000}"/>
    <cellStyle name="Процентный 4 2 84 4" xfId="18058" xr:uid="{00000000-0005-0000-0000-000067990000}"/>
    <cellStyle name="Процентный 4 2 84 5" xfId="23398" xr:uid="{00000000-0005-0000-0000-000068990000}"/>
    <cellStyle name="Процентный 4 2 84 6" xfId="28738" xr:uid="{00000000-0005-0000-0000-000069990000}"/>
    <cellStyle name="Процентный 4 2 84 7" xfId="34078" xr:uid="{00000000-0005-0000-0000-00006A990000}"/>
    <cellStyle name="Процентный 4 2 84 8" xfId="39418" xr:uid="{00000000-0005-0000-0000-00006B990000}"/>
    <cellStyle name="Процентный 4 2 84 9" xfId="44758" xr:uid="{00000000-0005-0000-0000-00006C990000}"/>
    <cellStyle name="Процентный 4 2 85" xfId="2062" xr:uid="{00000000-0005-0000-0000-00006D990000}"/>
    <cellStyle name="Процентный 4 2 85 10" xfId="50126" xr:uid="{00000000-0005-0000-0000-00006E990000}"/>
    <cellStyle name="Процентный 4 2 85 2" xfId="7405" xr:uid="{00000000-0005-0000-0000-00006F990000}"/>
    <cellStyle name="Процентный 4 2 85 2 2" xfId="55467" xr:uid="{00000000-0005-0000-0000-000070990000}"/>
    <cellStyle name="Процентный 4 2 85 3" xfId="12746" xr:uid="{00000000-0005-0000-0000-000071990000}"/>
    <cellStyle name="Процентный 4 2 85 4" xfId="18086" xr:uid="{00000000-0005-0000-0000-000072990000}"/>
    <cellStyle name="Процентный 4 2 85 5" xfId="23426" xr:uid="{00000000-0005-0000-0000-000073990000}"/>
    <cellStyle name="Процентный 4 2 85 6" xfId="28766" xr:uid="{00000000-0005-0000-0000-000074990000}"/>
    <cellStyle name="Процентный 4 2 85 7" xfId="34106" xr:uid="{00000000-0005-0000-0000-000075990000}"/>
    <cellStyle name="Процентный 4 2 85 8" xfId="39446" xr:uid="{00000000-0005-0000-0000-000076990000}"/>
    <cellStyle name="Процентный 4 2 85 9" xfId="44786" xr:uid="{00000000-0005-0000-0000-000077990000}"/>
    <cellStyle name="Процентный 4 2 86" xfId="2090" xr:uid="{00000000-0005-0000-0000-000078990000}"/>
    <cellStyle name="Процентный 4 2 86 10" xfId="50154" xr:uid="{00000000-0005-0000-0000-000079990000}"/>
    <cellStyle name="Процентный 4 2 86 2" xfId="7433" xr:uid="{00000000-0005-0000-0000-00007A990000}"/>
    <cellStyle name="Процентный 4 2 86 2 2" xfId="55495" xr:uid="{00000000-0005-0000-0000-00007B990000}"/>
    <cellStyle name="Процентный 4 2 86 3" xfId="12774" xr:uid="{00000000-0005-0000-0000-00007C990000}"/>
    <cellStyle name="Процентный 4 2 86 4" xfId="18114" xr:uid="{00000000-0005-0000-0000-00007D990000}"/>
    <cellStyle name="Процентный 4 2 86 5" xfId="23454" xr:uid="{00000000-0005-0000-0000-00007E990000}"/>
    <cellStyle name="Процентный 4 2 86 6" xfId="28794" xr:uid="{00000000-0005-0000-0000-00007F990000}"/>
    <cellStyle name="Процентный 4 2 86 7" xfId="34134" xr:uid="{00000000-0005-0000-0000-000080990000}"/>
    <cellStyle name="Процентный 4 2 86 8" xfId="39474" xr:uid="{00000000-0005-0000-0000-000081990000}"/>
    <cellStyle name="Процентный 4 2 86 9" xfId="44814" xr:uid="{00000000-0005-0000-0000-000082990000}"/>
    <cellStyle name="Процентный 4 2 87" xfId="2118" xr:uid="{00000000-0005-0000-0000-000083990000}"/>
    <cellStyle name="Процентный 4 2 87 10" xfId="50182" xr:uid="{00000000-0005-0000-0000-000084990000}"/>
    <cellStyle name="Процентный 4 2 87 2" xfId="7461" xr:uid="{00000000-0005-0000-0000-000085990000}"/>
    <cellStyle name="Процентный 4 2 87 2 2" xfId="55523" xr:uid="{00000000-0005-0000-0000-000086990000}"/>
    <cellStyle name="Процентный 4 2 87 3" xfId="12802" xr:uid="{00000000-0005-0000-0000-000087990000}"/>
    <cellStyle name="Процентный 4 2 87 4" xfId="18142" xr:uid="{00000000-0005-0000-0000-000088990000}"/>
    <cellStyle name="Процентный 4 2 87 5" xfId="23482" xr:uid="{00000000-0005-0000-0000-000089990000}"/>
    <cellStyle name="Процентный 4 2 87 6" xfId="28822" xr:uid="{00000000-0005-0000-0000-00008A990000}"/>
    <cellStyle name="Процентный 4 2 87 7" xfId="34162" xr:uid="{00000000-0005-0000-0000-00008B990000}"/>
    <cellStyle name="Процентный 4 2 87 8" xfId="39502" xr:uid="{00000000-0005-0000-0000-00008C990000}"/>
    <cellStyle name="Процентный 4 2 87 9" xfId="44842" xr:uid="{00000000-0005-0000-0000-00008D990000}"/>
    <cellStyle name="Процентный 4 2 88" xfId="2148" xr:uid="{00000000-0005-0000-0000-00008E990000}"/>
    <cellStyle name="Процентный 4 2 88 10" xfId="50212" xr:uid="{00000000-0005-0000-0000-00008F990000}"/>
    <cellStyle name="Процентный 4 2 88 2" xfId="7491" xr:uid="{00000000-0005-0000-0000-000090990000}"/>
    <cellStyle name="Процентный 4 2 88 2 2" xfId="55553" xr:uid="{00000000-0005-0000-0000-000091990000}"/>
    <cellStyle name="Процентный 4 2 88 3" xfId="12832" xr:uid="{00000000-0005-0000-0000-000092990000}"/>
    <cellStyle name="Процентный 4 2 88 4" xfId="18172" xr:uid="{00000000-0005-0000-0000-000093990000}"/>
    <cellStyle name="Процентный 4 2 88 5" xfId="23512" xr:uid="{00000000-0005-0000-0000-000094990000}"/>
    <cellStyle name="Процентный 4 2 88 6" xfId="28852" xr:uid="{00000000-0005-0000-0000-000095990000}"/>
    <cellStyle name="Процентный 4 2 88 7" xfId="34192" xr:uid="{00000000-0005-0000-0000-000096990000}"/>
    <cellStyle name="Процентный 4 2 88 8" xfId="39532" xr:uid="{00000000-0005-0000-0000-000097990000}"/>
    <cellStyle name="Процентный 4 2 88 9" xfId="44872" xr:uid="{00000000-0005-0000-0000-000098990000}"/>
    <cellStyle name="Процентный 4 2 89" xfId="2178" xr:uid="{00000000-0005-0000-0000-000099990000}"/>
    <cellStyle name="Процентный 4 2 89 10" xfId="50242" xr:uid="{00000000-0005-0000-0000-00009A990000}"/>
    <cellStyle name="Процентный 4 2 89 2" xfId="7521" xr:uid="{00000000-0005-0000-0000-00009B990000}"/>
    <cellStyle name="Процентный 4 2 89 2 2" xfId="55583" xr:uid="{00000000-0005-0000-0000-00009C990000}"/>
    <cellStyle name="Процентный 4 2 89 3" xfId="12862" xr:uid="{00000000-0005-0000-0000-00009D990000}"/>
    <cellStyle name="Процентный 4 2 89 4" xfId="18202" xr:uid="{00000000-0005-0000-0000-00009E990000}"/>
    <cellStyle name="Процентный 4 2 89 5" xfId="23542" xr:uid="{00000000-0005-0000-0000-00009F990000}"/>
    <cellStyle name="Процентный 4 2 89 6" xfId="28882" xr:uid="{00000000-0005-0000-0000-0000A0990000}"/>
    <cellStyle name="Процентный 4 2 89 7" xfId="34222" xr:uid="{00000000-0005-0000-0000-0000A1990000}"/>
    <cellStyle name="Процентный 4 2 89 8" xfId="39562" xr:uid="{00000000-0005-0000-0000-0000A2990000}"/>
    <cellStyle name="Процентный 4 2 89 9" xfId="44902" xr:uid="{00000000-0005-0000-0000-0000A3990000}"/>
    <cellStyle name="Процентный 4 2 9" xfId="167" xr:uid="{00000000-0005-0000-0000-0000A4990000}"/>
    <cellStyle name="Процентный 4 2 9 10" xfId="42889" xr:uid="{00000000-0005-0000-0000-0000A5990000}"/>
    <cellStyle name="Процентный 4 2 9 11" xfId="48229" xr:uid="{00000000-0005-0000-0000-0000A6990000}"/>
    <cellStyle name="Процентный 4 2 9 2" xfId="634" xr:uid="{00000000-0005-0000-0000-0000A7990000}"/>
    <cellStyle name="Процентный 4 2 9 2 10" xfId="48696" xr:uid="{00000000-0005-0000-0000-0000A8990000}"/>
    <cellStyle name="Процентный 4 2 9 2 2" xfId="5975" xr:uid="{00000000-0005-0000-0000-0000A9990000}"/>
    <cellStyle name="Процентный 4 2 9 2 2 2" xfId="54037" xr:uid="{00000000-0005-0000-0000-0000AA990000}"/>
    <cellStyle name="Процентный 4 2 9 2 3" xfId="11316" xr:uid="{00000000-0005-0000-0000-0000AB990000}"/>
    <cellStyle name="Процентный 4 2 9 2 4" xfId="16656" xr:uid="{00000000-0005-0000-0000-0000AC990000}"/>
    <cellStyle name="Процентный 4 2 9 2 5" xfId="21996" xr:uid="{00000000-0005-0000-0000-0000AD990000}"/>
    <cellStyle name="Процентный 4 2 9 2 6" xfId="27336" xr:uid="{00000000-0005-0000-0000-0000AE990000}"/>
    <cellStyle name="Процентный 4 2 9 2 7" xfId="32676" xr:uid="{00000000-0005-0000-0000-0000AF990000}"/>
    <cellStyle name="Процентный 4 2 9 2 8" xfId="38016" xr:uid="{00000000-0005-0000-0000-0000B0990000}"/>
    <cellStyle name="Процентный 4 2 9 2 9" xfId="43356" xr:uid="{00000000-0005-0000-0000-0000B1990000}"/>
    <cellStyle name="Процентный 4 2 9 3" xfId="5508" xr:uid="{00000000-0005-0000-0000-0000B2990000}"/>
    <cellStyle name="Процентный 4 2 9 3 2" xfId="53570" xr:uid="{00000000-0005-0000-0000-0000B3990000}"/>
    <cellStyle name="Процентный 4 2 9 4" xfId="10849" xr:uid="{00000000-0005-0000-0000-0000B4990000}"/>
    <cellStyle name="Процентный 4 2 9 5" xfId="16189" xr:uid="{00000000-0005-0000-0000-0000B5990000}"/>
    <cellStyle name="Процентный 4 2 9 6" xfId="21529" xr:uid="{00000000-0005-0000-0000-0000B6990000}"/>
    <cellStyle name="Процентный 4 2 9 7" xfId="26869" xr:uid="{00000000-0005-0000-0000-0000B7990000}"/>
    <cellStyle name="Процентный 4 2 9 8" xfId="32209" xr:uid="{00000000-0005-0000-0000-0000B8990000}"/>
    <cellStyle name="Процентный 4 2 9 9" xfId="37549" xr:uid="{00000000-0005-0000-0000-0000B9990000}"/>
    <cellStyle name="Процентный 4 2 90" xfId="2208" xr:uid="{00000000-0005-0000-0000-0000BA990000}"/>
    <cellStyle name="Процентный 4 2 90 10" xfId="50272" xr:uid="{00000000-0005-0000-0000-0000BB990000}"/>
    <cellStyle name="Процентный 4 2 90 2" xfId="7551" xr:uid="{00000000-0005-0000-0000-0000BC990000}"/>
    <cellStyle name="Процентный 4 2 90 2 2" xfId="55613" xr:uid="{00000000-0005-0000-0000-0000BD990000}"/>
    <cellStyle name="Процентный 4 2 90 3" xfId="12892" xr:uid="{00000000-0005-0000-0000-0000BE990000}"/>
    <cellStyle name="Процентный 4 2 90 4" xfId="18232" xr:uid="{00000000-0005-0000-0000-0000BF990000}"/>
    <cellStyle name="Процентный 4 2 90 5" xfId="23572" xr:uid="{00000000-0005-0000-0000-0000C0990000}"/>
    <cellStyle name="Процентный 4 2 90 6" xfId="28912" xr:uid="{00000000-0005-0000-0000-0000C1990000}"/>
    <cellStyle name="Процентный 4 2 90 7" xfId="34252" xr:uid="{00000000-0005-0000-0000-0000C2990000}"/>
    <cellStyle name="Процентный 4 2 90 8" xfId="39592" xr:uid="{00000000-0005-0000-0000-0000C3990000}"/>
    <cellStyle name="Процентный 4 2 90 9" xfId="44932" xr:uid="{00000000-0005-0000-0000-0000C4990000}"/>
    <cellStyle name="Процентный 4 2 91" xfId="2238" xr:uid="{00000000-0005-0000-0000-0000C5990000}"/>
    <cellStyle name="Процентный 4 2 91 10" xfId="50302" xr:uid="{00000000-0005-0000-0000-0000C6990000}"/>
    <cellStyle name="Процентный 4 2 91 2" xfId="7581" xr:uid="{00000000-0005-0000-0000-0000C7990000}"/>
    <cellStyle name="Процентный 4 2 91 2 2" xfId="55643" xr:uid="{00000000-0005-0000-0000-0000C8990000}"/>
    <cellStyle name="Процентный 4 2 91 3" xfId="12922" xr:uid="{00000000-0005-0000-0000-0000C9990000}"/>
    <cellStyle name="Процентный 4 2 91 4" xfId="18262" xr:uid="{00000000-0005-0000-0000-0000CA990000}"/>
    <cellStyle name="Процентный 4 2 91 5" xfId="23602" xr:uid="{00000000-0005-0000-0000-0000CB990000}"/>
    <cellStyle name="Процентный 4 2 91 6" xfId="28942" xr:uid="{00000000-0005-0000-0000-0000CC990000}"/>
    <cellStyle name="Процентный 4 2 91 7" xfId="34282" xr:uid="{00000000-0005-0000-0000-0000CD990000}"/>
    <cellStyle name="Процентный 4 2 91 8" xfId="39622" xr:uid="{00000000-0005-0000-0000-0000CE990000}"/>
    <cellStyle name="Процентный 4 2 91 9" xfId="44962" xr:uid="{00000000-0005-0000-0000-0000CF990000}"/>
    <cellStyle name="Процентный 4 2 92" xfId="2268" xr:uid="{00000000-0005-0000-0000-0000D0990000}"/>
    <cellStyle name="Процентный 4 2 92 10" xfId="50332" xr:uid="{00000000-0005-0000-0000-0000D1990000}"/>
    <cellStyle name="Процентный 4 2 92 2" xfId="7611" xr:uid="{00000000-0005-0000-0000-0000D2990000}"/>
    <cellStyle name="Процентный 4 2 92 2 2" xfId="55673" xr:uid="{00000000-0005-0000-0000-0000D3990000}"/>
    <cellStyle name="Процентный 4 2 92 3" xfId="12952" xr:uid="{00000000-0005-0000-0000-0000D4990000}"/>
    <cellStyle name="Процентный 4 2 92 4" xfId="18292" xr:uid="{00000000-0005-0000-0000-0000D5990000}"/>
    <cellStyle name="Процентный 4 2 92 5" xfId="23632" xr:uid="{00000000-0005-0000-0000-0000D6990000}"/>
    <cellStyle name="Процентный 4 2 92 6" xfId="28972" xr:uid="{00000000-0005-0000-0000-0000D7990000}"/>
    <cellStyle name="Процентный 4 2 92 7" xfId="34312" xr:uid="{00000000-0005-0000-0000-0000D8990000}"/>
    <cellStyle name="Процентный 4 2 92 8" xfId="39652" xr:uid="{00000000-0005-0000-0000-0000D9990000}"/>
    <cellStyle name="Процентный 4 2 92 9" xfId="44992" xr:uid="{00000000-0005-0000-0000-0000DA990000}"/>
    <cellStyle name="Процентный 4 2 93" xfId="2298" xr:uid="{00000000-0005-0000-0000-0000DB990000}"/>
    <cellStyle name="Процентный 4 2 93 10" xfId="50362" xr:uid="{00000000-0005-0000-0000-0000DC990000}"/>
    <cellStyle name="Процентный 4 2 93 2" xfId="7641" xr:uid="{00000000-0005-0000-0000-0000DD990000}"/>
    <cellStyle name="Процентный 4 2 93 2 2" xfId="55703" xr:uid="{00000000-0005-0000-0000-0000DE990000}"/>
    <cellStyle name="Процентный 4 2 93 3" xfId="12982" xr:uid="{00000000-0005-0000-0000-0000DF990000}"/>
    <cellStyle name="Процентный 4 2 93 4" xfId="18322" xr:uid="{00000000-0005-0000-0000-0000E0990000}"/>
    <cellStyle name="Процентный 4 2 93 5" xfId="23662" xr:uid="{00000000-0005-0000-0000-0000E1990000}"/>
    <cellStyle name="Процентный 4 2 93 6" xfId="29002" xr:uid="{00000000-0005-0000-0000-0000E2990000}"/>
    <cellStyle name="Процентный 4 2 93 7" xfId="34342" xr:uid="{00000000-0005-0000-0000-0000E3990000}"/>
    <cellStyle name="Процентный 4 2 93 8" xfId="39682" xr:uid="{00000000-0005-0000-0000-0000E4990000}"/>
    <cellStyle name="Процентный 4 2 93 9" xfId="45022" xr:uid="{00000000-0005-0000-0000-0000E5990000}"/>
    <cellStyle name="Процентный 4 2 94" xfId="2328" xr:uid="{00000000-0005-0000-0000-0000E6990000}"/>
    <cellStyle name="Процентный 4 2 94 10" xfId="50392" xr:uid="{00000000-0005-0000-0000-0000E7990000}"/>
    <cellStyle name="Процентный 4 2 94 2" xfId="7671" xr:uid="{00000000-0005-0000-0000-0000E8990000}"/>
    <cellStyle name="Процентный 4 2 94 2 2" xfId="55733" xr:uid="{00000000-0005-0000-0000-0000E9990000}"/>
    <cellStyle name="Процентный 4 2 94 3" xfId="13012" xr:uid="{00000000-0005-0000-0000-0000EA990000}"/>
    <cellStyle name="Процентный 4 2 94 4" xfId="18352" xr:uid="{00000000-0005-0000-0000-0000EB990000}"/>
    <cellStyle name="Процентный 4 2 94 5" xfId="23692" xr:uid="{00000000-0005-0000-0000-0000EC990000}"/>
    <cellStyle name="Процентный 4 2 94 6" xfId="29032" xr:uid="{00000000-0005-0000-0000-0000ED990000}"/>
    <cellStyle name="Процентный 4 2 94 7" xfId="34372" xr:uid="{00000000-0005-0000-0000-0000EE990000}"/>
    <cellStyle name="Процентный 4 2 94 8" xfId="39712" xr:uid="{00000000-0005-0000-0000-0000EF990000}"/>
    <cellStyle name="Процентный 4 2 94 9" xfId="45052" xr:uid="{00000000-0005-0000-0000-0000F0990000}"/>
    <cellStyle name="Процентный 4 2 95" xfId="2358" xr:uid="{00000000-0005-0000-0000-0000F1990000}"/>
    <cellStyle name="Процентный 4 2 95 10" xfId="50422" xr:uid="{00000000-0005-0000-0000-0000F2990000}"/>
    <cellStyle name="Процентный 4 2 95 2" xfId="7701" xr:uid="{00000000-0005-0000-0000-0000F3990000}"/>
    <cellStyle name="Процентный 4 2 95 2 2" xfId="55763" xr:uid="{00000000-0005-0000-0000-0000F4990000}"/>
    <cellStyle name="Процентный 4 2 95 3" xfId="13042" xr:uid="{00000000-0005-0000-0000-0000F5990000}"/>
    <cellStyle name="Процентный 4 2 95 4" xfId="18382" xr:uid="{00000000-0005-0000-0000-0000F6990000}"/>
    <cellStyle name="Процентный 4 2 95 5" xfId="23722" xr:uid="{00000000-0005-0000-0000-0000F7990000}"/>
    <cellStyle name="Процентный 4 2 95 6" xfId="29062" xr:uid="{00000000-0005-0000-0000-0000F8990000}"/>
    <cellStyle name="Процентный 4 2 95 7" xfId="34402" xr:uid="{00000000-0005-0000-0000-0000F9990000}"/>
    <cellStyle name="Процентный 4 2 95 8" xfId="39742" xr:uid="{00000000-0005-0000-0000-0000FA990000}"/>
    <cellStyle name="Процентный 4 2 95 9" xfId="45082" xr:uid="{00000000-0005-0000-0000-0000FB990000}"/>
    <cellStyle name="Процентный 4 2 96" xfId="2388" xr:uid="{00000000-0005-0000-0000-0000FC990000}"/>
    <cellStyle name="Процентный 4 2 96 10" xfId="50452" xr:uid="{00000000-0005-0000-0000-0000FD990000}"/>
    <cellStyle name="Процентный 4 2 96 2" xfId="7731" xr:uid="{00000000-0005-0000-0000-0000FE990000}"/>
    <cellStyle name="Процентный 4 2 96 2 2" xfId="55793" xr:uid="{00000000-0005-0000-0000-0000FF990000}"/>
    <cellStyle name="Процентный 4 2 96 3" xfId="13072" xr:uid="{00000000-0005-0000-0000-0000009A0000}"/>
    <cellStyle name="Процентный 4 2 96 4" xfId="18412" xr:uid="{00000000-0005-0000-0000-0000019A0000}"/>
    <cellStyle name="Процентный 4 2 96 5" xfId="23752" xr:uid="{00000000-0005-0000-0000-0000029A0000}"/>
    <cellStyle name="Процентный 4 2 96 6" xfId="29092" xr:uid="{00000000-0005-0000-0000-0000039A0000}"/>
    <cellStyle name="Процентный 4 2 96 7" xfId="34432" xr:uid="{00000000-0005-0000-0000-0000049A0000}"/>
    <cellStyle name="Процентный 4 2 96 8" xfId="39772" xr:uid="{00000000-0005-0000-0000-0000059A0000}"/>
    <cellStyle name="Процентный 4 2 96 9" xfId="45112" xr:uid="{00000000-0005-0000-0000-0000069A0000}"/>
    <cellStyle name="Процентный 4 2 97" xfId="2418" xr:uid="{00000000-0005-0000-0000-0000079A0000}"/>
    <cellStyle name="Процентный 4 2 97 10" xfId="50482" xr:uid="{00000000-0005-0000-0000-0000089A0000}"/>
    <cellStyle name="Процентный 4 2 97 2" xfId="7761" xr:uid="{00000000-0005-0000-0000-0000099A0000}"/>
    <cellStyle name="Процентный 4 2 97 2 2" xfId="55823" xr:uid="{00000000-0005-0000-0000-00000A9A0000}"/>
    <cellStyle name="Процентный 4 2 97 3" xfId="13102" xr:uid="{00000000-0005-0000-0000-00000B9A0000}"/>
    <cellStyle name="Процентный 4 2 97 4" xfId="18442" xr:uid="{00000000-0005-0000-0000-00000C9A0000}"/>
    <cellStyle name="Процентный 4 2 97 5" xfId="23782" xr:uid="{00000000-0005-0000-0000-00000D9A0000}"/>
    <cellStyle name="Процентный 4 2 97 6" xfId="29122" xr:uid="{00000000-0005-0000-0000-00000E9A0000}"/>
    <cellStyle name="Процентный 4 2 97 7" xfId="34462" xr:uid="{00000000-0005-0000-0000-00000F9A0000}"/>
    <cellStyle name="Процентный 4 2 97 8" xfId="39802" xr:uid="{00000000-0005-0000-0000-0000109A0000}"/>
    <cellStyle name="Процентный 4 2 97 9" xfId="45142" xr:uid="{00000000-0005-0000-0000-0000119A0000}"/>
    <cellStyle name="Процентный 4 2 98" xfId="2448" xr:uid="{00000000-0005-0000-0000-0000129A0000}"/>
    <cellStyle name="Процентный 4 2 98 10" xfId="50512" xr:uid="{00000000-0005-0000-0000-0000139A0000}"/>
    <cellStyle name="Процентный 4 2 98 2" xfId="7791" xr:uid="{00000000-0005-0000-0000-0000149A0000}"/>
    <cellStyle name="Процентный 4 2 98 2 2" xfId="55853" xr:uid="{00000000-0005-0000-0000-0000159A0000}"/>
    <cellStyle name="Процентный 4 2 98 3" xfId="13132" xr:uid="{00000000-0005-0000-0000-0000169A0000}"/>
    <cellStyle name="Процентный 4 2 98 4" xfId="18472" xr:uid="{00000000-0005-0000-0000-0000179A0000}"/>
    <cellStyle name="Процентный 4 2 98 5" xfId="23812" xr:uid="{00000000-0005-0000-0000-0000189A0000}"/>
    <cellStyle name="Процентный 4 2 98 6" xfId="29152" xr:uid="{00000000-0005-0000-0000-0000199A0000}"/>
    <cellStyle name="Процентный 4 2 98 7" xfId="34492" xr:uid="{00000000-0005-0000-0000-00001A9A0000}"/>
    <cellStyle name="Процентный 4 2 98 8" xfId="39832" xr:uid="{00000000-0005-0000-0000-00001B9A0000}"/>
    <cellStyle name="Процентный 4 2 98 9" xfId="45172" xr:uid="{00000000-0005-0000-0000-00001C9A0000}"/>
    <cellStyle name="Процентный 4 2 99" xfId="2478" xr:uid="{00000000-0005-0000-0000-00001D9A0000}"/>
    <cellStyle name="Процентный 4 2 99 10" xfId="50542" xr:uid="{00000000-0005-0000-0000-00001E9A0000}"/>
    <cellStyle name="Процентный 4 2 99 2" xfId="7821" xr:uid="{00000000-0005-0000-0000-00001F9A0000}"/>
    <cellStyle name="Процентный 4 2 99 2 2" xfId="55883" xr:uid="{00000000-0005-0000-0000-0000209A0000}"/>
    <cellStyle name="Процентный 4 2 99 3" xfId="13162" xr:uid="{00000000-0005-0000-0000-0000219A0000}"/>
    <cellStyle name="Процентный 4 2 99 4" xfId="18502" xr:uid="{00000000-0005-0000-0000-0000229A0000}"/>
    <cellStyle name="Процентный 4 2 99 5" xfId="23842" xr:uid="{00000000-0005-0000-0000-0000239A0000}"/>
    <cellStyle name="Процентный 4 2 99 6" xfId="29182" xr:uid="{00000000-0005-0000-0000-0000249A0000}"/>
    <cellStyle name="Процентный 4 2 99 7" xfId="34522" xr:uid="{00000000-0005-0000-0000-0000259A0000}"/>
    <cellStyle name="Процентный 4 2 99 8" xfId="39862" xr:uid="{00000000-0005-0000-0000-0000269A0000}"/>
    <cellStyle name="Процентный 4 2 99 9" xfId="45202" xr:uid="{00000000-0005-0000-0000-0000279A0000}"/>
    <cellStyle name="Процентный 4 20" xfId="143" xr:uid="{00000000-0005-0000-0000-0000289A0000}"/>
    <cellStyle name="Процентный 4 20 10" xfId="42865" xr:uid="{00000000-0005-0000-0000-0000299A0000}"/>
    <cellStyle name="Процентный 4 20 11" xfId="48205" xr:uid="{00000000-0005-0000-0000-00002A9A0000}"/>
    <cellStyle name="Процентный 4 20 2" xfId="610" xr:uid="{00000000-0005-0000-0000-00002B9A0000}"/>
    <cellStyle name="Процентный 4 20 2 10" xfId="48672" xr:uid="{00000000-0005-0000-0000-00002C9A0000}"/>
    <cellStyle name="Процентный 4 20 2 2" xfId="5951" xr:uid="{00000000-0005-0000-0000-00002D9A0000}"/>
    <cellStyle name="Процентный 4 20 2 2 2" xfId="54013" xr:uid="{00000000-0005-0000-0000-00002E9A0000}"/>
    <cellStyle name="Процентный 4 20 2 3" xfId="11292" xr:uid="{00000000-0005-0000-0000-00002F9A0000}"/>
    <cellStyle name="Процентный 4 20 2 4" xfId="16632" xr:uid="{00000000-0005-0000-0000-0000309A0000}"/>
    <cellStyle name="Процентный 4 20 2 5" xfId="21972" xr:uid="{00000000-0005-0000-0000-0000319A0000}"/>
    <cellStyle name="Процентный 4 20 2 6" xfId="27312" xr:uid="{00000000-0005-0000-0000-0000329A0000}"/>
    <cellStyle name="Процентный 4 20 2 7" xfId="32652" xr:uid="{00000000-0005-0000-0000-0000339A0000}"/>
    <cellStyle name="Процентный 4 20 2 8" xfId="37992" xr:uid="{00000000-0005-0000-0000-0000349A0000}"/>
    <cellStyle name="Процентный 4 20 2 9" xfId="43332" xr:uid="{00000000-0005-0000-0000-0000359A0000}"/>
    <cellStyle name="Процентный 4 20 3" xfId="5484" xr:uid="{00000000-0005-0000-0000-0000369A0000}"/>
    <cellStyle name="Процентный 4 20 3 2" xfId="53546" xr:uid="{00000000-0005-0000-0000-0000379A0000}"/>
    <cellStyle name="Процентный 4 20 4" xfId="10825" xr:uid="{00000000-0005-0000-0000-0000389A0000}"/>
    <cellStyle name="Процентный 4 20 5" xfId="16165" xr:uid="{00000000-0005-0000-0000-0000399A0000}"/>
    <cellStyle name="Процентный 4 20 6" xfId="21505" xr:uid="{00000000-0005-0000-0000-00003A9A0000}"/>
    <cellStyle name="Процентный 4 20 7" xfId="26845" xr:uid="{00000000-0005-0000-0000-00003B9A0000}"/>
    <cellStyle name="Процентный 4 20 8" xfId="32185" xr:uid="{00000000-0005-0000-0000-00003C9A0000}"/>
    <cellStyle name="Процентный 4 20 9" xfId="37525" xr:uid="{00000000-0005-0000-0000-00003D9A0000}"/>
    <cellStyle name="Процентный 4 200" xfId="5297" xr:uid="{00000000-0005-0000-0000-00003E9A0000}"/>
    <cellStyle name="Процентный 4 200 10" xfId="53360" xr:uid="{00000000-0005-0000-0000-00003F9A0000}"/>
    <cellStyle name="Процентный 4 200 2" xfId="10640" xr:uid="{00000000-0005-0000-0000-0000409A0000}"/>
    <cellStyle name="Процентный 4 200 2 2" xfId="58701" xr:uid="{00000000-0005-0000-0000-0000419A0000}"/>
    <cellStyle name="Процентный 4 200 3" xfId="15980" xr:uid="{00000000-0005-0000-0000-0000429A0000}"/>
    <cellStyle name="Процентный 4 200 4" xfId="21320" xr:uid="{00000000-0005-0000-0000-0000439A0000}"/>
    <cellStyle name="Процентный 4 200 5" xfId="26660" xr:uid="{00000000-0005-0000-0000-0000449A0000}"/>
    <cellStyle name="Процентный 4 200 6" xfId="32000" xr:uid="{00000000-0005-0000-0000-0000459A0000}"/>
    <cellStyle name="Процентный 4 200 7" xfId="37340" xr:uid="{00000000-0005-0000-0000-0000469A0000}"/>
    <cellStyle name="Процентный 4 200 8" xfId="42680" xr:uid="{00000000-0005-0000-0000-0000479A0000}"/>
    <cellStyle name="Процентный 4 200 9" xfId="48020" xr:uid="{00000000-0005-0000-0000-0000489A0000}"/>
    <cellStyle name="Процентный 4 201" xfId="5329" xr:uid="{00000000-0005-0000-0000-0000499A0000}"/>
    <cellStyle name="Процентный 4 201 10" xfId="53392" xr:uid="{00000000-0005-0000-0000-00004A9A0000}"/>
    <cellStyle name="Процентный 4 201 2" xfId="10672" xr:uid="{00000000-0005-0000-0000-00004B9A0000}"/>
    <cellStyle name="Процентный 4 201 2 2" xfId="58733" xr:uid="{00000000-0005-0000-0000-00004C9A0000}"/>
    <cellStyle name="Процентный 4 201 3" xfId="16012" xr:uid="{00000000-0005-0000-0000-00004D9A0000}"/>
    <cellStyle name="Процентный 4 201 4" xfId="21352" xr:uid="{00000000-0005-0000-0000-00004E9A0000}"/>
    <cellStyle name="Процентный 4 201 5" xfId="26692" xr:uid="{00000000-0005-0000-0000-00004F9A0000}"/>
    <cellStyle name="Процентный 4 201 6" xfId="32032" xr:uid="{00000000-0005-0000-0000-0000509A0000}"/>
    <cellStyle name="Процентный 4 201 7" xfId="37372" xr:uid="{00000000-0005-0000-0000-0000519A0000}"/>
    <cellStyle name="Процентный 4 201 8" xfId="42712" xr:uid="{00000000-0005-0000-0000-0000529A0000}"/>
    <cellStyle name="Процентный 4 201 9" xfId="48052" xr:uid="{00000000-0005-0000-0000-0000539A0000}"/>
    <cellStyle name="Процентный 4 202" xfId="5361" xr:uid="{00000000-0005-0000-0000-0000549A0000}"/>
    <cellStyle name="Процентный 4 202 10" xfId="53424" xr:uid="{00000000-0005-0000-0000-0000559A0000}"/>
    <cellStyle name="Процентный 4 202 2" xfId="10704" xr:uid="{00000000-0005-0000-0000-0000569A0000}"/>
    <cellStyle name="Процентный 4 202 2 2" xfId="58765" xr:uid="{00000000-0005-0000-0000-0000579A0000}"/>
    <cellStyle name="Процентный 4 202 3" xfId="16044" xr:uid="{00000000-0005-0000-0000-0000589A0000}"/>
    <cellStyle name="Процентный 4 202 4" xfId="21384" xr:uid="{00000000-0005-0000-0000-0000599A0000}"/>
    <cellStyle name="Процентный 4 202 5" xfId="26724" xr:uid="{00000000-0005-0000-0000-00005A9A0000}"/>
    <cellStyle name="Процентный 4 202 6" xfId="32064" xr:uid="{00000000-0005-0000-0000-00005B9A0000}"/>
    <cellStyle name="Процентный 4 202 7" xfId="37404" xr:uid="{00000000-0005-0000-0000-00005C9A0000}"/>
    <cellStyle name="Процентный 4 202 8" xfId="42744" xr:uid="{00000000-0005-0000-0000-00005D9A0000}"/>
    <cellStyle name="Процентный 4 202 9" xfId="48084" xr:uid="{00000000-0005-0000-0000-00005E9A0000}"/>
    <cellStyle name="Процентный 4 203" xfId="5395" xr:uid="{00000000-0005-0000-0000-00005F9A0000}"/>
    <cellStyle name="Процентный 4 203 2" xfId="53458" xr:uid="{00000000-0005-0000-0000-0000609A0000}"/>
    <cellStyle name="Процентный 4 204" xfId="10737" xr:uid="{00000000-0005-0000-0000-0000619A0000}"/>
    <cellStyle name="Процентный 4 205" xfId="16077" xr:uid="{00000000-0005-0000-0000-0000629A0000}"/>
    <cellStyle name="Процентный 4 206" xfId="21417" xr:uid="{00000000-0005-0000-0000-0000639A0000}"/>
    <cellStyle name="Процентный 4 207" xfId="26757" xr:uid="{00000000-0005-0000-0000-0000649A0000}"/>
    <cellStyle name="Процентный 4 208" xfId="32097" xr:uid="{00000000-0005-0000-0000-0000659A0000}"/>
    <cellStyle name="Процентный 4 209" xfId="37437" xr:uid="{00000000-0005-0000-0000-0000669A0000}"/>
    <cellStyle name="Процентный 4 21" xfId="153" xr:uid="{00000000-0005-0000-0000-0000679A0000}"/>
    <cellStyle name="Процентный 4 21 10" xfId="42875" xr:uid="{00000000-0005-0000-0000-0000689A0000}"/>
    <cellStyle name="Процентный 4 21 11" xfId="48215" xr:uid="{00000000-0005-0000-0000-0000699A0000}"/>
    <cellStyle name="Процентный 4 21 2" xfId="620" xr:uid="{00000000-0005-0000-0000-00006A9A0000}"/>
    <cellStyle name="Процентный 4 21 2 10" xfId="48682" xr:uid="{00000000-0005-0000-0000-00006B9A0000}"/>
    <cellStyle name="Процентный 4 21 2 2" xfId="5961" xr:uid="{00000000-0005-0000-0000-00006C9A0000}"/>
    <cellStyle name="Процентный 4 21 2 2 2" xfId="54023" xr:uid="{00000000-0005-0000-0000-00006D9A0000}"/>
    <cellStyle name="Процентный 4 21 2 3" xfId="11302" xr:uid="{00000000-0005-0000-0000-00006E9A0000}"/>
    <cellStyle name="Процентный 4 21 2 4" xfId="16642" xr:uid="{00000000-0005-0000-0000-00006F9A0000}"/>
    <cellStyle name="Процентный 4 21 2 5" xfId="21982" xr:uid="{00000000-0005-0000-0000-0000709A0000}"/>
    <cellStyle name="Процентный 4 21 2 6" xfId="27322" xr:uid="{00000000-0005-0000-0000-0000719A0000}"/>
    <cellStyle name="Процентный 4 21 2 7" xfId="32662" xr:uid="{00000000-0005-0000-0000-0000729A0000}"/>
    <cellStyle name="Процентный 4 21 2 8" xfId="38002" xr:uid="{00000000-0005-0000-0000-0000739A0000}"/>
    <cellStyle name="Процентный 4 21 2 9" xfId="43342" xr:uid="{00000000-0005-0000-0000-0000749A0000}"/>
    <cellStyle name="Процентный 4 21 3" xfId="5494" xr:uid="{00000000-0005-0000-0000-0000759A0000}"/>
    <cellStyle name="Процентный 4 21 3 2" xfId="53556" xr:uid="{00000000-0005-0000-0000-0000769A0000}"/>
    <cellStyle name="Процентный 4 21 4" xfId="10835" xr:uid="{00000000-0005-0000-0000-0000779A0000}"/>
    <cellStyle name="Процентный 4 21 5" xfId="16175" xr:uid="{00000000-0005-0000-0000-0000789A0000}"/>
    <cellStyle name="Процентный 4 21 6" xfId="21515" xr:uid="{00000000-0005-0000-0000-0000799A0000}"/>
    <cellStyle name="Процентный 4 21 7" xfId="26855" xr:uid="{00000000-0005-0000-0000-00007A9A0000}"/>
    <cellStyle name="Процентный 4 21 8" xfId="32195" xr:uid="{00000000-0005-0000-0000-00007B9A0000}"/>
    <cellStyle name="Процентный 4 21 9" xfId="37535" xr:uid="{00000000-0005-0000-0000-00007C9A0000}"/>
    <cellStyle name="Процентный 4 210" xfId="42777" xr:uid="{00000000-0005-0000-0000-00007D9A0000}"/>
    <cellStyle name="Процентный 4 211" xfId="48117" xr:uid="{00000000-0005-0000-0000-00007E9A0000}"/>
    <cellStyle name="Процентный 4 22" xfId="163" xr:uid="{00000000-0005-0000-0000-00007F9A0000}"/>
    <cellStyle name="Процентный 4 22 10" xfId="42885" xr:uid="{00000000-0005-0000-0000-0000809A0000}"/>
    <cellStyle name="Процентный 4 22 11" xfId="48225" xr:uid="{00000000-0005-0000-0000-0000819A0000}"/>
    <cellStyle name="Процентный 4 22 2" xfId="630" xr:uid="{00000000-0005-0000-0000-0000829A0000}"/>
    <cellStyle name="Процентный 4 22 2 10" xfId="48692" xr:uid="{00000000-0005-0000-0000-0000839A0000}"/>
    <cellStyle name="Процентный 4 22 2 2" xfId="5971" xr:uid="{00000000-0005-0000-0000-0000849A0000}"/>
    <cellStyle name="Процентный 4 22 2 2 2" xfId="54033" xr:uid="{00000000-0005-0000-0000-0000859A0000}"/>
    <cellStyle name="Процентный 4 22 2 3" xfId="11312" xr:uid="{00000000-0005-0000-0000-0000869A0000}"/>
    <cellStyle name="Процентный 4 22 2 4" xfId="16652" xr:uid="{00000000-0005-0000-0000-0000879A0000}"/>
    <cellStyle name="Процентный 4 22 2 5" xfId="21992" xr:uid="{00000000-0005-0000-0000-0000889A0000}"/>
    <cellStyle name="Процентный 4 22 2 6" xfId="27332" xr:uid="{00000000-0005-0000-0000-0000899A0000}"/>
    <cellStyle name="Процентный 4 22 2 7" xfId="32672" xr:uid="{00000000-0005-0000-0000-00008A9A0000}"/>
    <cellStyle name="Процентный 4 22 2 8" xfId="38012" xr:uid="{00000000-0005-0000-0000-00008B9A0000}"/>
    <cellStyle name="Процентный 4 22 2 9" xfId="43352" xr:uid="{00000000-0005-0000-0000-00008C9A0000}"/>
    <cellStyle name="Процентный 4 22 3" xfId="5504" xr:uid="{00000000-0005-0000-0000-00008D9A0000}"/>
    <cellStyle name="Процентный 4 22 3 2" xfId="53566" xr:uid="{00000000-0005-0000-0000-00008E9A0000}"/>
    <cellStyle name="Процентный 4 22 4" xfId="10845" xr:uid="{00000000-0005-0000-0000-00008F9A0000}"/>
    <cellStyle name="Процентный 4 22 5" xfId="16185" xr:uid="{00000000-0005-0000-0000-0000909A0000}"/>
    <cellStyle name="Процентный 4 22 6" xfId="21525" xr:uid="{00000000-0005-0000-0000-0000919A0000}"/>
    <cellStyle name="Процентный 4 22 7" xfId="26865" xr:uid="{00000000-0005-0000-0000-0000929A0000}"/>
    <cellStyle name="Процентный 4 22 8" xfId="32205" xr:uid="{00000000-0005-0000-0000-0000939A0000}"/>
    <cellStyle name="Процентный 4 22 9" xfId="37545" xr:uid="{00000000-0005-0000-0000-0000949A0000}"/>
    <cellStyle name="Процентный 4 23" xfId="173" xr:uid="{00000000-0005-0000-0000-0000959A0000}"/>
    <cellStyle name="Процентный 4 23 10" xfId="42895" xr:uid="{00000000-0005-0000-0000-0000969A0000}"/>
    <cellStyle name="Процентный 4 23 11" xfId="48235" xr:uid="{00000000-0005-0000-0000-0000979A0000}"/>
    <cellStyle name="Процентный 4 23 2" xfId="640" xr:uid="{00000000-0005-0000-0000-0000989A0000}"/>
    <cellStyle name="Процентный 4 23 2 10" xfId="48702" xr:uid="{00000000-0005-0000-0000-0000999A0000}"/>
    <cellStyle name="Процентный 4 23 2 2" xfId="5981" xr:uid="{00000000-0005-0000-0000-00009A9A0000}"/>
    <cellStyle name="Процентный 4 23 2 2 2" xfId="54043" xr:uid="{00000000-0005-0000-0000-00009B9A0000}"/>
    <cellStyle name="Процентный 4 23 2 3" xfId="11322" xr:uid="{00000000-0005-0000-0000-00009C9A0000}"/>
    <cellStyle name="Процентный 4 23 2 4" xfId="16662" xr:uid="{00000000-0005-0000-0000-00009D9A0000}"/>
    <cellStyle name="Процентный 4 23 2 5" xfId="22002" xr:uid="{00000000-0005-0000-0000-00009E9A0000}"/>
    <cellStyle name="Процентный 4 23 2 6" xfId="27342" xr:uid="{00000000-0005-0000-0000-00009F9A0000}"/>
    <cellStyle name="Процентный 4 23 2 7" xfId="32682" xr:uid="{00000000-0005-0000-0000-0000A09A0000}"/>
    <cellStyle name="Процентный 4 23 2 8" xfId="38022" xr:uid="{00000000-0005-0000-0000-0000A19A0000}"/>
    <cellStyle name="Процентный 4 23 2 9" xfId="43362" xr:uid="{00000000-0005-0000-0000-0000A29A0000}"/>
    <cellStyle name="Процентный 4 23 3" xfId="5514" xr:uid="{00000000-0005-0000-0000-0000A39A0000}"/>
    <cellStyle name="Процентный 4 23 3 2" xfId="53576" xr:uid="{00000000-0005-0000-0000-0000A49A0000}"/>
    <cellStyle name="Процентный 4 23 4" xfId="10855" xr:uid="{00000000-0005-0000-0000-0000A59A0000}"/>
    <cellStyle name="Процентный 4 23 5" xfId="16195" xr:uid="{00000000-0005-0000-0000-0000A69A0000}"/>
    <cellStyle name="Процентный 4 23 6" xfId="21535" xr:uid="{00000000-0005-0000-0000-0000A79A0000}"/>
    <cellStyle name="Процентный 4 23 7" xfId="26875" xr:uid="{00000000-0005-0000-0000-0000A89A0000}"/>
    <cellStyle name="Процентный 4 23 8" xfId="32215" xr:uid="{00000000-0005-0000-0000-0000A99A0000}"/>
    <cellStyle name="Процентный 4 23 9" xfId="37555" xr:uid="{00000000-0005-0000-0000-0000AA9A0000}"/>
    <cellStyle name="Процентный 4 24" xfId="183" xr:uid="{00000000-0005-0000-0000-0000AB9A0000}"/>
    <cellStyle name="Процентный 4 24 10" xfId="42905" xr:uid="{00000000-0005-0000-0000-0000AC9A0000}"/>
    <cellStyle name="Процентный 4 24 11" xfId="48245" xr:uid="{00000000-0005-0000-0000-0000AD9A0000}"/>
    <cellStyle name="Процентный 4 24 2" xfId="650" xr:uid="{00000000-0005-0000-0000-0000AE9A0000}"/>
    <cellStyle name="Процентный 4 24 2 10" xfId="48712" xr:uid="{00000000-0005-0000-0000-0000AF9A0000}"/>
    <cellStyle name="Процентный 4 24 2 2" xfId="5991" xr:uid="{00000000-0005-0000-0000-0000B09A0000}"/>
    <cellStyle name="Процентный 4 24 2 2 2" xfId="54053" xr:uid="{00000000-0005-0000-0000-0000B19A0000}"/>
    <cellStyle name="Процентный 4 24 2 3" xfId="11332" xr:uid="{00000000-0005-0000-0000-0000B29A0000}"/>
    <cellStyle name="Процентный 4 24 2 4" xfId="16672" xr:uid="{00000000-0005-0000-0000-0000B39A0000}"/>
    <cellStyle name="Процентный 4 24 2 5" xfId="22012" xr:uid="{00000000-0005-0000-0000-0000B49A0000}"/>
    <cellStyle name="Процентный 4 24 2 6" xfId="27352" xr:uid="{00000000-0005-0000-0000-0000B59A0000}"/>
    <cellStyle name="Процентный 4 24 2 7" xfId="32692" xr:uid="{00000000-0005-0000-0000-0000B69A0000}"/>
    <cellStyle name="Процентный 4 24 2 8" xfId="38032" xr:uid="{00000000-0005-0000-0000-0000B79A0000}"/>
    <cellStyle name="Процентный 4 24 2 9" xfId="43372" xr:uid="{00000000-0005-0000-0000-0000B89A0000}"/>
    <cellStyle name="Процентный 4 24 3" xfId="5524" xr:uid="{00000000-0005-0000-0000-0000B99A0000}"/>
    <cellStyle name="Процентный 4 24 3 2" xfId="53586" xr:uid="{00000000-0005-0000-0000-0000BA9A0000}"/>
    <cellStyle name="Процентный 4 24 4" xfId="10865" xr:uid="{00000000-0005-0000-0000-0000BB9A0000}"/>
    <cellStyle name="Процентный 4 24 5" xfId="16205" xr:uid="{00000000-0005-0000-0000-0000BC9A0000}"/>
    <cellStyle name="Процентный 4 24 6" xfId="21545" xr:uid="{00000000-0005-0000-0000-0000BD9A0000}"/>
    <cellStyle name="Процентный 4 24 7" xfId="26885" xr:uid="{00000000-0005-0000-0000-0000BE9A0000}"/>
    <cellStyle name="Процентный 4 24 8" xfId="32225" xr:uid="{00000000-0005-0000-0000-0000BF9A0000}"/>
    <cellStyle name="Процентный 4 24 9" xfId="37565" xr:uid="{00000000-0005-0000-0000-0000C09A0000}"/>
    <cellStyle name="Процентный 4 25" xfId="193" xr:uid="{00000000-0005-0000-0000-0000C19A0000}"/>
    <cellStyle name="Процентный 4 25 10" xfId="42915" xr:uid="{00000000-0005-0000-0000-0000C29A0000}"/>
    <cellStyle name="Процентный 4 25 11" xfId="48255" xr:uid="{00000000-0005-0000-0000-0000C39A0000}"/>
    <cellStyle name="Процентный 4 25 2" xfId="660" xr:uid="{00000000-0005-0000-0000-0000C49A0000}"/>
    <cellStyle name="Процентный 4 25 2 10" xfId="48722" xr:uid="{00000000-0005-0000-0000-0000C59A0000}"/>
    <cellStyle name="Процентный 4 25 2 2" xfId="6001" xr:uid="{00000000-0005-0000-0000-0000C69A0000}"/>
    <cellStyle name="Процентный 4 25 2 2 2" xfId="54063" xr:uid="{00000000-0005-0000-0000-0000C79A0000}"/>
    <cellStyle name="Процентный 4 25 2 3" xfId="11342" xr:uid="{00000000-0005-0000-0000-0000C89A0000}"/>
    <cellStyle name="Процентный 4 25 2 4" xfId="16682" xr:uid="{00000000-0005-0000-0000-0000C99A0000}"/>
    <cellStyle name="Процентный 4 25 2 5" xfId="22022" xr:uid="{00000000-0005-0000-0000-0000CA9A0000}"/>
    <cellStyle name="Процентный 4 25 2 6" xfId="27362" xr:uid="{00000000-0005-0000-0000-0000CB9A0000}"/>
    <cellStyle name="Процентный 4 25 2 7" xfId="32702" xr:uid="{00000000-0005-0000-0000-0000CC9A0000}"/>
    <cellStyle name="Процентный 4 25 2 8" xfId="38042" xr:uid="{00000000-0005-0000-0000-0000CD9A0000}"/>
    <cellStyle name="Процентный 4 25 2 9" xfId="43382" xr:uid="{00000000-0005-0000-0000-0000CE9A0000}"/>
    <cellStyle name="Процентный 4 25 3" xfId="5534" xr:uid="{00000000-0005-0000-0000-0000CF9A0000}"/>
    <cellStyle name="Процентный 4 25 3 2" xfId="53596" xr:uid="{00000000-0005-0000-0000-0000D09A0000}"/>
    <cellStyle name="Процентный 4 25 4" xfId="10875" xr:uid="{00000000-0005-0000-0000-0000D19A0000}"/>
    <cellStyle name="Процентный 4 25 5" xfId="16215" xr:uid="{00000000-0005-0000-0000-0000D29A0000}"/>
    <cellStyle name="Процентный 4 25 6" xfId="21555" xr:uid="{00000000-0005-0000-0000-0000D39A0000}"/>
    <cellStyle name="Процентный 4 25 7" xfId="26895" xr:uid="{00000000-0005-0000-0000-0000D49A0000}"/>
    <cellStyle name="Процентный 4 25 8" xfId="32235" xr:uid="{00000000-0005-0000-0000-0000D59A0000}"/>
    <cellStyle name="Процентный 4 25 9" xfId="37575" xr:uid="{00000000-0005-0000-0000-0000D69A0000}"/>
    <cellStyle name="Процентный 4 26" xfId="203" xr:uid="{00000000-0005-0000-0000-0000D79A0000}"/>
    <cellStyle name="Процентный 4 26 10" xfId="42925" xr:uid="{00000000-0005-0000-0000-0000D89A0000}"/>
    <cellStyle name="Процентный 4 26 11" xfId="48265" xr:uid="{00000000-0005-0000-0000-0000D99A0000}"/>
    <cellStyle name="Процентный 4 26 2" xfId="670" xr:uid="{00000000-0005-0000-0000-0000DA9A0000}"/>
    <cellStyle name="Процентный 4 26 2 10" xfId="48732" xr:uid="{00000000-0005-0000-0000-0000DB9A0000}"/>
    <cellStyle name="Процентный 4 26 2 2" xfId="6011" xr:uid="{00000000-0005-0000-0000-0000DC9A0000}"/>
    <cellStyle name="Процентный 4 26 2 2 2" xfId="54073" xr:uid="{00000000-0005-0000-0000-0000DD9A0000}"/>
    <cellStyle name="Процентный 4 26 2 3" xfId="11352" xr:uid="{00000000-0005-0000-0000-0000DE9A0000}"/>
    <cellStyle name="Процентный 4 26 2 4" xfId="16692" xr:uid="{00000000-0005-0000-0000-0000DF9A0000}"/>
    <cellStyle name="Процентный 4 26 2 5" xfId="22032" xr:uid="{00000000-0005-0000-0000-0000E09A0000}"/>
    <cellStyle name="Процентный 4 26 2 6" xfId="27372" xr:uid="{00000000-0005-0000-0000-0000E19A0000}"/>
    <cellStyle name="Процентный 4 26 2 7" xfId="32712" xr:uid="{00000000-0005-0000-0000-0000E29A0000}"/>
    <cellStyle name="Процентный 4 26 2 8" xfId="38052" xr:uid="{00000000-0005-0000-0000-0000E39A0000}"/>
    <cellStyle name="Процентный 4 26 2 9" xfId="43392" xr:uid="{00000000-0005-0000-0000-0000E49A0000}"/>
    <cellStyle name="Процентный 4 26 3" xfId="5544" xr:uid="{00000000-0005-0000-0000-0000E59A0000}"/>
    <cellStyle name="Процентный 4 26 3 2" xfId="53606" xr:uid="{00000000-0005-0000-0000-0000E69A0000}"/>
    <cellStyle name="Процентный 4 26 4" xfId="10885" xr:uid="{00000000-0005-0000-0000-0000E79A0000}"/>
    <cellStyle name="Процентный 4 26 5" xfId="16225" xr:uid="{00000000-0005-0000-0000-0000E89A0000}"/>
    <cellStyle name="Процентный 4 26 6" xfId="21565" xr:uid="{00000000-0005-0000-0000-0000E99A0000}"/>
    <cellStyle name="Процентный 4 26 7" xfId="26905" xr:uid="{00000000-0005-0000-0000-0000EA9A0000}"/>
    <cellStyle name="Процентный 4 26 8" xfId="32245" xr:uid="{00000000-0005-0000-0000-0000EB9A0000}"/>
    <cellStyle name="Процентный 4 26 9" xfId="37585" xr:uid="{00000000-0005-0000-0000-0000EC9A0000}"/>
    <cellStyle name="Процентный 4 27" xfId="213" xr:uid="{00000000-0005-0000-0000-0000ED9A0000}"/>
    <cellStyle name="Процентный 4 27 10" xfId="42935" xr:uid="{00000000-0005-0000-0000-0000EE9A0000}"/>
    <cellStyle name="Процентный 4 27 11" xfId="48275" xr:uid="{00000000-0005-0000-0000-0000EF9A0000}"/>
    <cellStyle name="Процентный 4 27 2" xfId="680" xr:uid="{00000000-0005-0000-0000-0000F09A0000}"/>
    <cellStyle name="Процентный 4 27 2 10" xfId="48742" xr:uid="{00000000-0005-0000-0000-0000F19A0000}"/>
    <cellStyle name="Процентный 4 27 2 2" xfId="6021" xr:uid="{00000000-0005-0000-0000-0000F29A0000}"/>
    <cellStyle name="Процентный 4 27 2 2 2" xfId="54083" xr:uid="{00000000-0005-0000-0000-0000F39A0000}"/>
    <cellStyle name="Процентный 4 27 2 3" xfId="11362" xr:uid="{00000000-0005-0000-0000-0000F49A0000}"/>
    <cellStyle name="Процентный 4 27 2 4" xfId="16702" xr:uid="{00000000-0005-0000-0000-0000F59A0000}"/>
    <cellStyle name="Процентный 4 27 2 5" xfId="22042" xr:uid="{00000000-0005-0000-0000-0000F69A0000}"/>
    <cellStyle name="Процентный 4 27 2 6" xfId="27382" xr:uid="{00000000-0005-0000-0000-0000F79A0000}"/>
    <cellStyle name="Процентный 4 27 2 7" xfId="32722" xr:uid="{00000000-0005-0000-0000-0000F89A0000}"/>
    <cellStyle name="Процентный 4 27 2 8" xfId="38062" xr:uid="{00000000-0005-0000-0000-0000F99A0000}"/>
    <cellStyle name="Процентный 4 27 2 9" xfId="43402" xr:uid="{00000000-0005-0000-0000-0000FA9A0000}"/>
    <cellStyle name="Процентный 4 27 3" xfId="5554" xr:uid="{00000000-0005-0000-0000-0000FB9A0000}"/>
    <cellStyle name="Процентный 4 27 3 2" xfId="53616" xr:uid="{00000000-0005-0000-0000-0000FC9A0000}"/>
    <cellStyle name="Процентный 4 27 4" xfId="10895" xr:uid="{00000000-0005-0000-0000-0000FD9A0000}"/>
    <cellStyle name="Процентный 4 27 5" xfId="16235" xr:uid="{00000000-0005-0000-0000-0000FE9A0000}"/>
    <cellStyle name="Процентный 4 27 6" xfId="21575" xr:uid="{00000000-0005-0000-0000-0000FF9A0000}"/>
    <cellStyle name="Процентный 4 27 7" xfId="26915" xr:uid="{00000000-0005-0000-0000-0000009B0000}"/>
    <cellStyle name="Процентный 4 27 8" xfId="32255" xr:uid="{00000000-0005-0000-0000-0000019B0000}"/>
    <cellStyle name="Процентный 4 27 9" xfId="37595" xr:uid="{00000000-0005-0000-0000-0000029B0000}"/>
    <cellStyle name="Процентный 4 28" xfId="223" xr:uid="{00000000-0005-0000-0000-0000039B0000}"/>
    <cellStyle name="Процентный 4 28 10" xfId="42945" xr:uid="{00000000-0005-0000-0000-0000049B0000}"/>
    <cellStyle name="Процентный 4 28 11" xfId="48285" xr:uid="{00000000-0005-0000-0000-0000059B0000}"/>
    <cellStyle name="Процентный 4 28 2" xfId="690" xr:uid="{00000000-0005-0000-0000-0000069B0000}"/>
    <cellStyle name="Процентный 4 28 2 10" xfId="48752" xr:uid="{00000000-0005-0000-0000-0000079B0000}"/>
    <cellStyle name="Процентный 4 28 2 2" xfId="6031" xr:uid="{00000000-0005-0000-0000-0000089B0000}"/>
    <cellStyle name="Процентный 4 28 2 2 2" xfId="54093" xr:uid="{00000000-0005-0000-0000-0000099B0000}"/>
    <cellStyle name="Процентный 4 28 2 3" xfId="11372" xr:uid="{00000000-0005-0000-0000-00000A9B0000}"/>
    <cellStyle name="Процентный 4 28 2 4" xfId="16712" xr:uid="{00000000-0005-0000-0000-00000B9B0000}"/>
    <cellStyle name="Процентный 4 28 2 5" xfId="22052" xr:uid="{00000000-0005-0000-0000-00000C9B0000}"/>
    <cellStyle name="Процентный 4 28 2 6" xfId="27392" xr:uid="{00000000-0005-0000-0000-00000D9B0000}"/>
    <cellStyle name="Процентный 4 28 2 7" xfId="32732" xr:uid="{00000000-0005-0000-0000-00000E9B0000}"/>
    <cellStyle name="Процентный 4 28 2 8" xfId="38072" xr:uid="{00000000-0005-0000-0000-00000F9B0000}"/>
    <cellStyle name="Процентный 4 28 2 9" xfId="43412" xr:uid="{00000000-0005-0000-0000-0000109B0000}"/>
    <cellStyle name="Процентный 4 28 3" xfId="5564" xr:uid="{00000000-0005-0000-0000-0000119B0000}"/>
    <cellStyle name="Процентный 4 28 3 2" xfId="53626" xr:uid="{00000000-0005-0000-0000-0000129B0000}"/>
    <cellStyle name="Процентный 4 28 4" xfId="10905" xr:uid="{00000000-0005-0000-0000-0000139B0000}"/>
    <cellStyle name="Процентный 4 28 5" xfId="16245" xr:uid="{00000000-0005-0000-0000-0000149B0000}"/>
    <cellStyle name="Процентный 4 28 6" xfId="21585" xr:uid="{00000000-0005-0000-0000-0000159B0000}"/>
    <cellStyle name="Процентный 4 28 7" xfId="26925" xr:uid="{00000000-0005-0000-0000-0000169B0000}"/>
    <cellStyle name="Процентный 4 28 8" xfId="32265" xr:uid="{00000000-0005-0000-0000-0000179B0000}"/>
    <cellStyle name="Процентный 4 28 9" xfId="37605" xr:uid="{00000000-0005-0000-0000-0000189B0000}"/>
    <cellStyle name="Процентный 4 29" xfId="233" xr:uid="{00000000-0005-0000-0000-0000199B0000}"/>
    <cellStyle name="Процентный 4 29 10" xfId="42955" xr:uid="{00000000-0005-0000-0000-00001A9B0000}"/>
    <cellStyle name="Процентный 4 29 11" xfId="48295" xr:uid="{00000000-0005-0000-0000-00001B9B0000}"/>
    <cellStyle name="Процентный 4 29 2" xfId="700" xr:uid="{00000000-0005-0000-0000-00001C9B0000}"/>
    <cellStyle name="Процентный 4 29 2 10" xfId="48762" xr:uid="{00000000-0005-0000-0000-00001D9B0000}"/>
    <cellStyle name="Процентный 4 29 2 2" xfId="6041" xr:uid="{00000000-0005-0000-0000-00001E9B0000}"/>
    <cellStyle name="Процентный 4 29 2 2 2" xfId="54103" xr:uid="{00000000-0005-0000-0000-00001F9B0000}"/>
    <cellStyle name="Процентный 4 29 2 3" xfId="11382" xr:uid="{00000000-0005-0000-0000-0000209B0000}"/>
    <cellStyle name="Процентный 4 29 2 4" xfId="16722" xr:uid="{00000000-0005-0000-0000-0000219B0000}"/>
    <cellStyle name="Процентный 4 29 2 5" xfId="22062" xr:uid="{00000000-0005-0000-0000-0000229B0000}"/>
    <cellStyle name="Процентный 4 29 2 6" xfId="27402" xr:uid="{00000000-0005-0000-0000-0000239B0000}"/>
    <cellStyle name="Процентный 4 29 2 7" xfId="32742" xr:uid="{00000000-0005-0000-0000-0000249B0000}"/>
    <cellStyle name="Процентный 4 29 2 8" xfId="38082" xr:uid="{00000000-0005-0000-0000-0000259B0000}"/>
    <cellStyle name="Процентный 4 29 2 9" xfId="43422" xr:uid="{00000000-0005-0000-0000-0000269B0000}"/>
    <cellStyle name="Процентный 4 29 3" xfId="5574" xr:uid="{00000000-0005-0000-0000-0000279B0000}"/>
    <cellStyle name="Процентный 4 29 3 2" xfId="53636" xr:uid="{00000000-0005-0000-0000-0000289B0000}"/>
    <cellStyle name="Процентный 4 29 4" xfId="10915" xr:uid="{00000000-0005-0000-0000-0000299B0000}"/>
    <cellStyle name="Процентный 4 29 5" xfId="16255" xr:uid="{00000000-0005-0000-0000-00002A9B0000}"/>
    <cellStyle name="Процентный 4 29 6" xfId="21595" xr:uid="{00000000-0005-0000-0000-00002B9B0000}"/>
    <cellStyle name="Процентный 4 29 7" xfId="26935" xr:uid="{00000000-0005-0000-0000-00002C9B0000}"/>
    <cellStyle name="Процентный 4 29 8" xfId="32275" xr:uid="{00000000-0005-0000-0000-00002D9B0000}"/>
    <cellStyle name="Процентный 4 29 9" xfId="37615" xr:uid="{00000000-0005-0000-0000-00002E9B0000}"/>
    <cellStyle name="Процентный 4 3" xfId="59" xr:uid="{00000000-0005-0000-0000-00002F9B0000}"/>
    <cellStyle name="Процентный 4 3 10" xfId="1177" xr:uid="{00000000-0005-0000-0000-0000309B0000}"/>
    <cellStyle name="Процентный 4 3 10 10" xfId="49240" xr:uid="{00000000-0005-0000-0000-0000319B0000}"/>
    <cellStyle name="Процентный 4 3 10 2" xfId="6519" xr:uid="{00000000-0005-0000-0000-0000329B0000}"/>
    <cellStyle name="Процентный 4 3 10 2 2" xfId="54581" xr:uid="{00000000-0005-0000-0000-0000339B0000}"/>
    <cellStyle name="Процентный 4 3 10 3" xfId="11860" xr:uid="{00000000-0005-0000-0000-0000349B0000}"/>
    <cellStyle name="Процентный 4 3 10 4" xfId="17200" xr:uid="{00000000-0005-0000-0000-0000359B0000}"/>
    <cellStyle name="Процентный 4 3 10 5" xfId="22540" xr:uid="{00000000-0005-0000-0000-0000369B0000}"/>
    <cellStyle name="Процентный 4 3 10 6" xfId="27880" xr:uid="{00000000-0005-0000-0000-0000379B0000}"/>
    <cellStyle name="Процентный 4 3 10 7" xfId="33220" xr:uid="{00000000-0005-0000-0000-0000389B0000}"/>
    <cellStyle name="Процентный 4 3 10 8" xfId="38560" xr:uid="{00000000-0005-0000-0000-0000399B0000}"/>
    <cellStyle name="Процентный 4 3 10 9" xfId="43900" xr:uid="{00000000-0005-0000-0000-00003A9B0000}"/>
    <cellStyle name="Процентный 4 3 100" xfId="3835" xr:uid="{00000000-0005-0000-0000-00003B9B0000}"/>
    <cellStyle name="Процентный 4 3 100 10" xfId="51898" xr:uid="{00000000-0005-0000-0000-00003C9B0000}"/>
    <cellStyle name="Процентный 4 3 100 2" xfId="9178" xr:uid="{00000000-0005-0000-0000-00003D9B0000}"/>
    <cellStyle name="Процентный 4 3 100 2 2" xfId="57239" xr:uid="{00000000-0005-0000-0000-00003E9B0000}"/>
    <cellStyle name="Процентный 4 3 100 3" xfId="14518" xr:uid="{00000000-0005-0000-0000-00003F9B0000}"/>
    <cellStyle name="Процентный 4 3 100 4" xfId="19858" xr:uid="{00000000-0005-0000-0000-0000409B0000}"/>
    <cellStyle name="Процентный 4 3 100 5" xfId="25198" xr:uid="{00000000-0005-0000-0000-0000419B0000}"/>
    <cellStyle name="Процентный 4 3 100 6" xfId="30538" xr:uid="{00000000-0005-0000-0000-0000429B0000}"/>
    <cellStyle name="Процентный 4 3 100 7" xfId="35878" xr:uid="{00000000-0005-0000-0000-0000439B0000}"/>
    <cellStyle name="Процентный 4 3 100 8" xfId="41218" xr:uid="{00000000-0005-0000-0000-0000449B0000}"/>
    <cellStyle name="Процентный 4 3 100 9" xfId="46558" xr:uid="{00000000-0005-0000-0000-0000459B0000}"/>
    <cellStyle name="Процентный 4 3 101" xfId="3867" xr:uid="{00000000-0005-0000-0000-0000469B0000}"/>
    <cellStyle name="Процентный 4 3 101 10" xfId="51930" xr:uid="{00000000-0005-0000-0000-0000479B0000}"/>
    <cellStyle name="Процентный 4 3 101 2" xfId="9210" xr:uid="{00000000-0005-0000-0000-0000489B0000}"/>
    <cellStyle name="Процентный 4 3 101 2 2" xfId="57271" xr:uid="{00000000-0005-0000-0000-0000499B0000}"/>
    <cellStyle name="Процентный 4 3 101 3" xfId="14550" xr:uid="{00000000-0005-0000-0000-00004A9B0000}"/>
    <cellStyle name="Процентный 4 3 101 4" xfId="19890" xr:uid="{00000000-0005-0000-0000-00004B9B0000}"/>
    <cellStyle name="Процентный 4 3 101 5" xfId="25230" xr:uid="{00000000-0005-0000-0000-00004C9B0000}"/>
    <cellStyle name="Процентный 4 3 101 6" xfId="30570" xr:uid="{00000000-0005-0000-0000-00004D9B0000}"/>
    <cellStyle name="Процентный 4 3 101 7" xfId="35910" xr:uid="{00000000-0005-0000-0000-00004E9B0000}"/>
    <cellStyle name="Процентный 4 3 101 8" xfId="41250" xr:uid="{00000000-0005-0000-0000-00004F9B0000}"/>
    <cellStyle name="Процентный 4 3 101 9" xfId="46590" xr:uid="{00000000-0005-0000-0000-0000509B0000}"/>
    <cellStyle name="Процентный 4 3 102" xfId="3899" xr:uid="{00000000-0005-0000-0000-0000519B0000}"/>
    <cellStyle name="Процентный 4 3 102 10" xfId="51962" xr:uid="{00000000-0005-0000-0000-0000529B0000}"/>
    <cellStyle name="Процентный 4 3 102 2" xfId="9242" xr:uid="{00000000-0005-0000-0000-0000539B0000}"/>
    <cellStyle name="Процентный 4 3 102 2 2" xfId="57303" xr:uid="{00000000-0005-0000-0000-0000549B0000}"/>
    <cellStyle name="Процентный 4 3 102 3" xfId="14582" xr:uid="{00000000-0005-0000-0000-0000559B0000}"/>
    <cellStyle name="Процентный 4 3 102 4" xfId="19922" xr:uid="{00000000-0005-0000-0000-0000569B0000}"/>
    <cellStyle name="Процентный 4 3 102 5" xfId="25262" xr:uid="{00000000-0005-0000-0000-0000579B0000}"/>
    <cellStyle name="Процентный 4 3 102 6" xfId="30602" xr:uid="{00000000-0005-0000-0000-0000589B0000}"/>
    <cellStyle name="Процентный 4 3 102 7" xfId="35942" xr:uid="{00000000-0005-0000-0000-0000599B0000}"/>
    <cellStyle name="Процентный 4 3 102 8" xfId="41282" xr:uid="{00000000-0005-0000-0000-00005A9B0000}"/>
    <cellStyle name="Процентный 4 3 102 9" xfId="46622" xr:uid="{00000000-0005-0000-0000-00005B9B0000}"/>
    <cellStyle name="Процентный 4 3 103" xfId="3931" xr:uid="{00000000-0005-0000-0000-00005C9B0000}"/>
    <cellStyle name="Процентный 4 3 103 10" xfId="51994" xr:uid="{00000000-0005-0000-0000-00005D9B0000}"/>
    <cellStyle name="Процентный 4 3 103 2" xfId="9274" xr:uid="{00000000-0005-0000-0000-00005E9B0000}"/>
    <cellStyle name="Процентный 4 3 103 2 2" xfId="57335" xr:uid="{00000000-0005-0000-0000-00005F9B0000}"/>
    <cellStyle name="Процентный 4 3 103 3" xfId="14614" xr:uid="{00000000-0005-0000-0000-0000609B0000}"/>
    <cellStyle name="Процентный 4 3 103 4" xfId="19954" xr:uid="{00000000-0005-0000-0000-0000619B0000}"/>
    <cellStyle name="Процентный 4 3 103 5" xfId="25294" xr:uid="{00000000-0005-0000-0000-0000629B0000}"/>
    <cellStyle name="Процентный 4 3 103 6" xfId="30634" xr:uid="{00000000-0005-0000-0000-0000639B0000}"/>
    <cellStyle name="Процентный 4 3 103 7" xfId="35974" xr:uid="{00000000-0005-0000-0000-0000649B0000}"/>
    <cellStyle name="Процентный 4 3 103 8" xfId="41314" xr:uid="{00000000-0005-0000-0000-0000659B0000}"/>
    <cellStyle name="Процентный 4 3 103 9" xfId="46654" xr:uid="{00000000-0005-0000-0000-0000669B0000}"/>
    <cellStyle name="Процентный 4 3 104" xfId="3963" xr:uid="{00000000-0005-0000-0000-0000679B0000}"/>
    <cellStyle name="Процентный 4 3 104 10" xfId="52026" xr:uid="{00000000-0005-0000-0000-0000689B0000}"/>
    <cellStyle name="Процентный 4 3 104 2" xfId="9306" xr:uid="{00000000-0005-0000-0000-0000699B0000}"/>
    <cellStyle name="Процентный 4 3 104 2 2" xfId="57367" xr:uid="{00000000-0005-0000-0000-00006A9B0000}"/>
    <cellStyle name="Процентный 4 3 104 3" xfId="14646" xr:uid="{00000000-0005-0000-0000-00006B9B0000}"/>
    <cellStyle name="Процентный 4 3 104 4" xfId="19986" xr:uid="{00000000-0005-0000-0000-00006C9B0000}"/>
    <cellStyle name="Процентный 4 3 104 5" xfId="25326" xr:uid="{00000000-0005-0000-0000-00006D9B0000}"/>
    <cellStyle name="Процентный 4 3 104 6" xfId="30666" xr:uid="{00000000-0005-0000-0000-00006E9B0000}"/>
    <cellStyle name="Процентный 4 3 104 7" xfId="36006" xr:uid="{00000000-0005-0000-0000-00006F9B0000}"/>
    <cellStyle name="Процентный 4 3 104 8" xfId="41346" xr:uid="{00000000-0005-0000-0000-0000709B0000}"/>
    <cellStyle name="Процентный 4 3 104 9" xfId="46686" xr:uid="{00000000-0005-0000-0000-0000719B0000}"/>
    <cellStyle name="Процентный 4 3 105" xfId="3995" xr:uid="{00000000-0005-0000-0000-0000729B0000}"/>
    <cellStyle name="Процентный 4 3 105 10" xfId="52058" xr:uid="{00000000-0005-0000-0000-0000739B0000}"/>
    <cellStyle name="Процентный 4 3 105 2" xfId="9338" xr:uid="{00000000-0005-0000-0000-0000749B0000}"/>
    <cellStyle name="Процентный 4 3 105 2 2" xfId="57399" xr:uid="{00000000-0005-0000-0000-0000759B0000}"/>
    <cellStyle name="Процентный 4 3 105 3" xfId="14678" xr:uid="{00000000-0005-0000-0000-0000769B0000}"/>
    <cellStyle name="Процентный 4 3 105 4" xfId="20018" xr:uid="{00000000-0005-0000-0000-0000779B0000}"/>
    <cellStyle name="Процентный 4 3 105 5" xfId="25358" xr:uid="{00000000-0005-0000-0000-0000789B0000}"/>
    <cellStyle name="Процентный 4 3 105 6" xfId="30698" xr:uid="{00000000-0005-0000-0000-0000799B0000}"/>
    <cellStyle name="Процентный 4 3 105 7" xfId="36038" xr:uid="{00000000-0005-0000-0000-00007A9B0000}"/>
    <cellStyle name="Процентный 4 3 105 8" xfId="41378" xr:uid="{00000000-0005-0000-0000-00007B9B0000}"/>
    <cellStyle name="Процентный 4 3 105 9" xfId="46718" xr:uid="{00000000-0005-0000-0000-00007C9B0000}"/>
    <cellStyle name="Процентный 4 3 106" xfId="4027" xr:uid="{00000000-0005-0000-0000-00007D9B0000}"/>
    <cellStyle name="Процентный 4 3 106 10" xfId="52090" xr:uid="{00000000-0005-0000-0000-00007E9B0000}"/>
    <cellStyle name="Процентный 4 3 106 2" xfId="9370" xr:uid="{00000000-0005-0000-0000-00007F9B0000}"/>
    <cellStyle name="Процентный 4 3 106 2 2" xfId="57431" xr:uid="{00000000-0005-0000-0000-0000809B0000}"/>
    <cellStyle name="Процентный 4 3 106 3" xfId="14710" xr:uid="{00000000-0005-0000-0000-0000819B0000}"/>
    <cellStyle name="Процентный 4 3 106 4" xfId="20050" xr:uid="{00000000-0005-0000-0000-0000829B0000}"/>
    <cellStyle name="Процентный 4 3 106 5" xfId="25390" xr:uid="{00000000-0005-0000-0000-0000839B0000}"/>
    <cellStyle name="Процентный 4 3 106 6" xfId="30730" xr:uid="{00000000-0005-0000-0000-0000849B0000}"/>
    <cellStyle name="Процентный 4 3 106 7" xfId="36070" xr:uid="{00000000-0005-0000-0000-0000859B0000}"/>
    <cellStyle name="Процентный 4 3 106 8" xfId="41410" xr:uid="{00000000-0005-0000-0000-0000869B0000}"/>
    <cellStyle name="Процентный 4 3 106 9" xfId="46750" xr:uid="{00000000-0005-0000-0000-0000879B0000}"/>
    <cellStyle name="Процентный 4 3 107" xfId="4059" xr:uid="{00000000-0005-0000-0000-0000889B0000}"/>
    <cellStyle name="Процентный 4 3 107 10" xfId="52122" xr:uid="{00000000-0005-0000-0000-0000899B0000}"/>
    <cellStyle name="Процентный 4 3 107 2" xfId="9402" xr:uid="{00000000-0005-0000-0000-00008A9B0000}"/>
    <cellStyle name="Процентный 4 3 107 2 2" xfId="57463" xr:uid="{00000000-0005-0000-0000-00008B9B0000}"/>
    <cellStyle name="Процентный 4 3 107 3" xfId="14742" xr:uid="{00000000-0005-0000-0000-00008C9B0000}"/>
    <cellStyle name="Процентный 4 3 107 4" xfId="20082" xr:uid="{00000000-0005-0000-0000-00008D9B0000}"/>
    <cellStyle name="Процентный 4 3 107 5" xfId="25422" xr:uid="{00000000-0005-0000-0000-00008E9B0000}"/>
    <cellStyle name="Процентный 4 3 107 6" xfId="30762" xr:uid="{00000000-0005-0000-0000-00008F9B0000}"/>
    <cellStyle name="Процентный 4 3 107 7" xfId="36102" xr:uid="{00000000-0005-0000-0000-0000909B0000}"/>
    <cellStyle name="Процентный 4 3 107 8" xfId="41442" xr:uid="{00000000-0005-0000-0000-0000919B0000}"/>
    <cellStyle name="Процентный 4 3 107 9" xfId="46782" xr:uid="{00000000-0005-0000-0000-0000929B0000}"/>
    <cellStyle name="Процентный 4 3 108" xfId="4091" xr:uid="{00000000-0005-0000-0000-0000939B0000}"/>
    <cellStyle name="Процентный 4 3 108 10" xfId="52154" xr:uid="{00000000-0005-0000-0000-0000949B0000}"/>
    <cellStyle name="Процентный 4 3 108 2" xfId="9434" xr:uid="{00000000-0005-0000-0000-0000959B0000}"/>
    <cellStyle name="Процентный 4 3 108 2 2" xfId="57495" xr:uid="{00000000-0005-0000-0000-0000969B0000}"/>
    <cellStyle name="Процентный 4 3 108 3" xfId="14774" xr:uid="{00000000-0005-0000-0000-0000979B0000}"/>
    <cellStyle name="Процентный 4 3 108 4" xfId="20114" xr:uid="{00000000-0005-0000-0000-0000989B0000}"/>
    <cellStyle name="Процентный 4 3 108 5" xfId="25454" xr:uid="{00000000-0005-0000-0000-0000999B0000}"/>
    <cellStyle name="Процентный 4 3 108 6" xfId="30794" xr:uid="{00000000-0005-0000-0000-00009A9B0000}"/>
    <cellStyle name="Процентный 4 3 108 7" xfId="36134" xr:uid="{00000000-0005-0000-0000-00009B9B0000}"/>
    <cellStyle name="Процентный 4 3 108 8" xfId="41474" xr:uid="{00000000-0005-0000-0000-00009C9B0000}"/>
    <cellStyle name="Процентный 4 3 108 9" xfId="46814" xr:uid="{00000000-0005-0000-0000-00009D9B0000}"/>
    <cellStyle name="Процентный 4 3 109" xfId="4123" xr:uid="{00000000-0005-0000-0000-00009E9B0000}"/>
    <cellStyle name="Процентный 4 3 109 10" xfId="52186" xr:uid="{00000000-0005-0000-0000-00009F9B0000}"/>
    <cellStyle name="Процентный 4 3 109 2" xfId="9466" xr:uid="{00000000-0005-0000-0000-0000A09B0000}"/>
    <cellStyle name="Процентный 4 3 109 2 2" xfId="57527" xr:uid="{00000000-0005-0000-0000-0000A19B0000}"/>
    <cellStyle name="Процентный 4 3 109 3" xfId="14806" xr:uid="{00000000-0005-0000-0000-0000A29B0000}"/>
    <cellStyle name="Процентный 4 3 109 4" xfId="20146" xr:uid="{00000000-0005-0000-0000-0000A39B0000}"/>
    <cellStyle name="Процентный 4 3 109 5" xfId="25486" xr:uid="{00000000-0005-0000-0000-0000A49B0000}"/>
    <cellStyle name="Процентный 4 3 109 6" xfId="30826" xr:uid="{00000000-0005-0000-0000-0000A59B0000}"/>
    <cellStyle name="Процентный 4 3 109 7" xfId="36166" xr:uid="{00000000-0005-0000-0000-0000A69B0000}"/>
    <cellStyle name="Процентный 4 3 109 8" xfId="41506" xr:uid="{00000000-0005-0000-0000-0000A79B0000}"/>
    <cellStyle name="Процентный 4 3 109 9" xfId="46846" xr:uid="{00000000-0005-0000-0000-0000A89B0000}"/>
    <cellStyle name="Процентный 4 3 11" xfId="1203" xr:uid="{00000000-0005-0000-0000-0000A99B0000}"/>
    <cellStyle name="Процентный 4 3 11 10" xfId="49266" xr:uid="{00000000-0005-0000-0000-0000AA9B0000}"/>
    <cellStyle name="Процентный 4 3 11 2" xfId="6545" xr:uid="{00000000-0005-0000-0000-0000AB9B0000}"/>
    <cellStyle name="Процентный 4 3 11 2 2" xfId="54607" xr:uid="{00000000-0005-0000-0000-0000AC9B0000}"/>
    <cellStyle name="Процентный 4 3 11 3" xfId="11886" xr:uid="{00000000-0005-0000-0000-0000AD9B0000}"/>
    <cellStyle name="Процентный 4 3 11 4" xfId="17226" xr:uid="{00000000-0005-0000-0000-0000AE9B0000}"/>
    <cellStyle name="Процентный 4 3 11 5" xfId="22566" xr:uid="{00000000-0005-0000-0000-0000AF9B0000}"/>
    <cellStyle name="Процентный 4 3 11 6" xfId="27906" xr:uid="{00000000-0005-0000-0000-0000B09B0000}"/>
    <cellStyle name="Процентный 4 3 11 7" xfId="33246" xr:uid="{00000000-0005-0000-0000-0000B19B0000}"/>
    <cellStyle name="Процентный 4 3 11 8" xfId="38586" xr:uid="{00000000-0005-0000-0000-0000B29B0000}"/>
    <cellStyle name="Процентный 4 3 11 9" xfId="43926" xr:uid="{00000000-0005-0000-0000-0000B39B0000}"/>
    <cellStyle name="Процентный 4 3 110" xfId="4155" xr:uid="{00000000-0005-0000-0000-0000B49B0000}"/>
    <cellStyle name="Процентный 4 3 110 10" xfId="52218" xr:uid="{00000000-0005-0000-0000-0000B59B0000}"/>
    <cellStyle name="Процентный 4 3 110 2" xfId="9498" xr:uid="{00000000-0005-0000-0000-0000B69B0000}"/>
    <cellStyle name="Процентный 4 3 110 2 2" xfId="57559" xr:uid="{00000000-0005-0000-0000-0000B79B0000}"/>
    <cellStyle name="Процентный 4 3 110 3" xfId="14838" xr:uid="{00000000-0005-0000-0000-0000B89B0000}"/>
    <cellStyle name="Процентный 4 3 110 4" xfId="20178" xr:uid="{00000000-0005-0000-0000-0000B99B0000}"/>
    <cellStyle name="Процентный 4 3 110 5" xfId="25518" xr:uid="{00000000-0005-0000-0000-0000BA9B0000}"/>
    <cellStyle name="Процентный 4 3 110 6" xfId="30858" xr:uid="{00000000-0005-0000-0000-0000BB9B0000}"/>
    <cellStyle name="Процентный 4 3 110 7" xfId="36198" xr:uid="{00000000-0005-0000-0000-0000BC9B0000}"/>
    <cellStyle name="Процентный 4 3 110 8" xfId="41538" xr:uid="{00000000-0005-0000-0000-0000BD9B0000}"/>
    <cellStyle name="Процентный 4 3 110 9" xfId="46878" xr:uid="{00000000-0005-0000-0000-0000BE9B0000}"/>
    <cellStyle name="Процентный 4 3 111" xfId="4187" xr:uid="{00000000-0005-0000-0000-0000BF9B0000}"/>
    <cellStyle name="Процентный 4 3 111 10" xfId="52250" xr:uid="{00000000-0005-0000-0000-0000C09B0000}"/>
    <cellStyle name="Процентный 4 3 111 2" xfId="9530" xr:uid="{00000000-0005-0000-0000-0000C19B0000}"/>
    <cellStyle name="Процентный 4 3 111 2 2" xfId="57591" xr:uid="{00000000-0005-0000-0000-0000C29B0000}"/>
    <cellStyle name="Процентный 4 3 111 3" xfId="14870" xr:uid="{00000000-0005-0000-0000-0000C39B0000}"/>
    <cellStyle name="Процентный 4 3 111 4" xfId="20210" xr:uid="{00000000-0005-0000-0000-0000C49B0000}"/>
    <cellStyle name="Процентный 4 3 111 5" xfId="25550" xr:uid="{00000000-0005-0000-0000-0000C59B0000}"/>
    <cellStyle name="Процентный 4 3 111 6" xfId="30890" xr:uid="{00000000-0005-0000-0000-0000C69B0000}"/>
    <cellStyle name="Процентный 4 3 111 7" xfId="36230" xr:uid="{00000000-0005-0000-0000-0000C79B0000}"/>
    <cellStyle name="Процентный 4 3 111 8" xfId="41570" xr:uid="{00000000-0005-0000-0000-0000C89B0000}"/>
    <cellStyle name="Процентный 4 3 111 9" xfId="46910" xr:uid="{00000000-0005-0000-0000-0000C99B0000}"/>
    <cellStyle name="Процентный 4 3 112" xfId="4219" xr:uid="{00000000-0005-0000-0000-0000CA9B0000}"/>
    <cellStyle name="Процентный 4 3 112 10" xfId="52282" xr:uid="{00000000-0005-0000-0000-0000CB9B0000}"/>
    <cellStyle name="Процентный 4 3 112 2" xfId="9562" xr:uid="{00000000-0005-0000-0000-0000CC9B0000}"/>
    <cellStyle name="Процентный 4 3 112 2 2" xfId="57623" xr:uid="{00000000-0005-0000-0000-0000CD9B0000}"/>
    <cellStyle name="Процентный 4 3 112 3" xfId="14902" xr:uid="{00000000-0005-0000-0000-0000CE9B0000}"/>
    <cellStyle name="Процентный 4 3 112 4" xfId="20242" xr:uid="{00000000-0005-0000-0000-0000CF9B0000}"/>
    <cellStyle name="Процентный 4 3 112 5" xfId="25582" xr:uid="{00000000-0005-0000-0000-0000D09B0000}"/>
    <cellStyle name="Процентный 4 3 112 6" xfId="30922" xr:uid="{00000000-0005-0000-0000-0000D19B0000}"/>
    <cellStyle name="Процентный 4 3 112 7" xfId="36262" xr:uid="{00000000-0005-0000-0000-0000D29B0000}"/>
    <cellStyle name="Процентный 4 3 112 8" xfId="41602" xr:uid="{00000000-0005-0000-0000-0000D39B0000}"/>
    <cellStyle name="Процентный 4 3 112 9" xfId="46942" xr:uid="{00000000-0005-0000-0000-0000D49B0000}"/>
    <cellStyle name="Процентный 4 3 113" xfId="4251" xr:uid="{00000000-0005-0000-0000-0000D59B0000}"/>
    <cellStyle name="Процентный 4 3 113 10" xfId="52314" xr:uid="{00000000-0005-0000-0000-0000D69B0000}"/>
    <cellStyle name="Процентный 4 3 113 2" xfId="9594" xr:uid="{00000000-0005-0000-0000-0000D79B0000}"/>
    <cellStyle name="Процентный 4 3 113 2 2" xfId="57655" xr:uid="{00000000-0005-0000-0000-0000D89B0000}"/>
    <cellStyle name="Процентный 4 3 113 3" xfId="14934" xr:uid="{00000000-0005-0000-0000-0000D99B0000}"/>
    <cellStyle name="Процентный 4 3 113 4" xfId="20274" xr:uid="{00000000-0005-0000-0000-0000DA9B0000}"/>
    <cellStyle name="Процентный 4 3 113 5" xfId="25614" xr:uid="{00000000-0005-0000-0000-0000DB9B0000}"/>
    <cellStyle name="Процентный 4 3 113 6" xfId="30954" xr:uid="{00000000-0005-0000-0000-0000DC9B0000}"/>
    <cellStyle name="Процентный 4 3 113 7" xfId="36294" xr:uid="{00000000-0005-0000-0000-0000DD9B0000}"/>
    <cellStyle name="Процентный 4 3 113 8" xfId="41634" xr:uid="{00000000-0005-0000-0000-0000DE9B0000}"/>
    <cellStyle name="Процентный 4 3 113 9" xfId="46974" xr:uid="{00000000-0005-0000-0000-0000DF9B0000}"/>
    <cellStyle name="Процентный 4 3 114" xfId="4283" xr:uid="{00000000-0005-0000-0000-0000E09B0000}"/>
    <cellStyle name="Процентный 4 3 114 10" xfId="52346" xr:uid="{00000000-0005-0000-0000-0000E19B0000}"/>
    <cellStyle name="Процентный 4 3 114 2" xfId="9626" xr:uid="{00000000-0005-0000-0000-0000E29B0000}"/>
    <cellStyle name="Процентный 4 3 114 2 2" xfId="57687" xr:uid="{00000000-0005-0000-0000-0000E39B0000}"/>
    <cellStyle name="Процентный 4 3 114 3" xfId="14966" xr:uid="{00000000-0005-0000-0000-0000E49B0000}"/>
    <cellStyle name="Процентный 4 3 114 4" xfId="20306" xr:uid="{00000000-0005-0000-0000-0000E59B0000}"/>
    <cellStyle name="Процентный 4 3 114 5" xfId="25646" xr:uid="{00000000-0005-0000-0000-0000E69B0000}"/>
    <cellStyle name="Процентный 4 3 114 6" xfId="30986" xr:uid="{00000000-0005-0000-0000-0000E79B0000}"/>
    <cellStyle name="Процентный 4 3 114 7" xfId="36326" xr:uid="{00000000-0005-0000-0000-0000E89B0000}"/>
    <cellStyle name="Процентный 4 3 114 8" xfId="41666" xr:uid="{00000000-0005-0000-0000-0000E99B0000}"/>
    <cellStyle name="Процентный 4 3 114 9" xfId="47006" xr:uid="{00000000-0005-0000-0000-0000EA9B0000}"/>
    <cellStyle name="Процентный 4 3 115" xfId="4315" xr:uid="{00000000-0005-0000-0000-0000EB9B0000}"/>
    <cellStyle name="Процентный 4 3 115 10" xfId="52378" xr:uid="{00000000-0005-0000-0000-0000EC9B0000}"/>
    <cellStyle name="Процентный 4 3 115 2" xfId="9658" xr:uid="{00000000-0005-0000-0000-0000ED9B0000}"/>
    <cellStyle name="Процентный 4 3 115 2 2" xfId="57719" xr:uid="{00000000-0005-0000-0000-0000EE9B0000}"/>
    <cellStyle name="Процентный 4 3 115 3" xfId="14998" xr:uid="{00000000-0005-0000-0000-0000EF9B0000}"/>
    <cellStyle name="Процентный 4 3 115 4" xfId="20338" xr:uid="{00000000-0005-0000-0000-0000F09B0000}"/>
    <cellStyle name="Процентный 4 3 115 5" xfId="25678" xr:uid="{00000000-0005-0000-0000-0000F19B0000}"/>
    <cellStyle name="Процентный 4 3 115 6" xfId="31018" xr:uid="{00000000-0005-0000-0000-0000F29B0000}"/>
    <cellStyle name="Процентный 4 3 115 7" xfId="36358" xr:uid="{00000000-0005-0000-0000-0000F39B0000}"/>
    <cellStyle name="Процентный 4 3 115 8" xfId="41698" xr:uid="{00000000-0005-0000-0000-0000F49B0000}"/>
    <cellStyle name="Процентный 4 3 115 9" xfId="47038" xr:uid="{00000000-0005-0000-0000-0000F59B0000}"/>
    <cellStyle name="Процентный 4 3 116" xfId="4347" xr:uid="{00000000-0005-0000-0000-0000F69B0000}"/>
    <cellStyle name="Процентный 4 3 116 10" xfId="52410" xr:uid="{00000000-0005-0000-0000-0000F79B0000}"/>
    <cellStyle name="Процентный 4 3 116 2" xfId="9690" xr:uid="{00000000-0005-0000-0000-0000F89B0000}"/>
    <cellStyle name="Процентный 4 3 116 2 2" xfId="57751" xr:uid="{00000000-0005-0000-0000-0000F99B0000}"/>
    <cellStyle name="Процентный 4 3 116 3" xfId="15030" xr:uid="{00000000-0005-0000-0000-0000FA9B0000}"/>
    <cellStyle name="Процентный 4 3 116 4" xfId="20370" xr:uid="{00000000-0005-0000-0000-0000FB9B0000}"/>
    <cellStyle name="Процентный 4 3 116 5" xfId="25710" xr:uid="{00000000-0005-0000-0000-0000FC9B0000}"/>
    <cellStyle name="Процентный 4 3 116 6" xfId="31050" xr:uid="{00000000-0005-0000-0000-0000FD9B0000}"/>
    <cellStyle name="Процентный 4 3 116 7" xfId="36390" xr:uid="{00000000-0005-0000-0000-0000FE9B0000}"/>
    <cellStyle name="Процентный 4 3 116 8" xfId="41730" xr:uid="{00000000-0005-0000-0000-0000FF9B0000}"/>
    <cellStyle name="Процентный 4 3 116 9" xfId="47070" xr:uid="{00000000-0005-0000-0000-0000009C0000}"/>
    <cellStyle name="Процентный 4 3 117" xfId="4379" xr:uid="{00000000-0005-0000-0000-0000019C0000}"/>
    <cellStyle name="Процентный 4 3 117 10" xfId="52442" xr:uid="{00000000-0005-0000-0000-0000029C0000}"/>
    <cellStyle name="Процентный 4 3 117 2" xfId="9722" xr:uid="{00000000-0005-0000-0000-0000039C0000}"/>
    <cellStyle name="Процентный 4 3 117 2 2" xfId="57783" xr:uid="{00000000-0005-0000-0000-0000049C0000}"/>
    <cellStyle name="Процентный 4 3 117 3" xfId="15062" xr:uid="{00000000-0005-0000-0000-0000059C0000}"/>
    <cellStyle name="Процентный 4 3 117 4" xfId="20402" xr:uid="{00000000-0005-0000-0000-0000069C0000}"/>
    <cellStyle name="Процентный 4 3 117 5" xfId="25742" xr:uid="{00000000-0005-0000-0000-0000079C0000}"/>
    <cellStyle name="Процентный 4 3 117 6" xfId="31082" xr:uid="{00000000-0005-0000-0000-0000089C0000}"/>
    <cellStyle name="Процентный 4 3 117 7" xfId="36422" xr:uid="{00000000-0005-0000-0000-0000099C0000}"/>
    <cellStyle name="Процентный 4 3 117 8" xfId="41762" xr:uid="{00000000-0005-0000-0000-00000A9C0000}"/>
    <cellStyle name="Процентный 4 3 117 9" xfId="47102" xr:uid="{00000000-0005-0000-0000-00000B9C0000}"/>
    <cellStyle name="Процентный 4 3 118" xfId="4411" xr:uid="{00000000-0005-0000-0000-00000C9C0000}"/>
    <cellStyle name="Процентный 4 3 118 10" xfId="52474" xr:uid="{00000000-0005-0000-0000-00000D9C0000}"/>
    <cellStyle name="Процентный 4 3 118 2" xfId="9754" xr:uid="{00000000-0005-0000-0000-00000E9C0000}"/>
    <cellStyle name="Процентный 4 3 118 2 2" xfId="57815" xr:uid="{00000000-0005-0000-0000-00000F9C0000}"/>
    <cellStyle name="Процентный 4 3 118 3" xfId="15094" xr:uid="{00000000-0005-0000-0000-0000109C0000}"/>
    <cellStyle name="Процентный 4 3 118 4" xfId="20434" xr:uid="{00000000-0005-0000-0000-0000119C0000}"/>
    <cellStyle name="Процентный 4 3 118 5" xfId="25774" xr:uid="{00000000-0005-0000-0000-0000129C0000}"/>
    <cellStyle name="Процентный 4 3 118 6" xfId="31114" xr:uid="{00000000-0005-0000-0000-0000139C0000}"/>
    <cellStyle name="Процентный 4 3 118 7" xfId="36454" xr:uid="{00000000-0005-0000-0000-0000149C0000}"/>
    <cellStyle name="Процентный 4 3 118 8" xfId="41794" xr:uid="{00000000-0005-0000-0000-0000159C0000}"/>
    <cellStyle name="Процентный 4 3 118 9" xfId="47134" xr:uid="{00000000-0005-0000-0000-0000169C0000}"/>
    <cellStyle name="Процентный 4 3 119" xfId="4443" xr:uid="{00000000-0005-0000-0000-0000179C0000}"/>
    <cellStyle name="Процентный 4 3 119 10" xfId="52506" xr:uid="{00000000-0005-0000-0000-0000189C0000}"/>
    <cellStyle name="Процентный 4 3 119 2" xfId="9786" xr:uid="{00000000-0005-0000-0000-0000199C0000}"/>
    <cellStyle name="Процентный 4 3 119 2 2" xfId="57847" xr:uid="{00000000-0005-0000-0000-00001A9C0000}"/>
    <cellStyle name="Процентный 4 3 119 3" xfId="15126" xr:uid="{00000000-0005-0000-0000-00001B9C0000}"/>
    <cellStyle name="Процентный 4 3 119 4" xfId="20466" xr:uid="{00000000-0005-0000-0000-00001C9C0000}"/>
    <cellStyle name="Процентный 4 3 119 5" xfId="25806" xr:uid="{00000000-0005-0000-0000-00001D9C0000}"/>
    <cellStyle name="Процентный 4 3 119 6" xfId="31146" xr:uid="{00000000-0005-0000-0000-00001E9C0000}"/>
    <cellStyle name="Процентный 4 3 119 7" xfId="36486" xr:uid="{00000000-0005-0000-0000-00001F9C0000}"/>
    <cellStyle name="Процентный 4 3 119 8" xfId="41826" xr:uid="{00000000-0005-0000-0000-0000209C0000}"/>
    <cellStyle name="Процентный 4 3 119 9" xfId="47166" xr:uid="{00000000-0005-0000-0000-0000219C0000}"/>
    <cellStyle name="Процентный 4 3 12" xfId="1229" xr:uid="{00000000-0005-0000-0000-0000229C0000}"/>
    <cellStyle name="Процентный 4 3 12 10" xfId="49292" xr:uid="{00000000-0005-0000-0000-0000239C0000}"/>
    <cellStyle name="Процентный 4 3 12 2" xfId="6571" xr:uid="{00000000-0005-0000-0000-0000249C0000}"/>
    <cellStyle name="Процентный 4 3 12 2 2" xfId="54633" xr:uid="{00000000-0005-0000-0000-0000259C0000}"/>
    <cellStyle name="Процентный 4 3 12 3" xfId="11912" xr:uid="{00000000-0005-0000-0000-0000269C0000}"/>
    <cellStyle name="Процентный 4 3 12 4" xfId="17252" xr:uid="{00000000-0005-0000-0000-0000279C0000}"/>
    <cellStyle name="Процентный 4 3 12 5" xfId="22592" xr:uid="{00000000-0005-0000-0000-0000289C0000}"/>
    <cellStyle name="Процентный 4 3 12 6" xfId="27932" xr:uid="{00000000-0005-0000-0000-0000299C0000}"/>
    <cellStyle name="Процентный 4 3 12 7" xfId="33272" xr:uid="{00000000-0005-0000-0000-00002A9C0000}"/>
    <cellStyle name="Процентный 4 3 12 8" xfId="38612" xr:uid="{00000000-0005-0000-0000-00002B9C0000}"/>
    <cellStyle name="Процентный 4 3 12 9" xfId="43952" xr:uid="{00000000-0005-0000-0000-00002C9C0000}"/>
    <cellStyle name="Процентный 4 3 120" xfId="4475" xr:uid="{00000000-0005-0000-0000-00002D9C0000}"/>
    <cellStyle name="Процентный 4 3 120 10" xfId="52538" xr:uid="{00000000-0005-0000-0000-00002E9C0000}"/>
    <cellStyle name="Процентный 4 3 120 2" xfId="9818" xr:uid="{00000000-0005-0000-0000-00002F9C0000}"/>
    <cellStyle name="Процентный 4 3 120 2 2" xfId="57879" xr:uid="{00000000-0005-0000-0000-0000309C0000}"/>
    <cellStyle name="Процентный 4 3 120 3" xfId="15158" xr:uid="{00000000-0005-0000-0000-0000319C0000}"/>
    <cellStyle name="Процентный 4 3 120 4" xfId="20498" xr:uid="{00000000-0005-0000-0000-0000329C0000}"/>
    <cellStyle name="Процентный 4 3 120 5" xfId="25838" xr:uid="{00000000-0005-0000-0000-0000339C0000}"/>
    <cellStyle name="Процентный 4 3 120 6" xfId="31178" xr:uid="{00000000-0005-0000-0000-0000349C0000}"/>
    <cellStyle name="Процентный 4 3 120 7" xfId="36518" xr:uid="{00000000-0005-0000-0000-0000359C0000}"/>
    <cellStyle name="Процентный 4 3 120 8" xfId="41858" xr:uid="{00000000-0005-0000-0000-0000369C0000}"/>
    <cellStyle name="Процентный 4 3 120 9" xfId="47198" xr:uid="{00000000-0005-0000-0000-0000379C0000}"/>
    <cellStyle name="Процентный 4 3 121" xfId="4507" xr:uid="{00000000-0005-0000-0000-0000389C0000}"/>
    <cellStyle name="Процентный 4 3 121 10" xfId="52570" xr:uid="{00000000-0005-0000-0000-0000399C0000}"/>
    <cellStyle name="Процентный 4 3 121 2" xfId="9850" xr:uid="{00000000-0005-0000-0000-00003A9C0000}"/>
    <cellStyle name="Процентный 4 3 121 2 2" xfId="57911" xr:uid="{00000000-0005-0000-0000-00003B9C0000}"/>
    <cellStyle name="Процентный 4 3 121 3" xfId="15190" xr:uid="{00000000-0005-0000-0000-00003C9C0000}"/>
    <cellStyle name="Процентный 4 3 121 4" xfId="20530" xr:uid="{00000000-0005-0000-0000-00003D9C0000}"/>
    <cellStyle name="Процентный 4 3 121 5" xfId="25870" xr:uid="{00000000-0005-0000-0000-00003E9C0000}"/>
    <cellStyle name="Процентный 4 3 121 6" xfId="31210" xr:uid="{00000000-0005-0000-0000-00003F9C0000}"/>
    <cellStyle name="Процентный 4 3 121 7" xfId="36550" xr:uid="{00000000-0005-0000-0000-0000409C0000}"/>
    <cellStyle name="Процентный 4 3 121 8" xfId="41890" xr:uid="{00000000-0005-0000-0000-0000419C0000}"/>
    <cellStyle name="Процентный 4 3 121 9" xfId="47230" xr:uid="{00000000-0005-0000-0000-0000429C0000}"/>
    <cellStyle name="Процентный 4 3 122" xfId="4539" xr:uid="{00000000-0005-0000-0000-0000439C0000}"/>
    <cellStyle name="Процентный 4 3 122 10" xfId="52602" xr:uid="{00000000-0005-0000-0000-0000449C0000}"/>
    <cellStyle name="Процентный 4 3 122 2" xfId="9882" xr:uid="{00000000-0005-0000-0000-0000459C0000}"/>
    <cellStyle name="Процентный 4 3 122 2 2" xfId="57943" xr:uid="{00000000-0005-0000-0000-0000469C0000}"/>
    <cellStyle name="Процентный 4 3 122 3" xfId="15222" xr:uid="{00000000-0005-0000-0000-0000479C0000}"/>
    <cellStyle name="Процентный 4 3 122 4" xfId="20562" xr:uid="{00000000-0005-0000-0000-0000489C0000}"/>
    <cellStyle name="Процентный 4 3 122 5" xfId="25902" xr:uid="{00000000-0005-0000-0000-0000499C0000}"/>
    <cellStyle name="Процентный 4 3 122 6" xfId="31242" xr:uid="{00000000-0005-0000-0000-00004A9C0000}"/>
    <cellStyle name="Процентный 4 3 122 7" xfId="36582" xr:uid="{00000000-0005-0000-0000-00004B9C0000}"/>
    <cellStyle name="Процентный 4 3 122 8" xfId="41922" xr:uid="{00000000-0005-0000-0000-00004C9C0000}"/>
    <cellStyle name="Процентный 4 3 122 9" xfId="47262" xr:uid="{00000000-0005-0000-0000-00004D9C0000}"/>
    <cellStyle name="Процентный 4 3 123" xfId="4571" xr:uid="{00000000-0005-0000-0000-00004E9C0000}"/>
    <cellStyle name="Процентный 4 3 123 10" xfId="52634" xr:uid="{00000000-0005-0000-0000-00004F9C0000}"/>
    <cellStyle name="Процентный 4 3 123 2" xfId="9914" xr:uid="{00000000-0005-0000-0000-0000509C0000}"/>
    <cellStyle name="Процентный 4 3 123 2 2" xfId="57975" xr:uid="{00000000-0005-0000-0000-0000519C0000}"/>
    <cellStyle name="Процентный 4 3 123 3" xfId="15254" xr:uid="{00000000-0005-0000-0000-0000529C0000}"/>
    <cellStyle name="Процентный 4 3 123 4" xfId="20594" xr:uid="{00000000-0005-0000-0000-0000539C0000}"/>
    <cellStyle name="Процентный 4 3 123 5" xfId="25934" xr:uid="{00000000-0005-0000-0000-0000549C0000}"/>
    <cellStyle name="Процентный 4 3 123 6" xfId="31274" xr:uid="{00000000-0005-0000-0000-0000559C0000}"/>
    <cellStyle name="Процентный 4 3 123 7" xfId="36614" xr:uid="{00000000-0005-0000-0000-0000569C0000}"/>
    <cellStyle name="Процентный 4 3 123 8" xfId="41954" xr:uid="{00000000-0005-0000-0000-0000579C0000}"/>
    <cellStyle name="Процентный 4 3 123 9" xfId="47294" xr:uid="{00000000-0005-0000-0000-0000589C0000}"/>
    <cellStyle name="Процентный 4 3 124" xfId="4603" xr:uid="{00000000-0005-0000-0000-0000599C0000}"/>
    <cellStyle name="Процентный 4 3 124 10" xfId="52666" xr:uid="{00000000-0005-0000-0000-00005A9C0000}"/>
    <cellStyle name="Процентный 4 3 124 2" xfId="9946" xr:uid="{00000000-0005-0000-0000-00005B9C0000}"/>
    <cellStyle name="Процентный 4 3 124 2 2" xfId="58007" xr:uid="{00000000-0005-0000-0000-00005C9C0000}"/>
    <cellStyle name="Процентный 4 3 124 3" xfId="15286" xr:uid="{00000000-0005-0000-0000-00005D9C0000}"/>
    <cellStyle name="Процентный 4 3 124 4" xfId="20626" xr:uid="{00000000-0005-0000-0000-00005E9C0000}"/>
    <cellStyle name="Процентный 4 3 124 5" xfId="25966" xr:uid="{00000000-0005-0000-0000-00005F9C0000}"/>
    <cellStyle name="Процентный 4 3 124 6" xfId="31306" xr:uid="{00000000-0005-0000-0000-0000609C0000}"/>
    <cellStyle name="Процентный 4 3 124 7" xfId="36646" xr:uid="{00000000-0005-0000-0000-0000619C0000}"/>
    <cellStyle name="Процентный 4 3 124 8" xfId="41986" xr:uid="{00000000-0005-0000-0000-0000629C0000}"/>
    <cellStyle name="Процентный 4 3 124 9" xfId="47326" xr:uid="{00000000-0005-0000-0000-0000639C0000}"/>
    <cellStyle name="Процентный 4 3 125" xfId="4635" xr:uid="{00000000-0005-0000-0000-0000649C0000}"/>
    <cellStyle name="Процентный 4 3 125 10" xfId="52698" xr:uid="{00000000-0005-0000-0000-0000659C0000}"/>
    <cellStyle name="Процентный 4 3 125 2" xfId="9978" xr:uid="{00000000-0005-0000-0000-0000669C0000}"/>
    <cellStyle name="Процентный 4 3 125 2 2" xfId="58039" xr:uid="{00000000-0005-0000-0000-0000679C0000}"/>
    <cellStyle name="Процентный 4 3 125 3" xfId="15318" xr:uid="{00000000-0005-0000-0000-0000689C0000}"/>
    <cellStyle name="Процентный 4 3 125 4" xfId="20658" xr:uid="{00000000-0005-0000-0000-0000699C0000}"/>
    <cellStyle name="Процентный 4 3 125 5" xfId="25998" xr:uid="{00000000-0005-0000-0000-00006A9C0000}"/>
    <cellStyle name="Процентный 4 3 125 6" xfId="31338" xr:uid="{00000000-0005-0000-0000-00006B9C0000}"/>
    <cellStyle name="Процентный 4 3 125 7" xfId="36678" xr:uid="{00000000-0005-0000-0000-00006C9C0000}"/>
    <cellStyle name="Процентный 4 3 125 8" xfId="42018" xr:uid="{00000000-0005-0000-0000-00006D9C0000}"/>
    <cellStyle name="Процентный 4 3 125 9" xfId="47358" xr:uid="{00000000-0005-0000-0000-00006E9C0000}"/>
    <cellStyle name="Процентный 4 3 126" xfId="4667" xr:uid="{00000000-0005-0000-0000-00006F9C0000}"/>
    <cellStyle name="Процентный 4 3 126 10" xfId="52730" xr:uid="{00000000-0005-0000-0000-0000709C0000}"/>
    <cellStyle name="Процентный 4 3 126 2" xfId="10010" xr:uid="{00000000-0005-0000-0000-0000719C0000}"/>
    <cellStyle name="Процентный 4 3 126 2 2" xfId="58071" xr:uid="{00000000-0005-0000-0000-0000729C0000}"/>
    <cellStyle name="Процентный 4 3 126 3" xfId="15350" xr:uid="{00000000-0005-0000-0000-0000739C0000}"/>
    <cellStyle name="Процентный 4 3 126 4" xfId="20690" xr:uid="{00000000-0005-0000-0000-0000749C0000}"/>
    <cellStyle name="Процентный 4 3 126 5" xfId="26030" xr:uid="{00000000-0005-0000-0000-0000759C0000}"/>
    <cellStyle name="Процентный 4 3 126 6" xfId="31370" xr:uid="{00000000-0005-0000-0000-0000769C0000}"/>
    <cellStyle name="Процентный 4 3 126 7" xfId="36710" xr:uid="{00000000-0005-0000-0000-0000779C0000}"/>
    <cellStyle name="Процентный 4 3 126 8" xfId="42050" xr:uid="{00000000-0005-0000-0000-0000789C0000}"/>
    <cellStyle name="Процентный 4 3 126 9" xfId="47390" xr:uid="{00000000-0005-0000-0000-0000799C0000}"/>
    <cellStyle name="Процентный 4 3 127" xfId="4699" xr:uid="{00000000-0005-0000-0000-00007A9C0000}"/>
    <cellStyle name="Процентный 4 3 127 10" xfId="52762" xr:uid="{00000000-0005-0000-0000-00007B9C0000}"/>
    <cellStyle name="Процентный 4 3 127 2" xfId="10042" xr:uid="{00000000-0005-0000-0000-00007C9C0000}"/>
    <cellStyle name="Процентный 4 3 127 2 2" xfId="58103" xr:uid="{00000000-0005-0000-0000-00007D9C0000}"/>
    <cellStyle name="Процентный 4 3 127 3" xfId="15382" xr:uid="{00000000-0005-0000-0000-00007E9C0000}"/>
    <cellStyle name="Процентный 4 3 127 4" xfId="20722" xr:uid="{00000000-0005-0000-0000-00007F9C0000}"/>
    <cellStyle name="Процентный 4 3 127 5" xfId="26062" xr:uid="{00000000-0005-0000-0000-0000809C0000}"/>
    <cellStyle name="Процентный 4 3 127 6" xfId="31402" xr:uid="{00000000-0005-0000-0000-0000819C0000}"/>
    <cellStyle name="Процентный 4 3 127 7" xfId="36742" xr:uid="{00000000-0005-0000-0000-0000829C0000}"/>
    <cellStyle name="Процентный 4 3 127 8" xfId="42082" xr:uid="{00000000-0005-0000-0000-0000839C0000}"/>
    <cellStyle name="Процентный 4 3 127 9" xfId="47422" xr:uid="{00000000-0005-0000-0000-0000849C0000}"/>
    <cellStyle name="Процентный 4 3 128" xfId="4733" xr:uid="{00000000-0005-0000-0000-0000859C0000}"/>
    <cellStyle name="Процентный 4 3 128 10" xfId="52796" xr:uid="{00000000-0005-0000-0000-0000869C0000}"/>
    <cellStyle name="Процентный 4 3 128 2" xfId="10076" xr:uid="{00000000-0005-0000-0000-0000879C0000}"/>
    <cellStyle name="Процентный 4 3 128 2 2" xfId="58137" xr:uid="{00000000-0005-0000-0000-0000889C0000}"/>
    <cellStyle name="Процентный 4 3 128 3" xfId="15416" xr:uid="{00000000-0005-0000-0000-0000899C0000}"/>
    <cellStyle name="Процентный 4 3 128 4" xfId="20756" xr:uid="{00000000-0005-0000-0000-00008A9C0000}"/>
    <cellStyle name="Процентный 4 3 128 5" xfId="26096" xr:uid="{00000000-0005-0000-0000-00008B9C0000}"/>
    <cellStyle name="Процентный 4 3 128 6" xfId="31436" xr:uid="{00000000-0005-0000-0000-00008C9C0000}"/>
    <cellStyle name="Процентный 4 3 128 7" xfId="36776" xr:uid="{00000000-0005-0000-0000-00008D9C0000}"/>
    <cellStyle name="Процентный 4 3 128 8" xfId="42116" xr:uid="{00000000-0005-0000-0000-00008E9C0000}"/>
    <cellStyle name="Процентный 4 3 128 9" xfId="47456" xr:uid="{00000000-0005-0000-0000-00008F9C0000}"/>
    <cellStyle name="Процентный 4 3 129" xfId="4765" xr:uid="{00000000-0005-0000-0000-0000909C0000}"/>
    <cellStyle name="Процентный 4 3 129 10" xfId="52828" xr:uid="{00000000-0005-0000-0000-0000919C0000}"/>
    <cellStyle name="Процентный 4 3 129 2" xfId="10108" xr:uid="{00000000-0005-0000-0000-0000929C0000}"/>
    <cellStyle name="Процентный 4 3 129 2 2" xfId="58169" xr:uid="{00000000-0005-0000-0000-0000939C0000}"/>
    <cellStyle name="Процентный 4 3 129 3" xfId="15448" xr:uid="{00000000-0005-0000-0000-0000949C0000}"/>
    <cellStyle name="Процентный 4 3 129 4" xfId="20788" xr:uid="{00000000-0005-0000-0000-0000959C0000}"/>
    <cellStyle name="Процентный 4 3 129 5" xfId="26128" xr:uid="{00000000-0005-0000-0000-0000969C0000}"/>
    <cellStyle name="Процентный 4 3 129 6" xfId="31468" xr:uid="{00000000-0005-0000-0000-0000979C0000}"/>
    <cellStyle name="Процентный 4 3 129 7" xfId="36808" xr:uid="{00000000-0005-0000-0000-0000989C0000}"/>
    <cellStyle name="Процентный 4 3 129 8" xfId="42148" xr:uid="{00000000-0005-0000-0000-0000999C0000}"/>
    <cellStyle name="Процентный 4 3 129 9" xfId="47488" xr:uid="{00000000-0005-0000-0000-00009A9C0000}"/>
    <cellStyle name="Процентный 4 3 13" xfId="1255" xr:uid="{00000000-0005-0000-0000-00009B9C0000}"/>
    <cellStyle name="Процентный 4 3 13 10" xfId="49318" xr:uid="{00000000-0005-0000-0000-00009C9C0000}"/>
    <cellStyle name="Процентный 4 3 13 2" xfId="6597" xr:uid="{00000000-0005-0000-0000-00009D9C0000}"/>
    <cellStyle name="Процентный 4 3 13 2 2" xfId="54659" xr:uid="{00000000-0005-0000-0000-00009E9C0000}"/>
    <cellStyle name="Процентный 4 3 13 3" xfId="11938" xr:uid="{00000000-0005-0000-0000-00009F9C0000}"/>
    <cellStyle name="Процентный 4 3 13 4" xfId="17278" xr:uid="{00000000-0005-0000-0000-0000A09C0000}"/>
    <cellStyle name="Процентный 4 3 13 5" xfId="22618" xr:uid="{00000000-0005-0000-0000-0000A19C0000}"/>
    <cellStyle name="Процентный 4 3 13 6" xfId="27958" xr:uid="{00000000-0005-0000-0000-0000A29C0000}"/>
    <cellStyle name="Процентный 4 3 13 7" xfId="33298" xr:uid="{00000000-0005-0000-0000-0000A39C0000}"/>
    <cellStyle name="Процентный 4 3 13 8" xfId="38638" xr:uid="{00000000-0005-0000-0000-0000A49C0000}"/>
    <cellStyle name="Процентный 4 3 13 9" xfId="43978" xr:uid="{00000000-0005-0000-0000-0000A59C0000}"/>
    <cellStyle name="Процентный 4 3 130" xfId="4797" xr:uid="{00000000-0005-0000-0000-0000A69C0000}"/>
    <cellStyle name="Процентный 4 3 130 10" xfId="52860" xr:uid="{00000000-0005-0000-0000-0000A79C0000}"/>
    <cellStyle name="Процентный 4 3 130 2" xfId="10140" xr:uid="{00000000-0005-0000-0000-0000A89C0000}"/>
    <cellStyle name="Процентный 4 3 130 2 2" xfId="58201" xr:uid="{00000000-0005-0000-0000-0000A99C0000}"/>
    <cellStyle name="Процентный 4 3 130 3" xfId="15480" xr:uid="{00000000-0005-0000-0000-0000AA9C0000}"/>
    <cellStyle name="Процентный 4 3 130 4" xfId="20820" xr:uid="{00000000-0005-0000-0000-0000AB9C0000}"/>
    <cellStyle name="Процентный 4 3 130 5" xfId="26160" xr:uid="{00000000-0005-0000-0000-0000AC9C0000}"/>
    <cellStyle name="Процентный 4 3 130 6" xfId="31500" xr:uid="{00000000-0005-0000-0000-0000AD9C0000}"/>
    <cellStyle name="Процентный 4 3 130 7" xfId="36840" xr:uid="{00000000-0005-0000-0000-0000AE9C0000}"/>
    <cellStyle name="Процентный 4 3 130 8" xfId="42180" xr:uid="{00000000-0005-0000-0000-0000AF9C0000}"/>
    <cellStyle name="Процентный 4 3 130 9" xfId="47520" xr:uid="{00000000-0005-0000-0000-0000B09C0000}"/>
    <cellStyle name="Процентный 4 3 131" xfId="4829" xr:uid="{00000000-0005-0000-0000-0000B19C0000}"/>
    <cellStyle name="Процентный 4 3 131 10" xfId="52892" xr:uid="{00000000-0005-0000-0000-0000B29C0000}"/>
    <cellStyle name="Процентный 4 3 131 2" xfId="10172" xr:uid="{00000000-0005-0000-0000-0000B39C0000}"/>
    <cellStyle name="Процентный 4 3 131 2 2" xfId="58233" xr:uid="{00000000-0005-0000-0000-0000B49C0000}"/>
    <cellStyle name="Процентный 4 3 131 3" xfId="15512" xr:uid="{00000000-0005-0000-0000-0000B59C0000}"/>
    <cellStyle name="Процентный 4 3 131 4" xfId="20852" xr:uid="{00000000-0005-0000-0000-0000B69C0000}"/>
    <cellStyle name="Процентный 4 3 131 5" xfId="26192" xr:uid="{00000000-0005-0000-0000-0000B79C0000}"/>
    <cellStyle name="Процентный 4 3 131 6" xfId="31532" xr:uid="{00000000-0005-0000-0000-0000B89C0000}"/>
    <cellStyle name="Процентный 4 3 131 7" xfId="36872" xr:uid="{00000000-0005-0000-0000-0000B99C0000}"/>
    <cellStyle name="Процентный 4 3 131 8" xfId="42212" xr:uid="{00000000-0005-0000-0000-0000BA9C0000}"/>
    <cellStyle name="Процентный 4 3 131 9" xfId="47552" xr:uid="{00000000-0005-0000-0000-0000BB9C0000}"/>
    <cellStyle name="Процентный 4 3 132" xfId="4861" xr:uid="{00000000-0005-0000-0000-0000BC9C0000}"/>
    <cellStyle name="Процентный 4 3 132 10" xfId="52924" xr:uid="{00000000-0005-0000-0000-0000BD9C0000}"/>
    <cellStyle name="Процентный 4 3 132 2" xfId="10204" xr:uid="{00000000-0005-0000-0000-0000BE9C0000}"/>
    <cellStyle name="Процентный 4 3 132 2 2" xfId="58265" xr:uid="{00000000-0005-0000-0000-0000BF9C0000}"/>
    <cellStyle name="Процентный 4 3 132 3" xfId="15544" xr:uid="{00000000-0005-0000-0000-0000C09C0000}"/>
    <cellStyle name="Процентный 4 3 132 4" xfId="20884" xr:uid="{00000000-0005-0000-0000-0000C19C0000}"/>
    <cellStyle name="Процентный 4 3 132 5" xfId="26224" xr:uid="{00000000-0005-0000-0000-0000C29C0000}"/>
    <cellStyle name="Процентный 4 3 132 6" xfId="31564" xr:uid="{00000000-0005-0000-0000-0000C39C0000}"/>
    <cellStyle name="Процентный 4 3 132 7" xfId="36904" xr:uid="{00000000-0005-0000-0000-0000C49C0000}"/>
    <cellStyle name="Процентный 4 3 132 8" xfId="42244" xr:uid="{00000000-0005-0000-0000-0000C59C0000}"/>
    <cellStyle name="Процентный 4 3 132 9" xfId="47584" xr:uid="{00000000-0005-0000-0000-0000C69C0000}"/>
    <cellStyle name="Процентный 4 3 133" xfId="4893" xr:uid="{00000000-0005-0000-0000-0000C79C0000}"/>
    <cellStyle name="Процентный 4 3 133 10" xfId="52956" xr:uid="{00000000-0005-0000-0000-0000C89C0000}"/>
    <cellStyle name="Процентный 4 3 133 2" xfId="10236" xr:uid="{00000000-0005-0000-0000-0000C99C0000}"/>
    <cellStyle name="Процентный 4 3 133 2 2" xfId="58297" xr:uid="{00000000-0005-0000-0000-0000CA9C0000}"/>
    <cellStyle name="Процентный 4 3 133 3" xfId="15576" xr:uid="{00000000-0005-0000-0000-0000CB9C0000}"/>
    <cellStyle name="Процентный 4 3 133 4" xfId="20916" xr:uid="{00000000-0005-0000-0000-0000CC9C0000}"/>
    <cellStyle name="Процентный 4 3 133 5" xfId="26256" xr:uid="{00000000-0005-0000-0000-0000CD9C0000}"/>
    <cellStyle name="Процентный 4 3 133 6" xfId="31596" xr:uid="{00000000-0005-0000-0000-0000CE9C0000}"/>
    <cellStyle name="Процентный 4 3 133 7" xfId="36936" xr:uid="{00000000-0005-0000-0000-0000CF9C0000}"/>
    <cellStyle name="Процентный 4 3 133 8" xfId="42276" xr:uid="{00000000-0005-0000-0000-0000D09C0000}"/>
    <cellStyle name="Процентный 4 3 133 9" xfId="47616" xr:uid="{00000000-0005-0000-0000-0000D19C0000}"/>
    <cellStyle name="Процентный 4 3 134" xfId="4925" xr:uid="{00000000-0005-0000-0000-0000D29C0000}"/>
    <cellStyle name="Процентный 4 3 134 10" xfId="52988" xr:uid="{00000000-0005-0000-0000-0000D39C0000}"/>
    <cellStyle name="Процентный 4 3 134 2" xfId="10268" xr:uid="{00000000-0005-0000-0000-0000D49C0000}"/>
    <cellStyle name="Процентный 4 3 134 2 2" xfId="58329" xr:uid="{00000000-0005-0000-0000-0000D59C0000}"/>
    <cellStyle name="Процентный 4 3 134 3" xfId="15608" xr:uid="{00000000-0005-0000-0000-0000D69C0000}"/>
    <cellStyle name="Процентный 4 3 134 4" xfId="20948" xr:uid="{00000000-0005-0000-0000-0000D79C0000}"/>
    <cellStyle name="Процентный 4 3 134 5" xfId="26288" xr:uid="{00000000-0005-0000-0000-0000D89C0000}"/>
    <cellStyle name="Процентный 4 3 134 6" xfId="31628" xr:uid="{00000000-0005-0000-0000-0000D99C0000}"/>
    <cellStyle name="Процентный 4 3 134 7" xfId="36968" xr:uid="{00000000-0005-0000-0000-0000DA9C0000}"/>
    <cellStyle name="Процентный 4 3 134 8" xfId="42308" xr:uid="{00000000-0005-0000-0000-0000DB9C0000}"/>
    <cellStyle name="Процентный 4 3 134 9" xfId="47648" xr:uid="{00000000-0005-0000-0000-0000DC9C0000}"/>
    <cellStyle name="Процентный 4 3 135" xfId="4957" xr:uid="{00000000-0005-0000-0000-0000DD9C0000}"/>
    <cellStyle name="Процентный 4 3 135 10" xfId="53020" xr:uid="{00000000-0005-0000-0000-0000DE9C0000}"/>
    <cellStyle name="Процентный 4 3 135 2" xfId="10300" xr:uid="{00000000-0005-0000-0000-0000DF9C0000}"/>
    <cellStyle name="Процентный 4 3 135 2 2" xfId="58361" xr:uid="{00000000-0005-0000-0000-0000E09C0000}"/>
    <cellStyle name="Процентный 4 3 135 3" xfId="15640" xr:uid="{00000000-0005-0000-0000-0000E19C0000}"/>
    <cellStyle name="Процентный 4 3 135 4" xfId="20980" xr:uid="{00000000-0005-0000-0000-0000E29C0000}"/>
    <cellStyle name="Процентный 4 3 135 5" xfId="26320" xr:uid="{00000000-0005-0000-0000-0000E39C0000}"/>
    <cellStyle name="Процентный 4 3 135 6" xfId="31660" xr:uid="{00000000-0005-0000-0000-0000E49C0000}"/>
    <cellStyle name="Процентный 4 3 135 7" xfId="37000" xr:uid="{00000000-0005-0000-0000-0000E59C0000}"/>
    <cellStyle name="Процентный 4 3 135 8" xfId="42340" xr:uid="{00000000-0005-0000-0000-0000E69C0000}"/>
    <cellStyle name="Процентный 4 3 135 9" xfId="47680" xr:uid="{00000000-0005-0000-0000-0000E79C0000}"/>
    <cellStyle name="Процентный 4 3 136" xfId="4989" xr:uid="{00000000-0005-0000-0000-0000E89C0000}"/>
    <cellStyle name="Процентный 4 3 136 10" xfId="53052" xr:uid="{00000000-0005-0000-0000-0000E99C0000}"/>
    <cellStyle name="Процентный 4 3 136 2" xfId="10332" xr:uid="{00000000-0005-0000-0000-0000EA9C0000}"/>
    <cellStyle name="Процентный 4 3 136 2 2" xfId="58393" xr:uid="{00000000-0005-0000-0000-0000EB9C0000}"/>
    <cellStyle name="Процентный 4 3 136 3" xfId="15672" xr:uid="{00000000-0005-0000-0000-0000EC9C0000}"/>
    <cellStyle name="Процентный 4 3 136 4" xfId="21012" xr:uid="{00000000-0005-0000-0000-0000ED9C0000}"/>
    <cellStyle name="Процентный 4 3 136 5" xfId="26352" xr:uid="{00000000-0005-0000-0000-0000EE9C0000}"/>
    <cellStyle name="Процентный 4 3 136 6" xfId="31692" xr:uid="{00000000-0005-0000-0000-0000EF9C0000}"/>
    <cellStyle name="Процентный 4 3 136 7" xfId="37032" xr:uid="{00000000-0005-0000-0000-0000F09C0000}"/>
    <cellStyle name="Процентный 4 3 136 8" xfId="42372" xr:uid="{00000000-0005-0000-0000-0000F19C0000}"/>
    <cellStyle name="Процентный 4 3 136 9" xfId="47712" xr:uid="{00000000-0005-0000-0000-0000F29C0000}"/>
    <cellStyle name="Процентный 4 3 137" xfId="5021" xr:uid="{00000000-0005-0000-0000-0000F39C0000}"/>
    <cellStyle name="Процентный 4 3 137 10" xfId="53084" xr:uid="{00000000-0005-0000-0000-0000F49C0000}"/>
    <cellStyle name="Процентный 4 3 137 2" xfId="10364" xr:uid="{00000000-0005-0000-0000-0000F59C0000}"/>
    <cellStyle name="Процентный 4 3 137 2 2" xfId="58425" xr:uid="{00000000-0005-0000-0000-0000F69C0000}"/>
    <cellStyle name="Процентный 4 3 137 3" xfId="15704" xr:uid="{00000000-0005-0000-0000-0000F79C0000}"/>
    <cellStyle name="Процентный 4 3 137 4" xfId="21044" xr:uid="{00000000-0005-0000-0000-0000F89C0000}"/>
    <cellStyle name="Процентный 4 3 137 5" xfId="26384" xr:uid="{00000000-0005-0000-0000-0000F99C0000}"/>
    <cellStyle name="Процентный 4 3 137 6" xfId="31724" xr:uid="{00000000-0005-0000-0000-0000FA9C0000}"/>
    <cellStyle name="Процентный 4 3 137 7" xfId="37064" xr:uid="{00000000-0005-0000-0000-0000FB9C0000}"/>
    <cellStyle name="Процентный 4 3 137 8" xfId="42404" xr:uid="{00000000-0005-0000-0000-0000FC9C0000}"/>
    <cellStyle name="Процентный 4 3 137 9" xfId="47744" xr:uid="{00000000-0005-0000-0000-0000FD9C0000}"/>
    <cellStyle name="Процентный 4 3 138" xfId="5053" xr:uid="{00000000-0005-0000-0000-0000FE9C0000}"/>
    <cellStyle name="Процентный 4 3 138 10" xfId="53116" xr:uid="{00000000-0005-0000-0000-0000FF9C0000}"/>
    <cellStyle name="Процентный 4 3 138 2" xfId="10396" xr:uid="{00000000-0005-0000-0000-0000009D0000}"/>
    <cellStyle name="Процентный 4 3 138 2 2" xfId="58457" xr:uid="{00000000-0005-0000-0000-0000019D0000}"/>
    <cellStyle name="Процентный 4 3 138 3" xfId="15736" xr:uid="{00000000-0005-0000-0000-0000029D0000}"/>
    <cellStyle name="Процентный 4 3 138 4" xfId="21076" xr:uid="{00000000-0005-0000-0000-0000039D0000}"/>
    <cellStyle name="Процентный 4 3 138 5" xfId="26416" xr:uid="{00000000-0005-0000-0000-0000049D0000}"/>
    <cellStyle name="Процентный 4 3 138 6" xfId="31756" xr:uid="{00000000-0005-0000-0000-0000059D0000}"/>
    <cellStyle name="Процентный 4 3 138 7" xfId="37096" xr:uid="{00000000-0005-0000-0000-0000069D0000}"/>
    <cellStyle name="Процентный 4 3 138 8" xfId="42436" xr:uid="{00000000-0005-0000-0000-0000079D0000}"/>
    <cellStyle name="Процентный 4 3 138 9" xfId="47776" xr:uid="{00000000-0005-0000-0000-0000089D0000}"/>
    <cellStyle name="Процентный 4 3 139" xfId="5085" xr:uid="{00000000-0005-0000-0000-0000099D0000}"/>
    <cellStyle name="Процентный 4 3 139 10" xfId="53148" xr:uid="{00000000-0005-0000-0000-00000A9D0000}"/>
    <cellStyle name="Процентный 4 3 139 2" xfId="10428" xr:uid="{00000000-0005-0000-0000-00000B9D0000}"/>
    <cellStyle name="Процентный 4 3 139 2 2" xfId="58489" xr:uid="{00000000-0005-0000-0000-00000C9D0000}"/>
    <cellStyle name="Процентный 4 3 139 3" xfId="15768" xr:uid="{00000000-0005-0000-0000-00000D9D0000}"/>
    <cellStyle name="Процентный 4 3 139 4" xfId="21108" xr:uid="{00000000-0005-0000-0000-00000E9D0000}"/>
    <cellStyle name="Процентный 4 3 139 5" xfId="26448" xr:uid="{00000000-0005-0000-0000-00000F9D0000}"/>
    <cellStyle name="Процентный 4 3 139 6" xfId="31788" xr:uid="{00000000-0005-0000-0000-0000109D0000}"/>
    <cellStyle name="Процентный 4 3 139 7" xfId="37128" xr:uid="{00000000-0005-0000-0000-0000119D0000}"/>
    <cellStyle name="Процентный 4 3 139 8" xfId="42468" xr:uid="{00000000-0005-0000-0000-0000129D0000}"/>
    <cellStyle name="Процентный 4 3 139 9" xfId="47808" xr:uid="{00000000-0005-0000-0000-0000139D0000}"/>
    <cellStyle name="Процентный 4 3 14" xfId="1281" xr:uid="{00000000-0005-0000-0000-0000149D0000}"/>
    <cellStyle name="Процентный 4 3 14 10" xfId="49344" xr:uid="{00000000-0005-0000-0000-0000159D0000}"/>
    <cellStyle name="Процентный 4 3 14 2" xfId="6623" xr:uid="{00000000-0005-0000-0000-0000169D0000}"/>
    <cellStyle name="Процентный 4 3 14 2 2" xfId="54685" xr:uid="{00000000-0005-0000-0000-0000179D0000}"/>
    <cellStyle name="Процентный 4 3 14 3" xfId="11964" xr:uid="{00000000-0005-0000-0000-0000189D0000}"/>
    <cellStyle name="Процентный 4 3 14 4" xfId="17304" xr:uid="{00000000-0005-0000-0000-0000199D0000}"/>
    <cellStyle name="Процентный 4 3 14 5" xfId="22644" xr:uid="{00000000-0005-0000-0000-00001A9D0000}"/>
    <cellStyle name="Процентный 4 3 14 6" xfId="27984" xr:uid="{00000000-0005-0000-0000-00001B9D0000}"/>
    <cellStyle name="Процентный 4 3 14 7" xfId="33324" xr:uid="{00000000-0005-0000-0000-00001C9D0000}"/>
    <cellStyle name="Процентный 4 3 14 8" xfId="38664" xr:uid="{00000000-0005-0000-0000-00001D9D0000}"/>
    <cellStyle name="Процентный 4 3 14 9" xfId="44004" xr:uid="{00000000-0005-0000-0000-00001E9D0000}"/>
    <cellStyle name="Процентный 4 3 140" xfId="5117" xr:uid="{00000000-0005-0000-0000-00001F9D0000}"/>
    <cellStyle name="Процентный 4 3 140 10" xfId="53180" xr:uid="{00000000-0005-0000-0000-0000209D0000}"/>
    <cellStyle name="Процентный 4 3 140 2" xfId="10460" xr:uid="{00000000-0005-0000-0000-0000219D0000}"/>
    <cellStyle name="Процентный 4 3 140 2 2" xfId="58521" xr:uid="{00000000-0005-0000-0000-0000229D0000}"/>
    <cellStyle name="Процентный 4 3 140 3" xfId="15800" xr:uid="{00000000-0005-0000-0000-0000239D0000}"/>
    <cellStyle name="Процентный 4 3 140 4" xfId="21140" xr:uid="{00000000-0005-0000-0000-0000249D0000}"/>
    <cellStyle name="Процентный 4 3 140 5" xfId="26480" xr:uid="{00000000-0005-0000-0000-0000259D0000}"/>
    <cellStyle name="Процентный 4 3 140 6" xfId="31820" xr:uid="{00000000-0005-0000-0000-0000269D0000}"/>
    <cellStyle name="Процентный 4 3 140 7" xfId="37160" xr:uid="{00000000-0005-0000-0000-0000279D0000}"/>
    <cellStyle name="Процентный 4 3 140 8" xfId="42500" xr:uid="{00000000-0005-0000-0000-0000289D0000}"/>
    <cellStyle name="Процентный 4 3 140 9" xfId="47840" xr:uid="{00000000-0005-0000-0000-0000299D0000}"/>
    <cellStyle name="Процентный 4 3 141" xfId="5149" xr:uid="{00000000-0005-0000-0000-00002A9D0000}"/>
    <cellStyle name="Процентный 4 3 141 10" xfId="53212" xr:uid="{00000000-0005-0000-0000-00002B9D0000}"/>
    <cellStyle name="Процентный 4 3 141 2" xfId="10492" xr:uid="{00000000-0005-0000-0000-00002C9D0000}"/>
    <cellStyle name="Процентный 4 3 141 2 2" xfId="58553" xr:uid="{00000000-0005-0000-0000-00002D9D0000}"/>
    <cellStyle name="Процентный 4 3 141 3" xfId="15832" xr:uid="{00000000-0005-0000-0000-00002E9D0000}"/>
    <cellStyle name="Процентный 4 3 141 4" xfId="21172" xr:uid="{00000000-0005-0000-0000-00002F9D0000}"/>
    <cellStyle name="Процентный 4 3 141 5" xfId="26512" xr:uid="{00000000-0005-0000-0000-0000309D0000}"/>
    <cellStyle name="Процентный 4 3 141 6" xfId="31852" xr:uid="{00000000-0005-0000-0000-0000319D0000}"/>
    <cellStyle name="Процентный 4 3 141 7" xfId="37192" xr:uid="{00000000-0005-0000-0000-0000329D0000}"/>
    <cellStyle name="Процентный 4 3 141 8" xfId="42532" xr:uid="{00000000-0005-0000-0000-0000339D0000}"/>
    <cellStyle name="Процентный 4 3 141 9" xfId="47872" xr:uid="{00000000-0005-0000-0000-0000349D0000}"/>
    <cellStyle name="Процентный 4 3 142" xfId="5181" xr:uid="{00000000-0005-0000-0000-0000359D0000}"/>
    <cellStyle name="Процентный 4 3 142 10" xfId="53244" xr:uid="{00000000-0005-0000-0000-0000369D0000}"/>
    <cellStyle name="Процентный 4 3 142 2" xfId="10524" xr:uid="{00000000-0005-0000-0000-0000379D0000}"/>
    <cellStyle name="Процентный 4 3 142 2 2" xfId="58585" xr:uid="{00000000-0005-0000-0000-0000389D0000}"/>
    <cellStyle name="Процентный 4 3 142 3" xfId="15864" xr:uid="{00000000-0005-0000-0000-0000399D0000}"/>
    <cellStyle name="Процентный 4 3 142 4" xfId="21204" xr:uid="{00000000-0005-0000-0000-00003A9D0000}"/>
    <cellStyle name="Процентный 4 3 142 5" xfId="26544" xr:uid="{00000000-0005-0000-0000-00003B9D0000}"/>
    <cellStyle name="Процентный 4 3 142 6" xfId="31884" xr:uid="{00000000-0005-0000-0000-00003C9D0000}"/>
    <cellStyle name="Процентный 4 3 142 7" xfId="37224" xr:uid="{00000000-0005-0000-0000-00003D9D0000}"/>
    <cellStyle name="Процентный 4 3 142 8" xfId="42564" xr:uid="{00000000-0005-0000-0000-00003E9D0000}"/>
    <cellStyle name="Процентный 4 3 142 9" xfId="47904" xr:uid="{00000000-0005-0000-0000-00003F9D0000}"/>
    <cellStyle name="Процентный 4 3 143" xfId="5213" xr:uid="{00000000-0005-0000-0000-0000409D0000}"/>
    <cellStyle name="Процентный 4 3 143 10" xfId="53276" xr:uid="{00000000-0005-0000-0000-0000419D0000}"/>
    <cellStyle name="Процентный 4 3 143 2" xfId="10556" xr:uid="{00000000-0005-0000-0000-0000429D0000}"/>
    <cellStyle name="Процентный 4 3 143 2 2" xfId="58617" xr:uid="{00000000-0005-0000-0000-0000439D0000}"/>
    <cellStyle name="Процентный 4 3 143 3" xfId="15896" xr:uid="{00000000-0005-0000-0000-0000449D0000}"/>
    <cellStyle name="Процентный 4 3 143 4" xfId="21236" xr:uid="{00000000-0005-0000-0000-0000459D0000}"/>
    <cellStyle name="Процентный 4 3 143 5" xfId="26576" xr:uid="{00000000-0005-0000-0000-0000469D0000}"/>
    <cellStyle name="Процентный 4 3 143 6" xfId="31916" xr:uid="{00000000-0005-0000-0000-0000479D0000}"/>
    <cellStyle name="Процентный 4 3 143 7" xfId="37256" xr:uid="{00000000-0005-0000-0000-0000489D0000}"/>
    <cellStyle name="Процентный 4 3 143 8" xfId="42596" xr:uid="{00000000-0005-0000-0000-0000499D0000}"/>
    <cellStyle name="Процентный 4 3 143 9" xfId="47936" xr:uid="{00000000-0005-0000-0000-00004A9D0000}"/>
    <cellStyle name="Процентный 4 3 144" xfId="5245" xr:uid="{00000000-0005-0000-0000-00004B9D0000}"/>
    <cellStyle name="Процентный 4 3 144 10" xfId="53308" xr:uid="{00000000-0005-0000-0000-00004C9D0000}"/>
    <cellStyle name="Процентный 4 3 144 2" xfId="10588" xr:uid="{00000000-0005-0000-0000-00004D9D0000}"/>
    <cellStyle name="Процентный 4 3 144 2 2" xfId="58649" xr:uid="{00000000-0005-0000-0000-00004E9D0000}"/>
    <cellStyle name="Процентный 4 3 144 3" xfId="15928" xr:uid="{00000000-0005-0000-0000-00004F9D0000}"/>
    <cellStyle name="Процентный 4 3 144 4" xfId="21268" xr:uid="{00000000-0005-0000-0000-0000509D0000}"/>
    <cellStyle name="Процентный 4 3 144 5" xfId="26608" xr:uid="{00000000-0005-0000-0000-0000519D0000}"/>
    <cellStyle name="Процентный 4 3 144 6" xfId="31948" xr:uid="{00000000-0005-0000-0000-0000529D0000}"/>
    <cellStyle name="Процентный 4 3 144 7" xfId="37288" xr:uid="{00000000-0005-0000-0000-0000539D0000}"/>
    <cellStyle name="Процентный 4 3 144 8" xfId="42628" xr:uid="{00000000-0005-0000-0000-0000549D0000}"/>
    <cellStyle name="Процентный 4 3 144 9" xfId="47968" xr:uid="{00000000-0005-0000-0000-0000559D0000}"/>
    <cellStyle name="Процентный 4 3 145" xfId="5277" xr:uid="{00000000-0005-0000-0000-0000569D0000}"/>
    <cellStyle name="Процентный 4 3 145 10" xfId="53340" xr:uid="{00000000-0005-0000-0000-0000579D0000}"/>
    <cellStyle name="Процентный 4 3 145 2" xfId="10620" xr:uid="{00000000-0005-0000-0000-0000589D0000}"/>
    <cellStyle name="Процентный 4 3 145 2 2" xfId="58681" xr:uid="{00000000-0005-0000-0000-0000599D0000}"/>
    <cellStyle name="Процентный 4 3 145 3" xfId="15960" xr:uid="{00000000-0005-0000-0000-00005A9D0000}"/>
    <cellStyle name="Процентный 4 3 145 4" xfId="21300" xr:uid="{00000000-0005-0000-0000-00005B9D0000}"/>
    <cellStyle name="Процентный 4 3 145 5" xfId="26640" xr:uid="{00000000-0005-0000-0000-00005C9D0000}"/>
    <cellStyle name="Процентный 4 3 145 6" xfId="31980" xr:uid="{00000000-0005-0000-0000-00005D9D0000}"/>
    <cellStyle name="Процентный 4 3 145 7" xfId="37320" xr:uid="{00000000-0005-0000-0000-00005E9D0000}"/>
    <cellStyle name="Процентный 4 3 145 8" xfId="42660" xr:uid="{00000000-0005-0000-0000-00005F9D0000}"/>
    <cellStyle name="Процентный 4 3 145 9" xfId="48000" xr:uid="{00000000-0005-0000-0000-0000609D0000}"/>
    <cellStyle name="Процентный 4 3 146" xfId="5309" xr:uid="{00000000-0005-0000-0000-0000619D0000}"/>
    <cellStyle name="Процентный 4 3 146 10" xfId="53372" xr:uid="{00000000-0005-0000-0000-0000629D0000}"/>
    <cellStyle name="Процентный 4 3 146 2" xfId="10652" xr:uid="{00000000-0005-0000-0000-0000639D0000}"/>
    <cellStyle name="Процентный 4 3 146 2 2" xfId="58713" xr:uid="{00000000-0005-0000-0000-0000649D0000}"/>
    <cellStyle name="Процентный 4 3 146 3" xfId="15992" xr:uid="{00000000-0005-0000-0000-0000659D0000}"/>
    <cellStyle name="Процентный 4 3 146 4" xfId="21332" xr:uid="{00000000-0005-0000-0000-0000669D0000}"/>
    <cellStyle name="Процентный 4 3 146 5" xfId="26672" xr:uid="{00000000-0005-0000-0000-0000679D0000}"/>
    <cellStyle name="Процентный 4 3 146 6" xfId="32012" xr:uid="{00000000-0005-0000-0000-0000689D0000}"/>
    <cellStyle name="Процентный 4 3 146 7" xfId="37352" xr:uid="{00000000-0005-0000-0000-0000699D0000}"/>
    <cellStyle name="Процентный 4 3 146 8" xfId="42692" xr:uid="{00000000-0005-0000-0000-00006A9D0000}"/>
    <cellStyle name="Процентный 4 3 146 9" xfId="48032" xr:uid="{00000000-0005-0000-0000-00006B9D0000}"/>
    <cellStyle name="Процентный 4 3 147" xfId="5341" xr:uid="{00000000-0005-0000-0000-00006C9D0000}"/>
    <cellStyle name="Процентный 4 3 147 10" xfId="53404" xr:uid="{00000000-0005-0000-0000-00006D9D0000}"/>
    <cellStyle name="Процентный 4 3 147 2" xfId="10684" xr:uid="{00000000-0005-0000-0000-00006E9D0000}"/>
    <cellStyle name="Процентный 4 3 147 2 2" xfId="58745" xr:uid="{00000000-0005-0000-0000-00006F9D0000}"/>
    <cellStyle name="Процентный 4 3 147 3" xfId="16024" xr:uid="{00000000-0005-0000-0000-0000709D0000}"/>
    <cellStyle name="Процентный 4 3 147 4" xfId="21364" xr:uid="{00000000-0005-0000-0000-0000719D0000}"/>
    <cellStyle name="Процентный 4 3 147 5" xfId="26704" xr:uid="{00000000-0005-0000-0000-0000729D0000}"/>
    <cellStyle name="Процентный 4 3 147 6" xfId="32044" xr:uid="{00000000-0005-0000-0000-0000739D0000}"/>
    <cellStyle name="Процентный 4 3 147 7" xfId="37384" xr:uid="{00000000-0005-0000-0000-0000749D0000}"/>
    <cellStyle name="Процентный 4 3 147 8" xfId="42724" xr:uid="{00000000-0005-0000-0000-0000759D0000}"/>
    <cellStyle name="Процентный 4 3 147 9" xfId="48064" xr:uid="{00000000-0005-0000-0000-0000769D0000}"/>
    <cellStyle name="Процентный 4 3 148" xfId="5373" xr:uid="{00000000-0005-0000-0000-0000779D0000}"/>
    <cellStyle name="Процентный 4 3 148 10" xfId="53436" xr:uid="{00000000-0005-0000-0000-0000789D0000}"/>
    <cellStyle name="Процентный 4 3 148 2" xfId="10716" xr:uid="{00000000-0005-0000-0000-0000799D0000}"/>
    <cellStyle name="Процентный 4 3 148 2 2" xfId="58777" xr:uid="{00000000-0005-0000-0000-00007A9D0000}"/>
    <cellStyle name="Процентный 4 3 148 3" xfId="16056" xr:uid="{00000000-0005-0000-0000-00007B9D0000}"/>
    <cellStyle name="Процентный 4 3 148 4" xfId="21396" xr:uid="{00000000-0005-0000-0000-00007C9D0000}"/>
    <cellStyle name="Процентный 4 3 148 5" xfId="26736" xr:uid="{00000000-0005-0000-0000-00007D9D0000}"/>
    <cellStyle name="Процентный 4 3 148 6" xfId="32076" xr:uid="{00000000-0005-0000-0000-00007E9D0000}"/>
    <cellStyle name="Процентный 4 3 148 7" xfId="37416" xr:uid="{00000000-0005-0000-0000-00007F9D0000}"/>
    <cellStyle name="Процентный 4 3 148 8" xfId="42756" xr:uid="{00000000-0005-0000-0000-0000809D0000}"/>
    <cellStyle name="Процентный 4 3 148 9" xfId="48096" xr:uid="{00000000-0005-0000-0000-0000819D0000}"/>
    <cellStyle name="Процентный 4 3 149" xfId="5400" xr:uid="{00000000-0005-0000-0000-0000829D0000}"/>
    <cellStyle name="Процентный 4 3 149 2" xfId="53462" xr:uid="{00000000-0005-0000-0000-0000839D0000}"/>
    <cellStyle name="Процентный 4 3 15" xfId="1307" xr:uid="{00000000-0005-0000-0000-0000849D0000}"/>
    <cellStyle name="Процентный 4 3 15 10" xfId="49370" xr:uid="{00000000-0005-0000-0000-0000859D0000}"/>
    <cellStyle name="Процентный 4 3 15 2" xfId="6649" xr:uid="{00000000-0005-0000-0000-0000869D0000}"/>
    <cellStyle name="Процентный 4 3 15 2 2" xfId="54711" xr:uid="{00000000-0005-0000-0000-0000879D0000}"/>
    <cellStyle name="Процентный 4 3 15 3" xfId="11990" xr:uid="{00000000-0005-0000-0000-0000889D0000}"/>
    <cellStyle name="Процентный 4 3 15 4" xfId="17330" xr:uid="{00000000-0005-0000-0000-0000899D0000}"/>
    <cellStyle name="Процентный 4 3 15 5" xfId="22670" xr:uid="{00000000-0005-0000-0000-00008A9D0000}"/>
    <cellStyle name="Процентный 4 3 15 6" xfId="28010" xr:uid="{00000000-0005-0000-0000-00008B9D0000}"/>
    <cellStyle name="Процентный 4 3 15 7" xfId="33350" xr:uid="{00000000-0005-0000-0000-00008C9D0000}"/>
    <cellStyle name="Процентный 4 3 15 8" xfId="38690" xr:uid="{00000000-0005-0000-0000-00008D9D0000}"/>
    <cellStyle name="Процентный 4 3 15 9" xfId="44030" xr:uid="{00000000-0005-0000-0000-00008E9D0000}"/>
    <cellStyle name="Процентный 4 3 150" xfId="10741" xr:uid="{00000000-0005-0000-0000-00008F9D0000}"/>
    <cellStyle name="Процентный 4 3 151" xfId="16081" xr:uid="{00000000-0005-0000-0000-0000909D0000}"/>
    <cellStyle name="Процентный 4 3 152" xfId="21421" xr:uid="{00000000-0005-0000-0000-0000919D0000}"/>
    <cellStyle name="Процентный 4 3 153" xfId="26761" xr:uid="{00000000-0005-0000-0000-0000929D0000}"/>
    <cellStyle name="Процентный 4 3 154" xfId="32101" xr:uid="{00000000-0005-0000-0000-0000939D0000}"/>
    <cellStyle name="Процентный 4 3 155" xfId="37441" xr:uid="{00000000-0005-0000-0000-0000949D0000}"/>
    <cellStyle name="Процентный 4 3 156" xfId="42781" xr:uid="{00000000-0005-0000-0000-0000959D0000}"/>
    <cellStyle name="Процентный 4 3 157" xfId="48121" xr:uid="{00000000-0005-0000-0000-0000969D0000}"/>
    <cellStyle name="Процентный 4 3 16" xfId="1333" xr:uid="{00000000-0005-0000-0000-0000979D0000}"/>
    <cellStyle name="Процентный 4 3 16 10" xfId="49396" xr:uid="{00000000-0005-0000-0000-0000989D0000}"/>
    <cellStyle name="Процентный 4 3 16 2" xfId="6675" xr:uid="{00000000-0005-0000-0000-0000999D0000}"/>
    <cellStyle name="Процентный 4 3 16 2 2" xfId="54737" xr:uid="{00000000-0005-0000-0000-00009A9D0000}"/>
    <cellStyle name="Процентный 4 3 16 3" xfId="12016" xr:uid="{00000000-0005-0000-0000-00009B9D0000}"/>
    <cellStyle name="Процентный 4 3 16 4" xfId="17356" xr:uid="{00000000-0005-0000-0000-00009C9D0000}"/>
    <cellStyle name="Процентный 4 3 16 5" xfId="22696" xr:uid="{00000000-0005-0000-0000-00009D9D0000}"/>
    <cellStyle name="Процентный 4 3 16 6" xfId="28036" xr:uid="{00000000-0005-0000-0000-00009E9D0000}"/>
    <cellStyle name="Процентный 4 3 16 7" xfId="33376" xr:uid="{00000000-0005-0000-0000-00009F9D0000}"/>
    <cellStyle name="Процентный 4 3 16 8" xfId="38716" xr:uid="{00000000-0005-0000-0000-0000A09D0000}"/>
    <cellStyle name="Процентный 4 3 16 9" xfId="44056" xr:uid="{00000000-0005-0000-0000-0000A19D0000}"/>
    <cellStyle name="Процентный 4 3 17" xfId="1359" xr:uid="{00000000-0005-0000-0000-0000A29D0000}"/>
    <cellStyle name="Процентный 4 3 17 10" xfId="49422" xr:uid="{00000000-0005-0000-0000-0000A39D0000}"/>
    <cellStyle name="Процентный 4 3 17 2" xfId="6701" xr:uid="{00000000-0005-0000-0000-0000A49D0000}"/>
    <cellStyle name="Процентный 4 3 17 2 2" xfId="54763" xr:uid="{00000000-0005-0000-0000-0000A59D0000}"/>
    <cellStyle name="Процентный 4 3 17 3" xfId="12042" xr:uid="{00000000-0005-0000-0000-0000A69D0000}"/>
    <cellStyle name="Процентный 4 3 17 4" xfId="17382" xr:uid="{00000000-0005-0000-0000-0000A79D0000}"/>
    <cellStyle name="Процентный 4 3 17 5" xfId="22722" xr:uid="{00000000-0005-0000-0000-0000A89D0000}"/>
    <cellStyle name="Процентный 4 3 17 6" xfId="28062" xr:uid="{00000000-0005-0000-0000-0000A99D0000}"/>
    <cellStyle name="Процентный 4 3 17 7" xfId="33402" xr:uid="{00000000-0005-0000-0000-0000AA9D0000}"/>
    <cellStyle name="Процентный 4 3 17 8" xfId="38742" xr:uid="{00000000-0005-0000-0000-0000AB9D0000}"/>
    <cellStyle name="Процентный 4 3 17 9" xfId="44082" xr:uid="{00000000-0005-0000-0000-0000AC9D0000}"/>
    <cellStyle name="Процентный 4 3 18" xfId="1385" xr:uid="{00000000-0005-0000-0000-0000AD9D0000}"/>
    <cellStyle name="Процентный 4 3 18 10" xfId="49448" xr:uid="{00000000-0005-0000-0000-0000AE9D0000}"/>
    <cellStyle name="Процентный 4 3 18 2" xfId="6727" xr:uid="{00000000-0005-0000-0000-0000AF9D0000}"/>
    <cellStyle name="Процентный 4 3 18 2 2" xfId="54789" xr:uid="{00000000-0005-0000-0000-0000B09D0000}"/>
    <cellStyle name="Процентный 4 3 18 3" xfId="12068" xr:uid="{00000000-0005-0000-0000-0000B19D0000}"/>
    <cellStyle name="Процентный 4 3 18 4" xfId="17408" xr:uid="{00000000-0005-0000-0000-0000B29D0000}"/>
    <cellStyle name="Процентный 4 3 18 5" xfId="22748" xr:uid="{00000000-0005-0000-0000-0000B39D0000}"/>
    <cellStyle name="Процентный 4 3 18 6" xfId="28088" xr:uid="{00000000-0005-0000-0000-0000B49D0000}"/>
    <cellStyle name="Процентный 4 3 18 7" xfId="33428" xr:uid="{00000000-0005-0000-0000-0000B59D0000}"/>
    <cellStyle name="Процентный 4 3 18 8" xfId="38768" xr:uid="{00000000-0005-0000-0000-0000B69D0000}"/>
    <cellStyle name="Процентный 4 3 18 9" xfId="44108" xr:uid="{00000000-0005-0000-0000-0000B79D0000}"/>
    <cellStyle name="Процентный 4 3 19" xfId="1411" xr:uid="{00000000-0005-0000-0000-0000B89D0000}"/>
    <cellStyle name="Процентный 4 3 19 10" xfId="49474" xr:uid="{00000000-0005-0000-0000-0000B99D0000}"/>
    <cellStyle name="Процентный 4 3 19 2" xfId="6753" xr:uid="{00000000-0005-0000-0000-0000BA9D0000}"/>
    <cellStyle name="Процентный 4 3 19 2 2" xfId="54815" xr:uid="{00000000-0005-0000-0000-0000BB9D0000}"/>
    <cellStyle name="Процентный 4 3 19 3" xfId="12094" xr:uid="{00000000-0005-0000-0000-0000BC9D0000}"/>
    <cellStyle name="Процентный 4 3 19 4" xfId="17434" xr:uid="{00000000-0005-0000-0000-0000BD9D0000}"/>
    <cellStyle name="Процентный 4 3 19 5" xfId="22774" xr:uid="{00000000-0005-0000-0000-0000BE9D0000}"/>
    <cellStyle name="Процентный 4 3 19 6" xfId="28114" xr:uid="{00000000-0005-0000-0000-0000BF9D0000}"/>
    <cellStyle name="Процентный 4 3 19 7" xfId="33454" xr:uid="{00000000-0005-0000-0000-0000C09D0000}"/>
    <cellStyle name="Процентный 4 3 19 8" xfId="38794" xr:uid="{00000000-0005-0000-0000-0000C19D0000}"/>
    <cellStyle name="Процентный 4 3 19 9" xfId="44134" xr:uid="{00000000-0005-0000-0000-0000C29D0000}"/>
    <cellStyle name="Процентный 4 3 2" xfId="526" xr:uid="{00000000-0005-0000-0000-0000C39D0000}"/>
    <cellStyle name="Процентный 4 3 2 10" xfId="48588" xr:uid="{00000000-0005-0000-0000-0000C49D0000}"/>
    <cellStyle name="Процентный 4 3 2 2" xfId="5867" xr:uid="{00000000-0005-0000-0000-0000C59D0000}"/>
    <cellStyle name="Процентный 4 3 2 2 2" xfId="53929" xr:uid="{00000000-0005-0000-0000-0000C69D0000}"/>
    <cellStyle name="Процентный 4 3 2 3" xfId="11208" xr:uid="{00000000-0005-0000-0000-0000C79D0000}"/>
    <cellStyle name="Процентный 4 3 2 4" xfId="16548" xr:uid="{00000000-0005-0000-0000-0000C89D0000}"/>
    <cellStyle name="Процентный 4 3 2 5" xfId="21888" xr:uid="{00000000-0005-0000-0000-0000C99D0000}"/>
    <cellStyle name="Процентный 4 3 2 6" xfId="27228" xr:uid="{00000000-0005-0000-0000-0000CA9D0000}"/>
    <cellStyle name="Процентный 4 3 2 7" xfId="32568" xr:uid="{00000000-0005-0000-0000-0000CB9D0000}"/>
    <cellStyle name="Процентный 4 3 2 8" xfId="37908" xr:uid="{00000000-0005-0000-0000-0000CC9D0000}"/>
    <cellStyle name="Процентный 4 3 2 9" xfId="43248" xr:uid="{00000000-0005-0000-0000-0000CD9D0000}"/>
    <cellStyle name="Процентный 4 3 20" xfId="1437" xr:uid="{00000000-0005-0000-0000-0000CE9D0000}"/>
    <cellStyle name="Процентный 4 3 20 10" xfId="49500" xr:uid="{00000000-0005-0000-0000-0000CF9D0000}"/>
    <cellStyle name="Процентный 4 3 20 2" xfId="6779" xr:uid="{00000000-0005-0000-0000-0000D09D0000}"/>
    <cellStyle name="Процентный 4 3 20 2 2" xfId="54841" xr:uid="{00000000-0005-0000-0000-0000D19D0000}"/>
    <cellStyle name="Процентный 4 3 20 3" xfId="12120" xr:uid="{00000000-0005-0000-0000-0000D29D0000}"/>
    <cellStyle name="Процентный 4 3 20 4" xfId="17460" xr:uid="{00000000-0005-0000-0000-0000D39D0000}"/>
    <cellStyle name="Процентный 4 3 20 5" xfId="22800" xr:uid="{00000000-0005-0000-0000-0000D49D0000}"/>
    <cellStyle name="Процентный 4 3 20 6" xfId="28140" xr:uid="{00000000-0005-0000-0000-0000D59D0000}"/>
    <cellStyle name="Процентный 4 3 20 7" xfId="33480" xr:uid="{00000000-0005-0000-0000-0000D69D0000}"/>
    <cellStyle name="Процентный 4 3 20 8" xfId="38820" xr:uid="{00000000-0005-0000-0000-0000D79D0000}"/>
    <cellStyle name="Процентный 4 3 20 9" xfId="44160" xr:uid="{00000000-0005-0000-0000-0000D89D0000}"/>
    <cellStyle name="Процентный 4 3 21" xfId="1463" xr:uid="{00000000-0005-0000-0000-0000D99D0000}"/>
    <cellStyle name="Процентный 4 3 21 10" xfId="49526" xr:uid="{00000000-0005-0000-0000-0000DA9D0000}"/>
    <cellStyle name="Процентный 4 3 21 2" xfId="6805" xr:uid="{00000000-0005-0000-0000-0000DB9D0000}"/>
    <cellStyle name="Процентный 4 3 21 2 2" xfId="54867" xr:uid="{00000000-0005-0000-0000-0000DC9D0000}"/>
    <cellStyle name="Процентный 4 3 21 3" xfId="12146" xr:uid="{00000000-0005-0000-0000-0000DD9D0000}"/>
    <cellStyle name="Процентный 4 3 21 4" xfId="17486" xr:uid="{00000000-0005-0000-0000-0000DE9D0000}"/>
    <cellStyle name="Процентный 4 3 21 5" xfId="22826" xr:uid="{00000000-0005-0000-0000-0000DF9D0000}"/>
    <cellStyle name="Процентный 4 3 21 6" xfId="28166" xr:uid="{00000000-0005-0000-0000-0000E09D0000}"/>
    <cellStyle name="Процентный 4 3 21 7" xfId="33506" xr:uid="{00000000-0005-0000-0000-0000E19D0000}"/>
    <cellStyle name="Процентный 4 3 21 8" xfId="38846" xr:uid="{00000000-0005-0000-0000-0000E29D0000}"/>
    <cellStyle name="Процентный 4 3 21 9" xfId="44186" xr:uid="{00000000-0005-0000-0000-0000E39D0000}"/>
    <cellStyle name="Процентный 4 3 22" xfId="1489" xr:uid="{00000000-0005-0000-0000-0000E49D0000}"/>
    <cellStyle name="Процентный 4 3 22 10" xfId="49552" xr:uid="{00000000-0005-0000-0000-0000E59D0000}"/>
    <cellStyle name="Процентный 4 3 22 2" xfId="6831" xr:uid="{00000000-0005-0000-0000-0000E69D0000}"/>
    <cellStyle name="Процентный 4 3 22 2 2" xfId="54893" xr:uid="{00000000-0005-0000-0000-0000E79D0000}"/>
    <cellStyle name="Процентный 4 3 22 3" xfId="12172" xr:uid="{00000000-0005-0000-0000-0000E89D0000}"/>
    <cellStyle name="Процентный 4 3 22 4" xfId="17512" xr:uid="{00000000-0005-0000-0000-0000E99D0000}"/>
    <cellStyle name="Процентный 4 3 22 5" xfId="22852" xr:uid="{00000000-0005-0000-0000-0000EA9D0000}"/>
    <cellStyle name="Процентный 4 3 22 6" xfId="28192" xr:uid="{00000000-0005-0000-0000-0000EB9D0000}"/>
    <cellStyle name="Процентный 4 3 22 7" xfId="33532" xr:uid="{00000000-0005-0000-0000-0000EC9D0000}"/>
    <cellStyle name="Процентный 4 3 22 8" xfId="38872" xr:uid="{00000000-0005-0000-0000-0000ED9D0000}"/>
    <cellStyle name="Процентный 4 3 22 9" xfId="44212" xr:uid="{00000000-0005-0000-0000-0000EE9D0000}"/>
    <cellStyle name="Процентный 4 3 23" xfId="1515" xr:uid="{00000000-0005-0000-0000-0000EF9D0000}"/>
    <cellStyle name="Процентный 4 3 23 10" xfId="49578" xr:uid="{00000000-0005-0000-0000-0000F09D0000}"/>
    <cellStyle name="Процентный 4 3 23 2" xfId="6857" xr:uid="{00000000-0005-0000-0000-0000F19D0000}"/>
    <cellStyle name="Процентный 4 3 23 2 2" xfId="54919" xr:uid="{00000000-0005-0000-0000-0000F29D0000}"/>
    <cellStyle name="Процентный 4 3 23 3" xfId="12198" xr:uid="{00000000-0005-0000-0000-0000F39D0000}"/>
    <cellStyle name="Процентный 4 3 23 4" xfId="17538" xr:uid="{00000000-0005-0000-0000-0000F49D0000}"/>
    <cellStyle name="Процентный 4 3 23 5" xfId="22878" xr:uid="{00000000-0005-0000-0000-0000F59D0000}"/>
    <cellStyle name="Процентный 4 3 23 6" xfId="28218" xr:uid="{00000000-0005-0000-0000-0000F69D0000}"/>
    <cellStyle name="Процентный 4 3 23 7" xfId="33558" xr:uid="{00000000-0005-0000-0000-0000F79D0000}"/>
    <cellStyle name="Процентный 4 3 23 8" xfId="38898" xr:uid="{00000000-0005-0000-0000-0000F89D0000}"/>
    <cellStyle name="Процентный 4 3 23 9" xfId="44238" xr:uid="{00000000-0005-0000-0000-0000F99D0000}"/>
    <cellStyle name="Процентный 4 3 24" xfId="1541" xr:uid="{00000000-0005-0000-0000-0000FA9D0000}"/>
    <cellStyle name="Процентный 4 3 24 10" xfId="49604" xr:uid="{00000000-0005-0000-0000-0000FB9D0000}"/>
    <cellStyle name="Процентный 4 3 24 2" xfId="6883" xr:uid="{00000000-0005-0000-0000-0000FC9D0000}"/>
    <cellStyle name="Процентный 4 3 24 2 2" xfId="54945" xr:uid="{00000000-0005-0000-0000-0000FD9D0000}"/>
    <cellStyle name="Процентный 4 3 24 3" xfId="12224" xr:uid="{00000000-0005-0000-0000-0000FE9D0000}"/>
    <cellStyle name="Процентный 4 3 24 4" xfId="17564" xr:uid="{00000000-0005-0000-0000-0000FF9D0000}"/>
    <cellStyle name="Процентный 4 3 24 5" xfId="22904" xr:uid="{00000000-0005-0000-0000-0000009E0000}"/>
    <cellStyle name="Процентный 4 3 24 6" xfId="28244" xr:uid="{00000000-0005-0000-0000-0000019E0000}"/>
    <cellStyle name="Процентный 4 3 24 7" xfId="33584" xr:uid="{00000000-0005-0000-0000-0000029E0000}"/>
    <cellStyle name="Процентный 4 3 24 8" xfId="38924" xr:uid="{00000000-0005-0000-0000-0000039E0000}"/>
    <cellStyle name="Процентный 4 3 24 9" xfId="44264" xr:uid="{00000000-0005-0000-0000-0000049E0000}"/>
    <cellStyle name="Процентный 4 3 25" xfId="1567" xr:uid="{00000000-0005-0000-0000-0000059E0000}"/>
    <cellStyle name="Процентный 4 3 25 10" xfId="49630" xr:uid="{00000000-0005-0000-0000-0000069E0000}"/>
    <cellStyle name="Процентный 4 3 25 2" xfId="6909" xr:uid="{00000000-0005-0000-0000-0000079E0000}"/>
    <cellStyle name="Процентный 4 3 25 2 2" xfId="54971" xr:uid="{00000000-0005-0000-0000-0000089E0000}"/>
    <cellStyle name="Процентный 4 3 25 3" xfId="12250" xr:uid="{00000000-0005-0000-0000-0000099E0000}"/>
    <cellStyle name="Процентный 4 3 25 4" xfId="17590" xr:uid="{00000000-0005-0000-0000-00000A9E0000}"/>
    <cellStyle name="Процентный 4 3 25 5" xfId="22930" xr:uid="{00000000-0005-0000-0000-00000B9E0000}"/>
    <cellStyle name="Процентный 4 3 25 6" xfId="28270" xr:uid="{00000000-0005-0000-0000-00000C9E0000}"/>
    <cellStyle name="Процентный 4 3 25 7" xfId="33610" xr:uid="{00000000-0005-0000-0000-00000D9E0000}"/>
    <cellStyle name="Процентный 4 3 25 8" xfId="38950" xr:uid="{00000000-0005-0000-0000-00000E9E0000}"/>
    <cellStyle name="Процентный 4 3 25 9" xfId="44290" xr:uid="{00000000-0005-0000-0000-00000F9E0000}"/>
    <cellStyle name="Процентный 4 3 26" xfId="1593" xr:uid="{00000000-0005-0000-0000-0000109E0000}"/>
    <cellStyle name="Процентный 4 3 26 10" xfId="49656" xr:uid="{00000000-0005-0000-0000-0000119E0000}"/>
    <cellStyle name="Процентный 4 3 26 2" xfId="6935" xr:uid="{00000000-0005-0000-0000-0000129E0000}"/>
    <cellStyle name="Процентный 4 3 26 2 2" xfId="54997" xr:uid="{00000000-0005-0000-0000-0000139E0000}"/>
    <cellStyle name="Процентный 4 3 26 3" xfId="12276" xr:uid="{00000000-0005-0000-0000-0000149E0000}"/>
    <cellStyle name="Процентный 4 3 26 4" xfId="17616" xr:uid="{00000000-0005-0000-0000-0000159E0000}"/>
    <cellStyle name="Процентный 4 3 26 5" xfId="22956" xr:uid="{00000000-0005-0000-0000-0000169E0000}"/>
    <cellStyle name="Процентный 4 3 26 6" xfId="28296" xr:uid="{00000000-0005-0000-0000-0000179E0000}"/>
    <cellStyle name="Процентный 4 3 26 7" xfId="33636" xr:uid="{00000000-0005-0000-0000-0000189E0000}"/>
    <cellStyle name="Процентный 4 3 26 8" xfId="38976" xr:uid="{00000000-0005-0000-0000-0000199E0000}"/>
    <cellStyle name="Процентный 4 3 26 9" xfId="44316" xr:uid="{00000000-0005-0000-0000-00001A9E0000}"/>
    <cellStyle name="Процентный 4 3 27" xfId="1619" xr:uid="{00000000-0005-0000-0000-00001B9E0000}"/>
    <cellStyle name="Процентный 4 3 27 10" xfId="49682" xr:uid="{00000000-0005-0000-0000-00001C9E0000}"/>
    <cellStyle name="Процентный 4 3 27 2" xfId="6961" xr:uid="{00000000-0005-0000-0000-00001D9E0000}"/>
    <cellStyle name="Процентный 4 3 27 2 2" xfId="55023" xr:uid="{00000000-0005-0000-0000-00001E9E0000}"/>
    <cellStyle name="Процентный 4 3 27 3" xfId="12302" xr:uid="{00000000-0005-0000-0000-00001F9E0000}"/>
    <cellStyle name="Процентный 4 3 27 4" xfId="17642" xr:uid="{00000000-0005-0000-0000-0000209E0000}"/>
    <cellStyle name="Процентный 4 3 27 5" xfId="22982" xr:uid="{00000000-0005-0000-0000-0000219E0000}"/>
    <cellStyle name="Процентный 4 3 27 6" xfId="28322" xr:uid="{00000000-0005-0000-0000-0000229E0000}"/>
    <cellStyle name="Процентный 4 3 27 7" xfId="33662" xr:uid="{00000000-0005-0000-0000-0000239E0000}"/>
    <cellStyle name="Процентный 4 3 27 8" xfId="39002" xr:uid="{00000000-0005-0000-0000-0000249E0000}"/>
    <cellStyle name="Процентный 4 3 27 9" xfId="44342" xr:uid="{00000000-0005-0000-0000-0000259E0000}"/>
    <cellStyle name="Процентный 4 3 28" xfId="1645" xr:uid="{00000000-0005-0000-0000-0000269E0000}"/>
    <cellStyle name="Процентный 4 3 28 10" xfId="49708" xr:uid="{00000000-0005-0000-0000-0000279E0000}"/>
    <cellStyle name="Процентный 4 3 28 2" xfId="6987" xr:uid="{00000000-0005-0000-0000-0000289E0000}"/>
    <cellStyle name="Процентный 4 3 28 2 2" xfId="55049" xr:uid="{00000000-0005-0000-0000-0000299E0000}"/>
    <cellStyle name="Процентный 4 3 28 3" xfId="12328" xr:uid="{00000000-0005-0000-0000-00002A9E0000}"/>
    <cellStyle name="Процентный 4 3 28 4" xfId="17668" xr:uid="{00000000-0005-0000-0000-00002B9E0000}"/>
    <cellStyle name="Процентный 4 3 28 5" xfId="23008" xr:uid="{00000000-0005-0000-0000-00002C9E0000}"/>
    <cellStyle name="Процентный 4 3 28 6" xfId="28348" xr:uid="{00000000-0005-0000-0000-00002D9E0000}"/>
    <cellStyle name="Процентный 4 3 28 7" xfId="33688" xr:uid="{00000000-0005-0000-0000-00002E9E0000}"/>
    <cellStyle name="Процентный 4 3 28 8" xfId="39028" xr:uid="{00000000-0005-0000-0000-00002F9E0000}"/>
    <cellStyle name="Процентный 4 3 28 9" xfId="44368" xr:uid="{00000000-0005-0000-0000-0000309E0000}"/>
    <cellStyle name="Процентный 4 3 29" xfId="1671" xr:uid="{00000000-0005-0000-0000-0000319E0000}"/>
    <cellStyle name="Процентный 4 3 29 10" xfId="49734" xr:uid="{00000000-0005-0000-0000-0000329E0000}"/>
    <cellStyle name="Процентный 4 3 29 2" xfId="7013" xr:uid="{00000000-0005-0000-0000-0000339E0000}"/>
    <cellStyle name="Процентный 4 3 29 2 2" xfId="55075" xr:uid="{00000000-0005-0000-0000-0000349E0000}"/>
    <cellStyle name="Процентный 4 3 29 3" xfId="12354" xr:uid="{00000000-0005-0000-0000-0000359E0000}"/>
    <cellStyle name="Процентный 4 3 29 4" xfId="17694" xr:uid="{00000000-0005-0000-0000-0000369E0000}"/>
    <cellStyle name="Процентный 4 3 29 5" xfId="23034" xr:uid="{00000000-0005-0000-0000-0000379E0000}"/>
    <cellStyle name="Процентный 4 3 29 6" xfId="28374" xr:uid="{00000000-0005-0000-0000-0000389E0000}"/>
    <cellStyle name="Процентный 4 3 29 7" xfId="33714" xr:uid="{00000000-0005-0000-0000-0000399E0000}"/>
    <cellStyle name="Процентный 4 3 29 8" xfId="39054" xr:uid="{00000000-0005-0000-0000-00003A9E0000}"/>
    <cellStyle name="Процентный 4 3 29 9" xfId="44394" xr:uid="{00000000-0005-0000-0000-00003B9E0000}"/>
    <cellStyle name="Процентный 4 3 3" xfId="1000" xr:uid="{00000000-0005-0000-0000-00003C9E0000}"/>
    <cellStyle name="Процентный 4 3 3 10" xfId="49062" xr:uid="{00000000-0005-0000-0000-00003D9E0000}"/>
    <cellStyle name="Процентный 4 3 3 2" xfId="6341" xr:uid="{00000000-0005-0000-0000-00003E9E0000}"/>
    <cellStyle name="Процентный 4 3 3 2 2" xfId="54403" xr:uid="{00000000-0005-0000-0000-00003F9E0000}"/>
    <cellStyle name="Процентный 4 3 3 3" xfId="11682" xr:uid="{00000000-0005-0000-0000-0000409E0000}"/>
    <cellStyle name="Процентный 4 3 3 4" xfId="17022" xr:uid="{00000000-0005-0000-0000-0000419E0000}"/>
    <cellStyle name="Процентный 4 3 3 5" xfId="22362" xr:uid="{00000000-0005-0000-0000-0000429E0000}"/>
    <cellStyle name="Процентный 4 3 3 6" xfId="27702" xr:uid="{00000000-0005-0000-0000-0000439E0000}"/>
    <cellStyle name="Процентный 4 3 3 7" xfId="33042" xr:uid="{00000000-0005-0000-0000-0000449E0000}"/>
    <cellStyle name="Процентный 4 3 3 8" xfId="38382" xr:uid="{00000000-0005-0000-0000-0000459E0000}"/>
    <cellStyle name="Процентный 4 3 3 9" xfId="43722" xr:uid="{00000000-0005-0000-0000-0000469E0000}"/>
    <cellStyle name="Процентный 4 3 30" xfId="1697" xr:uid="{00000000-0005-0000-0000-0000479E0000}"/>
    <cellStyle name="Процентный 4 3 30 10" xfId="49760" xr:uid="{00000000-0005-0000-0000-0000489E0000}"/>
    <cellStyle name="Процентный 4 3 30 2" xfId="7039" xr:uid="{00000000-0005-0000-0000-0000499E0000}"/>
    <cellStyle name="Процентный 4 3 30 2 2" xfId="55101" xr:uid="{00000000-0005-0000-0000-00004A9E0000}"/>
    <cellStyle name="Процентный 4 3 30 3" xfId="12380" xr:uid="{00000000-0005-0000-0000-00004B9E0000}"/>
    <cellStyle name="Процентный 4 3 30 4" xfId="17720" xr:uid="{00000000-0005-0000-0000-00004C9E0000}"/>
    <cellStyle name="Процентный 4 3 30 5" xfId="23060" xr:uid="{00000000-0005-0000-0000-00004D9E0000}"/>
    <cellStyle name="Процентный 4 3 30 6" xfId="28400" xr:uid="{00000000-0005-0000-0000-00004E9E0000}"/>
    <cellStyle name="Процентный 4 3 30 7" xfId="33740" xr:uid="{00000000-0005-0000-0000-00004F9E0000}"/>
    <cellStyle name="Процентный 4 3 30 8" xfId="39080" xr:uid="{00000000-0005-0000-0000-0000509E0000}"/>
    <cellStyle name="Процентный 4 3 30 9" xfId="44420" xr:uid="{00000000-0005-0000-0000-0000519E0000}"/>
    <cellStyle name="Процентный 4 3 31" xfId="1723" xr:uid="{00000000-0005-0000-0000-0000529E0000}"/>
    <cellStyle name="Процентный 4 3 31 10" xfId="49786" xr:uid="{00000000-0005-0000-0000-0000539E0000}"/>
    <cellStyle name="Процентный 4 3 31 2" xfId="7065" xr:uid="{00000000-0005-0000-0000-0000549E0000}"/>
    <cellStyle name="Процентный 4 3 31 2 2" xfId="55127" xr:uid="{00000000-0005-0000-0000-0000559E0000}"/>
    <cellStyle name="Процентный 4 3 31 3" xfId="12406" xr:uid="{00000000-0005-0000-0000-0000569E0000}"/>
    <cellStyle name="Процентный 4 3 31 4" xfId="17746" xr:uid="{00000000-0005-0000-0000-0000579E0000}"/>
    <cellStyle name="Процентный 4 3 31 5" xfId="23086" xr:uid="{00000000-0005-0000-0000-0000589E0000}"/>
    <cellStyle name="Процентный 4 3 31 6" xfId="28426" xr:uid="{00000000-0005-0000-0000-0000599E0000}"/>
    <cellStyle name="Процентный 4 3 31 7" xfId="33766" xr:uid="{00000000-0005-0000-0000-00005A9E0000}"/>
    <cellStyle name="Процентный 4 3 31 8" xfId="39106" xr:uid="{00000000-0005-0000-0000-00005B9E0000}"/>
    <cellStyle name="Процентный 4 3 31 9" xfId="44446" xr:uid="{00000000-0005-0000-0000-00005C9E0000}"/>
    <cellStyle name="Процентный 4 3 32" xfId="1749" xr:uid="{00000000-0005-0000-0000-00005D9E0000}"/>
    <cellStyle name="Процентный 4 3 32 10" xfId="49812" xr:uid="{00000000-0005-0000-0000-00005E9E0000}"/>
    <cellStyle name="Процентный 4 3 32 2" xfId="7091" xr:uid="{00000000-0005-0000-0000-00005F9E0000}"/>
    <cellStyle name="Процентный 4 3 32 2 2" xfId="55153" xr:uid="{00000000-0005-0000-0000-0000609E0000}"/>
    <cellStyle name="Процентный 4 3 32 3" xfId="12432" xr:uid="{00000000-0005-0000-0000-0000619E0000}"/>
    <cellStyle name="Процентный 4 3 32 4" xfId="17772" xr:uid="{00000000-0005-0000-0000-0000629E0000}"/>
    <cellStyle name="Процентный 4 3 32 5" xfId="23112" xr:uid="{00000000-0005-0000-0000-0000639E0000}"/>
    <cellStyle name="Процентный 4 3 32 6" xfId="28452" xr:uid="{00000000-0005-0000-0000-0000649E0000}"/>
    <cellStyle name="Процентный 4 3 32 7" xfId="33792" xr:uid="{00000000-0005-0000-0000-0000659E0000}"/>
    <cellStyle name="Процентный 4 3 32 8" xfId="39132" xr:uid="{00000000-0005-0000-0000-0000669E0000}"/>
    <cellStyle name="Процентный 4 3 32 9" xfId="44472" xr:uid="{00000000-0005-0000-0000-0000679E0000}"/>
    <cellStyle name="Процентный 4 3 33" xfId="1775" xr:uid="{00000000-0005-0000-0000-0000689E0000}"/>
    <cellStyle name="Процентный 4 3 33 10" xfId="49838" xr:uid="{00000000-0005-0000-0000-0000699E0000}"/>
    <cellStyle name="Процентный 4 3 33 2" xfId="7117" xr:uid="{00000000-0005-0000-0000-00006A9E0000}"/>
    <cellStyle name="Процентный 4 3 33 2 2" xfId="55179" xr:uid="{00000000-0005-0000-0000-00006B9E0000}"/>
    <cellStyle name="Процентный 4 3 33 3" xfId="12458" xr:uid="{00000000-0005-0000-0000-00006C9E0000}"/>
    <cellStyle name="Процентный 4 3 33 4" xfId="17798" xr:uid="{00000000-0005-0000-0000-00006D9E0000}"/>
    <cellStyle name="Процентный 4 3 33 5" xfId="23138" xr:uid="{00000000-0005-0000-0000-00006E9E0000}"/>
    <cellStyle name="Процентный 4 3 33 6" xfId="28478" xr:uid="{00000000-0005-0000-0000-00006F9E0000}"/>
    <cellStyle name="Процентный 4 3 33 7" xfId="33818" xr:uid="{00000000-0005-0000-0000-0000709E0000}"/>
    <cellStyle name="Процентный 4 3 33 8" xfId="39158" xr:uid="{00000000-0005-0000-0000-0000719E0000}"/>
    <cellStyle name="Процентный 4 3 33 9" xfId="44498" xr:uid="{00000000-0005-0000-0000-0000729E0000}"/>
    <cellStyle name="Процентный 4 3 34" xfId="1801" xr:uid="{00000000-0005-0000-0000-0000739E0000}"/>
    <cellStyle name="Процентный 4 3 34 10" xfId="49864" xr:uid="{00000000-0005-0000-0000-0000749E0000}"/>
    <cellStyle name="Процентный 4 3 34 2" xfId="7143" xr:uid="{00000000-0005-0000-0000-0000759E0000}"/>
    <cellStyle name="Процентный 4 3 34 2 2" xfId="55205" xr:uid="{00000000-0005-0000-0000-0000769E0000}"/>
    <cellStyle name="Процентный 4 3 34 3" xfId="12484" xr:uid="{00000000-0005-0000-0000-0000779E0000}"/>
    <cellStyle name="Процентный 4 3 34 4" xfId="17824" xr:uid="{00000000-0005-0000-0000-0000789E0000}"/>
    <cellStyle name="Процентный 4 3 34 5" xfId="23164" xr:uid="{00000000-0005-0000-0000-0000799E0000}"/>
    <cellStyle name="Процентный 4 3 34 6" xfId="28504" xr:uid="{00000000-0005-0000-0000-00007A9E0000}"/>
    <cellStyle name="Процентный 4 3 34 7" xfId="33844" xr:uid="{00000000-0005-0000-0000-00007B9E0000}"/>
    <cellStyle name="Процентный 4 3 34 8" xfId="39184" xr:uid="{00000000-0005-0000-0000-00007C9E0000}"/>
    <cellStyle name="Процентный 4 3 34 9" xfId="44524" xr:uid="{00000000-0005-0000-0000-00007D9E0000}"/>
    <cellStyle name="Процентный 4 3 35" xfId="1827" xr:uid="{00000000-0005-0000-0000-00007E9E0000}"/>
    <cellStyle name="Процентный 4 3 35 10" xfId="49890" xr:uid="{00000000-0005-0000-0000-00007F9E0000}"/>
    <cellStyle name="Процентный 4 3 35 2" xfId="7169" xr:uid="{00000000-0005-0000-0000-0000809E0000}"/>
    <cellStyle name="Процентный 4 3 35 2 2" xfId="55231" xr:uid="{00000000-0005-0000-0000-0000819E0000}"/>
    <cellStyle name="Процентный 4 3 35 3" xfId="12510" xr:uid="{00000000-0005-0000-0000-0000829E0000}"/>
    <cellStyle name="Процентный 4 3 35 4" xfId="17850" xr:uid="{00000000-0005-0000-0000-0000839E0000}"/>
    <cellStyle name="Процентный 4 3 35 5" xfId="23190" xr:uid="{00000000-0005-0000-0000-0000849E0000}"/>
    <cellStyle name="Процентный 4 3 35 6" xfId="28530" xr:uid="{00000000-0005-0000-0000-0000859E0000}"/>
    <cellStyle name="Процентный 4 3 35 7" xfId="33870" xr:uid="{00000000-0005-0000-0000-0000869E0000}"/>
    <cellStyle name="Процентный 4 3 35 8" xfId="39210" xr:uid="{00000000-0005-0000-0000-0000879E0000}"/>
    <cellStyle name="Процентный 4 3 35 9" xfId="44550" xr:uid="{00000000-0005-0000-0000-0000889E0000}"/>
    <cellStyle name="Процентный 4 3 36" xfId="1853" xr:uid="{00000000-0005-0000-0000-0000899E0000}"/>
    <cellStyle name="Процентный 4 3 36 10" xfId="49916" xr:uid="{00000000-0005-0000-0000-00008A9E0000}"/>
    <cellStyle name="Процентный 4 3 36 2" xfId="7195" xr:uid="{00000000-0005-0000-0000-00008B9E0000}"/>
    <cellStyle name="Процентный 4 3 36 2 2" xfId="55257" xr:uid="{00000000-0005-0000-0000-00008C9E0000}"/>
    <cellStyle name="Процентный 4 3 36 3" xfId="12536" xr:uid="{00000000-0005-0000-0000-00008D9E0000}"/>
    <cellStyle name="Процентный 4 3 36 4" xfId="17876" xr:uid="{00000000-0005-0000-0000-00008E9E0000}"/>
    <cellStyle name="Процентный 4 3 36 5" xfId="23216" xr:uid="{00000000-0005-0000-0000-00008F9E0000}"/>
    <cellStyle name="Процентный 4 3 36 6" xfId="28556" xr:uid="{00000000-0005-0000-0000-0000909E0000}"/>
    <cellStyle name="Процентный 4 3 36 7" xfId="33896" xr:uid="{00000000-0005-0000-0000-0000919E0000}"/>
    <cellStyle name="Процентный 4 3 36 8" xfId="39236" xr:uid="{00000000-0005-0000-0000-0000929E0000}"/>
    <cellStyle name="Процентный 4 3 36 9" xfId="44576" xr:uid="{00000000-0005-0000-0000-0000939E0000}"/>
    <cellStyle name="Процентный 4 3 37" xfId="1879" xr:uid="{00000000-0005-0000-0000-0000949E0000}"/>
    <cellStyle name="Процентный 4 3 37 10" xfId="49942" xr:uid="{00000000-0005-0000-0000-0000959E0000}"/>
    <cellStyle name="Процентный 4 3 37 2" xfId="7221" xr:uid="{00000000-0005-0000-0000-0000969E0000}"/>
    <cellStyle name="Процентный 4 3 37 2 2" xfId="55283" xr:uid="{00000000-0005-0000-0000-0000979E0000}"/>
    <cellStyle name="Процентный 4 3 37 3" xfId="12562" xr:uid="{00000000-0005-0000-0000-0000989E0000}"/>
    <cellStyle name="Процентный 4 3 37 4" xfId="17902" xr:uid="{00000000-0005-0000-0000-0000999E0000}"/>
    <cellStyle name="Процентный 4 3 37 5" xfId="23242" xr:uid="{00000000-0005-0000-0000-00009A9E0000}"/>
    <cellStyle name="Процентный 4 3 37 6" xfId="28582" xr:uid="{00000000-0005-0000-0000-00009B9E0000}"/>
    <cellStyle name="Процентный 4 3 37 7" xfId="33922" xr:uid="{00000000-0005-0000-0000-00009C9E0000}"/>
    <cellStyle name="Процентный 4 3 37 8" xfId="39262" xr:uid="{00000000-0005-0000-0000-00009D9E0000}"/>
    <cellStyle name="Процентный 4 3 37 9" xfId="44602" xr:uid="{00000000-0005-0000-0000-00009E9E0000}"/>
    <cellStyle name="Процентный 4 3 38" xfId="1905" xr:uid="{00000000-0005-0000-0000-00009F9E0000}"/>
    <cellStyle name="Процентный 4 3 38 10" xfId="49968" xr:uid="{00000000-0005-0000-0000-0000A09E0000}"/>
    <cellStyle name="Процентный 4 3 38 2" xfId="7247" xr:uid="{00000000-0005-0000-0000-0000A19E0000}"/>
    <cellStyle name="Процентный 4 3 38 2 2" xfId="55309" xr:uid="{00000000-0005-0000-0000-0000A29E0000}"/>
    <cellStyle name="Процентный 4 3 38 3" xfId="12588" xr:uid="{00000000-0005-0000-0000-0000A39E0000}"/>
    <cellStyle name="Процентный 4 3 38 4" xfId="17928" xr:uid="{00000000-0005-0000-0000-0000A49E0000}"/>
    <cellStyle name="Процентный 4 3 38 5" xfId="23268" xr:uid="{00000000-0005-0000-0000-0000A59E0000}"/>
    <cellStyle name="Процентный 4 3 38 6" xfId="28608" xr:uid="{00000000-0005-0000-0000-0000A69E0000}"/>
    <cellStyle name="Процентный 4 3 38 7" xfId="33948" xr:uid="{00000000-0005-0000-0000-0000A79E0000}"/>
    <cellStyle name="Процентный 4 3 38 8" xfId="39288" xr:uid="{00000000-0005-0000-0000-0000A89E0000}"/>
    <cellStyle name="Процентный 4 3 38 9" xfId="44628" xr:uid="{00000000-0005-0000-0000-0000A99E0000}"/>
    <cellStyle name="Процентный 4 3 39" xfId="1931" xr:uid="{00000000-0005-0000-0000-0000AA9E0000}"/>
    <cellStyle name="Процентный 4 3 39 10" xfId="49994" xr:uid="{00000000-0005-0000-0000-0000AB9E0000}"/>
    <cellStyle name="Процентный 4 3 39 2" xfId="7273" xr:uid="{00000000-0005-0000-0000-0000AC9E0000}"/>
    <cellStyle name="Процентный 4 3 39 2 2" xfId="55335" xr:uid="{00000000-0005-0000-0000-0000AD9E0000}"/>
    <cellStyle name="Процентный 4 3 39 3" xfId="12614" xr:uid="{00000000-0005-0000-0000-0000AE9E0000}"/>
    <cellStyle name="Процентный 4 3 39 4" xfId="17954" xr:uid="{00000000-0005-0000-0000-0000AF9E0000}"/>
    <cellStyle name="Процентный 4 3 39 5" xfId="23294" xr:uid="{00000000-0005-0000-0000-0000B09E0000}"/>
    <cellStyle name="Процентный 4 3 39 6" xfId="28634" xr:uid="{00000000-0005-0000-0000-0000B19E0000}"/>
    <cellStyle name="Процентный 4 3 39 7" xfId="33974" xr:uid="{00000000-0005-0000-0000-0000B29E0000}"/>
    <cellStyle name="Процентный 4 3 39 8" xfId="39314" xr:uid="{00000000-0005-0000-0000-0000B39E0000}"/>
    <cellStyle name="Процентный 4 3 39 9" xfId="44654" xr:uid="{00000000-0005-0000-0000-0000B49E0000}"/>
    <cellStyle name="Процентный 4 3 4" xfId="1024" xr:uid="{00000000-0005-0000-0000-0000B59E0000}"/>
    <cellStyle name="Процентный 4 3 4 10" xfId="49086" xr:uid="{00000000-0005-0000-0000-0000B69E0000}"/>
    <cellStyle name="Процентный 4 3 4 2" xfId="6365" xr:uid="{00000000-0005-0000-0000-0000B79E0000}"/>
    <cellStyle name="Процентный 4 3 4 2 2" xfId="54427" xr:uid="{00000000-0005-0000-0000-0000B89E0000}"/>
    <cellStyle name="Процентный 4 3 4 3" xfId="11706" xr:uid="{00000000-0005-0000-0000-0000B99E0000}"/>
    <cellStyle name="Процентный 4 3 4 4" xfId="17046" xr:uid="{00000000-0005-0000-0000-0000BA9E0000}"/>
    <cellStyle name="Процентный 4 3 4 5" xfId="22386" xr:uid="{00000000-0005-0000-0000-0000BB9E0000}"/>
    <cellStyle name="Процентный 4 3 4 6" xfId="27726" xr:uid="{00000000-0005-0000-0000-0000BC9E0000}"/>
    <cellStyle name="Процентный 4 3 4 7" xfId="33066" xr:uid="{00000000-0005-0000-0000-0000BD9E0000}"/>
    <cellStyle name="Процентный 4 3 4 8" xfId="38406" xr:uid="{00000000-0005-0000-0000-0000BE9E0000}"/>
    <cellStyle name="Процентный 4 3 4 9" xfId="43746" xr:uid="{00000000-0005-0000-0000-0000BF9E0000}"/>
    <cellStyle name="Процентный 4 3 40" xfId="1959" xr:uid="{00000000-0005-0000-0000-0000C09E0000}"/>
    <cellStyle name="Процентный 4 3 40 10" xfId="50022" xr:uid="{00000000-0005-0000-0000-0000C19E0000}"/>
    <cellStyle name="Процентный 4 3 40 2" xfId="7301" xr:uid="{00000000-0005-0000-0000-0000C29E0000}"/>
    <cellStyle name="Процентный 4 3 40 2 2" xfId="55363" xr:uid="{00000000-0005-0000-0000-0000C39E0000}"/>
    <cellStyle name="Процентный 4 3 40 3" xfId="12642" xr:uid="{00000000-0005-0000-0000-0000C49E0000}"/>
    <cellStyle name="Процентный 4 3 40 4" xfId="17982" xr:uid="{00000000-0005-0000-0000-0000C59E0000}"/>
    <cellStyle name="Процентный 4 3 40 5" xfId="23322" xr:uid="{00000000-0005-0000-0000-0000C69E0000}"/>
    <cellStyle name="Процентный 4 3 40 6" xfId="28662" xr:uid="{00000000-0005-0000-0000-0000C79E0000}"/>
    <cellStyle name="Процентный 4 3 40 7" xfId="34002" xr:uid="{00000000-0005-0000-0000-0000C89E0000}"/>
    <cellStyle name="Процентный 4 3 40 8" xfId="39342" xr:uid="{00000000-0005-0000-0000-0000C99E0000}"/>
    <cellStyle name="Процентный 4 3 40 9" xfId="44682" xr:uid="{00000000-0005-0000-0000-0000CA9E0000}"/>
    <cellStyle name="Процентный 4 3 41" xfId="1986" xr:uid="{00000000-0005-0000-0000-0000CB9E0000}"/>
    <cellStyle name="Процентный 4 3 41 10" xfId="50050" xr:uid="{00000000-0005-0000-0000-0000CC9E0000}"/>
    <cellStyle name="Процентный 4 3 41 2" xfId="7329" xr:uid="{00000000-0005-0000-0000-0000CD9E0000}"/>
    <cellStyle name="Процентный 4 3 41 2 2" xfId="55391" xr:uid="{00000000-0005-0000-0000-0000CE9E0000}"/>
    <cellStyle name="Процентный 4 3 41 3" xfId="12670" xr:uid="{00000000-0005-0000-0000-0000CF9E0000}"/>
    <cellStyle name="Процентный 4 3 41 4" xfId="18010" xr:uid="{00000000-0005-0000-0000-0000D09E0000}"/>
    <cellStyle name="Процентный 4 3 41 5" xfId="23350" xr:uid="{00000000-0005-0000-0000-0000D19E0000}"/>
    <cellStyle name="Процентный 4 3 41 6" xfId="28690" xr:uid="{00000000-0005-0000-0000-0000D29E0000}"/>
    <cellStyle name="Процентный 4 3 41 7" xfId="34030" xr:uid="{00000000-0005-0000-0000-0000D39E0000}"/>
    <cellStyle name="Процентный 4 3 41 8" xfId="39370" xr:uid="{00000000-0005-0000-0000-0000D49E0000}"/>
    <cellStyle name="Процентный 4 3 41 9" xfId="44710" xr:uid="{00000000-0005-0000-0000-0000D59E0000}"/>
    <cellStyle name="Процентный 4 3 42" xfId="2014" xr:uid="{00000000-0005-0000-0000-0000D69E0000}"/>
    <cellStyle name="Процентный 4 3 42 10" xfId="50078" xr:uid="{00000000-0005-0000-0000-0000D79E0000}"/>
    <cellStyle name="Процентный 4 3 42 2" xfId="7357" xr:uid="{00000000-0005-0000-0000-0000D89E0000}"/>
    <cellStyle name="Процентный 4 3 42 2 2" xfId="55419" xr:uid="{00000000-0005-0000-0000-0000D99E0000}"/>
    <cellStyle name="Процентный 4 3 42 3" xfId="12698" xr:uid="{00000000-0005-0000-0000-0000DA9E0000}"/>
    <cellStyle name="Процентный 4 3 42 4" xfId="18038" xr:uid="{00000000-0005-0000-0000-0000DB9E0000}"/>
    <cellStyle name="Процентный 4 3 42 5" xfId="23378" xr:uid="{00000000-0005-0000-0000-0000DC9E0000}"/>
    <cellStyle name="Процентный 4 3 42 6" xfId="28718" xr:uid="{00000000-0005-0000-0000-0000DD9E0000}"/>
    <cellStyle name="Процентный 4 3 42 7" xfId="34058" xr:uid="{00000000-0005-0000-0000-0000DE9E0000}"/>
    <cellStyle name="Процентный 4 3 42 8" xfId="39398" xr:uid="{00000000-0005-0000-0000-0000DF9E0000}"/>
    <cellStyle name="Процентный 4 3 42 9" xfId="44738" xr:uid="{00000000-0005-0000-0000-0000E09E0000}"/>
    <cellStyle name="Процентный 4 3 43" xfId="2042" xr:uid="{00000000-0005-0000-0000-0000E19E0000}"/>
    <cellStyle name="Процентный 4 3 43 10" xfId="50106" xr:uid="{00000000-0005-0000-0000-0000E29E0000}"/>
    <cellStyle name="Процентный 4 3 43 2" xfId="7385" xr:uid="{00000000-0005-0000-0000-0000E39E0000}"/>
    <cellStyle name="Процентный 4 3 43 2 2" xfId="55447" xr:uid="{00000000-0005-0000-0000-0000E49E0000}"/>
    <cellStyle name="Процентный 4 3 43 3" xfId="12726" xr:uid="{00000000-0005-0000-0000-0000E59E0000}"/>
    <cellStyle name="Процентный 4 3 43 4" xfId="18066" xr:uid="{00000000-0005-0000-0000-0000E69E0000}"/>
    <cellStyle name="Процентный 4 3 43 5" xfId="23406" xr:uid="{00000000-0005-0000-0000-0000E79E0000}"/>
    <cellStyle name="Процентный 4 3 43 6" xfId="28746" xr:uid="{00000000-0005-0000-0000-0000E89E0000}"/>
    <cellStyle name="Процентный 4 3 43 7" xfId="34086" xr:uid="{00000000-0005-0000-0000-0000E99E0000}"/>
    <cellStyle name="Процентный 4 3 43 8" xfId="39426" xr:uid="{00000000-0005-0000-0000-0000EA9E0000}"/>
    <cellStyle name="Процентный 4 3 43 9" xfId="44766" xr:uid="{00000000-0005-0000-0000-0000EB9E0000}"/>
    <cellStyle name="Процентный 4 3 44" xfId="2070" xr:uid="{00000000-0005-0000-0000-0000EC9E0000}"/>
    <cellStyle name="Процентный 4 3 44 10" xfId="50134" xr:uid="{00000000-0005-0000-0000-0000ED9E0000}"/>
    <cellStyle name="Процентный 4 3 44 2" xfId="7413" xr:uid="{00000000-0005-0000-0000-0000EE9E0000}"/>
    <cellStyle name="Процентный 4 3 44 2 2" xfId="55475" xr:uid="{00000000-0005-0000-0000-0000EF9E0000}"/>
    <cellStyle name="Процентный 4 3 44 3" xfId="12754" xr:uid="{00000000-0005-0000-0000-0000F09E0000}"/>
    <cellStyle name="Процентный 4 3 44 4" xfId="18094" xr:uid="{00000000-0005-0000-0000-0000F19E0000}"/>
    <cellStyle name="Процентный 4 3 44 5" xfId="23434" xr:uid="{00000000-0005-0000-0000-0000F29E0000}"/>
    <cellStyle name="Процентный 4 3 44 6" xfId="28774" xr:uid="{00000000-0005-0000-0000-0000F39E0000}"/>
    <cellStyle name="Процентный 4 3 44 7" xfId="34114" xr:uid="{00000000-0005-0000-0000-0000F49E0000}"/>
    <cellStyle name="Процентный 4 3 44 8" xfId="39454" xr:uid="{00000000-0005-0000-0000-0000F59E0000}"/>
    <cellStyle name="Процентный 4 3 44 9" xfId="44794" xr:uid="{00000000-0005-0000-0000-0000F69E0000}"/>
    <cellStyle name="Процентный 4 3 45" xfId="2098" xr:uid="{00000000-0005-0000-0000-0000F79E0000}"/>
    <cellStyle name="Процентный 4 3 45 10" xfId="50162" xr:uid="{00000000-0005-0000-0000-0000F89E0000}"/>
    <cellStyle name="Процентный 4 3 45 2" xfId="7441" xr:uid="{00000000-0005-0000-0000-0000F99E0000}"/>
    <cellStyle name="Процентный 4 3 45 2 2" xfId="55503" xr:uid="{00000000-0005-0000-0000-0000FA9E0000}"/>
    <cellStyle name="Процентный 4 3 45 3" xfId="12782" xr:uid="{00000000-0005-0000-0000-0000FB9E0000}"/>
    <cellStyle name="Процентный 4 3 45 4" xfId="18122" xr:uid="{00000000-0005-0000-0000-0000FC9E0000}"/>
    <cellStyle name="Процентный 4 3 45 5" xfId="23462" xr:uid="{00000000-0005-0000-0000-0000FD9E0000}"/>
    <cellStyle name="Процентный 4 3 45 6" xfId="28802" xr:uid="{00000000-0005-0000-0000-0000FE9E0000}"/>
    <cellStyle name="Процентный 4 3 45 7" xfId="34142" xr:uid="{00000000-0005-0000-0000-0000FF9E0000}"/>
    <cellStyle name="Процентный 4 3 45 8" xfId="39482" xr:uid="{00000000-0005-0000-0000-0000009F0000}"/>
    <cellStyle name="Процентный 4 3 45 9" xfId="44822" xr:uid="{00000000-0005-0000-0000-0000019F0000}"/>
    <cellStyle name="Процентный 4 3 46" xfId="2126" xr:uid="{00000000-0005-0000-0000-0000029F0000}"/>
    <cellStyle name="Процентный 4 3 46 10" xfId="50190" xr:uid="{00000000-0005-0000-0000-0000039F0000}"/>
    <cellStyle name="Процентный 4 3 46 2" xfId="7469" xr:uid="{00000000-0005-0000-0000-0000049F0000}"/>
    <cellStyle name="Процентный 4 3 46 2 2" xfId="55531" xr:uid="{00000000-0005-0000-0000-0000059F0000}"/>
    <cellStyle name="Процентный 4 3 46 3" xfId="12810" xr:uid="{00000000-0005-0000-0000-0000069F0000}"/>
    <cellStyle name="Процентный 4 3 46 4" xfId="18150" xr:uid="{00000000-0005-0000-0000-0000079F0000}"/>
    <cellStyle name="Процентный 4 3 46 5" xfId="23490" xr:uid="{00000000-0005-0000-0000-0000089F0000}"/>
    <cellStyle name="Процентный 4 3 46 6" xfId="28830" xr:uid="{00000000-0005-0000-0000-0000099F0000}"/>
    <cellStyle name="Процентный 4 3 46 7" xfId="34170" xr:uid="{00000000-0005-0000-0000-00000A9F0000}"/>
    <cellStyle name="Процентный 4 3 46 8" xfId="39510" xr:uid="{00000000-0005-0000-0000-00000B9F0000}"/>
    <cellStyle name="Процентный 4 3 46 9" xfId="44850" xr:uid="{00000000-0005-0000-0000-00000C9F0000}"/>
    <cellStyle name="Процентный 4 3 47" xfId="2156" xr:uid="{00000000-0005-0000-0000-00000D9F0000}"/>
    <cellStyle name="Процентный 4 3 47 10" xfId="50220" xr:uid="{00000000-0005-0000-0000-00000E9F0000}"/>
    <cellStyle name="Процентный 4 3 47 2" xfId="7499" xr:uid="{00000000-0005-0000-0000-00000F9F0000}"/>
    <cellStyle name="Процентный 4 3 47 2 2" xfId="55561" xr:uid="{00000000-0005-0000-0000-0000109F0000}"/>
    <cellStyle name="Процентный 4 3 47 3" xfId="12840" xr:uid="{00000000-0005-0000-0000-0000119F0000}"/>
    <cellStyle name="Процентный 4 3 47 4" xfId="18180" xr:uid="{00000000-0005-0000-0000-0000129F0000}"/>
    <cellStyle name="Процентный 4 3 47 5" xfId="23520" xr:uid="{00000000-0005-0000-0000-0000139F0000}"/>
    <cellStyle name="Процентный 4 3 47 6" xfId="28860" xr:uid="{00000000-0005-0000-0000-0000149F0000}"/>
    <cellStyle name="Процентный 4 3 47 7" xfId="34200" xr:uid="{00000000-0005-0000-0000-0000159F0000}"/>
    <cellStyle name="Процентный 4 3 47 8" xfId="39540" xr:uid="{00000000-0005-0000-0000-0000169F0000}"/>
    <cellStyle name="Процентный 4 3 47 9" xfId="44880" xr:uid="{00000000-0005-0000-0000-0000179F0000}"/>
    <cellStyle name="Процентный 4 3 48" xfId="2186" xr:uid="{00000000-0005-0000-0000-0000189F0000}"/>
    <cellStyle name="Процентный 4 3 48 10" xfId="50250" xr:uid="{00000000-0005-0000-0000-0000199F0000}"/>
    <cellStyle name="Процентный 4 3 48 2" xfId="7529" xr:uid="{00000000-0005-0000-0000-00001A9F0000}"/>
    <cellStyle name="Процентный 4 3 48 2 2" xfId="55591" xr:uid="{00000000-0005-0000-0000-00001B9F0000}"/>
    <cellStyle name="Процентный 4 3 48 3" xfId="12870" xr:uid="{00000000-0005-0000-0000-00001C9F0000}"/>
    <cellStyle name="Процентный 4 3 48 4" xfId="18210" xr:uid="{00000000-0005-0000-0000-00001D9F0000}"/>
    <cellStyle name="Процентный 4 3 48 5" xfId="23550" xr:uid="{00000000-0005-0000-0000-00001E9F0000}"/>
    <cellStyle name="Процентный 4 3 48 6" xfId="28890" xr:uid="{00000000-0005-0000-0000-00001F9F0000}"/>
    <cellStyle name="Процентный 4 3 48 7" xfId="34230" xr:uid="{00000000-0005-0000-0000-0000209F0000}"/>
    <cellStyle name="Процентный 4 3 48 8" xfId="39570" xr:uid="{00000000-0005-0000-0000-0000219F0000}"/>
    <cellStyle name="Процентный 4 3 48 9" xfId="44910" xr:uid="{00000000-0005-0000-0000-0000229F0000}"/>
    <cellStyle name="Процентный 4 3 49" xfId="2216" xr:uid="{00000000-0005-0000-0000-0000239F0000}"/>
    <cellStyle name="Процентный 4 3 49 10" xfId="50280" xr:uid="{00000000-0005-0000-0000-0000249F0000}"/>
    <cellStyle name="Процентный 4 3 49 2" xfId="7559" xr:uid="{00000000-0005-0000-0000-0000259F0000}"/>
    <cellStyle name="Процентный 4 3 49 2 2" xfId="55621" xr:uid="{00000000-0005-0000-0000-0000269F0000}"/>
    <cellStyle name="Процентный 4 3 49 3" xfId="12900" xr:uid="{00000000-0005-0000-0000-0000279F0000}"/>
    <cellStyle name="Процентный 4 3 49 4" xfId="18240" xr:uid="{00000000-0005-0000-0000-0000289F0000}"/>
    <cellStyle name="Процентный 4 3 49 5" xfId="23580" xr:uid="{00000000-0005-0000-0000-0000299F0000}"/>
    <cellStyle name="Процентный 4 3 49 6" xfId="28920" xr:uid="{00000000-0005-0000-0000-00002A9F0000}"/>
    <cellStyle name="Процентный 4 3 49 7" xfId="34260" xr:uid="{00000000-0005-0000-0000-00002B9F0000}"/>
    <cellStyle name="Процентный 4 3 49 8" xfId="39600" xr:uid="{00000000-0005-0000-0000-00002C9F0000}"/>
    <cellStyle name="Процентный 4 3 49 9" xfId="44940" xr:uid="{00000000-0005-0000-0000-00002D9F0000}"/>
    <cellStyle name="Процентный 4 3 5" xfId="1048" xr:uid="{00000000-0005-0000-0000-00002E9F0000}"/>
    <cellStyle name="Процентный 4 3 5 10" xfId="49110" xr:uid="{00000000-0005-0000-0000-00002F9F0000}"/>
    <cellStyle name="Процентный 4 3 5 2" xfId="6389" xr:uid="{00000000-0005-0000-0000-0000309F0000}"/>
    <cellStyle name="Процентный 4 3 5 2 2" xfId="54451" xr:uid="{00000000-0005-0000-0000-0000319F0000}"/>
    <cellStyle name="Процентный 4 3 5 3" xfId="11730" xr:uid="{00000000-0005-0000-0000-0000329F0000}"/>
    <cellStyle name="Процентный 4 3 5 4" xfId="17070" xr:uid="{00000000-0005-0000-0000-0000339F0000}"/>
    <cellStyle name="Процентный 4 3 5 5" xfId="22410" xr:uid="{00000000-0005-0000-0000-0000349F0000}"/>
    <cellStyle name="Процентный 4 3 5 6" xfId="27750" xr:uid="{00000000-0005-0000-0000-0000359F0000}"/>
    <cellStyle name="Процентный 4 3 5 7" xfId="33090" xr:uid="{00000000-0005-0000-0000-0000369F0000}"/>
    <cellStyle name="Процентный 4 3 5 8" xfId="38430" xr:uid="{00000000-0005-0000-0000-0000379F0000}"/>
    <cellStyle name="Процентный 4 3 5 9" xfId="43770" xr:uid="{00000000-0005-0000-0000-0000389F0000}"/>
    <cellStyle name="Процентный 4 3 50" xfId="2246" xr:uid="{00000000-0005-0000-0000-0000399F0000}"/>
    <cellStyle name="Процентный 4 3 50 10" xfId="50310" xr:uid="{00000000-0005-0000-0000-00003A9F0000}"/>
    <cellStyle name="Процентный 4 3 50 2" xfId="7589" xr:uid="{00000000-0005-0000-0000-00003B9F0000}"/>
    <cellStyle name="Процентный 4 3 50 2 2" xfId="55651" xr:uid="{00000000-0005-0000-0000-00003C9F0000}"/>
    <cellStyle name="Процентный 4 3 50 3" xfId="12930" xr:uid="{00000000-0005-0000-0000-00003D9F0000}"/>
    <cellStyle name="Процентный 4 3 50 4" xfId="18270" xr:uid="{00000000-0005-0000-0000-00003E9F0000}"/>
    <cellStyle name="Процентный 4 3 50 5" xfId="23610" xr:uid="{00000000-0005-0000-0000-00003F9F0000}"/>
    <cellStyle name="Процентный 4 3 50 6" xfId="28950" xr:uid="{00000000-0005-0000-0000-0000409F0000}"/>
    <cellStyle name="Процентный 4 3 50 7" xfId="34290" xr:uid="{00000000-0005-0000-0000-0000419F0000}"/>
    <cellStyle name="Процентный 4 3 50 8" xfId="39630" xr:uid="{00000000-0005-0000-0000-0000429F0000}"/>
    <cellStyle name="Процентный 4 3 50 9" xfId="44970" xr:uid="{00000000-0005-0000-0000-0000439F0000}"/>
    <cellStyle name="Процентный 4 3 51" xfId="2276" xr:uid="{00000000-0005-0000-0000-0000449F0000}"/>
    <cellStyle name="Процентный 4 3 51 10" xfId="50340" xr:uid="{00000000-0005-0000-0000-0000459F0000}"/>
    <cellStyle name="Процентный 4 3 51 2" xfId="7619" xr:uid="{00000000-0005-0000-0000-0000469F0000}"/>
    <cellStyle name="Процентный 4 3 51 2 2" xfId="55681" xr:uid="{00000000-0005-0000-0000-0000479F0000}"/>
    <cellStyle name="Процентный 4 3 51 3" xfId="12960" xr:uid="{00000000-0005-0000-0000-0000489F0000}"/>
    <cellStyle name="Процентный 4 3 51 4" xfId="18300" xr:uid="{00000000-0005-0000-0000-0000499F0000}"/>
    <cellStyle name="Процентный 4 3 51 5" xfId="23640" xr:uid="{00000000-0005-0000-0000-00004A9F0000}"/>
    <cellStyle name="Процентный 4 3 51 6" xfId="28980" xr:uid="{00000000-0005-0000-0000-00004B9F0000}"/>
    <cellStyle name="Процентный 4 3 51 7" xfId="34320" xr:uid="{00000000-0005-0000-0000-00004C9F0000}"/>
    <cellStyle name="Процентный 4 3 51 8" xfId="39660" xr:uid="{00000000-0005-0000-0000-00004D9F0000}"/>
    <cellStyle name="Процентный 4 3 51 9" xfId="45000" xr:uid="{00000000-0005-0000-0000-00004E9F0000}"/>
    <cellStyle name="Процентный 4 3 52" xfId="2306" xr:uid="{00000000-0005-0000-0000-00004F9F0000}"/>
    <cellStyle name="Процентный 4 3 52 10" xfId="50370" xr:uid="{00000000-0005-0000-0000-0000509F0000}"/>
    <cellStyle name="Процентный 4 3 52 2" xfId="7649" xr:uid="{00000000-0005-0000-0000-0000519F0000}"/>
    <cellStyle name="Процентный 4 3 52 2 2" xfId="55711" xr:uid="{00000000-0005-0000-0000-0000529F0000}"/>
    <cellStyle name="Процентный 4 3 52 3" xfId="12990" xr:uid="{00000000-0005-0000-0000-0000539F0000}"/>
    <cellStyle name="Процентный 4 3 52 4" xfId="18330" xr:uid="{00000000-0005-0000-0000-0000549F0000}"/>
    <cellStyle name="Процентный 4 3 52 5" xfId="23670" xr:uid="{00000000-0005-0000-0000-0000559F0000}"/>
    <cellStyle name="Процентный 4 3 52 6" xfId="29010" xr:uid="{00000000-0005-0000-0000-0000569F0000}"/>
    <cellStyle name="Процентный 4 3 52 7" xfId="34350" xr:uid="{00000000-0005-0000-0000-0000579F0000}"/>
    <cellStyle name="Процентный 4 3 52 8" xfId="39690" xr:uid="{00000000-0005-0000-0000-0000589F0000}"/>
    <cellStyle name="Процентный 4 3 52 9" xfId="45030" xr:uid="{00000000-0005-0000-0000-0000599F0000}"/>
    <cellStyle name="Процентный 4 3 53" xfId="2336" xr:uid="{00000000-0005-0000-0000-00005A9F0000}"/>
    <cellStyle name="Процентный 4 3 53 10" xfId="50400" xr:uid="{00000000-0005-0000-0000-00005B9F0000}"/>
    <cellStyle name="Процентный 4 3 53 2" xfId="7679" xr:uid="{00000000-0005-0000-0000-00005C9F0000}"/>
    <cellStyle name="Процентный 4 3 53 2 2" xfId="55741" xr:uid="{00000000-0005-0000-0000-00005D9F0000}"/>
    <cellStyle name="Процентный 4 3 53 3" xfId="13020" xr:uid="{00000000-0005-0000-0000-00005E9F0000}"/>
    <cellStyle name="Процентный 4 3 53 4" xfId="18360" xr:uid="{00000000-0005-0000-0000-00005F9F0000}"/>
    <cellStyle name="Процентный 4 3 53 5" xfId="23700" xr:uid="{00000000-0005-0000-0000-0000609F0000}"/>
    <cellStyle name="Процентный 4 3 53 6" xfId="29040" xr:uid="{00000000-0005-0000-0000-0000619F0000}"/>
    <cellStyle name="Процентный 4 3 53 7" xfId="34380" xr:uid="{00000000-0005-0000-0000-0000629F0000}"/>
    <cellStyle name="Процентный 4 3 53 8" xfId="39720" xr:uid="{00000000-0005-0000-0000-0000639F0000}"/>
    <cellStyle name="Процентный 4 3 53 9" xfId="45060" xr:uid="{00000000-0005-0000-0000-0000649F0000}"/>
    <cellStyle name="Процентный 4 3 54" xfId="2366" xr:uid="{00000000-0005-0000-0000-0000659F0000}"/>
    <cellStyle name="Процентный 4 3 54 10" xfId="50430" xr:uid="{00000000-0005-0000-0000-0000669F0000}"/>
    <cellStyle name="Процентный 4 3 54 2" xfId="7709" xr:uid="{00000000-0005-0000-0000-0000679F0000}"/>
    <cellStyle name="Процентный 4 3 54 2 2" xfId="55771" xr:uid="{00000000-0005-0000-0000-0000689F0000}"/>
    <cellStyle name="Процентный 4 3 54 3" xfId="13050" xr:uid="{00000000-0005-0000-0000-0000699F0000}"/>
    <cellStyle name="Процентный 4 3 54 4" xfId="18390" xr:uid="{00000000-0005-0000-0000-00006A9F0000}"/>
    <cellStyle name="Процентный 4 3 54 5" xfId="23730" xr:uid="{00000000-0005-0000-0000-00006B9F0000}"/>
    <cellStyle name="Процентный 4 3 54 6" xfId="29070" xr:uid="{00000000-0005-0000-0000-00006C9F0000}"/>
    <cellStyle name="Процентный 4 3 54 7" xfId="34410" xr:uid="{00000000-0005-0000-0000-00006D9F0000}"/>
    <cellStyle name="Процентный 4 3 54 8" xfId="39750" xr:uid="{00000000-0005-0000-0000-00006E9F0000}"/>
    <cellStyle name="Процентный 4 3 54 9" xfId="45090" xr:uid="{00000000-0005-0000-0000-00006F9F0000}"/>
    <cellStyle name="Процентный 4 3 55" xfId="2396" xr:uid="{00000000-0005-0000-0000-0000709F0000}"/>
    <cellStyle name="Процентный 4 3 55 10" xfId="50460" xr:uid="{00000000-0005-0000-0000-0000719F0000}"/>
    <cellStyle name="Процентный 4 3 55 2" xfId="7739" xr:uid="{00000000-0005-0000-0000-0000729F0000}"/>
    <cellStyle name="Процентный 4 3 55 2 2" xfId="55801" xr:uid="{00000000-0005-0000-0000-0000739F0000}"/>
    <cellStyle name="Процентный 4 3 55 3" xfId="13080" xr:uid="{00000000-0005-0000-0000-0000749F0000}"/>
    <cellStyle name="Процентный 4 3 55 4" xfId="18420" xr:uid="{00000000-0005-0000-0000-0000759F0000}"/>
    <cellStyle name="Процентный 4 3 55 5" xfId="23760" xr:uid="{00000000-0005-0000-0000-0000769F0000}"/>
    <cellStyle name="Процентный 4 3 55 6" xfId="29100" xr:uid="{00000000-0005-0000-0000-0000779F0000}"/>
    <cellStyle name="Процентный 4 3 55 7" xfId="34440" xr:uid="{00000000-0005-0000-0000-0000789F0000}"/>
    <cellStyle name="Процентный 4 3 55 8" xfId="39780" xr:uid="{00000000-0005-0000-0000-0000799F0000}"/>
    <cellStyle name="Процентный 4 3 55 9" xfId="45120" xr:uid="{00000000-0005-0000-0000-00007A9F0000}"/>
    <cellStyle name="Процентный 4 3 56" xfId="2426" xr:uid="{00000000-0005-0000-0000-00007B9F0000}"/>
    <cellStyle name="Процентный 4 3 56 10" xfId="50490" xr:uid="{00000000-0005-0000-0000-00007C9F0000}"/>
    <cellStyle name="Процентный 4 3 56 2" xfId="7769" xr:uid="{00000000-0005-0000-0000-00007D9F0000}"/>
    <cellStyle name="Процентный 4 3 56 2 2" xfId="55831" xr:uid="{00000000-0005-0000-0000-00007E9F0000}"/>
    <cellStyle name="Процентный 4 3 56 3" xfId="13110" xr:uid="{00000000-0005-0000-0000-00007F9F0000}"/>
    <cellStyle name="Процентный 4 3 56 4" xfId="18450" xr:uid="{00000000-0005-0000-0000-0000809F0000}"/>
    <cellStyle name="Процентный 4 3 56 5" xfId="23790" xr:uid="{00000000-0005-0000-0000-0000819F0000}"/>
    <cellStyle name="Процентный 4 3 56 6" xfId="29130" xr:uid="{00000000-0005-0000-0000-0000829F0000}"/>
    <cellStyle name="Процентный 4 3 56 7" xfId="34470" xr:uid="{00000000-0005-0000-0000-0000839F0000}"/>
    <cellStyle name="Процентный 4 3 56 8" xfId="39810" xr:uid="{00000000-0005-0000-0000-0000849F0000}"/>
    <cellStyle name="Процентный 4 3 56 9" xfId="45150" xr:uid="{00000000-0005-0000-0000-0000859F0000}"/>
    <cellStyle name="Процентный 4 3 57" xfId="2456" xr:uid="{00000000-0005-0000-0000-0000869F0000}"/>
    <cellStyle name="Процентный 4 3 57 10" xfId="50520" xr:uid="{00000000-0005-0000-0000-0000879F0000}"/>
    <cellStyle name="Процентный 4 3 57 2" xfId="7799" xr:uid="{00000000-0005-0000-0000-0000889F0000}"/>
    <cellStyle name="Процентный 4 3 57 2 2" xfId="55861" xr:uid="{00000000-0005-0000-0000-0000899F0000}"/>
    <cellStyle name="Процентный 4 3 57 3" xfId="13140" xr:uid="{00000000-0005-0000-0000-00008A9F0000}"/>
    <cellStyle name="Процентный 4 3 57 4" xfId="18480" xr:uid="{00000000-0005-0000-0000-00008B9F0000}"/>
    <cellStyle name="Процентный 4 3 57 5" xfId="23820" xr:uid="{00000000-0005-0000-0000-00008C9F0000}"/>
    <cellStyle name="Процентный 4 3 57 6" xfId="29160" xr:uid="{00000000-0005-0000-0000-00008D9F0000}"/>
    <cellStyle name="Процентный 4 3 57 7" xfId="34500" xr:uid="{00000000-0005-0000-0000-00008E9F0000}"/>
    <cellStyle name="Процентный 4 3 57 8" xfId="39840" xr:uid="{00000000-0005-0000-0000-00008F9F0000}"/>
    <cellStyle name="Процентный 4 3 57 9" xfId="45180" xr:uid="{00000000-0005-0000-0000-0000909F0000}"/>
    <cellStyle name="Процентный 4 3 58" xfId="2486" xr:uid="{00000000-0005-0000-0000-0000919F0000}"/>
    <cellStyle name="Процентный 4 3 58 10" xfId="50550" xr:uid="{00000000-0005-0000-0000-0000929F0000}"/>
    <cellStyle name="Процентный 4 3 58 2" xfId="7829" xr:uid="{00000000-0005-0000-0000-0000939F0000}"/>
    <cellStyle name="Процентный 4 3 58 2 2" xfId="55891" xr:uid="{00000000-0005-0000-0000-0000949F0000}"/>
    <cellStyle name="Процентный 4 3 58 3" xfId="13170" xr:uid="{00000000-0005-0000-0000-0000959F0000}"/>
    <cellStyle name="Процентный 4 3 58 4" xfId="18510" xr:uid="{00000000-0005-0000-0000-0000969F0000}"/>
    <cellStyle name="Процентный 4 3 58 5" xfId="23850" xr:uid="{00000000-0005-0000-0000-0000979F0000}"/>
    <cellStyle name="Процентный 4 3 58 6" xfId="29190" xr:uid="{00000000-0005-0000-0000-0000989F0000}"/>
    <cellStyle name="Процентный 4 3 58 7" xfId="34530" xr:uid="{00000000-0005-0000-0000-0000999F0000}"/>
    <cellStyle name="Процентный 4 3 58 8" xfId="39870" xr:uid="{00000000-0005-0000-0000-00009A9F0000}"/>
    <cellStyle name="Процентный 4 3 58 9" xfId="45210" xr:uid="{00000000-0005-0000-0000-00009B9F0000}"/>
    <cellStyle name="Процентный 4 3 59" xfId="2518" xr:uid="{00000000-0005-0000-0000-00009C9F0000}"/>
    <cellStyle name="Процентный 4 3 59 10" xfId="50582" xr:uid="{00000000-0005-0000-0000-00009D9F0000}"/>
    <cellStyle name="Процентный 4 3 59 2" xfId="7861" xr:uid="{00000000-0005-0000-0000-00009E9F0000}"/>
    <cellStyle name="Процентный 4 3 59 2 2" xfId="55923" xr:uid="{00000000-0005-0000-0000-00009F9F0000}"/>
    <cellStyle name="Процентный 4 3 59 3" xfId="13202" xr:uid="{00000000-0005-0000-0000-0000A09F0000}"/>
    <cellStyle name="Процентный 4 3 59 4" xfId="18542" xr:uid="{00000000-0005-0000-0000-0000A19F0000}"/>
    <cellStyle name="Процентный 4 3 59 5" xfId="23882" xr:uid="{00000000-0005-0000-0000-0000A29F0000}"/>
    <cellStyle name="Процентный 4 3 59 6" xfId="29222" xr:uid="{00000000-0005-0000-0000-0000A39F0000}"/>
    <cellStyle name="Процентный 4 3 59 7" xfId="34562" xr:uid="{00000000-0005-0000-0000-0000A49F0000}"/>
    <cellStyle name="Процентный 4 3 59 8" xfId="39902" xr:uid="{00000000-0005-0000-0000-0000A59F0000}"/>
    <cellStyle name="Процентный 4 3 59 9" xfId="45242" xr:uid="{00000000-0005-0000-0000-0000A69F0000}"/>
    <cellStyle name="Процентный 4 3 6" xfId="1073" xr:uid="{00000000-0005-0000-0000-0000A79F0000}"/>
    <cellStyle name="Процентный 4 3 6 10" xfId="49136" xr:uid="{00000000-0005-0000-0000-0000A89F0000}"/>
    <cellStyle name="Процентный 4 3 6 2" xfId="6415" xr:uid="{00000000-0005-0000-0000-0000A99F0000}"/>
    <cellStyle name="Процентный 4 3 6 2 2" xfId="54477" xr:uid="{00000000-0005-0000-0000-0000AA9F0000}"/>
    <cellStyle name="Процентный 4 3 6 3" xfId="11756" xr:uid="{00000000-0005-0000-0000-0000AB9F0000}"/>
    <cellStyle name="Процентный 4 3 6 4" xfId="17096" xr:uid="{00000000-0005-0000-0000-0000AC9F0000}"/>
    <cellStyle name="Процентный 4 3 6 5" xfId="22436" xr:uid="{00000000-0005-0000-0000-0000AD9F0000}"/>
    <cellStyle name="Процентный 4 3 6 6" xfId="27776" xr:uid="{00000000-0005-0000-0000-0000AE9F0000}"/>
    <cellStyle name="Процентный 4 3 6 7" xfId="33116" xr:uid="{00000000-0005-0000-0000-0000AF9F0000}"/>
    <cellStyle name="Процентный 4 3 6 8" xfId="38456" xr:uid="{00000000-0005-0000-0000-0000B09F0000}"/>
    <cellStyle name="Процентный 4 3 6 9" xfId="43796" xr:uid="{00000000-0005-0000-0000-0000B19F0000}"/>
    <cellStyle name="Процентный 4 3 60" xfId="2552" xr:uid="{00000000-0005-0000-0000-0000B29F0000}"/>
    <cellStyle name="Процентный 4 3 60 10" xfId="50616" xr:uid="{00000000-0005-0000-0000-0000B39F0000}"/>
    <cellStyle name="Процентный 4 3 60 2" xfId="7895" xr:uid="{00000000-0005-0000-0000-0000B49F0000}"/>
    <cellStyle name="Процентный 4 3 60 2 2" xfId="55957" xr:uid="{00000000-0005-0000-0000-0000B59F0000}"/>
    <cellStyle name="Процентный 4 3 60 3" xfId="13236" xr:uid="{00000000-0005-0000-0000-0000B69F0000}"/>
    <cellStyle name="Процентный 4 3 60 4" xfId="18576" xr:uid="{00000000-0005-0000-0000-0000B79F0000}"/>
    <cellStyle name="Процентный 4 3 60 5" xfId="23916" xr:uid="{00000000-0005-0000-0000-0000B89F0000}"/>
    <cellStyle name="Процентный 4 3 60 6" xfId="29256" xr:uid="{00000000-0005-0000-0000-0000B99F0000}"/>
    <cellStyle name="Процентный 4 3 60 7" xfId="34596" xr:uid="{00000000-0005-0000-0000-0000BA9F0000}"/>
    <cellStyle name="Процентный 4 3 60 8" xfId="39936" xr:uid="{00000000-0005-0000-0000-0000BB9F0000}"/>
    <cellStyle name="Процентный 4 3 60 9" xfId="45276" xr:uid="{00000000-0005-0000-0000-0000BC9F0000}"/>
    <cellStyle name="Процентный 4 3 61" xfId="2584" xr:uid="{00000000-0005-0000-0000-0000BD9F0000}"/>
    <cellStyle name="Процентный 4 3 61 10" xfId="50648" xr:uid="{00000000-0005-0000-0000-0000BE9F0000}"/>
    <cellStyle name="Процентный 4 3 61 2" xfId="7927" xr:uid="{00000000-0005-0000-0000-0000BF9F0000}"/>
    <cellStyle name="Процентный 4 3 61 2 2" xfId="55989" xr:uid="{00000000-0005-0000-0000-0000C09F0000}"/>
    <cellStyle name="Процентный 4 3 61 3" xfId="13268" xr:uid="{00000000-0005-0000-0000-0000C19F0000}"/>
    <cellStyle name="Процентный 4 3 61 4" xfId="18608" xr:uid="{00000000-0005-0000-0000-0000C29F0000}"/>
    <cellStyle name="Процентный 4 3 61 5" xfId="23948" xr:uid="{00000000-0005-0000-0000-0000C39F0000}"/>
    <cellStyle name="Процентный 4 3 61 6" xfId="29288" xr:uid="{00000000-0005-0000-0000-0000C49F0000}"/>
    <cellStyle name="Процентный 4 3 61 7" xfId="34628" xr:uid="{00000000-0005-0000-0000-0000C59F0000}"/>
    <cellStyle name="Процентный 4 3 61 8" xfId="39968" xr:uid="{00000000-0005-0000-0000-0000C69F0000}"/>
    <cellStyle name="Процентный 4 3 61 9" xfId="45308" xr:uid="{00000000-0005-0000-0000-0000C79F0000}"/>
    <cellStyle name="Процентный 4 3 62" xfId="2616" xr:uid="{00000000-0005-0000-0000-0000C89F0000}"/>
    <cellStyle name="Процентный 4 3 62 10" xfId="50680" xr:uid="{00000000-0005-0000-0000-0000C99F0000}"/>
    <cellStyle name="Процентный 4 3 62 2" xfId="7959" xr:uid="{00000000-0005-0000-0000-0000CA9F0000}"/>
    <cellStyle name="Процентный 4 3 62 2 2" xfId="56021" xr:uid="{00000000-0005-0000-0000-0000CB9F0000}"/>
    <cellStyle name="Процентный 4 3 62 3" xfId="13300" xr:uid="{00000000-0005-0000-0000-0000CC9F0000}"/>
    <cellStyle name="Процентный 4 3 62 4" xfId="18640" xr:uid="{00000000-0005-0000-0000-0000CD9F0000}"/>
    <cellStyle name="Процентный 4 3 62 5" xfId="23980" xr:uid="{00000000-0005-0000-0000-0000CE9F0000}"/>
    <cellStyle name="Процентный 4 3 62 6" xfId="29320" xr:uid="{00000000-0005-0000-0000-0000CF9F0000}"/>
    <cellStyle name="Процентный 4 3 62 7" xfId="34660" xr:uid="{00000000-0005-0000-0000-0000D09F0000}"/>
    <cellStyle name="Процентный 4 3 62 8" xfId="40000" xr:uid="{00000000-0005-0000-0000-0000D19F0000}"/>
    <cellStyle name="Процентный 4 3 62 9" xfId="45340" xr:uid="{00000000-0005-0000-0000-0000D29F0000}"/>
    <cellStyle name="Процентный 4 3 63" xfId="2648" xr:uid="{00000000-0005-0000-0000-0000D39F0000}"/>
    <cellStyle name="Процентный 4 3 63 10" xfId="50712" xr:uid="{00000000-0005-0000-0000-0000D49F0000}"/>
    <cellStyle name="Процентный 4 3 63 2" xfId="7991" xr:uid="{00000000-0005-0000-0000-0000D59F0000}"/>
    <cellStyle name="Процентный 4 3 63 2 2" xfId="56053" xr:uid="{00000000-0005-0000-0000-0000D69F0000}"/>
    <cellStyle name="Процентный 4 3 63 3" xfId="13332" xr:uid="{00000000-0005-0000-0000-0000D79F0000}"/>
    <cellStyle name="Процентный 4 3 63 4" xfId="18672" xr:uid="{00000000-0005-0000-0000-0000D89F0000}"/>
    <cellStyle name="Процентный 4 3 63 5" xfId="24012" xr:uid="{00000000-0005-0000-0000-0000D99F0000}"/>
    <cellStyle name="Процентный 4 3 63 6" xfId="29352" xr:uid="{00000000-0005-0000-0000-0000DA9F0000}"/>
    <cellStyle name="Процентный 4 3 63 7" xfId="34692" xr:uid="{00000000-0005-0000-0000-0000DB9F0000}"/>
    <cellStyle name="Процентный 4 3 63 8" xfId="40032" xr:uid="{00000000-0005-0000-0000-0000DC9F0000}"/>
    <cellStyle name="Процентный 4 3 63 9" xfId="45372" xr:uid="{00000000-0005-0000-0000-0000DD9F0000}"/>
    <cellStyle name="Процентный 4 3 64" xfId="2680" xr:uid="{00000000-0005-0000-0000-0000DE9F0000}"/>
    <cellStyle name="Процентный 4 3 64 10" xfId="50744" xr:uid="{00000000-0005-0000-0000-0000DF9F0000}"/>
    <cellStyle name="Процентный 4 3 64 2" xfId="8023" xr:uid="{00000000-0005-0000-0000-0000E09F0000}"/>
    <cellStyle name="Процентный 4 3 64 2 2" xfId="56085" xr:uid="{00000000-0005-0000-0000-0000E19F0000}"/>
    <cellStyle name="Процентный 4 3 64 3" xfId="13364" xr:uid="{00000000-0005-0000-0000-0000E29F0000}"/>
    <cellStyle name="Процентный 4 3 64 4" xfId="18704" xr:uid="{00000000-0005-0000-0000-0000E39F0000}"/>
    <cellStyle name="Процентный 4 3 64 5" xfId="24044" xr:uid="{00000000-0005-0000-0000-0000E49F0000}"/>
    <cellStyle name="Процентный 4 3 64 6" xfId="29384" xr:uid="{00000000-0005-0000-0000-0000E59F0000}"/>
    <cellStyle name="Процентный 4 3 64 7" xfId="34724" xr:uid="{00000000-0005-0000-0000-0000E69F0000}"/>
    <cellStyle name="Процентный 4 3 64 8" xfId="40064" xr:uid="{00000000-0005-0000-0000-0000E79F0000}"/>
    <cellStyle name="Процентный 4 3 64 9" xfId="45404" xr:uid="{00000000-0005-0000-0000-0000E89F0000}"/>
    <cellStyle name="Процентный 4 3 65" xfId="2712" xr:uid="{00000000-0005-0000-0000-0000E99F0000}"/>
    <cellStyle name="Процентный 4 3 65 10" xfId="50776" xr:uid="{00000000-0005-0000-0000-0000EA9F0000}"/>
    <cellStyle name="Процентный 4 3 65 2" xfId="8055" xr:uid="{00000000-0005-0000-0000-0000EB9F0000}"/>
    <cellStyle name="Процентный 4 3 65 2 2" xfId="56117" xr:uid="{00000000-0005-0000-0000-0000EC9F0000}"/>
    <cellStyle name="Процентный 4 3 65 3" xfId="13396" xr:uid="{00000000-0005-0000-0000-0000ED9F0000}"/>
    <cellStyle name="Процентный 4 3 65 4" xfId="18736" xr:uid="{00000000-0005-0000-0000-0000EE9F0000}"/>
    <cellStyle name="Процентный 4 3 65 5" xfId="24076" xr:uid="{00000000-0005-0000-0000-0000EF9F0000}"/>
    <cellStyle name="Процентный 4 3 65 6" xfId="29416" xr:uid="{00000000-0005-0000-0000-0000F09F0000}"/>
    <cellStyle name="Процентный 4 3 65 7" xfId="34756" xr:uid="{00000000-0005-0000-0000-0000F19F0000}"/>
    <cellStyle name="Процентный 4 3 65 8" xfId="40096" xr:uid="{00000000-0005-0000-0000-0000F29F0000}"/>
    <cellStyle name="Процентный 4 3 65 9" xfId="45436" xr:uid="{00000000-0005-0000-0000-0000F39F0000}"/>
    <cellStyle name="Процентный 4 3 66" xfId="2744" xr:uid="{00000000-0005-0000-0000-0000F49F0000}"/>
    <cellStyle name="Процентный 4 3 66 10" xfId="50808" xr:uid="{00000000-0005-0000-0000-0000F59F0000}"/>
    <cellStyle name="Процентный 4 3 66 2" xfId="8087" xr:uid="{00000000-0005-0000-0000-0000F69F0000}"/>
    <cellStyle name="Процентный 4 3 66 2 2" xfId="56149" xr:uid="{00000000-0005-0000-0000-0000F79F0000}"/>
    <cellStyle name="Процентный 4 3 66 3" xfId="13428" xr:uid="{00000000-0005-0000-0000-0000F89F0000}"/>
    <cellStyle name="Процентный 4 3 66 4" xfId="18768" xr:uid="{00000000-0005-0000-0000-0000F99F0000}"/>
    <cellStyle name="Процентный 4 3 66 5" xfId="24108" xr:uid="{00000000-0005-0000-0000-0000FA9F0000}"/>
    <cellStyle name="Процентный 4 3 66 6" xfId="29448" xr:uid="{00000000-0005-0000-0000-0000FB9F0000}"/>
    <cellStyle name="Процентный 4 3 66 7" xfId="34788" xr:uid="{00000000-0005-0000-0000-0000FC9F0000}"/>
    <cellStyle name="Процентный 4 3 66 8" xfId="40128" xr:uid="{00000000-0005-0000-0000-0000FD9F0000}"/>
    <cellStyle name="Процентный 4 3 66 9" xfId="45468" xr:uid="{00000000-0005-0000-0000-0000FE9F0000}"/>
    <cellStyle name="Процентный 4 3 67" xfId="2778" xr:uid="{00000000-0005-0000-0000-0000FF9F0000}"/>
    <cellStyle name="Процентный 4 3 67 10" xfId="50842" xr:uid="{00000000-0005-0000-0000-000000A00000}"/>
    <cellStyle name="Процентный 4 3 67 2" xfId="8121" xr:uid="{00000000-0005-0000-0000-000001A00000}"/>
    <cellStyle name="Процентный 4 3 67 2 2" xfId="56183" xr:uid="{00000000-0005-0000-0000-000002A00000}"/>
    <cellStyle name="Процентный 4 3 67 3" xfId="13462" xr:uid="{00000000-0005-0000-0000-000003A00000}"/>
    <cellStyle name="Процентный 4 3 67 4" xfId="18802" xr:uid="{00000000-0005-0000-0000-000004A00000}"/>
    <cellStyle name="Процентный 4 3 67 5" xfId="24142" xr:uid="{00000000-0005-0000-0000-000005A00000}"/>
    <cellStyle name="Процентный 4 3 67 6" xfId="29482" xr:uid="{00000000-0005-0000-0000-000006A00000}"/>
    <cellStyle name="Процентный 4 3 67 7" xfId="34822" xr:uid="{00000000-0005-0000-0000-000007A00000}"/>
    <cellStyle name="Процентный 4 3 67 8" xfId="40162" xr:uid="{00000000-0005-0000-0000-000008A00000}"/>
    <cellStyle name="Процентный 4 3 67 9" xfId="45502" xr:uid="{00000000-0005-0000-0000-000009A00000}"/>
    <cellStyle name="Процентный 4 3 68" xfId="2810" xr:uid="{00000000-0005-0000-0000-00000AA00000}"/>
    <cellStyle name="Процентный 4 3 68 10" xfId="50874" xr:uid="{00000000-0005-0000-0000-00000BA00000}"/>
    <cellStyle name="Процентный 4 3 68 2" xfId="8153" xr:uid="{00000000-0005-0000-0000-00000CA00000}"/>
    <cellStyle name="Процентный 4 3 68 2 2" xfId="56215" xr:uid="{00000000-0005-0000-0000-00000DA00000}"/>
    <cellStyle name="Процентный 4 3 68 3" xfId="13494" xr:uid="{00000000-0005-0000-0000-00000EA00000}"/>
    <cellStyle name="Процентный 4 3 68 4" xfId="18834" xr:uid="{00000000-0005-0000-0000-00000FA00000}"/>
    <cellStyle name="Процентный 4 3 68 5" xfId="24174" xr:uid="{00000000-0005-0000-0000-000010A00000}"/>
    <cellStyle name="Процентный 4 3 68 6" xfId="29514" xr:uid="{00000000-0005-0000-0000-000011A00000}"/>
    <cellStyle name="Процентный 4 3 68 7" xfId="34854" xr:uid="{00000000-0005-0000-0000-000012A00000}"/>
    <cellStyle name="Процентный 4 3 68 8" xfId="40194" xr:uid="{00000000-0005-0000-0000-000013A00000}"/>
    <cellStyle name="Процентный 4 3 68 9" xfId="45534" xr:uid="{00000000-0005-0000-0000-000014A00000}"/>
    <cellStyle name="Процентный 4 3 69" xfId="2842" xr:uid="{00000000-0005-0000-0000-000015A00000}"/>
    <cellStyle name="Процентный 4 3 69 10" xfId="50906" xr:uid="{00000000-0005-0000-0000-000016A00000}"/>
    <cellStyle name="Процентный 4 3 69 2" xfId="8185" xr:uid="{00000000-0005-0000-0000-000017A00000}"/>
    <cellStyle name="Процентный 4 3 69 2 2" xfId="56247" xr:uid="{00000000-0005-0000-0000-000018A00000}"/>
    <cellStyle name="Процентный 4 3 69 3" xfId="13526" xr:uid="{00000000-0005-0000-0000-000019A00000}"/>
    <cellStyle name="Процентный 4 3 69 4" xfId="18866" xr:uid="{00000000-0005-0000-0000-00001AA00000}"/>
    <cellStyle name="Процентный 4 3 69 5" xfId="24206" xr:uid="{00000000-0005-0000-0000-00001BA00000}"/>
    <cellStyle name="Процентный 4 3 69 6" xfId="29546" xr:uid="{00000000-0005-0000-0000-00001CA00000}"/>
    <cellStyle name="Процентный 4 3 69 7" xfId="34886" xr:uid="{00000000-0005-0000-0000-00001DA00000}"/>
    <cellStyle name="Процентный 4 3 69 8" xfId="40226" xr:uid="{00000000-0005-0000-0000-00001EA00000}"/>
    <cellStyle name="Процентный 4 3 69 9" xfId="45566" xr:uid="{00000000-0005-0000-0000-00001FA00000}"/>
    <cellStyle name="Процентный 4 3 7" xfId="1099" xr:uid="{00000000-0005-0000-0000-000020A00000}"/>
    <cellStyle name="Процентный 4 3 7 10" xfId="49162" xr:uid="{00000000-0005-0000-0000-000021A00000}"/>
    <cellStyle name="Процентный 4 3 7 2" xfId="6441" xr:uid="{00000000-0005-0000-0000-000022A00000}"/>
    <cellStyle name="Процентный 4 3 7 2 2" xfId="54503" xr:uid="{00000000-0005-0000-0000-000023A00000}"/>
    <cellStyle name="Процентный 4 3 7 3" xfId="11782" xr:uid="{00000000-0005-0000-0000-000024A00000}"/>
    <cellStyle name="Процентный 4 3 7 4" xfId="17122" xr:uid="{00000000-0005-0000-0000-000025A00000}"/>
    <cellStyle name="Процентный 4 3 7 5" xfId="22462" xr:uid="{00000000-0005-0000-0000-000026A00000}"/>
    <cellStyle name="Процентный 4 3 7 6" xfId="27802" xr:uid="{00000000-0005-0000-0000-000027A00000}"/>
    <cellStyle name="Процентный 4 3 7 7" xfId="33142" xr:uid="{00000000-0005-0000-0000-000028A00000}"/>
    <cellStyle name="Процентный 4 3 7 8" xfId="38482" xr:uid="{00000000-0005-0000-0000-000029A00000}"/>
    <cellStyle name="Процентный 4 3 7 9" xfId="43822" xr:uid="{00000000-0005-0000-0000-00002AA00000}"/>
    <cellStyle name="Процентный 4 3 70" xfId="2874" xr:uid="{00000000-0005-0000-0000-00002BA00000}"/>
    <cellStyle name="Процентный 4 3 70 10" xfId="50938" xr:uid="{00000000-0005-0000-0000-00002CA00000}"/>
    <cellStyle name="Процентный 4 3 70 2" xfId="8217" xr:uid="{00000000-0005-0000-0000-00002DA00000}"/>
    <cellStyle name="Процентный 4 3 70 2 2" xfId="56279" xr:uid="{00000000-0005-0000-0000-00002EA00000}"/>
    <cellStyle name="Процентный 4 3 70 3" xfId="13558" xr:uid="{00000000-0005-0000-0000-00002FA00000}"/>
    <cellStyle name="Процентный 4 3 70 4" xfId="18898" xr:uid="{00000000-0005-0000-0000-000030A00000}"/>
    <cellStyle name="Процентный 4 3 70 5" xfId="24238" xr:uid="{00000000-0005-0000-0000-000031A00000}"/>
    <cellStyle name="Процентный 4 3 70 6" xfId="29578" xr:uid="{00000000-0005-0000-0000-000032A00000}"/>
    <cellStyle name="Процентный 4 3 70 7" xfId="34918" xr:uid="{00000000-0005-0000-0000-000033A00000}"/>
    <cellStyle name="Процентный 4 3 70 8" xfId="40258" xr:uid="{00000000-0005-0000-0000-000034A00000}"/>
    <cellStyle name="Процентный 4 3 70 9" xfId="45598" xr:uid="{00000000-0005-0000-0000-000035A00000}"/>
    <cellStyle name="Процентный 4 3 71" xfId="2906" xr:uid="{00000000-0005-0000-0000-000036A00000}"/>
    <cellStyle name="Процентный 4 3 71 10" xfId="50970" xr:uid="{00000000-0005-0000-0000-000037A00000}"/>
    <cellStyle name="Процентный 4 3 71 2" xfId="8249" xr:uid="{00000000-0005-0000-0000-000038A00000}"/>
    <cellStyle name="Процентный 4 3 71 2 2" xfId="56311" xr:uid="{00000000-0005-0000-0000-000039A00000}"/>
    <cellStyle name="Процентный 4 3 71 3" xfId="13590" xr:uid="{00000000-0005-0000-0000-00003AA00000}"/>
    <cellStyle name="Процентный 4 3 71 4" xfId="18930" xr:uid="{00000000-0005-0000-0000-00003BA00000}"/>
    <cellStyle name="Процентный 4 3 71 5" xfId="24270" xr:uid="{00000000-0005-0000-0000-00003CA00000}"/>
    <cellStyle name="Процентный 4 3 71 6" xfId="29610" xr:uid="{00000000-0005-0000-0000-00003DA00000}"/>
    <cellStyle name="Процентный 4 3 71 7" xfId="34950" xr:uid="{00000000-0005-0000-0000-00003EA00000}"/>
    <cellStyle name="Процентный 4 3 71 8" xfId="40290" xr:uid="{00000000-0005-0000-0000-00003FA00000}"/>
    <cellStyle name="Процентный 4 3 71 9" xfId="45630" xr:uid="{00000000-0005-0000-0000-000040A00000}"/>
    <cellStyle name="Процентный 4 3 72" xfId="2938" xr:uid="{00000000-0005-0000-0000-000041A00000}"/>
    <cellStyle name="Процентный 4 3 72 10" xfId="51002" xr:uid="{00000000-0005-0000-0000-000042A00000}"/>
    <cellStyle name="Процентный 4 3 72 2" xfId="8281" xr:uid="{00000000-0005-0000-0000-000043A00000}"/>
    <cellStyle name="Процентный 4 3 72 2 2" xfId="56343" xr:uid="{00000000-0005-0000-0000-000044A00000}"/>
    <cellStyle name="Процентный 4 3 72 3" xfId="13622" xr:uid="{00000000-0005-0000-0000-000045A00000}"/>
    <cellStyle name="Процентный 4 3 72 4" xfId="18962" xr:uid="{00000000-0005-0000-0000-000046A00000}"/>
    <cellStyle name="Процентный 4 3 72 5" xfId="24302" xr:uid="{00000000-0005-0000-0000-000047A00000}"/>
    <cellStyle name="Процентный 4 3 72 6" xfId="29642" xr:uid="{00000000-0005-0000-0000-000048A00000}"/>
    <cellStyle name="Процентный 4 3 72 7" xfId="34982" xr:uid="{00000000-0005-0000-0000-000049A00000}"/>
    <cellStyle name="Процентный 4 3 72 8" xfId="40322" xr:uid="{00000000-0005-0000-0000-00004AA00000}"/>
    <cellStyle name="Процентный 4 3 72 9" xfId="45662" xr:uid="{00000000-0005-0000-0000-00004BA00000}"/>
    <cellStyle name="Процентный 4 3 73" xfId="2970" xr:uid="{00000000-0005-0000-0000-00004CA00000}"/>
    <cellStyle name="Процентный 4 3 73 10" xfId="51034" xr:uid="{00000000-0005-0000-0000-00004DA00000}"/>
    <cellStyle name="Процентный 4 3 73 2" xfId="8313" xr:uid="{00000000-0005-0000-0000-00004EA00000}"/>
    <cellStyle name="Процентный 4 3 73 2 2" xfId="56375" xr:uid="{00000000-0005-0000-0000-00004FA00000}"/>
    <cellStyle name="Процентный 4 3 73 3" xfId="13654" xr:uid="{00000000-0005-0000-0000-000050A00000}"/>
    <cellStyle name="Процентный 4 3 73 4" xfId="18994" xr:uid="{00000000-0005-0000-0000-000051A00000}"/>
    <cellStyle name="Процентный 4 3 73 5" xfId="24334" xr:uid="{00000000-0005-0000-0000-000052A00000}"/>
    <cellStyle name="Процентный 4 3 73 6" xfId="29674" xr:uid="{00000000-0005-0000-0000-000053A00000}"/>
    <cellStyle name="Процентный 4 3 73 7" xfId="35014" xr:uid="{00000000-0005-0000-0000-000054A00000}"/>
    <cellStyle name="Процентный 4 3 73 8" xfId="40354" xr:uid="{00000000-0005-0000-0000-000055A00000}"/>
    <cellStyle name="Процентный 4 3 73 9" xfId="45694" xr:uid="{00000000-0005-0000-0000-000056A00000}"/>
    <cellStyle name="Процентный 4 3 74" xfId="3002" xr:uid="{00000000-0005-0000-0000-000057A00000}"/>
    <cellStyle name="Процентный 4 3 74 10" xfId="51066" xr:uid="{00000000-0005-0000-0000-000058A00000}"/>
    <cellStyle name="Процентный 4 3 74 2" xfId="8345" xr:uid="{00000000-0005-0000-0000-000059A00000}"/>
    <cellStyle name="Процентный 4 3 74 2 2" xfId="56407" xr:uid="{00000000-0005-0000-0000-00005AA00000}"/>
    <cellStyle name="Процентный 4 3 74 3" xfId="13686" xr:uid="{00000000-0005-0000-0000-00005BA00000}"/>
    <cellStyle name="Процентный 4 3 74 4" xfId="19026" xr:uid="{00000000-0005-0000-0000-00005CA00000}"/>
    <cellStyle name="Процентный 4 3 74 5" xfId="24366" xr:uid="{00000000-0005-0000-0000-00005DA00000}"/>
    <cellStyle name="Процентный 4 3 74 6" xfId="29706" xr:uid="{00000000-0005-0000-0000-00005EA00000}"/>
    <cellStyle name="Процентный 4 3 74 7" xfId="35046" xr:uid="{00000000-0005-0000-0000-00005FA00000}"/>
    <cellStyle name="Процентный 4 3 74 8" xfId="40386" xr:uid="{00000000-0005-0000-0000-000060A00000}"/>
    <cellStyle name="Процентный 4 3 74 9" xfId="45726" xr:uid="{00000000-0005-0000-0000-000061A00000}"/>
    <cellStyle name="Процентный 4 3 75" xfId="3034" xr:uid="{00000000-0005-0000-0000-000062A00000}"/>
    <cellStyle name="Процентный 4 3 75 10" xfId="51098" xr:uid="{00000000-0005-0000-0000-000063A00000}"/>
    <cellStyle name="Процентный 4 3 75 2" xfId="8377" xr:uid="{00000000-0005-0000-0000-000064A00000}"/>
    <cellStyle name="Процентный 4 3 75 2 2" xfId="56439" xr:uid="{00000000-0005-0000-0000-000065A00000}"/>
    <cellStyle name="Процентный 4 3 75 3" xfId="13718" xr:uid="{00000000-0005-0000-0000-000066A00000}"/>
    <cellStyle name="Процентный 4 3 75 4" xfId="19058" xr:uid="{00000000-0005-0000-0000-000067A00000}"/>
    <cellStyle name="Процентный 4 3 75 5" xfId="24398" xr:uid="{00000000-0005-0000-0000-000068A00000}"/>
    <cellStyle name="Процентный 4 3 75 6" xfId="29738" xr:uid="{00000000-0005-0000-0000-000069A00000}"/>
    <cellStyle name="Процентный 4 3 75 7" xfId="35078" xr:uid="{00000000-0005-0000-0000-00006AA00000}"/>
    <cellStyle name="Процентный 4 3 75 8" xfId="40418" xr:uid="{00000000-0005-0000-0000-00006BA00000}"/>
    <cellStyle name="Процентный 4 3 75 9" xfId="45758" xr:uid="{00000000-0005-0000-0000-00006CA00000}"/>
    <cellStyle name="Процентный 4 3 76" xfId="3066" xr:uid="{00000000-0005-0000-0000-00006DA00000}"/>
    <cellStyle name="Процентный 4 3 76 10" xfId="51130" xr:uid="{00000000-0005-0000-0000-00006EA00000}"/>
    <cellStyle name="Процентный 4 3 76 2" xfId="8409" xr:uid="{00000000-0005-0000-0000-00006FA00000}"/>
    <cellStyle name="Процентный 4 3 76 2 2" xfId="56471" xr:uid="{00000000-0005-0000-0000-000070A00000}"/>
    <cellStyle name="Процентный 4 3 76 3" xfId="13750" xr:uid="{00000000-0005-0000-0000-000071A00000}"/>
    <cellStyle name="Процентный 4 3 76 4" xfId="19090" xr:uid="{00000000-0005-0000-0000-000072A00000}"/>
    <cellStyle name="Процентный 4 3 76 5" xfId="24430" xr:uid="{00000000-0005-0000-0000-000073A00000}"/>
    <cellStyle name="Процентный 4 3 76 6" xfId="29770" xr:uid="{00000000-0005-0000-0000-000074A00000}"/>
    <cellStyle name="Процентный 4 3 76 7" xfId="35110" xr:uid="{00000000-0005-0000-0000-000075A00000}"/>
    <cellStyle name="Процентный 4 3 76 8" xfId="40450" xr:uid="{00000000-0005-0000-0000-000076A00000}"/>
    <cellStyle name="Процентный 4 3 76 9" xfId="45790" xr:uid="{00000000-0005-0000-0000-000077A00000}"/>
    <cellStyle name="Процентный 4 3 77" xfId="3098" xr:uid="{00000000-0005-0000-0000-000078A00000}"/>
    <cellStyle name="Процентный 4 3 77 10" xfId="51162" xr:uid="{00000000-0005-0000-0000-000079A00000}"/>
    <cellStyle name="Процентный 4 3 77 2" xfId="8441" xr:uid="{00000000-0005-0000-0000-00007AA00000}"/>
    <cellStyle name="Процентный 4 3 77 2 2" xfId="56503" xr:uid="{00000000-0005-0000-0000-00007BA00000}"/>
    <cellStyle name="Процентный 4 3 77 3" xfId="13782" xr:uid="{00000000-0005-0000-0000-00007CA00000}"/>
    <cellStyle name="Процентный 4 3 77 4" xfId="19122" xr:uid="{00000000-0005-0000-0000-00007DA00000}"/>
    <cellStyle name="Процентный 4 3 77 5" xfId="24462" xr:uid="{00000000-0005-0000-0000-00007EA00000}"/>
    <cellStyle name="Процентный 4 3 77 6" xfId="29802" xr:uid="{00000000-0005-0000-0000-00007FA00000}"/>
    <cellStyle name="Процентный 4 3 77 7" xfId="35142" xr:uid="{00000000-0005-0000-0000-000080A00000}"/>
    <cellStyle name="Процентный 4 3 77 8" xfId="40482" xr:uid="{00000000-0005-0000-0000-000081A00000}"/>
    <cellStyle name="Процентный 4 3 77 9" xfId="45822" xr:uid="{00000000-0005-0000-0000-000082A00000}"/>
    <cellStyle name="Процентный 4 3 78" xfId="3131" xr:uid="{00000000-0005-0000-0000-000083A00000}"/>
    <cellStyle name="Процентный 4 3 78 10" xfId="51194" xr:uid="{00000000-0005-0000-0000-000084A00000}"/>
    <cellStyle name="Процентный 4 3 78 2" xfId="8474" xr:uid="{00000000-0005-0000-0000-000085A00000}"/>
    <cellStyle name="Процентный 4 3 78 2 2" xfId="56535" xr:uid="{00000000-0005-0000-0000-000086A00000}"/>
    <cellStyle name="Процентный 4 3 78 3" xfId="13814" xr:uid="{00000000-0005-0000-0000-000087A00000}"/>
    <cellStyle name="Процентный 4 3 78 4" xfId="19154" xr:uid="{00000000-0005-0000-0000-000088A00000}"/>
    <cellStyle name="Процентный 4 3 78 5" xfId="24494" xr:uid="{00000000-0005-0000-0000-000089A00000}"/>
    <cellStyle name="Процентный 4 3 78 6" xfId="29834" xr:uid="{00000000-0005-0000-0000-00008AA00000}"/>
    <cellStyle name="Процентный 4 3 78 7" xfId="35174" xr:uid="{00000000-0005-0000-0000-00008BA00000}"/>
    <cellStyle name="Процентный 4 3 78 8" xfId="40514" xr:uid="{00000000-0005-0000-0000-00008CA00000}"/>
    <cellStyle name="Процентный 4 3 78 9" xfId="45854" xr:uid="{00000000-0005-0000-0000-00008DA00000}"/>
    <cellStyle name="Процентный 4 3 79" xfId="3163" xr:uid="{00000000-0005-0000-0000-00008EA00000}"/>
    <cellStyle name="Процентный 4 3 79 10" xfId="51226" xr:uid="{00000000-0005-0000-0000-00008FA00000}"/>
    <cellStyle name="Процентный 4 3 79 2" xfId="8506" xr:uid="{00000000-0005-0000-0000-000090A00000}"/>
    <cellStyle name="Процентный 4 3 79 2 2" xfId="56567" xr:uid="{00000000-0005-0000-0000-000091A00000}"/>
    <cellStyle name="Процентный 4 3 79 3" xfId="13846" xr:uid="{00000000-0005-0000-0000-000092A00000}"/>
    <cellStyle name="Процентный 4 3 79 4" xfId="19186" xr:uid="{00000000-0005-0000-0000-000093A00000}"/>
    <cellStyle name="Процентный 4 3 79 5" xfId="24526" xr:uid="{00000000-0005-0000-0000-000094A00000}"/>
    <cellStyle name="Процентный 4 3 79 6" xfId="29866" xr:uid="{00000000-0005-0000-0000-000095A00000}"/>
    <cellStyle name="Процентный 4 3 79 7" xfId="35206" xr:uid="{00000000-0005-0000-0000-000096A00000}"/>
    <cellStyle name="Процентный 4 3 79 8" xfId="40546" xr:uid="{00000000-0005-0000-0000-000097A00000}"/>
    <cellStyle name="Процентный 4 3 79 9" xfId="45886" xr:uid="{00000000-0005-0000-0000-000098A00000}"/>
    <cellStyle name="Процентный 4 3 8" xfId="1125" xr:uid="{00000000-0005-0000-0000-000099A00000}"/>
    <cellStyle name="Процентный 4 3 8 10" xfId="49188" xr:uid="{00000000-0005-0000-0000-00009AA00000}"/>
    <cellStyle name="Процентный 4 3 8 2" xfId="6467" xr:uid="{00000000-0005-0000-0000-00009BA00000}"/>
    <cellStyle name="Процентный 4 3 8 2 2" xfId="54529" xr:uid="{00000000-0005-0000-0000-00009CA00000}"/>
    <cellStyle name="Процентный 4 3 8 3" xfId="11808" xr:uid="{00000000-0005-0000-0000-00009DA00000}"/>
    <cellStyle name="Процентный 4 3 8 4" xfId="17148" xr:uid="{00000000-0005-0000-0000-00009EA00000}"/>
    <cellStyle name="Процентный 4 3 8 5" xfId="22488" xr:uid="{00000000-0005-0000-0000-00009FA00000}"/>
    <cellStyle name="Процентный 4 3 8 6" xfId="27828" xr:uid="{00000000-0005-0000-0000-0000A0A00000}"/>
    <cellStyle name="Процентный 4 3 8 7" xfId="33168" xr:uid="{00000000-0005-0000-0000-0000A1A00000}"/>
    <cellStyle name="Процентный 4 3 8 8" xfId="38508" xr:uid="{00000000-0005-0000-0000-0000A2A00000}"/>
    <cellStyle name="Процентный 4 3 8 9" xfId="43848" xr:uid="{00000000-0005-0000-0000-0000A3A00000}"/>
    <cellStyle name="Процентный 4 3 80" xfId="3195" xr:uid="{00000000-0005-0000-0000-0000A4A00000}"/>
    <cellStyle name="Процентный 4 3 80 10" xfId="51258" xr:uid="{00000000-0005-0000-0000-0000A5A00000}"/>
    <cellStyle name="Процентный 4 3 80 2" xfId="8538" xr:uid="{00000000-0005-0000-0000-0000A6A00000}"/>
    <cellStyle name="Процентный 4 3 80 2 2" xfId="56599" xr:uid="{00000000-0005-0000-0000-0000A7A00000}"/>
    <cellStyle name="Процентный 4 3 80 3" xfId="13878" xr:uid="{00000000-0005-0000-0000-0000A8A00000}"/>
    <cellStyle name="Процентный 4 3 80 4" xfId="19218" xr:uid="{00000000-0005-0000-0000-0000A9A00000}"/>
    <cellStyle name="Процентный 4 3 80 5" xfId="24558" xr:uid="{00000000-0005-0000-0000-0000AAA00000}"/>
    <cellStyle name="Процентный 4 3 80 6" xfId="29898" xr:uid="{00000000-0005-0000-0000-0000ABA00000}"/>
    <cellStyle name="Процентный 4 3 80 7" xfId="35238" xr:uid="{00000000-0005-0000-0000-0000ACA00000}"/>
    <cellStyle name="Процентный 4 3 80 8" xfId="40578" xr:uid="{00000000-0005-0000-0000-0000ADA00000}"/>
    <cellStyle name="Процентный 4 3 80 9" xfId="45918" xr:uid="{00000000-0005-0000-0000-0000AEA00000}"/>
    <cellStyle name="Процентный 4 3 81" xfId="3227" xr:uid="{00000000-0005-0000-0000-0000AFA00000}"/>
    <cellStyle name="Процентный 4 3 81 10" xfId="51290" xr:uid="{00000000-0005-0000-0000-0000B0A00000}"/>
    <cellStyle name="Процентный 4 3 81 2" xfId="8570" xr:uid="{00000000-0005-0000-0000-0000B1A00000}"/>
    <cellStyle name="Процентный 4 3 81 2 2" xfId="56631" xr:uid="{00000000-0005-0000-0000-0000B2A00000}"/>
    <cellStyle name="Процентный 4 3 81 3" xfId="13910" xr:uid="{00000000-0005-0000-0000-0000B3A00000}"/>
    <cellStyle name="Процентный 4 3 81 4" xfId="19250" xr:uid="{00000000-0005-0000-0000-0000B4A00000}"/>
    <cellStyle name="Процентный 4 3 81 5" xfId="24590" xr:uid="{00000000-0005-0000-0000-0000B5A00000}"/>
    <cellStyle name="Процентный 4 3 81 6" xfId="29930" xr:uid="{00000000-0005-0000-0000-0000B6A00000}"/>
    <cellStyle name="Процентный 4 3 81 7" xfId="35270" xr:uid="{00000000-0005-0000-0000-0000B7A00000}"/>
    <cellStyle name="Процентный 4 3 81 8" xfId="40610" xr:uid="{00000000-0005-0000-0000-0000B8A00000}"/>
    <cellStyle name="Процентный 4 3 81 9" xfId="45950" xr:uid="{00000000-0005-0000-0000-0000B9A00000}"/>
    <cellStyle name="Процентный 4 3 82" xfId="3259" xr:uid="{00000000-0005-0000-0000-0000BAA00000}"/>
    <cellStyle name="Процентный 4 3 82 10" xfId="51322" xr:uid="{00000000-0005-0000-0000-0000BBA00000}"/>
    <cellStyle name="Процентный 4 3 82 2" xfId="8602" xr:uid="{00000000-0005-0000-0000-0000BCA00000}"/>
    <cellStyle name="Процентный 4 3 82 2 2" xfId="56663" xr:uid="{00000000-0005-0000-0000-0000BDA00000}"/>
    <cellStyle name="Процентный 4 3 82 3" xfId="13942" xr:uid="{00000000-0005-0000-0000-0000BEA00000}"/>
    <cellStyle name="Процентный 4 3 82 4" xfId="19282" xr:uid="{00000000-0005-0000-0000-0000BFA00000}"/>
    <cellStyle name="Процентный 4 3 82 5" xfId="24622" xr:uid="{00000000-0005-0000-0000-0000C0A00000}"/>
    <cellStyle name="Процентный 4 3 82 6" xfId="29962" xr:uid="{00000000-0005-0000-0000-0000C1A00000}"/>
    <cellStyle name="Процентный 4 3 82 7" xfId="35302" xr:uid="{00000000-0005-0000-0000-0000C2A00000}"/>
    <cellStyle name="Процентный 4 3 82 8" xfId="40642" xr:uid="{00000000-0005-0000-0000-0000C3A00000}"/>
    <cellStyle name="Процентный 4 3 82 9" xfId="45982" xr:uid="{00000000-0005-0000-0000-0000C4A00000}"/>
    <cellStyle name="Процентный 4 3 83" xfId="3291" xr:uid="{00000000-0005-0000-0000-0000C5A00000}"/>
    <cellStyle name="Процентный 4 3 83 10" xfId="51354" xr:uid="{00000000-0005-0000-0000-0000C6A00000}"/>
    <cellStyle name="Процентный 4 3 83 2" xfId="8634" xr:uid="{00000000-0005-0000-0000-0000C7A00000}"/>
    <cellStyle name="Процентный 4 3 83 2 2" xfId="56695" xr:uid="{00000000-0005-0000-0000-0000C8A00000}"/>
    <cellStyle name="Процентный 4 3 83 3" xfId="13974" xr:uid="{00000000-0005-0000-0000-0000C9A00000}"/>
    <cellStyle name="Процентный 4 3 83 4" xfId="19314" xr:uid="{00000000-0005-0000-0000-0000CAA00000}"/>
    <cellStyle name="Процентный 4 3 83 5" xfId="24654" xr:uid="{00000000-0005-0000-0000-0000CBA00000}"/>
    <cellStyle name="Процентный 4 3 83 6" xfId="29994" xr:uid="{00000000-0005-0000-0000-0000CCA00000}"/>
    <cellStyle name="Процентный 4 3 83 7" xfId="35334" xr:uid="{00000000-0005-0000-0000-0000CDA00000}"/>
    <cellStyle name="Процентный 4 3 83 8" xfId="40674" xr:uid="{00000000-0005-0000-0000-0000CEA00000}"/>
    <cellStyle name="Процентный 4 3 83 9" xfId="46014" xr:uid="{00000000-0005-0000-0000-0000CFA00000}"/>
    <cellStyle name="Процентный 4 3 84" xfId="3323" xr:uid="{00000000-0005-0000-0000-0000D0A00000}"/>
    <cellStyle name="Процентный 4 3 84 10" xfId="51386" xr:uid="{00000000-0005-0000-0000-0000D1A00000}"/>
    <cellStyle name="Процентный 4 3 84 2" xfId="8666" xr:uid="{00000000-0005-0000-0000-0000D2A00000}"/>
    <cellStyle name="Процентный 4 3 84 2 2" xfId="56727" xr:uid="{00000000-0005-0000-0000-0000D3A00000}"/>
    <cellStyle name="Процентный 4 3 84 3" xfId="14006" xr:uid="{00000000-0005-0000-0000-0000D4A00000}"/>
    <cellStyle name="Процентный 4 3 84 4" xfId="19346" xr:uid="{00000000-0005-0000-0000-0000D5A00000}"/>
    <cellStyle name="Процентный 4 3 84 5" xfId="24686" xr:uid="{00000000-0005-0000-0000-0000D6A00000}"/>
    <cellStyle name="Процентный 4 3 84 6" xfId="30026" xr:uid="{00000000-0005-0000-0000-0000D7A00000}"/>
    <cellStyle name="Процентный 4 3 84 7" xfId="35366" xr:uid="{00000000-0005-0000-0000-0000D8A00000}"/>
    <cellStyle name="Процентный 4 3 84 8" xfId="40706" xr:uid="{00000000-0005-0000-0000-0000D9A00000}"/>
    <cellStyle name="Процентный 4 3 84 9" xfId="46046" xr:uid="{00000000-0005-0000-0000-0000DAA00000}"/>
    <cellStyle name="Процентный 4 3 85" xfId="3355" xr:uid="{00000000-0005-0000-0000-0000DBA00000}"/>
    <cellStyle name="Процентный 4 3 85 10" xfId="51418" xr:uid="{00000000-0005-0000-0000-0000DCA00000}"/>
    <cellStyle name="Процентный 4 3 85 2" xfId="8698" xr:uid="{00000000-0005-0000-0000-0000DDA00000}"/>
    <cellStyle name="Процентный 4 3 85 2 2" xfId="56759" xr:uid="{00000000-0005-0000-0000-0000DEA00000}"/>
    <cellStyle name="Процентный 4 3 85 3" xfId="14038" xr:uid="{00000000-0005-0000-0000-0000DFA00000}"/>
    <cellStyle name="Процентный 4 3 85 4" xfId="19378" xr:uid="{00000000-0005-0000-0000-0000E0A00000}"/>
    <cellStyle name="Процентный 4 3 85 5" xfId="24718" xr:uid="{00000000-0005-0000-0000-0000E1A00000}"/>
    <cellStyle name="Процентный 4 3 85 6" xfId="30058" xr:uid="{00000000-0005-0000-0000-0000E2A00000}"/>
    <cellStyle name="Процентный 4 3 85 7" xfId="35398" xr:uid="{00000000-0005-0000-0000-0000E3A00000}"/>
    <cellStyle name="Процентный 4 3 85 8" xfId="40738" xr:uid="{00000000-0005-0000-0000-0000E4A00000}"/>
    <cellStyle name="Процентный 4 3 85 9" xfId="46078" xr:uid="{00000000-0005-0000-0000-0000E5A00000}"/>
    <cellStyle name="Процентный 4 3 86" xfId="3387" xr:uid="{00000000-0005-0000-0000-0000E6A00000}"/>
    <cellStyle name="Процентный 4 3 86 10" xfId="51450" xr:uid="{00000000-0005-0000-0000-0000E7A00000}"/>
    <cellStyle name="Процентный 4 3 86 2" xfId="8730" xr:uid="{00000000-0005-0000-0000-0000E8A00000}"/>
    <cellStyle name="Процентный 4 3 86 2 2" xfId="56791" xr:uid="{00000000-0005-0000-0000-0000E9A00000}"/>
    <cellStyle name="Процентный 4 3 86 3" xfId="14070" xr:uid="{00000000-0005-0000-0000-0000EAA00000}"/>
    <cellStyle name="Процентный 4 3 86 4" xfId="19410" xr:uid="{00000000-0005-0000-0000-0000EBA00000}"/>
    <cellStyle name="Процентный 4 3 86 5" xfId="24750" xr:uid="{00000000-0005-0000-0000-0000ECA00000}"/>
    <cellStyle name="Процентный 4 3 86 6" xfId="30090" xr:uid="{00000000-0005-0000-0000-0000EDA00000}"/>
    <cellStyle name="Процентный 4 3 86 7" xfId="35430" xr:uid="{00000000-0005-0000-0000-0000EEA00000}"/>
    <cellStyle name="Процентный 4 3 86 8" xfId="40770" xr:uid="{00000000-0005-0000-0000-0000EFA00000}"/>
    <cellStyle name="Процентный 4 3 86 9" xfId="46110" xr:uid="{00000000-0005-0000-0000-0000F0A00000}"/>
    <cellStyle name="Процентный 4 3 87" xfId="3419" xr:uid="{00000000-0005-0000-0000-0000F1A00000}"/>
    <cellStyle name="Процентный 4 3 87 10" xfId="51482" xr:uid="{00000000-0005-0000-0000-0000F2A00000}"/>
    <cellStyle name="Процентный 4 3 87 2" xfId="8762" xr:uid="{00000000-0005-0000-0000-0000F3A00000}"/>
    <cellStyle name="Процентный 4 3 87 2 2" xfId="56823" xr:uid="{00000000-0005-0000-0000-0000F4A00000}"/>
    <cellStyle name="Процентный 4 3 87 3" xfId="14102" xr:uid="{00000000-0005-0000-0000-0000F5A00000}"/>
    <cellStyle name="Процентный 4 3 87 4" xfId="19442" xr:uid="{00000000-0005-0000-0000-0000F6A00000}"/>
    <cellStyle name="Процентный 4 3 87 5" xfId="24782" xr:uid="{00000000-0005-0000-0000-0000F7A00000}"/>
    <cellStyle name="Процентный 4 3 87 6" xfId="30122" xr:uid="{00000000-0005-0000-0000-0000F8A00000}"/>
    <cellStyle name="Процентный 4 3 87 7" xfId="35462" xr:uid="{00000000-0005-0000-0000-0000F9A00000}"/>
    <cellStyle name="Процентный 4 3 87 8" xfId="40802" xr:uid="{00000000-0005-0000-0000-0000FAA00000}"/>
    <cellStyle name="Процентный 4 3 87 9" xfId="46142" xr:uid="{00000000-0005-0000-0000-0000FBA00000}"/>
    <cellStyle name="Процентный 4 3 88" xfId="3451" xr:uid="{00000000-0005-0000-0000-0000FCA00000}"/>
    <cellStyle name="Процентный 4 3 88 10" xfId="51514" xr:uid="{00000000-0005-0000-0000-0000FDA00000}"/>
    <cellStyle name="Процентный 4 3 88 2" xfId="8794" xr:uid="{00000000-0005-0000-0000-0000FEA00000}"/>
    <cellStyle name="Процентный 4 3 88 2 2" xfId="56855" xr:uid="{00000000-0005-0000-0000-0000FFA00000}"/>
    <cellStyle name="Процентный 4 3 88 3" xfId="14134" xr:uid="{00000000-0005-0000-0000-000000A10000}"/>
    <cellStyle name="Процентный 4 3 88 4" xfId="19474" xr:uid="{00000000-0005-0000-0000-000001A10000}"/>
    <cellStyle name="Процентный 4 3 88 5" xfId="24814" xr:uid="{00000000-0005-0000-0000-000002A10000}"/>
    <cellStyle name="Процентный 4 3 88 6" xfId="30154" xr:uid="{00000000-0005-0000-0000-000003A10000}"/>
    <cellStyle name="Процентный 4 3 88 7" xfId="35494" xr:uid="{00000000-0005-0000-0000-000004A10000}"/>
    <cellStyle name="Процентный 4 3 88 8" xfId="40834" xr:uid="{00000000-0005-0000-0000-000005A10000}"/>
    <cellStyle name="Процентный 4 3 88 9" xfId="46174" xr:uid="{00000000-0005-0000-0000-000006A10000}"/>
    <cellStyle name="Процентный 4 3 89" xfId="3483" xr:uid="{00000000-0005-0000-0000-000007A10000}"/>
    <cellStyle name="Процентный 4 3 89 10" xfId="51546" xr:uid="{00000000-0005-0000-0000-000008A10000}"/>
    <cellStyle name="Процентный 4 3 89 2" xfId="8826" xr:uid="{00000000-0005-0000-0000-000009A10000}"/>
    <cellStyle name="Процентный 4 3 89 2 2" xfId="56887" xr:uid="{00000000-0005-0000-0000-00000AA10000}"/>
    <cellStyle name="Процентный 4 3 89 3" xfId="14166" xr:uid="{00000000-0005-0000-0000-00000BA10000}"/>
    <cellStyle name="Процентный 4 3 89 4" xfId="19506" xr:uid="{00000000-0005-0000-0000-00000CA10000}"/>
    <cellStyle name="Процентный 4 3 89 5" xfId="24846" xr:uid="{00000000-0005-0000-0000-00000DA10000}"/>
    <cellStyle name="Процентный 4 3 89 6" xfId="30186" xr:uid="{00000000-0005-0000-0000-00000EA10000}"/>
    <cellStyle name="Процентный 4 3 89 7" xfId="35526" xr:uid="{00000000-0005-0000-0000-00000FA10000}"/>
    <cellStyle name="Процентный 4 3 89 8" xfId="40866" xr:uid="{00000000-0005-0000-0000-000010A10000}"/>
    <cellStyle name="Процентный 4 3 89 9" xfId="46206" xr:uid="{00000000-0005-0000-0000-000011A10000}"/>
    <cellStyle name="Процентный 4 3 9" xfId="1151" xr:uid="{00000000-0005-0000-0000-000012A10000}"/>
    <cellStyle name="Процентный 4 3 9 10" xfId="49214" xr:uid="{00000000-0005-0000-0000-000013A10000}"/>
    <cellStyle name="Процентный 4 3 9 2" xfId="6493" xr:uid="{00000000-0005-0000-0000-000014A10000}"/>
    <cellStyle name="Процентный 4 3 9 2 2" xfId="54555" xr:uid="{00000000-0005-0000-0000-000015A10000}"/>
    <cellStyle name="Процентный 4 3 9 3" xfId="11834" xr:uid="{00000000-0005-0000-0000-000016A10000}"/>
    <cellStyle name="Процентный 4 3 9 4" xfId="17174" xr:uid="{00000000-0005-0000-0000-000017A10000}"/>
    <cellStyle name="Процентный 4 3 9 5" xfId="22514" xr:uid="{00000000-0005-0000-0000-000018A10000}"/>
    <cellStyle name="Процентный 4 3 9 6" xfId="27854" xr:uid="{00000000-0005-0000-0000-000019A10000}"/>
    <cellStyle name="Процентный 4 3 9 7" xfId="33194" xr:uid="{00000000-0005-0000-0000-00001AA10000}"/>
    <cellStyle name="Процентный 4 3 9 8" xfId="38534" xr:uid="{00000000-0005-0000-0000-00001BA10000}"/>
    <cellStyle name="Процентный 4 3 9 9" xfId="43874" xr:uid="{00000000-0005-0000-0000-00001CA10000}"/>
    <cellStyle name="Процентный 4 3 90" xfId="3515" xr:uid="{00000000-0005-0000-0000-00001DA10000}"/>
    <cellStyle name="Процентный 4 3 90 10" xfId="51578" xr:uid="{00000000-0005-0000-0000-00001EA10000}"/>
    <cellStyle name="Процентный 4 3 90 2" xfId="8858" xr:uid="{00000000-0005-0000-0000-00001FA10000}"/>
    <cellStyle name="Процентный 4 3 90 2 2" xfId="56919" xr:uid="{00000000-0005-0000-0000-000020A10000}"/>
    <cellStyle name="Процентный 4 3 90 3" xfId="14198" xr:uid="{00000000-0005-0000-0000-000021A10000}"/>
    <cellStyle name="Процентный 4 3 90 4" xfId="19538" xr:uid="{00000000-0005-0000-0000-000022A10000}"/>
    <cellStyle name="Процентный 4 3 90 5" xfId="24878" xr:uid="{00000000-0005-0000-0000-000023A10000}"/>
    <cellStyle name="Процентный 4 3 90 6" xfId="30218" xr:uid="{00000000-0005-0000-0000-000024A10000}"/>
    <cellStyle name="Процентный 4 3 90 7" xfId="35558" xr:uid="{00000000-0005-0000-0000-000025A10000}"/>
    <cellStyle name="Процентный 4 3 90 8" xfId="40898" xr:uid="{00000000-0005-0000-0000-000026A10000}"/>
    <cellStyle name="Процентный 4 3 90 9" xfId="46238" xr:uid="{00000000-0005-0000-0000-000027A10000}"/>
    <cellStyle name="Процентный 4 3 91" xfId="3547" xr:uid="{00000000-0005-0000-0000-000028A10000}"/>
    <cellStyle name="Процентный 4 3 91 10" xfId="51610" xr:uid="{00000000-0005-0000-0000-000029A10000}"/>
    <cellStyle name="Процентный 4 3 91 2" xfId="8890" xr:uid="{00000000-0005-0000-0000-00002AA10000}"/>
    <cellStyle name="Процентный 4 3 91 2 2" xfId="56951" xr:uid="{00000000-0005-0000-0000-00002BA10000}"/>
    <cellStyle name="Процентный 4 3 91 3" xfId="14230" xr:uid="{00000000-0005-0000-0000-00002CA10000}"/>
    <cellStyle name="Процентный 4 3 91 4" xfId="19570" xr:uid="{00000000-0005-0000-0000-00002DA10000}"/>
    <cellStyle name="Процентный 4 3 91 5" xfId="24910" xr:uid="{00000000-0005-0000-0000-00002EA10000}"/>
    <cellStyle name="Процентный 4 3 91 6" xfId="30250" xr:uid="{00000000-0005-0000-0000-00002FA10000}"/>
    <cellStyle name="Процентный 4 3 91 7" xfId="35590" xr:uid="{00000000-0005-0000-0000-000030A10000}"/>
    <cellStyle name="Процентный 4 3 91 8" xfId="40930" xr:uid="{00000000-0005-0000-0000-000031A10000}"/>
    <cellStyle name="Процентный 4 3 91 9" xfId="46270" xr:uid="{00000000-0005-0000-0000-000032A10000}"/>
    <cellStyle name="Процентный 4 3 92" xfId="3579" xr:uid="{00000000-0005-0000-0000-000033A10000}"/>
    <cellStyle name="Процентный 4 3 92 10" xfId="51642" xr:uid="{00000000-0005-0000-0000-000034A10000}"/>
    <cellStyle name="Процентный 4 3 92 2" xfId="8922" xr:uid="{00000000-0005-0000-0000-000035A10000}"/>
    <cellStyle name="Процентный 4 3 92 2 2" xfId="56983" xr:uid="{00000000-0005-0000-0000-000036A10000}"/>
    <cellStyle name="Процентный 4 3 92 3" xfId="14262" xr:uid="{00000000-0005-0000-0000-000037A10000}"/>
    <cellStyle name="Процентный 4 3 92 4" xfId="19602" xr:uid="{00000000-0005-0000-0000-000038A10000}"/>
    <cellStyle name="Процентный 4 3 92 5" xfId="24942" xr:uid="{00000000-0005-0000-0000-000039A10000}"/>
    <cellStyle name="Процентный 4 3 92 6" xfId="30282" xr:uid="{00000000-0005-0000-0000-00003AA10000}"/>
    <cellStyle name="Процентный 4 3 92 7" xfId="35622" xr:uid="{00000000-0005-0000-0000-00003BA10000}"/>
    <cellStyle name="Процентный 4 3 92 8" xfId="40962" xr:uid="{00000000-0005-0000-0000-00003CA10000}"/>
    <cellStyle name="Процентный 4 3 92 9" xfId="46302" xr:uid="{00000000-0005-0000-0000-00003DA10000}"/>
    <cellStyle name="Процентный 4 3 93" xfId="3611" xr:uid="{00000000-0005-0000-0000-00003EA10000}"/>
    <cellStyle name="Процентный 4 3 93 10" xfId="51674" xr:uid="{00000000-0005-0000-0000-00003FA10000}"/>
    <cellStyle name="Процентный 4 3 93 2" xfId="8954" xr:uid="{00000000-0005-0000-0000-000040A10000}"/>
    <cellStyle name="Процентный 4 3 93 2 2" xfId="57015" xr:uid="{00000000-0005-0000-0000-000041A10000}"/>
    <cellStyle name="Процентный 4 3 93 3" xfId="14294" xr:uid="{00000000-0005-0000-0000-000042A10000}"/>
    <cellStyle name="Процентный 4 3 93 4" xfId="19634" xr:uid="{00000000-0005-0000-0000-000043A10000}"/>
    <cellStyle name="Процентный 4 3 93 5" xfId="24974" xr:uid="{00000000-0005-0000-0000-000044A10000}"/>
    <cellStyle name="Процентный 4 3 93 6" xfId="30314" xr:uid="{00000000-0005-0000-0000-000045A10000}"/>
    <cellStyle name="Процентный 4 3 93 7" xfId="35654" xr:uid="{00000000-0005-0000-0000-000046A10000}"/>
    <cellStyle name="Процентный 4 3 93 8" xfId="40994" xr:uid="{00000000-0005-0000-0000-000047A10000}"/>
    <cellStyle name="Процентный 4 3 93 9" xfId="46334" xr:uid="{00000000-0005-0000-0000-000048A10000}"/>
    <cellStyle name="Процентный 4 3 94" xfId="3643" xr:uid="{00000000-0005-0000-0000-000049A10000}"/>
    <cellStyle name="Процентный 4 3 94 10" xfId="51706" xr:uid="{00000000-0005-0000-0000-00004AA10000}"/>
    <cellStyle name="Процентный 4 3 94 2" xfId="8986" xr:uid="{00000000-0005-0000-0000-00004BA10000}"/>
    <cellStyle name="Процентный 4 3 94 2 2" xfId="57047" xr:uid="{00000000-0005-0000-0000-00004CA10000}"/>
    <cellStyle name="Процентный 4 3 94 3" xfId="14326" xr:uid="{00000000-0005-0000-0000-00004DA10000}"/>
    <cellStyle name="Процентный 4 3 94 4" xfId="19666" xr:uid="{00000000-0005-0000-0000-00004EA10000}"/>
    <cellStyle name="Процентный 4 3 94 5" xfId="25006" xr:uid="{00000000-0005-0000-0000-00004FA10000}"/>
    <cellStyle name="Процентный 4 3 94 6" xfId="30346" xr:uid="{00000000-0005-0000-0000-000050A10000}"/>
    <cellStyle name="Процентный 4 3 94 7" xfId="35686" xr:uid="{00000000-0005-0000-0000-000051A10000}"/>
    <cellStyle name="Процентный 4 3 94 8" xfId="41026" xr:uid="{00000000-0005-0000-0000-000052A10000}"/>
    <cellStyle name="Процентный 4 3 94 9" xfId="46366" xr:uid="{00000000-0005-0000-0000-000053A10000}"/>
    <cellStyle name="Процентный 4 3 95" xfId="3675" xr:uid="{00000000-0005-0000-0000-000054A10000}"/>
    <cellStyle name="Процентный 4 3 95 10" xfId="51738" xr:uid="{00000000-0005-0000-0000-000055A10000}"/>
    <cellStyle name="Процентный 4 3 95 2" xfId="9018" xr:uid="{00000000-0005-0000-0000-000056A10000}"/>
    <cellStyle name="Процентный 4 3 95 2 2" xfId="57079" xr:uid="{00000000-0005-0000-0000-000057A10000}"/>
    <cellStyle name="Процентный 4 3 95 3" xfId="14358" xr:uid="{00000000-0005-0000-0000-000058A10000}"/>
    <cellStyle name="Процентный 4 3 95 4" xfId="19698" xr:uid="{00000000-0005-0000-0000-000059A10000}"/>
    <cellStyle name="Процентный 4 3 95 5" xfId="25038" xr:uid="{00000000-0005-0000-0000-00005AA10000}"/>
    <cellStyle name="Процентный 4 3 95 6" xfId="30378" xr:uid="{00000000-0005-0000-0000-00005BA10000}"/>
    <cellStyle name="Процентный 4 3 95 7" xfId="35718" xr:uid="{00000000-0005-0000-0000-00005CA10000}"/>
    <cellStyle name="Процентный 4 3 95 8" xfId="41058" xr:uid="{00000000-0005-0000-0000-00005DA10000}"/>
    <cellStyle name="Процентный 4 3 95 9" xfId="46398" xr:uid="{00000000-0005-0000-0000-00005EA10000}"/>
    <cellStyle name="Процентный 4 3 96" xfId="3707" xr:uid="{00000000-0005-0000-0000-00005FA10000}"/>
    <cellStyle name="Процентный 4 3 96 10" xfId="51770" xr:uid="{00000000-0005-0000-0000-000060A10000}"/>
    <cellStyle name="Процентный 4 3 96 2" xfId="9050" xr:uid="{00000000-0005-0000-0000-000061A10000}"/>
    <cellStyle name="Процентный 4 3 96 2 2" xfId="57111" xr:uid="{00000000-0005-0000-0000-000062A10000}"/>
    <cellStyle name="Процентный 4 3 96 3" xfId="14390" xr:uid="{00000000-0005-0000-0000-000063A10000}"/>
    <cellStyle name="Процентный 4 3 96 4" xfId="19730" xr:uid="{00000000-0005-0000-0000-000064A10000}"/>
    <cellStyle name="Процентный 4 3 96 5" xfId="25070" xr:uid="{00000000-0005-0000-0000-000065A10000}"/>
    <cellStyle name="Процентный 4 3 96 6" xfId="30410" xr:uid="{00000000-0005-0000-0000-000066A10000}"/>
    <cellStyle name="Процентный 4 3 96 7" xfId="35750" xr:uid="{00000000-0005-0000-0000-000067A10000}"/>
    <cellStyle name="Процентный 4 3 96 8" xfId="41090" xr:uid="{00000000-0005-0000-0000-000068A10000}"/>
    <cellStyle name="Процентный 4 3 96 9" xfId="46430" xr:uid="{00000000-0005-0000-0000-000069A10000}"/>
    <cellStyle name="Процентный 4 3 97" xfId="3739" xr:uid="{00000000-0005-0000-0000-00006AA10000}"/>
    <cellStyle name="Процентный 4 3 97 10" xfId="51802" xr:uid="{00000000-0005-0000-0000-00006BA10000}"/>
    <cellStyle name="Процентный 4 3 97 2" xfId="9082" xr:uid="{00000000-0005-0000-0000-00006CA10000}"/>
    <cellStyle name="Процентный 4 3 97 2 2" xfId="57143" xr:uid="{00000000-0005-0000-0000-00006DA10000}"/>
    <cellStyle name="Процентный 4 3 97 3" xfId="14422" xr:uid="{00000000-0005-0000-0000-00006EA10000}"/>
    <cellStyle name="Процентный 4 3 97 4" xfId="19762" xr:uid="{00000000-0005-0000-0000-00006FA10000}"/>
    <cellStyle name="Процентный 4 3 97 5" xfId="25102" xr:uid="{00000000-0005-0000-0000-000070A10000}"/>
    <cellStyle name="Процентный 4 3 97 6" xfId="30442" xr:uid="{00000000-0005-0000-0000-000071A10000}"/>
    <cellStyle name="Процентный 4 3 97 7" xfId="35782" xr:uid="{00000000-0005-0000-0000-000072A10000}"/>
    <cellStyle name="Процентный 4 3 97 8" xfId="41122" xr:uid="{00000000-0005-0000-0000-000073A10000}"/>
    <cellStyle name="Процентный 4 3 97 9" xfId="46462" xr:uid="{00000000-0005-0000-0000-000074A10000}"/>
    <cellStyle name="Процентный 4 3 98" xfId="3771" xr:uid="{00000000-0005-0000-0000-000075A10000}"/>
    <cellStyle name="Процентный 4 3 98 10" xfId="51834" xr:uid="{00000000-0005-0000-0000-000076A10000}"/>
    <cellStyle name="Процентный 4 3 98 2" xfId="9114" xr:uid="{00000000-0005-0000-0000-000077A10000}"/>
    <cellStyle name="Процентный 4 3 98 2 2" xfId="57175" xr:uid="{00000000-0005-0000-0000-000078A10000}"/>
    <cellStyle name="Процентный 4 3 98 3" xfId="14454" xr:uid="{00000000-0005-0000-0000-000079A10000}"/>
    <cellStyle name="Процентный 4 3 98 4" xfId="19794" xr:uid="{00000000-0005-0000-0000-00007AA10000}"/>
    <cellStyle name="Процентный 4 3 98 5" xfId="25134" xr:uid="{00000000-0005-0000-0000-00007BA10000}"/>
    <cellStyle name="Процентный 4 3 98 6" xfId="30474" xr:uid="{00000000-0005-0000-0000-00007CA10000}"/>
    <cellStyle name="Процентный 4 3 98 7" xfId="35814" xr:uid="{00000000-0005-0000-0000-00007DA10000}"/>
    <cellStyle name="Процентный 4 3 98 8" xfId="41154" xr:uid="{00000000-0005-0000-0000-00007EA10000}"/>
    <cellStyle name="Процентный 4 3 98 9" xfId="46494" xr:uid="{00000000-0005-0000-0000-00007FA10000}"/>
    <cellStyle name="Процентный 4 3 99" xfId="3803" xr:uid="{00000000-0005-0000-0000-000080A10000}"/>
    <cellStyle name="Процентный 4 3 99 10" xfId="51866" xr:uid="{00000000-0005-0000-0000-000081A10000}"/>
    <cellStyle name="Процентный 4 3 99 2" xfId="9146" xr:uid="{00000000-0005-0000-0000-000082A10000}"/>
    <cellStyle name="Процентный 4 3 99 2 2" xfId="57207" xr:uid="{00000000-0005-0000-0000-000083A10000}"/>
    <cellStyle name="Процентный 4 3 99 3" xfId="14486" xr:uid="{00000000-0005-0000-0000-000084A10000}"/>
    <cellStyle name="Процентный 4 3 99 4" xfId="19826" xr:uid="{00000000-0005-0000-0000-000085A10000}"/>
    <cellStyle name="Процентный 4 3 99 5" xfId="25166" xr:uid="{00000000-0005-0000-0000-000086A10000}"/>
    <cellStyle name="Процентный 4 3 99 6" xfId="30506" xr:uid="{00000000-0005-0000-0000-000087A10000}"/>
    <cellStyle name="Процентный 4 3 99 7" xfId="35846" xr:uid="{00000000-0005-0000-0000-000088A10000}"/>
    <cellStyle name="Процентный 4 3 99 8" xfId="41186" xr:uid="{00000000-0005-0000-0000-000089A10000}"/>
    <cellStyle name="Процентный 4 3 99 9" xfId="46526" xr:uid="{00000000-0005-0000-0000-00008AA10000}"/>
    <cellStyle name="Процентный 4 30" xfId="243" xr:uid="{00000000-0005-0000-0000-00008BA10000}"/>
    <cellStyle name="Процентный 4 30 10" xfId="42965" xr:uid="{00000000-0005-0000-0000-00008CA10000}"/>
    <cellStyle name="Процентный 4 30 11" xfId="48305" xr:uid="{00000000-0005-0000-0000-00008DA10000}"/>
    <cellStyle name="Процентный 4 30 2" xfId="710" xr:uid="{00000000-0005-0000-0000-00008EA10000}"/>
    <cellStyle name="Процентный 4 30 2 10" xfId="48772" xr:uid="{00000000-0005-0000-0000-00008FA10000}"/>
    <cellStyle name="Процентный 4 30 2 2" xfId="6051" xr:uid="{00000000-0005-0000-0000-000090A10000}"/>
    <cellStyle name="Процентный 4 30 2 2 2" xfId="54113" xr:uid="{00000000-0005-0000-0000-000091A10000}"/>
    <cellStyle name="Процентный 4 30 2 3" xfId="11392" xr:uid="{00000000-0005-0000-0000-000092A10000}"/>
    <cellStyle name="Процентный 4 30 2 4" xfId="16732" xr:uid="{00000000-0005-0000-0000-000093A10000}"/>
    <cellStyle name="Процентный 4 30 2 5" xfId="22072" xr:uid="{00000000-0005-0000-0000-000094A10000}"/>
    <cellStyle name="Процентный 4 30 2 6" xfId="27412" xr:uid="{00000000-0005-0000-0000-000095A10000}"/>
    <cellStyle name="Процентный 4 30 2 7" xfId="32752" xr:uid="{00000000-0005-0000-0000-000096A10000}"/>
    <cellStyle name="Процентный 4 30 2 8" xfId="38092" xr:uid="{00000000-0005-0000-0000-000097A10000}"/>
    <cellStyle name="Процентный 4 30 2 9" xfId="43432" xr:uid="{00000000-0005-0000-0000-000098A10000}"/>
    <cellStyle name="Процентный 4 30 3" xfId="5584" xr:uid="{00000000-0005-0000-0000-000099A10000}"/>
    <cellStyle name="Процентный 4 30 3 2" xfId="53646" xr:uid="{00000000-0005-0000-0000-00009AA10000}"/>
    <cellStyle name="Процентный 4 30 4" xfId="10925" xr:uid="{00000000-0005-0000-0000-00009BA10000}"/>
    <cellStyle name="Процентный 4 30 5" xfId="16265" xr:uid="{00000000-0005-0000-0000-00009CA10000}"/>
    <cellStyle name="Процентный 4 30 6" xfId="21605" xr:uid="{00000000-0005-0000-0000-00009DA10000}"/>
    <cellStyle name="Процентный 4 30 7" xfId="26945" xr:uid="{00000000-0005-0000-0000-00009EA10000}"/>
    <cellStyle name="Процентный 4 30 8" xfId="32285" xr:uid="{00000000-0005-0000-0000-00009FA10000}"/>
    <cellStyle name="Процентный 4 30 9" xfId="37625" xr:uid="{00000000-0005-0000-0000-0000A0A10000}"/>
    <cellStyle name="Процентный 4 31" xfId="253" xr:uid="{00000000-0005-0000-0000-0000A1A10000}"/>
    <cellStyle name="Процентный 4 31 10" xfId="42975" xr:uid="{00000000-0005-0000-0000-0000A2A10000}"/>
    <cellStyle name="Процентный 4 31 11" xfId="48315" xr:uid="{00000000-0005-0000-0000-0000A3A10000}"/>
    <cellStyle name="Процентный 4 31 2" xfId="720" xr:uid="{00000000-0005-0000-0000-0000A4A10000}"/>
    <cellStyle name="Процентный 4 31 2 10" xfId="48782" xr:uid="{00000000-0005-0000-0000-0000A5A10000}"/>
    <cellStyle name="Процентный 4 31 2 2" xfId="6061" xr:uid="{00000000-0005-0000-0000-0000A6A10000}"/>
    <cellStyle name="Процентный 4 31 2 2 2" xfId="54123" xr:uid="{00000000-0005-0000-0000-0000A7A10000}"/>
    <cellStyle name="Процентный 4 31 2 3" xfId="11402" xr:uid="{00000000-0005-0000-0000-0000A8A10000}"/>
    <cellStyle name="Процентный 4 31 2 4" xfId="16742" xr:uid="{00000000-0005-0000-0000-0000A9A10000}"/>
    <cellStyle name="Процентный 4 31 2 5" xfId="22082" xr:uid="{00000000-0005-0000-0000-0000AAA10000}"/>
    <cellStyle name="Процентный 4 31 2 6" xfId="27422" xr:uid="{00000000-0005-0000-0000-0000ABA10000}"/>
    <cellStyle name="Процентный 4 31 2 7" xfId="32762" xr:uid="{00000000-0005-0000-0000-0000ACA10000}"/>
    <cellStyle name="Процентный 4 31 2 8" xfId="38102" xr:uid="{00000000-0005-0000-0000-0000ADA10000}"/>
    <cellStyle name="Процентный 4 31 2 9" xfId="43442" xr:uid="{00000000-0005-0000-0000-0000AEA10000}"/>
    <cellStyle name="Процентный 4 31 3" xfId="5594" xr:uid="{00000000-0005-0000-0000-0000AFA10000}"/>
    <cellStyle name="Процентный 4 31 3 2" xfId="53656" xr:uid="{00000000-0005-0000-0000-0000B0A10000}"/>
    <cellStyle name="Процентный 4 31 4" xfId="10935" xr:uid="{00000000-0005-0000-0000-0000B1A10000}"/>
    <cellStyle name="Процентный 4 31 5" xfId="16275" xr:uid="{00000000-0005-0000-0000-0000B2A10000}"/>
    <cellStyle name="Процентный 4 31 6" xfId="21615" xr:uid="{00000000-0005-0000-0000-0000B3A10000}"/>
    <cellStyle name="Процентный 4 31 7" xfId="26955" xr:uid="{00000000-0005-0000-0000-0000B4A10000}"/>
    <cellStyle name="Процентный 4 31 8" xfId="32295" xr:uid="{00000000-0005-0000-0000-0000B5A10000}"/>
    <cellStyle name="Процентный 4 31 9" xfId="37635" xr:uid="{00000000-0005-0000-0000-0000B6A10000}"/>
    <cellStyle name="Процентный 4 32" xfId="263" xr:uid="{00000000-0005-0000-0000-0000B7A10000}"/>
    <cellStyle name="Процентный 4 32 10" xfId="42985" xr:uid="{00000000-0005-0000-0000-0000B8A10000}"/>
    <cellStyle name="Процентный 4 32 11" xfId="48325" xr:uid="{00000000-0005-0000-0000-0000B9A10000}"/>
    <cellStyle name="Процентный 4 32 2" xfId="730" xr:uid="{00000000-0005-0000-0000-0000BAA10000}"/>
    <cellStyle name="Процентный 4 32 2 10" xfId="48792" xr:uid="{00000000-0005-0000-0000-0000BBA10000}"/>
    <cellStyle name="Процентный 4 32 2 2" xfId="6071" xr:uid="{00000000-0005-0000-0000-0000BCA10000}"/>
    <cellStyle name="Процентный 4 32 2 2 2" xfId="54133" xr:uid="{00000000-0005-0000-0000-0000BDA10000}"/>
    <cellStyle name="Процентный 4 32 2 3" xfId="11412" xr:uid="{00000000-0005-0000-0000-0000BEA10000}"/>
    <cellStyle name="Процентный 4 32 2 4" xfId="16752" xr:uid="{00000000-0005-0000-0000-0000BFA10000}"/>
    <cellStyle name="Процентный 4 32 2 5" xfId="22092" xr:uid="{00000000-0005-0000-0000-0000C0A10000}"/>
    <cellStyle name="Процентный 4 32 2 6" xfId="27432" xr:uid="{00000000-0005-0000-0000-0000C1A10000}"/>
    <cellStyle name="Процентный 4 32 2 7" xfId="32772" xr:uid="{00000000-0005-0000-0000-0000C2A10000}"/>
    <cellStyle name="Процентный 4 32 2 8" xfId="38112" xr:uid="{00000000-0005-0000-0000-0000C3A10000}"/>
    <cellStyle name="Процентный 4 32 2 9" xfId="43452" xr:uid="{00000000-0005-0000-0000-0000C4A10000}"/>
    <cellStyle name="Процентный 4 32 3" xfId="5604" xr:uid="{00000000-0005-0000-0000-0000C5A10000}"/>
    <cellStyle name="Процентный 4 32 3 2" xfId="53666" xr:uid="{00000000-0005-0000-0000-0000C6A10000}"/>
    <cellStyle name="Процентный 4 32 4" xfId="10945" xr:uid="{00000000-0005-0000-0000-0000C7A10000}"/>
    <cellStyle name="Процентный 4 32 5" xfId="16285" xr:uid="{00000000-0005-0000-0000-0000C8A10000}"/>
    <cellStyle name="Процентный 4 32 6" xfId="21625" xr:uid="{00000000-0005-0000-0000-0000C9A10000}"/>
    <cellStyle name="Процентный 4 32 7" xfId="26965" xr:uid="{00000000-0005-0000-0000-0000CAA10000}"/>
    <cellStyle name="Процентный 4 32 8" xfId="32305" xr:uid="{00000000-0005-0000-0000-0000CBA10000}"/>
    <cellStyle name="Процентный 4 32 9" xfId="37645" xr:uid="{00000000-0005-0000-0000-0000CCA10000}"/>
    <cellStyle name="Процентный 4 33" xfId="273" xr:uid="{00000000-0005-0000-0000-0000CDA10000}"/>
    <cellStyle name="Процентный 4 33 10" xfId="42995" xr:uid="{00000000-0005-0000-0000-0000CEA10000}"/>
    <cellStyle name="Процентный 4 33 11" xfId="48335" xr:uid="{00000000-0005-0000-0000-0000CFA10000}"/>
    <cellStyle name="Процентный 4 33 2" xfId="740" xr:uid="{00000000-0005-0000-0000-0000D0A10000}"/>
    <cellStyle name="Процентный 4 33 2 10" xfId="48802" xr:uid="{00000000-0005-0000-0000-0000D1A10000}"/>
    <cellStyle name="Процентный 4 33 2 2" xfId="6081" xr:uid="{00000000-0005-0000-0000-0000D2A10000}"/>
    <cellStyle name="Процентный 4 33 2 2 2" xfId="54143" xr:uid="{00000000-0005-0000-0000-0000D3A10000}"/>
    <cellStyle name="Процентный 4 33 2 3" xfId="11422" xr:uid="{00000000-0005-0000-0000-0000D4A10000}"/>
    <cellStyle name="Процентный 4 33 2 4" xfId="16762" xr:uid="{00000000-0005-0000-0000-0000D5A10000}"/>
    <cellStyle name="Процентный 4 33 2 5" xfId="22102" xr:uid="{00000000-0005-0000-0000-0000D6A10000}"/>
    <cellStyle name="Процентный 4 33 2 6" xfId="27442" xr:uid="{00000000-0005-0000-0000-0000D7A10000}"/>
    <cellStyle name="Процентный 4 33 2 7" xfId="32782" xr:uid="{00000000-0005-0000-0000-0000D8A10000}"/>
    <cellStyle name="Процентный 4 33 2 8" xfId="38122" xr:uid="{00000000-0005-0000-0000-0000D9A10000}"/>
    <cellStyle name="Процентный 4 33 2 9" xfId="43462" xr:uid="{00000000-0005-0000-0000-0000DAA10000}"/>
    <cellStyle name="Процентный 4 33 3" xfId="5614" xr:uid="{00000000-0005-0000-0000-0000DBA10000}"/>
    <cellStyle name="Процентный 4 33 3 2" xfId="53676" xr:uid="{00000000-0005-0000-0000-0000DCA10000}"/>
    <cellStyle name="Процентный 4 33 4" xfId="10955" xr:uid="{00000000-0005-0000-0000-0000DDA10000}"/>
    <cellStyle name="Процентный 4 33 5" xfId="16295" xr:uid="{00000000-0005-0000-0000-0000DEA10000}"/>
    <cellStyle name="Процентный 4 33 6" xfId="21635" xr:uid="{00000000-0005-0000-0000-0000DFA10000}"/>
    <cellStyle name="Процентный 4 33 7" xfId="26975" xr:uid="{00000000-0005-0000-0000-0000E0A10000}"/>
    <cellStyle name="Процентный 4 33 8" xfId="32315" xr:uid="{00000000-0005-0000-0000-0000E1A10000}"/>
    <cellStyle name="Процентный 4 33 9" xfId="37655" xr:uid="{00000000-0005-0000-0000-0000E2A10000}"/>
    <cellStyle name="Процентный 4 34" xfId="283" xr:uid="{00000000-0005-0000-0000-0000E3A10000}"/>
    <cellStyle name="Процентный 4 34 10" xfId="43005" xr:uid="{00000000-0005-0000-0000-0000E4A10000}"/>
    <cellStyle name="Процентный 4 34 11" xfId="48345" xr:uid="{00000000-0005-0000-0000-0000E5A10000}"/>
    <cellStyle name="Процентный 4 34 2" xfId="750" xr:uid="{00000000-0005-0000-0000-0000E6A10000}"/>
    <cellStyle name="Процентный 4 34 2 10" xfId="48812" xr:uid="{00000000-0005-0000-0000-0000E7A10000}"/>
    <cellStyle name="Процентный 4 34 2 2" xfId="6091" xr:uid="{00000000-0005-0000-0000-0000E8A10000}"/>
    <cellStyle name="Процентный 4 34 2 2 2" xfId="54153" xr:uid="{00000000-0005-0000-0000-0000E9A10000}"/>
    <cellStyle name="Процентный 4 34 2 3" xfId="11432" xr:uid="{00000000-0005-0000-0000-0000EAA10000}"/>
    <cellStyle name="Процентный 4 34 2 4" xfId="16772" xr:uid="{00000000-0005-0000-0000-0000EBA10000}"/>
    <cellStyle name="Процентный 4 34 2 5" xfId="22112" xr:uid="{00000000-0005-0000-0000-0000ECA10000}"/>
    <cellStyle name="Процентный 4 34 2 6" xfId="27452" xr:uid="{00000000-0005-0000-0000-0000EDA10000}"/>
    <cellStyle name="Процентный 4 34 2 7" xfId="32792" xr:uid="{00000000-0005-0000-0000-0000EEA10000}"/>
    <cellStyle name="Процентный 4 34 2 8" xfId="38132" xr:uid="{00000000-0005-0000-0000-0000EFA10000}"/>
    <cellStyle name="Процентный 4 34 2 9" xfId="43472" xr:uid="{00000000-0005-0000-0000-0000F0A10000}"/>
    <cellStyle name="Процентный 4 34 3" xfId="5624" xr:uid="{00000000-0005-0000-0000-0000F1A10000}"/>
    <cellStyle name="Процентный 4 34 3 2" xfId="53686" xr:uid="{00000000-0005-0000-0000-0000F2A10000}"/>
    <cellStyle name="Процентный 4 34 4" xfId="10965" xr:uid="{00000000-0005-0000-0000-0000F3A10000}"/>
    <cellStyle name="Процентный 4 34 5" xfId="16305" xr:uid="{00000000-0005-0000-0000-0000F4A10000}"/>
    <cellStyle name="Процентный 4 34 6" xfId="21645" xr:uid="{00000000-0005-0000-0000-0000F5A10000}"/>
    <cellStyle name="Процентный 4 34 7" xfId="26985" xr:uid="{00000000-0005-0000-0000-0000F6A10000}"/>
    <cellStyle name="Процентный 4 34 8" xfId="32325" xr:uid="{00000000-0005-0000-0000-0000F7A10000}"/>
    <cellStyle name="Процентный 4 34 9" xfId="37665" xr:uid="{00000000-0005-0000-0000-0000F8A10000}"/>
    <cellStyle name="Процентный 4 35" xfId="293" xr:uid="{00000000-0005-0000-0000-0000F9A10000}"/>
    <cellStyle name="Процентный 4 35 10" xfId="43015" xr:uid="{00000000-0005-0000-0000-0000FAA10000}"/>
    <cellStyle name="Процентный 4 35 11" xfId="48355" xr:uid="{00000000-0005-0000-0000-0000FBA10000}"/>
    <cellStyle name="Процентный 4 35 2" xfId="760" xr:uid="{00000000-0005-0000-0000-0000FCA10000}"/>
    <cellStyle name="Процентный 4 35 2 10" xfId="48822" xr:uid="{00000000-0005-0000-0000-0000FDA10000}"/>
    <cellStyle name="Процентный 4 35 2 2" xfId="6101" xr:uid="{00000000-0005-0000-0000-0000FEA10000}"/>
    <cellStyle name="Процентный 4 35 2 2 2" xfId="54163" xr:uid="{00000000-0005-0000-0000-0000FFA10000}"/>
    <cellStyle name="Процентный 4 35 2 3" xfId="11442" xr:uid="{00000000-0005-0000-0000-000000A20000}"/>
    <cellStyle name="Процентный 4 35 2 4" xfId="16782" xr:uid="{00000000-0005-0000-0000-000001A20000}"/>
    <cellStyle name="Процентный 4 35 2 5" xfId="22122" xr:uid="{00000000-0005-0000-0000-000002A20000}"/>
    <cellStyle name="Процентный 4 35 2 6" xfId="27462" xr:uid="{00000000-0005-0000-0000-000003A20000}"/>
    <cellStyle name="Процентный 4 35 2 7" xfId="32802" xr:uid="{00000000-0005-0000-0000-000004A20000}"/>
    <cellStyle name="Процентный 4 35 2 8" xfId="38142" xr:uid="{00000000-0005-0000-0000-000005A20000}"/>
    <cellStyle name="Процентный 4 35 2 9" xfId="43482" xr:uid="{00000000-0005-0000-0000-000006A20000}"/>
    <cellStyle name="Процентный 4 35 3" xfId="5634" xr:uid="{00000000-0005-0000-0000-000007A20000}"/>
    <cellStyle name="Процентный 4 35 3 2" xfId="53696" xr:uid="{00000000-0005-0000-0000-000008A20000}"/>
    <cellStyle name="Процентный 4 35 4" xfId="10975" xr:uid="{00000000-0005-0000-0000-000009A20000}"/>
    <cellStyle name="Процентный 4 35 5" xfId="16315" xr:uid="{00000000-0005-0000-0000-00000AA20000}"/>
    <cellStyle name="Процентный 4 35 6" xfId="21655" xr:uid="{00000000-0005-0000-0000-00000BA20000}"/>
    <cellStyle name="Процентный 4 35 7" xfId="26995" xr:uid="{00000000-0005-0000-0000-00000CA20000}"/>
    <cellStyle name="Процентный 4 35 8" xfId="32335" xr:uid="{00000000-0005-0000-0000-00000DA20000}"/>
    <cellStyle name="Процентный 4 35 9" xfId="37675" xr:uid="{00000000-0005-0000-0000-00000EA20000}"/>
    <cellStyle name="Процентный 4 36" xfId="303" xr:uid="{00000000-0005-0000-0000-00000FA20000}"/>
    <cellStyle name="Процентный 4 36 10" xfId="43025" xr:uid="{00000000-0005-0000-0000-000010A20000}"/>
    <cellStyle name="Процентный 4 36 11" xfId="48365" xr:uid="{00000000-0005-0000-0000-000011A20000}"/>
    <cellStyle name="Процентный 4 36 2" xfId="770" xr:uid="{00000000-0005-0000-0000-000012A20000}"/>
    <cellStyle name="Процентный 4 36 2 10" xfId="48832" xr:uid="{00000000-0005-0000-0000-000013A20000}"/>
    <cellStyle name="Процентный 4 36 2 2" xfId="6111" xr:uid="{00000000-0005-0000-0000-000014A20000}"/>
    <cellStyle name="Процентный 4 36 2 2 2" xfId="54173" xr:uid="{00000000-0005-0000-0000-000015A20000}"/>
    <cellStyle name="Процентный 4 36 2 3" xfId="11452" xr:uid="{00000000-0005-0000-0000-000016A20000}"/>
    <cellStyle name="Процентный 4 36 2 4" xfId="16792" xr:uid="{00000000-0005-0000-0000-000017A20000}"/>
    <cellStyle name="Процентный 4 36 2 5" xfId="22132" xr:uid="{00000000-0005-0000-0000-000018A20000}"/>
    <cellStyle name="Процентный 4 36 2 6" xfId="27472" xr:uid="{00000000-0005-0000-0000-000019A20000}"/>
    <cellStyle name="Процентный 4 36 2 7" xfId="32812" xr:uid="{00000000-0005-0000-0000-00001AA20000}"/>
    <cellStyle name="Процентный 4 36 2 8" xfId="38152" xr:uid="{00000000-0005-0000-0000-00001BA20000}"/>
    <cellStyle name="Процентный 4 36 2 9" xfId="43492" xr:uid="{00000000-0005-0000-0000-00001CA20000}"/>
    <cellStyle name="Процентный 4 36 3" xfId="5644" xr:uid="{00000000-0005-0000-0000-00001DA20000}"/>
    <cellStyle name="Процентный 4 36 3 2" xfId="53706" xr:uid="{00000000-0005-0000-0000-00001EA20000}"/>
    <cellStyle name="Процентный 4 36 4" xfId="10985" xr:uid="{00000000-0005-0000-0000-00001FA20000}"/>
    <cellStyle name="Процентный 4 36 5" xfId="16325" xr:uid="{00000000-0005-0000-0000-000020A20000}"/>
    <cellStyle name="Процентный 4 36 6" xfId="21665" xr:uid="{00000000-0005-0000-0000-000021A20000}"/>
    <cellStyle name="Процентный 4 36 7" xfId="27005" xr:uid="{00000000-0005-0000-0000-000022A20000}"/>
    <cellStyle name="Процентный 4 36 8" xfId="32345" xr:uid="{00000000-0005-0000-0000-000023A20000}"/>
    <cellStyle name="Процентный 4 36 9" xfId="37685" xr:uid="{00000000-0005-0000-0000-000024A20000}"/>
    <cellStyle name="Процентный 4 37" xfId="313" xr:uid="{00000000-0005-0000-0000-000025A20000}"/>
    <cellStyle name="Процентный 4 37 10" xfId="43035" xr:uid="{00000000-0005-0000-0000-000026A20000}"/>
    <cellStyle name="Процентный 4 37 11" xfId="48375" xr:uid="{00000000-0005-0000-0000-000027A20000}"/>
    <cellStyle name="Процентный 4 37 2" xfId="780" xr:uid="{00000000-0005-0000-0000-000028A20000}"/>
    <cellStyle name="Процентный 4 37 2 10" xfId="48842" xr:uid="{00000000-0005-0000-0000-000029A20000}"/>
    <cellStyle name="Процентный 4 37 2 2" xfId="6121" xr:uid="{00000000-0005-0000-0000-00002AA20000}"/>
    <cellStyle name="Процентный 4 37 2 2 2" xfId="54183" xr:uid="{00000000-0005-0000-0000-00002BA20000}"/>
    <cellStyle name="Процентный 4 37 2 3" xfId="11462" xr:uid="{00000000-0005-0000-0000-00002CA20000}"/>
    <cellStyle name="Процентный 4 37 2 4" xfId="16802" xr:uid="{00000000-0005-0000-0000-00002DA20000}"/>
    <cellStyle name="Процентный 4 37 2 5" xfId="22142" xr:uid="{00000000-0005-0000-0000-00002EA20000}"/>
    <cellStyle name="Процентный 4 37 2 6" xfId="27482" xr:uid="{00000000-0005-0000-0000-00002FA20000}"/>
    <cellStyle name="Процентный 4 37 2 7" xfId="32822" xr:uid="{00000000-0005-0000-0000-000030A20000}"/>
    <cellStyle name="Процентный 4 37 2 8" xfId="38162" xr:uid="{00000000-0005-0000-0000-000031A20000}"/>
    <cellStyle name="Процентный 4 37 2 9" xfId="43502" xr:uid="{00000000-0005-0000-0000-000032A20000}"/>
    <cellStyle name="Процентный 4 37 3" xfId="5654" xr:uid="{00000000-0005-0000-0000-000033A20000}"/>
    <cellStyle name="Процентный 4 37 3 2" xfId="53716" xr:uid="{00000000-0005-0000-0000-000034A20000}"/>
    <cellStyle name="Процентный 4 37 4" xfId="10995" xr:uid="{00000000-0005-0000-0000-000035A20000}"/>
    <cellStyle name="Процентный 4 37 5" xfId="16335" xr:uid="{00000000-0005-0000-0000-000036A20000}"/>
    <cellStyle name="Процентный 4 37 6" xfId="21675" xr:uid="{00000000-0005-0000-0000-000037A20000}"/>
    <cellStyle name="Процентный 4 37 7" xfId="27015" xr:uid="{00000000-0005-0000-0000-000038A20000}"/>
    <cellStyle name="Процентный 4 37 8" xfId="32355" xr:uid="{00000000-0005-0000-0000-000039A20000}"/>
    <cellStyle name="Процентный 4 37 9" xfId="37695" xr:uid="{00000000-0005-0000-0000-00003AA20000}"/>
    <cellStyle name="Процентный 4 38" xfId="323" xr:uid="{00000000-0005-0000-0000-00003BA20000}"/>
    <cellStyle name="Процентный 4 38 10" xfId="43045" xr:uid="{00000000-0005-0000-0000-00003CA20000}"/>
    <cellStyle name="Процентный 4 38 11" xfId="48385" xr:uid="{00000000-0005-0000-0000-00003DA20000}"/>
    <cellStyle name="Процентный 4 38 2" xfId="790" xr:uid="{00000000-0005-0000-0000-00003EA20000}"/>
    <cellStyle name="Процентный 4 38 2 10" xfId="48852" xr:uid="{00000000-0005-0000-0000-00003FA20000}"/>
    <cellStyle name="Процентный 4 38 2 2" xfId="6131" xr:uid="{00000000-0005-0000-0000-000040A20000}"/>
    <cellStyle name="Процентный 4 38 2 2 2" xfId="54193" xr:uid="{00000000-0005-0000-0000-000041A20000}"/>
    <cellStyle name="Процентный 4 38 2 3" xfId="11472" xr:uid="{00000000-0005-0000-0000-000042A20000}"/>
    <cellStyle name="Процентный 4 38 2 4" xfId="16812" xr:uid="{00000000-0005-0000-0000-000043A20000}"/>
    <cellStyle name="Процентный 4 38 2 5" xfId="22152" xr:uid="{00000000-0005-0000-0000-000044A20000}"/>
    <cellStyle name="Процентный 4 38 2 6" xfId="27492" xr:uid="{00000000-0005-0000-0000-000045A20000}"/>
    <cellStyle name="Процентный 4 38 2 7" xfId="32832" xr:uid="{00000000-0005-0000-0000-000046A20000}"/>
    <cellStyle name="Процентный 4 38 2 8" xfId="38172" xr:uid="{00000000-0005-0000-0000-000047A20000}"/>
    <cellStyle name="Процентный 4 38 2 9" xfId="43512" xr:uid="{00000000-0005-0000-0000-000048A20000}"/>
    <cellStyle name="Процентный 4 38 3" xfId="5664" xr:uid="{00000000-0005-0000-0000-000049A20000}"/>
    <cellStyle name="Процентный 4 38 3 2" xfId="53726" xr:uid="{00000000-0005-0000-0000-00004AA20000}"/>
    <cellStyle name="Процентный 4 38 4" xfId="11005" xr:uid="{00000000-0005-0000-0000-00004BA20000}"/>
    <cellStyle name="Процентный 4 38 5" xfId="16345" xr:uid="{00000000-0005-0000-0000-00004CA20000}"/>
    <cellStyle name="Процентный 4 38 6" xfId="21685" xr:uid="{00000000-0005-0000-0000-00004DA20000}"/>
    <cellStyle name="Процентный 4 38 7" xfId="27025" xr:uid="{00000000-0005-0000-0000-00004EA20000}"/>
    <cellStyle name="Процентный 4 38 8" xfId="32365" xr:uid="{00000000-0005-0000-0000-00004FA20000}"/>
    <cellStyle name="Процентный 4 38 9" xfId="37705" xr:uid="{00000000-0005-0000-0000-000050A20000}"/>
    <cellStyle name="Процентный 4 39" xfId="333" xr:uid="{00000000-0005-0000-0000-000051A20000}"/>
    <cellStyle name="Процентный 4 39 10" xfId="43055" xr:uid="{00000000-0005-0000-0000-000052A20000}"/>
    <cellStyle name="Процентный 4 39 11" xfId="48395" xr:uid="{00000000-0005-0000-0000-000053A20000}"/>
    <cellStyle name="Процентный 4 39 2" xfId="800" xr:uid="{00000000-0005-0000-0000-000054A20000}"/>
    <cellStyle name="Процентный 4 39 2 10" xfId="48862" xr:uid="{00000000-0005-0000-0000-000055A20000}"/>
    <cellStyle name="Процентный 4 39 2 2" xfId="6141" xr:uid="{00000000-0005-0000-0000-000056A20000}"/>
    <cellStyle name="Процентный 4 39 2 2 2" xfId="54203" xr:uid="{00000000-0005-0000-0000-000057A20000}"/>
    <cellStyle name="Процентный 4 39 2 3" xfId="11482" xr:uid="{00000000-0005-0000-0000-000058A20000}"/>
    <cellStyle name="Процентный 4 39 2 4" xfId="16822" xr:uid="{00000000-0005-0000-0000-000059A20000}"/>
    <cellStyle name="Процентный 4 39 2 5" xfId="22162" xr:uid="{00000000-0005-0000-0000-00005AA20000}"/>
    <cellStyle name="Процентный 4 39 2 6" xfId="27502" xr:uid="{00000000-0005-0000-0000-00005BA20000}"/>
    <cellStyle name="Процентный 4 39 2 7" xfId="32842" xr:uid="{00000000-0005-0000-0000-00005CA20000}"/>
    <cellStyle name="Процентный 4 39 2 8" xfId="38182" xr:uid="{00000000-0005-0000-0000-00005DA20000}"/>
    <cellStyle name="Процентный 4 39 2 9" xfId="43522" xr:uid="{00000000-0005-0000-0000-00005EA20000}"/>
    <cellStyle name="Процентный 4 39 3" xfId="5674" xr:uid="{00000000-0005-0000-0000-00005FA20000}"/>
    <cellStyle name="Процентный 4 39 3 2" xfId="53736" xr:uid="{00000000-0005-0000-0000-000060A20000}"/>
    <cellStyle name="Процентный 4 39 4" xfId="11015" xr:uid="{00000000-0005-0000-0000-000061A20000}"/>
    <cellStyle name="Процентный 4 39 5" xfId="16355" xr:uid="{00000000-0005-0000-0000-000062A20000}"/>
    <cellStyle name="Процентный 4 39 6" xfId="21695" xr:uid="{00000000-0005-0000-0000-000063A20000}"/>
    <cellStyle name="Процентный 4 39 7" xfId="27035" xr:uid="{00000000-0005-0000-0000-000064A20000}"/>
    <cellStyle name="Процентный 4 39 8" xfId="32375" xr:uid="{00000000-0005-0000-0000-000065A20000}"/>
    <cellStyle name="Процентный 4 39 9" xfId="37715" xr:uid="{00000000-0005-0000-0000-000066A20000}"/>
    <cellStyle name="Процентный 4 4" xfId="63" xr:uid="{00000000-0005-0000-0000-000067A20000}"/>
    <cellStyle name="Процентный 4 4 10" xfId="42785" xr:uid="{00000000-0005-0000-0000-000068A20000}"/>
    <cellStyle name="Процентный 4 4 11" xfId="48125" xr:uid="{00000000-0005-0000-0000-000069A20000}"/>
    <cellStyle name="Процентный 4 4 2" xfId="530" xr:uid="{00000000-0005-0000-0000-00006AA20000}"/>
    <cellStyle name="Процентный 4 4 2 10" xfId="48592" xr:uid="{00000000-0005-0000-0000-00006BA20000}"/>
    <cellStyle name="Процентный 4 4 2 2" xfId="5871" xr:uid="{00000000-0005-0000-0000-00006CA20000}"/>
    <cellStyle name="Процентный 4 4 2 2 2" xfId="53933" xr:uid="{00000000-0005-0000-0000-00006DA20000}"/>
    <cellStyle name="Процентный 4 4 2 3" xfId="11212" xr:uid="{00000000-0005-0000-0000-00006EA20000}"/>
    <cellStyle name="Процентный 4 4 2 4" xfId="16552" xr:uid="{00000000-0005-0000-0000-00006FA20000}"/>
    <cellStyle name="Процентный 4 4 2 5" xfId="21892" xr:uid="{00000000-0005-0000-0000-000070A20000}"/>
    <cellStyle name="Процентный 4 4 2 6" xfId="27232" xr:uid="{00000000-0005-0000-0000-000071A20000}"/>
    <cellStyle name="Процентный 4 4 2 7" xfId="32572" xr:uid="{00000000-0005-0000-0000-000072A20000}"/>
    <cellStyle name="Процентный 4 4 2 8" xfId="37912" xr:uid="{00000000-0005-0000-0000-000073A20000}"/>
    <cellStyle name="Процентный 4 4 2 9" xfId="43252" xr:uid="{00000000-0005-0000-0000-000074A20000}"/>
    <cellStyle name="Процентный 4 4 3" xfId="5404" xr:uid="{00000000-0005-0000-0000-000075A20000}"/>
    <cellStyle name="Процентный 4 4 3 2" xfId="53466" xr:uid="{00000000-0005-0000-0000-000076A20000}"/>
    <cellStyle name="Процентный 4 4 4" xfId="10745" xr:uid="{00000000-0005-0000-0000-000077A20000}"/>
    <cellStyle name="Процентный 4 4 5" xfId="16085" xr:uid="{00000000-0005-0000-0000-000078A20000}"/>
    <cellStyle name="Процентный 4 4 6" xfId="21425" xr:uid="{00000000-0005-0000-0000-000079A20000}"/>
    <cellStyle name="Процентный 4 4 7" xfId="26765" xr:uid="{00000000-0005-0000-0000-00007AA20000}"/>
    <cellStyle name="Процентный 4 4 8" xfId="32105" xr:uid="{00000000-0005-0000-0000-00007BA20000}"/>
    <cellStyle name="Процентный 4 4 9" xfId="37445" xr:uid="{00000000-0005-0000-0000-00007CA20000}"/>
    <cellStyle name="Процентный 4 40" xfId="343" xr:uid="{00000000-0005-0000-0000-00007DA20000}"/>
    <cellStyle name="Процентный 4 40 10" xfId="43065" xr:uid="{00000000-0005-0000-0000-00007EA20000}"/>
    <cellStyle name="Процентный 4 40 11" xfId="48405" xr:uid="{00000000-0005-0000-0000-00007FA20000}"/>
    <cellStyle name="Процентный 4 40 2" xfId="810" xr:uid="{00000000-0005-0000-0000-000080A20000}"/>
    <cellStyle name="Процентный 4 40 2 10" xfId="48872" xr:uid="{00000000-0005-0000-0000-000081A20000}"/>
    <cellStyle name="Процентный 4 40 2 2" xfId="6151" xr:uid="{00000000-0005-0000-0000-000082A20000}"/>
    <cellStyle name="Процентный 4 40 2 2 2" xfId="54213" xr:uid="{00000000-0005-0000-0000-000083A20000}"/>
    <cellStyle name="Процентный 4 40 2 3" xfId="11492" xr:uid="{00000000-0005-0000-0000-000084A20000}"/>
    <cellStyle name="Процентный 4 40 2 4" xfId="16832" xr:uid="{00000000-0005-0000-0000-000085A20000}"/>
    <cellStyle name="Процентный 4 40 2 5" xfId="22172" xr:uid="{00000000-0005-0000-0000-000086A20000}"/>
    <cellStyle name="Процентный 4 40 2 6" xfId="27512" xr:uid="{00000000-0005-0000-0000-000087A20000}"/>
    <cellStyle name="Процентный 4 40 2 7" xfId="32852" xr:uid="{00000000-0005-0000-0000-000088A20000}"/>
    <cellStyle name="Процентный 4 40 2 8" xfId="38192" xr:uid="{00000000-0005-0000-0000-000089A20000}"/>
    <cellStyle name="Процентный 4 40 2 9" xfId="43532" xr:uid="{00000000-0005-0000-0000-00008AA20000}"/>
    <cellStyle name="Процентный 4 40 3" xfId="5684" xr:uid="{00000000-0005-0000-0000-00008BA20000}"/>
    <cellStyle name="Процентный 4 40 3 2" xfId="53746" xr:uid="{00000000-0005-0000-0000-00008CA20000}"/>
    <cellStyle name="Процентный 4 40 4" xfId="11025" xr:uid="{00000000-0005-0000-0000-00008DA20000}"/>
    <cellStyle name="Процентный 4 40 5" xfId="16365" xr:uid="{00000000-0005-0000-0000-00008EA20000}"/>
    <cellStyle name="Процентный 4 40 6" xfId="21705" xr:uid="{00000000-0005-0000-0000-00008FA20000}"/>
    <cellStyle name="Процентный 4 40 7" xfId="27045" xr:uid="{00000000-0005-0000-0000-000090A20000}"/>
    <cellStyle name="Процентный 4 40 8" xfId="32385" xr:uid="{00000000-0005-0000-0000-000091A20000}"/>
    <cellStyle name="Процентный 4 40 9" xfId="37725" xr:uid="{00000000-0005-0000-0000-000092A20000}"/>
    <cellStyle name="Процентный 4 41" xfId="353" xr:uid="{00000000-0005-0000-0000-000093A20000}"/>
    <cellStyle name="Процентный 4 41 10" xfId="43075" xr:uid="{00000000-0005-0000-0000-000094A20000}"/>
    <cellStyle name="Процентный 4 41 11" xfId="48415" xr:uid="{00000000-0005-0000-0000-000095A20000}"/>
    <cellStyle name="Процентный 4 41 2" xfId="820" xr:uid="{00000000-0005-0000-0000-000096A20000}"/>
    <cellStyle name="Процентный 4 41 2 10" xfId="48882" xr:uid="{00000000-0005-0000-0000-000097A20000}"/>
    <cellStyle name="Процентный 4 41 2 2" xfId="6161" xr:uid="{00000000-0005-0000-0000-000098A20000}"/>
    <cellStyle name="Процентный 4 41 2 2 2" xfId="54223" xr:uid="{00000000-0005-0000-0000-000099A20000}"/>
    <cellStyle name="Процентный 4 41 2 3" xfId="11502" xr:uid="{00000000-0005-0000-0000-00009AA20000}"/>
    <cellStyle name="Процентный 4 41 2 4" xfId="16842" xr:uid="{00000000-0005-0000-0000-00009BA20000}"/>
    <cellStyle name="Процентный 4 41 2 5" xfId="22182" xr:uid="{00000000-0005-0000-0000-00009CA20000}"/>
    <cellStyle name="Процентный 4 41 2 6" xfId="27522" xr:uid="{00000000-0005-0000-0000-00009DA20000}"/>
    <cellStyle name="Процентный 4 41 2 7" xfId="32862" xr:uid="{00000000-0005-0000-0000-00009EA20000}"/>
    <cellStyle name="Процентный 4 41 2 8" xfId="38202" xr:uid="{00000000-0005-0000-0000-00009FA20000}"/>
    <cellStyle name="Процентный 4 41 2 9" xfId="43542" xr:uid="{00000000-0005-0000-0000-0000A0A20000}"/>
    <cellStyle name="Процентный 4 41 3" xfId="5694" xr:uid="{00000000-0005-0000-0000-0000A1A20000}"/>
    <cellStyle name="Процентный 4 41 3 2" xfId="53756" xr:uid="{00000000-0005-0000-0000-0000A2A20000}"/>
    <cellStyle name="Процентный 4 41 4" xfId="11035" xr:uid="{00000000-0005-0000-0000-0000A3A20000}"/>
    <cellStyle name="Процентный 4 41 5" xfId="16375" xr:uid="{00000000-0005-0000-0000-0000A4A20000}"/>
    <cellStyle name="Процентный 4 41 6" xfId="21715" xr:uid="{00000000-0005-0000-0000-0000A5A20000}"/>
    <cellStyle name="Процентный 4 41 7" xfId="27055" xr:uid="{00000000-0005-0000-0000-0000A6A20000}"/>
    <cellStyle name="Процентный 4 41 8" xfId="32395" xr:uid="{00000000-0005-0000-0000-0000A7A20000}"/>
    <cellStyle name="Процентный 4 41 9" xfId="37735" xr:uid="{00000000-0005-0000-0000-0000A8A20000}"/>
    <cellStyle name="Процентный 4 42" xfId="363" xr:uid="{00000000-0005-0000-0000-0000A9A20000}"/>
    <cellStyle name="Процентный 4 42 10" xfId="43085" xr:uid="{00000000-0005-0000-0000-0000AAA20000}"/>
    <cellStyle name="Процентный 4 42 11" xfId="48425" xr:uid="{00000000-0005-0000-0000-0000ABA20000}"/>
    <cellStyle name="Процентный 4 42 2" xfId="830" xr:uid="{00000000-0005-0000-0000-0000ACA20000}"/>
    <cellStyle name="Процентный 4 42 2 10" xfId="48892" xr:uid="{00000000-0005-0000-0000-0000ADA20000}"/>
    <cellStyle name="Процентный 4 42 2 2" xfId="6171" xr:uid="{00000000-0005-0000-0000-0000AEA20000}"/>
    <cellStyle name="Процентный 4 42 2 2 2" xfId="54233" xr:uid="{00000000-0005-0000-0000-0000AFA20000}"/>
    <cellStyle name="Процентный 4 42 2 3" xfId="11512" xr:uid="{00000000-0005-0000-0000-0000B0A20000}"/>
    <cellStyle name="Процентный 4 42 2 4" xfId="16852" xr:uid="{00000000-0005-0000-0000-0000B1A20000}"/>
    <cellStyle name="Процентный 4 42 2 5" xfId="22192" xr:uid="{00000000-0005-0000-0000-0000B2A20000}"/>
    <cellStyle name="Процентный 4 42 2 6" xfId="27532" xr:uid="{00000000-0005-0000-0000-0000B3A20000}"/>
    <cellStyle name="Процентный 4 42 2 7" xfId="32872" xr:uid="{00000000-0005-0000-0000-0000B4A20000}"/>
    <cellStyle name="Процентный 4 42 2 8" xfId="38212" xr:uid="{00000000-0005-0000-0000-0000B5A20000}"/>
    <cellStyle name="Процентный 4 42 2 9" xfId="43552" xr:uid="{00000000-0005-0000-0000-0000B6A20000}"/>
    <cellStyle name="Процентный 4 42 3" xfId="5704" xr:uid="{00000000-0005-0000-0000-0000B7A20000}"/>
    <cellStyle name="Процентный 4 42 3 2" xfId="53766" xr:uid="{00000000-0005-0000-0000-0000B8A20000}"/>
    <cellStyle name="Процентный 4 42 4" xfId="11045" xr:uid="{00000000-0005-0000-0000-0000B9A20000}"/>
    <cellStyle name="Процентный 4 42 5" xfId="16385" xr:uid="{00000000-0005-0000-0000-0000BAA20000}"/>
    <cellStyle name="Процентный 4 42 6" xfId="21725" xr:uid="{00000000-0005-0000-0000-0000BBA20000}"/>
    <cellStyle name="Процентный 4 42 7" xfId="27065" xr:uid="{00000000-0005-0000-0000-0000BCA20000}"/>
    <cellStyle name="Процентный 4 42 8" xfId="32405" xr:uid="{00000000-0005-0000-0000-0000BDA20000}"/>
    <cellStyle name="Процентный 4 42 9" xfId="37745" xr:uid="{00000000-0005-0000-0000-0000BEA20000}"/>
    <cellStyle name="Процентный 4 43" xfId="373" xr:uid="{00000000-0005-0000-0000-0000BFA20000}"/>
    <cellStyle name="Процентный 4 43 10" xfId="43095" xr:uid="{00000000-0005-0000-0000-0000C0A20000}"/>
    <cellStyle name="Процентный 4 43 11" xfId="48435" xr:uid="{00000000-0005-0000-0000-0000C1A20000}"/>
    <cellStyle name="Процентный 4 43 2" xfId="840" xr:uid="{00000000-0005-0000-0000-0000C2A20000}"/>
    <cellStyle name="Процентный 4 43 2 10" xfId="48902" xr:uid="{00000000-0005-0000-0000-0000C3A20000}"/>
    <cellStyle name="Процентный 4 43 2 2" xfId="6181" xr:uid="{00000000-0005-0000-0000-0000C4A20000}"/>
    <cellStyle name="Процентный 4 43 2 2 2" xfId="54243" xr:uid="{00000000-0005-0000-0000-0000C5A20000}"/>
    <cellStyle name="Процентный 4 43 2 3" xfId="11522" xr:uid="{00000000-0005-0000-0000-0000C6A20000}"/>
    <cellStyle name="Процентный 4 43 2 4" xfId="16862" xr:uid="{00000000-0005-0000-0000-0000C7A20000}"/>
    <cellStyle name="Процентный 4 43 2 5" xfId="22202" xr:uid="{00000000-0005-0000-0000-0000C8A20000}"/>
    <cellStyle name="Процентный 4 43 2 6" xfId="27542" xr:uid="{00000000-0005-0000-0000-0000C9A20000}"/>
    <cellStyle name="Процентный 4 43 2 7" xfId="32882" xr:uid="{00000000-0005-0000-0000-0000CAA20000}"/>
    <cellStyle name="Процентный 4 43 2 8" xfId="38222" xr:uid="{00000000-0005-0000-0000-0000CBA20000}"/>
    <cellStyle name="Процентный 4 43 2 9" xfId="43562" xr:uid="{00000000-0005-0000-0000-0000CCA20000}"/>
    <cellStyle name="Процентный 4 43 3" xfId="5714" xr:uid="{00000000-0005-0000-0000-0000CDA20000}"/>
    <cellStyle name="Процентный 4 43 3 2" xfId="53776" xr:uid="{00000000-0005-0000-0000-0000CEA20000}"/>
    <cellStyle name="Процентный 4 43 4" xfId="11055" xr:uid="{00000000-0005-0000-0000-0000CFA20000}"/>
    <cellStyle name="Процентный 4 43 5" xfId="16395" xr:uid="{00000000-0005-0000-0000-0000D0A20000}"/>
    <cellStyle name="Процентный 4 43 6" xfId="21735" xr:uid="{00000000-0005-0000-0000-0000D1A20000}"/>
    <cellStyle name="Процентный 4 43 7" xfId="27075" xr:uid="{00000000-0005-0000-0000-0000D2A20000}"/>
    <cellStyle name="Процентный 4 43 8" xfId="32415" xr:uid="{00000000-0005-0000-0000-0000D3A20000}"/>
    <cellStyle name="Процентный 4 43 9" xfId="37755" xr:uid="{00000000-0005-0000-0000-0000D4A20000}"/>
    <cellStyle name="Процентный 4 44" xfId="383" xr:uid="{00000000-0005-0000-0000-0000D5A20000}"/>
    <cellStyle name="Процентный 4 44 10" xfId="43105" xr:uid="{00000000-0005-0000-0000-0000D6A20000}"/>
    <cellStyle name="Процентный 4 44 11" xfId="48445" xr:uid="{00000000-0005-0000-0000-0000D7A20000}"/>
    <cellStyle name="Процентный 4 44 2" xfId="850" xr:uid="{00000000-0005-0000-0000-0000D8A20000}"/>
    <cellStyle name="Процентный 4 44 2 10" xfId="48912" xr:uid="{00000000-0005-0000-0000-0000D9A20000}"/>
    <cellStyle name="Процентный 4 44 2 2" xfId="6191" xr:uid="{00000000-0005-0000-0000-0000DAA20000}"/>
    <cellStyle name="Процентный 4 44 2 2 2" xfId="54253" xr:uid="{00000000-0005-0000-0000-0000DBA20000}"/>
    <cellStyle name="Процентный 4 44 2 3" xfId="11532" xr:uid="{00000000-0005-0000-0000-0000DCA20000}"/>
    <cellStyle name="Процентный 4 44 2 4" xfId="16872" xr:uid="{00000000-0005-0000-0000-0000DDA20000}"/>
    <cellStyle name="Процентный 4 44 2 5" xfId="22212" xr:uid="{00000000-0005-0000-0000-0000DEA20000}"/>
    <cellStyle name="Процентный 4 44 2 6" xfId="27552" xr:uid="{00000000-0005-0000-0000-0000DFA20000}"/>
    <cellStyle name="Процентный 4 44 2 7" xfId="32892" xr:uid="{00000000-0005-0000-0000-0000E0A20000}"/>
    <cellStyle name="Процентный 4 44 2 8" xfId="38232" xr:uid="{00000000-0005-0000-0000-0000E1A20000}"/>
    <cellStyle name="Процентный 4 44 2 9" xfId="43572" xr:uid="{00000000-0005-0000-0000-0000E2A20000}"/>
    <cellStyle name="Процентный 4 44 3" xfId="5724" xr:uid="{00000000-0005-0000-0000-0000E3A20000}"/>
    <cellStyle name="Процентный 4 44 3 2" xfId="53786" xr:uid="{00000000-0005-0000-0000-0000E4A20000}"/>
    <cellStyle name="Процентный 4 44 4" xfId="11065" xr:uid="{00000000-0005-0000-0000-0000E5A20000}"/>
    <cellStyle name="Процентный 4 44 5" xfId="16405" xr:uid="{00000000-0005-0000-0000-0000E6A20000}"/>
    <cellStyle name="Процентный 4 44 6" xfId="21745" xr:uid="{00000000-0005-0000-0000-0000E7A20000}"/>
    <cellStyle name="Процентный 4 44 7" xfId="27085" xr:uid="{00000000-0005-0000-0000-0000E8A20000}"/>
    <cellStyle name="Процентный 4 44 8" xfId="32425" xr:uid="{00000000-0005-0000-0000-0000E9A20000}"/>
    <cellStyle name="Процентный 4 44 9" xfId="37765" xr:uid="{00000000-0005-0000-0000-0000EAA20000}"/>
    <cellStyle name="Процентный 4 45" xfId="393" xr:uid="{00000000-0005-0000-0000-0000EBA20000}"/>
    <cellStyle name="Процентный 4 45 10" xfId="43115" xr:uid="{00000000-0005-0000-0000-0000ECA20000}"/>
    <cellStyle name="Процентный 4 45 11" xfId="48455" xr:uid="{00000000-0005-0000-0000-0000EDA20000}"/>
    <cellStyle name="Процентный 4 45 2" xfId="860" xr:uid="{00000000-0005-0000-0000-0000EEA20000}"/>
    <cellStyle name="Процентный 4 45 2 10" xfId="48922" xr:uid="{00000000-0005-0000-0000-0000EFA20000}"/>
    <cellStyle name="Процентный 4 45 2 2" xfId="6201" xr:uid="{00000000-0005-0000-0000-0000F0A20000}"/>
    <cellStyle name="Процентный 4 45 2 2 2" xfId="54263" xr:uid="{00000000-0005-0000-0000-0000F1A20000}"/>
    <cellStyle name="Процентный 4 45 2 3" xfId="11542" xr:uid="{00000000-0005-0000-0000-0000F2A20000}"/>
    <cellStyle name="Процентный 4 45 2 4" xfId="16882" xr:uid="{00000000-0005-0000-0000-0000F3A20000}"/>
    <cellStyle name="Процентный 4 45 2 5" xfId="22222" xr:uid="{00000000-0005-0000-0000-0000F4A20000}"/>
    <cellStyle name="Процентный 4 45 2 6" xfId="27562" xr:uid="{00000000-0005-0000-0000-0000F5A20000}"/>
    <cellStyle name="Процентный 4 45 2 7" xfId="32902" xr:uid="{00000000-0005-0000-0000-0000F6A20000}"/>
    <cellStyle name="Процентный 4 45 2 8" xfId="38242" xr:uid="{00000000-0005-0000-0000-0000F7A20000}"/>
    <cellStyle name="Процентный 4 45 2 9" xfId="43582" xr:uid="{00000000-0005-0000-0000-0000F8A20000}"/>
    <cellStyle name="Процентный 4 45 3" xfId="5734" xr:uid="{00000000-0005-0000-0000-0000F9A20000}"/>
    <cellStyle name="Процентный 4 45 3 2" xfId="53796" xr:uid="{00000000-0005-0000-0000-0000FAA20000}"/>
    <cellStyle name="Процентный 4 45 4" xfId="11075" xr:uid="{00000000-0005-0000-0000-0000FBA20000}"/>
    <cellStyle name="Процентный 4 45 5" xfId="16415" xr:uid="{00000000-0005-0000-0000-0000FCA20000}"/>
    <cellStyle name="Процентный 4 45 6" xfId="21755" xr:uid="{00000000-0005-0000-0000-0000FDA20000}"/>
    <cellStyle name="Процентный 4 45 7" xfId="27095" xr:uid="{00000000-0005-0000-0000-0000FEA20000}"/>
    <cellStyle name="Процентный 4 45 8" xfId="32435" xr:uid="{00000000-0005-0000-0000-0000FFA20000}"/>
    <cellStyle name="Процентный 4 45 9" xfId="37775" xr:uid="{00000000-0005-0000-0000-000000A30000}"/>
    <cellStyle name="Процентный 4 46" xfId="403" xr:uid="{00000000-0005-0000-0000-000001A30000}"/>
    <cellStyle name="Процентный 4 46 10" xfId="43125" xr:uid="{00000000-0005-0000-0000-000002A30000}"/>
    <cellStyle name="Процентный 4 46 11" xfId="48465" xr:uid="{00000000-0005-0000-0000-000003A30000}"/>
    <cellStyle name="Процентный 4 46 2" xfId="870" xr:uid="{00000000-0005-0000-0000-000004A30000}"/>
    <cellStyle name="Процентный 4 46 2 10" xfId="48932" xr:uid="{00000000-0005-0000-0000-000005A30000}"/>
    <cellStyle name="Процентный 4 46 2 2" xfId="6211" xr:uid="{00000000-0005-0000-0000-000006A30000}"/>
    <cellStyle name="Процентный 4 46 2 2 2" xfId="54273" xr:uid="{00000000-0005-0000-0000-000007A30000}"/>
    <cellStyle name="Процентный 4 46 2 3" xfId="11552" xr:uid="{00000000-0005-0000-0000-000008A30000}"/>
    <cellStyle name="Процентный 4 46 2 4" xfId="16892" xr:uid="{00000000-0005-0000-0000-000009A30000}"/>
    <cellStyle name="Процентный 4 46 2 5" xfId="22232" xr:uid="{00000000-0005-0000-0000-00000AA30000}"/>
    <cellStyle name="Процентный 4 46 2 6" xfId="27572" xr:uid="{00000000-0005-0000-0000-00000BA30000}"/>
    <cellStyle name="Процентный 4 46 2 7" xfId="32912" xr:uid="{00000000-0005-0000-0000-00000CA30000}"/>
    <cellStyle name="Процентный 4 46 2 8" xfId="38252" xr:uid="{00000000-0005-0000-0000-00000DA30000}"/>
    <cellStyle name="Процентный 4 46 2 9" xfId="43592" xr:uid="{00000000-0005-0000-0000-00000EA30000}"/>
    <cellStyle name="Процентный 4 46 3" xfId="5744" xr:uid="{00000000-0005-0000-0000-00000FA30000}"/>
    <cellStyle name="Процентный 4 46 3 2" xfId="53806" xr:uid="{00000000-0005-0000-0000-000010A30000}"/>
    <cellStyle name="Процентный 4 46 4" xfId="11085" xr:uid="{00000000-0005-0000-0000-000011A30000}"/>
    <cellStyle name="Процентный 4 46 5" xfId="16425" xr:uid="{00000000-0005-0000-0000-000012A30000}"/>
    <cellStyle name="Процентный 4 46 6" xfId="21765" xr:uid="{00000000-0005-0000-0000-000013A30000}"/>
    <cellStyle name="Процентный 4 46 7" xfId="27105" xr:uid="{00000000-0005-0000-0000-000014A30000}"/>
    <cellStyle name="Процентный 4 46 8" xfId="32445" xr:uid="{00000000-0005-0000-0000-000015A30000}"/>
    <cellStyle name="Процентный 4 46 9" xfId="37785" xr:uid="{00000000-0005-0000-0000-000016A30000}"/>
    <cellStyle name="Процентный 4 47" xfId="413" xr:uid="{00000000-0005-0000-0000-000017A30000}"/>
    <cellStyle name="Процентный 4 47 10" xfId="43135" xr:uid="{00000000-0005-0000-0000-000018A30000}"/>
    <cellStyle name="Процентный 4 47 11" xfId="48475" xr:uid="{00000000-0005-0000-0000-000019A30000}"/>
    <cellStyle name="Процентный 4 47 2" xfId="880" xr:uid="{00000000-0005-0000-0000-00001AA30000}"/>
    <cellStyle name="Процентный 4 47 2 10" xfId="48942" xr:uid="{00000000-0005-0000-0000-00001BA30000}"/>
    <cellStyle name="Процентный 4 47 2 2" xfId="6221" xr:uid="{00000000-0005-0000-0000-00001CA30000}"/>
    <cellStyle name="Процентный 4 47 2 2 2" xfId="54283" xr:uid="{00000000-0005-0000-0000-00001DA30000}"/>
    <cellStyle name="Процентный 4 47 2 3" xfId="11562" xr:uid="{00000000-0005-0000-0000-00001EA30000}"/>
    <cellStyle name="Процентный 4 47 2 4" xfId="16902" xr:uid="{00000000-0005-0000-0000-00001FA30000}"/>
    <cellStyle name="Процентный 4 47 2 5" xfId="22242" xr:uid="{00000000-0005-0000-0000-000020A30000}"/>
    <cellStyle name="Процентный 4 47 2 6" xfId="27582" xr:uid="{00000000-0005-0000-0000-000021A30000}"/>
    <cellStyle name="Процентный 4 47 2 7" xfId="32922" xr:uid="{00000000-0005-0000-0000-000022A30000}"/>
    <cellStyle name="Процентный 4 47 2 8" xfId="38262" xr:uid="{00000000-0005-0000-0000-000023A30000}"/>
    <cellStyle name="Процентный 4 47 2 9" xfId="43602" xr:uid="{00000000-0005-0000-0000-000024A30000}"/>
    <cellStyle name="Процентный 4 47 3" xfId="5754" xr:uid="{00000000-0005-0000-0000-000025A30000}"/>
    <cellStyle name="Процентный 4 47 3 2" xfId="53816" xr:uid="{00000000-0005-0000-0000-000026A30000}"/>
    <cellStyle name="Процентный 4 47 4" xfId="11095" xr:uid="{00000000-0005-0000-0000-000027A30000}"/>
    <cellStyle name="Процентный 4 47 5" xfId="16435" xr:uid="{00000000-0005-0000-0000-000028A30000}"/>
    <cellStyle name="Процентный 4 47 6" xfId="21775" xr:uid="{00000000-0005-0000-0000-000029A30000}"/>
    <cellStyle name="Процентный 4 47 7" xfId="27115" xr:uid="{00000000-0005-0000-0000-00002AA30000}"/>
    <cellStyle name="Процентный 4 47 8" xfId="32455" xr:uid="{00000000-0005-0000-0000-00002BA30000}"/>
    <cellStyle name="Процентный 4 47 9" xfId="37795" xr:uid="{00000000-0005-0000-0000-00002CA30000}"/>
    <cellStyle name="Процентный 4 48" xfId="425" xr:uid="{00000000-0005-0000-0000-00002DA30000}"/>
    <cellStyle name="Процентный 4 48 10" xfId="43147" xr:uid="{00000000-0005-0000-0000-00002EA30000}"/>
    <cellStyle name="Процентный 4 48 11" xfId="48487" xr:uid="{00000000-0005-0000-0000-00002FA30000}"/>
    <cellStyle name="Процентный 4 48 2" xfId="892" xr:uid="{00000000-0005-0000-0000-000030A30000}"/>
    <cellStyle name="Процентный 4 48 2 10" xfId="48954" xr:uid="{00000000-0005-0000-0000-000031A30000}"/>
    <cellStyle name="Процентный 4 48 2 2" xfId="6233" xr:uid="{00000000-0005-0000-0000-000032A30000}"/>
    <cellStyle name="Процентный 4 48 2 2 2" xfId="54295" xr:uid="{00000000-0005-0000-0000-000033A30000}"/>
    <cellStyle name="Процентный 4 48 2 3" xfId="11574" xr:uid="{00000000-0005-0000-0000-000034A30000}"/>
    <cellStyle name="Процентный 4 48 2 4" xfId="16914" xr:uid="{00000000-0005-0000-0000-000035A30000}"/>
    <cellStyle name="Процентный 4 48 2 5" xfId="22254" xr:uid="{00000000-0005-0000-0000-000036A30000}"/>
    <cellStyle name="Процентный 4 48 2 6" xfId="27594" xr:uid="{00000000-0005-0000-0000-000037A30000}"/>
    <cellStyle name="Процентный 4 48 2 7" xfId="32934" xr:uid="{00000000-0005-0000-0000-000038A30000}"/>
    <cellStyle name="Процентный 4 48 2 8" xfId="38274" xr:uid="{00000000-0005-0000-0000-000039A30000}"/>
    <cellStyle name="Процентный 4 48 2 9" xfId="43614" xr:uid="{00000000-0005-0000-0000-00003AA30000}"/>
    <cellStyle name="Процентный 4 48 3" xfId="5766" xr:uid="{00000000-0005-0000-0000-00003BA30000}"/>
    <cellStyle name="Процентный 4 48 3 2" xfId="53828" xr:uid="{00000000-0005-0000-0000-00003CA30000}"/>
    <cellStyle name="Процентный 4 48 4" xfId="11107" xr:uid="{00000000-0005-0000-0000-00003DA30000}"/>
    <cellStyle name="Процентный 4 48 5" xfId="16447" xr:uid="{00000000-0005-0000-0000-00003EA30000}"/>
    <cellStyle name="Процентный 4 48 6" xfId="21787" xr:uid="{00000000-0005-0000-0000-00003FA30000}"/>
    <cellStyle name="Процентный 4 48 7" xfId="27127" xr:uid="{00000000-0005-0000-0000-000040A30000}"/>
    <cellStyle name="Процентный 4 48 8" xfId="32467" xr:uid="{00000000-0005-0000-0000-000041A30000}"/>
    <cellStyle name="Процентный 4 48 9" xfId="37807" xr:uid="{00000000-0005-0000-0000-000042A30000}"/>
    <cellStyle name="Процентный 4 49" xfId="437" xr:uid="{00000000-0005-0000-0000-000043A30000}"/>
    <cellStyle name="Процентный 4 49 10" xfId="43159" xr:uid="{00000000-0005-0000-0000-000044A30000}"/>
    <cellStyle name="Процентный 4 49 11" xfId="48499" xr:uid="{00000000-0005-0000-0000-000045A30000}"/>
    <cellStyle name="Процентный 4 49 2" xfId="904" xr:uid="{00000000-0005-0000-0000-000046A30000}"/>
    <cellStyle name="Процентный 4 49 2 10" xfId="48966" xr:uid="{00000000-0005-0000-0000-000047A30000}"/>
    <cellStyle name="Процентный 4 49 2 2" xfId="6245" xr:uid="{00000000-0005-0000-0000-000048A30000}"/>
    <cellStyle name="Процентный 4 49 2 2 2" xfId="54307" xr:uid="{00000000-0005-0000-0000-000049A30000}"/>
    <cellStyle name="Процентный 4 49 2 3" xfId="11586" xr:uid="{00000000-0005-0000-0000-00004AA30000}"/>
    <cellStyle name="Процентный 4 49 2 4" xfId="16926" xr:uid="{00000000-0005-0000-0000-00004BA30000}"/>
    <cellStyle name="Процентный 4 49 2 5" xfId="22266" xr:uid="{00000000-0005-0000-0000-00004CA30000}"/>
    <cellStyle name="Процентный 4 49 2 6" xfId="27606" xr:uid="{00000000-0005-0000-0000-00004DA30000}"/>
    <cellStyle name="Процентный 4 49 2 7" xfId="32946" xr:uid="{00000000-0005-0000-0000-00004EA30000}"/>
    <cellStyle name="Процентный 4 49 2 8" xfId="38286" xr:uid="{00000000-0005-0000-0000-00004FA30000}"/>
    <cellStyle name="Процентный 4 49 2 9" xfId="43626" xr:uid="{00000000-0005-0000-0000-000050A30000}"/>
    <cellStyle name="Процентный 4 49 3" xfId="5778" xr:uid="{00000000-0005-0000-0000-000051A30000}"/>
    <cellStyle name="Процентный 4 49 3 2" xfId="53840" xr:uid="{00000000-0005-0000-0000-000052A30000}"/>
    <cellStyle name="Процентный 4 49 4" xfId="11119" xr:uid="{00000000-0005-0000-0000-000053A30000}"/>
    <cellStyle name="Процентный 4 49 5" xfId="16459" xr:uid="{00000000-0005-0000-0000-000054A30000}"/>
    <cellStyle name="Процентный 4 49 6" xfId="21799" xr:uid="{00000000-0005-0000-0000-000055A30000}"/>
    <cellStyle name="Процентный 4 49 7" xfId="27139" xr:uid="{00000000-0005-0000-0000-000056A30000}"/>
    <cellStyle name="Процентный 4 49 8" xfId="32479" xr:uid="{00000000-0005-0000-0000-000057A30000}"/>
    <cellStyle name="Процентный 4 49 9" xfId="37819" xr:uid="{00000000-0005-0000-0000-000058A30000}"/>
    <cellStyle name="Процентный 4 5" xfId="65" xr:uid="{00000000-0005-0000-0000-000059A30000}"/>
    <cellStyle name="Процентный 4 5 10" xfId="42787" xr:uid="{00000000-0005-0000-0000-00005AA30000}"/>
    <cellStyle name="Процентный 4 5 11" xfId="48127" xr:uid="{00000000-0005-0000-0000-00005BA30000}"/>
    <cellStyle name="Процентный 4 5 2" xfId="532" xr:uid="{00000000-0005-0000-0000-00005CA30000}"/>
    <cellStyle name="Процентный 4 5 2 10" xfId="48594" xr:uid="{00000000-0005-0000-0000-00005DA30000}"/>
    <cellStyle name="Процентный 4 5 2 2" xfId="5873" xr:uid="{00000000-0005-0000-0000-00005EA30000}"/>
    <cellStyle name="Процентный 4 5 2 2 2" xfId="53935" xr:uid="{00000000-0005-0000-0000-00005FA30000}"/>
    <cellStyle name="Процентный 4 5 2 3" xfId="11214" xr:uid="{00000000-0005-0000-0000-000060A30000}"/>
    <cellStyle name="Процентный 4 5 2 4" xfId="16554" xr:uid="{00000000-0005-0000-0000-000061A30000}"/>
    <cellStyle name="Процентный 4 5 2 5" xfId="21894" xr:uid="{00000000-0005-0000-0000-000062A30000}"/>
    <cellStyle name="Процентный 4 5 2 6" xfId="27234" xr:uid="{00000000-0005-0000-0000-000063A30000}"/>
    <cellStyle name="Процентный 4 5 2 7" xfId="32574" xr:uid="{00000000-0005-0000-0000-000064A30000}"/>
    <cellStyle name="Процентный 4 5 2 8" xfId="37914" xr:uid="{00000000-0005-0000-0000-000065A30000}"/>
    <cellStyle name="Процентный 4 5 2 9" xfId="43254" xr:uid="{00000000-0005-0000-0000-000066A30000}"/>
    <cellStyle name="Процентный 4 5 3" xfId="5406" xr:uid="{00000000-0005-0000-0000-000067A30000}"/>
    <cellStyle name="Процентный 4 5 3 2" xfId="53468" xr:uid="{00000000-0005-0000-0000-000068A30000}"/>
    <cellStyle name="Процентный 4 5 4" xfId="10747" xr:uid="{00000000-0005-0000-0000-000069A30000}"/>
    <cellStyle name="Процентный 4 5 5" xfId="16087" xr:uid="{00000000-0005-0000-0000-00006AA30000}"/>
    <cellStyle name="Процентный 4 5 6" xfId="21427" xr:uid="{00000000-0005-0000-0000-00006BA30000}"/>
    <cellStyle name="Процентный 4 5 7" xfId="26767" xr:uid="{00000000-0005-0000-0000-00006CA30000}"/>
    <cellStyle name="Процентный 4 5 8" xfId="32107" xr:uid="{00000000-0005-0000-0000-00006DA30000}"/>
    <cellStyle name="Процентный 4 5 9" xfId="37447" xr:uid="{00000000-0005-0000-0000-00006EA30000}"/>
    <cellStyle name="Процентный 4 50" xfId="449" xr:uid="{00000000-0005-0000-0000-00006FA30000}"/>
    <cellStyle name="Процентный 4 50 10" xfId="43171" xr:uid="{00000000-0005-0000-0000-000070A30000}"/>
    <cellStyle name="Процентный 4 50 11" xfId="48511" xr:uid="{00000000-0005-0000-0000-000071A30000}"/>
    <cellStyle name="Процентный 4 50 2" xfId="916" xr:uid="{00000000-0005-0000-0000-000072A30000}"/>
    <cellStyle name="Процентный 4 50 2 10" xfId="48978" xr:uid="{00000000-0005-0000-0000-000073A30000}"/>
    <cellStyle name="Процентный 4 50 2 2" xfId="6257" xr:uid="{00000000-0005-0000-0000-000074A30000}"/>
    <cellStyle name="Процентный 4 50 2 2 2" xfId="54319" xr:uid="{00000000-0005-0000-0000-000075A30000}"/>
    <cellStyle name="Процентный 4 50 2 3" xfId="11598" xr:uid="{00000000-0005-0000-0000-000076A30000}"/>
    <cellStyle name="Процентный 4 50 2 4" xfId="16938" xr:uid="{00000000-0005-0000-0000-000077A30000}"/>
    <cellStyle name="Процентный 4 50 2 5" xfId="22278" xr:uid="{00000000-0005-0000-0000-000078A30000}"/>
    <cellStyle name="Процентный 4 50 2 6" xfId="27618" xr:uid="{00000000-0005-0000-0000-000079A30000}"/>
    <cellStyle name="Процентный 4 50 2 7" xfId="32958" xr:uid="{00000000-0005-0000-0000-00007AA30000}"/>
    <cellStyle name="Процентный 4 50 2 8" xfId="38298" xr:uid="{00000000-0005-0000-0000-00007BA30000}"/>
    <cellStyle name="Процентный 4 50 2 9" xfId="43638" xr:uid="{00000000-0005-0000-0000-00007CA30000}"/>
    <cellStyle name="Процентный 4 50 3" xfId="5790" xr:uid="{00000000-0005-0000-0000-00007DA30000}"/>
    <cellStyle name="Процентный 4 50 3 2" xfId="53852" xr:uid="{00000000-0005-0000-0000-00007EA30000}"/>
    <cellStyle name="Процентный 4 50 4" xfId="11131" xr:uid="{00000000-0005-0000-0000-00007FA30000}"/>
    <cellStyle name="Процентный 4 50 5" xfId="16471" xr:uid="{00000000-0005-0000-0000-000080A30000}"/>
    <cellStyle name="Процентный 4 50 6" xfId="21811" xr:uid="{00000000-0005-0000-0000-000081A30000}"/>
    <cellStyle name="Процентный 4 50 7" xfId="27151" xr:uid="{00000000-0005-0000-0000-000082A30000}"/>
    <cellStyle name="Процентный 4 50 8" xfId="32491" xr:uid="{00000000-0005-0000-0000-000083A30000}"/>
    <cellStyle name="Процентный 4 50 9" xfId="37831" xr:uid="{00000000-0005-0000-0000-000084A30000}"/>
    <cellStyle name="Процентный 4 51" xfId="461" xr:uid="{00000000-0005-0000-0000-000085A30000}"/>
    <cellStyle name="Процентный 4 51 10" xfId="43183" xr:uid="{00000000-0005-0000-0000-000086A30000}"/>
    <cellStyle name="Процентный 4 51 11" xfId="48523" xr:uid="{00000000-0005-0000-0000-000087A30000}"/>
    <cellStyle name="Процентный 4 51 2" xfId="928" xr:uid="{00000000-0005-0000-0000-000088A30000}"/>
    <cellStyle name="Процентный 4 51 2 10" xfId="48990" xr:uid="{00000000-0005-0000-0000-000089A30000}"/>
    <cellStyle name="Процентный 4 51 2 2" xfId="6269" xr:uid="{00000000-0005-0000-0000-00008AA30000}"/>
    <cellStyle name="Процентный 4 51 2 2 2" xfId="54331" xr:uid="{00000000-0005-0000-0000-00008BA30000}"/>
    <cellStyle name="Процентный 4 51 2 3" xfId="11610" xr:uid="{00000000-0005-0000-0000-00008CA30000}"/>
    <cellStyle name="Процентный 4 51 2 4" xfId="16950" xr:uid="{00000000-0005-0000-0000-00008DA30000}"/>
    <cellStyle name="Процентный 4 51 2 5" xfId="22290" xr:uid="{00000000-0005-0000-0000-00008EA30000}"/>
    <cellStyle name="Процентный 4 51 2 6" xfId="27630" xr:uid="{00000000-0005-0000-0000-00008FA30000}"/>
    <cellStyle name="Процентный 4 51 2 7" xfId="32970" xr:uid="{00000000-0005-0000-0000-000090A30000}"/>
    <cellStyle name="Процентный 4 51 2 8" xfId="38310" xr:uid="{00000000-0005-0000-0000-000091A30000}"/>
    <cellStyle name="Процентный 4 51 2 9" xfId="43650" xr:uid="{00000000-0005-0000-0000-000092A30000}"/>
    <cellStyle name="Процентный 4 51 3" xfId="5802" xr:uid="{00000000-0005-0000-0000-000093A30000}"/>
    <cellStyle name="Процентный 4 51 3 2" xfId="53864" xr:uid="{00000000-0005-0000-0000-000094A30000}"/>
    <cellStyle name="Процентный 4 51 4" xfId="11143" xr:uid="{00000000-0005-0000-0000-000095A30000}"/>
    <cellStyle name="Процентный 4 51 5" xfId="16483" xr:uid="{00000000-0005-0000-0000-000096A30000}"/>
    <cellStyle name="Процентный 4 51 6" xfId="21823" xr:uid="{00000000-0005-0000-0000-000097A30000}"/>
    <cellStyle name="Процентный 4 51 7" xfId="27163" xr:uid="{00000000-0005-0000-0000-000098A30000}"/>
    <cellStyle name="Процентный 4 51 8" xfId="32503" xr:uid="{00000000-0005-0000-0000-000099A30000}"/>
    <cellStyle name="Процентный 4 51 9" xfId="37843" xr:uid="{00000000-0005-0000-0000-00009AA30000}"/>
    <cellStyle name="Процентный 4 52" xfId="473" xr:uid="{00000000-0005-0000-0000-00009BA30000}"/>
    <cellStyle name="Процентный 4 52 10" xfId="43195" xr:uid="{00000000-0005-0000-0000-00009CA30000}"/>
    <cellStyle name="Процентный 4 52 11" xfId="48535" xr:uid="{00000000-0005-0000-0000-00009DA30000}"/>
    <cellStyle name="Процентный 4 52 2" xfId="940" xr:uid="{00000000-0005-0000-0000-00009EA30000}"/>
    <cellStyle name="Процентный 4 52 2 10" xfId="49002" xr:uid="{00000000-0005-0000-0000-00009FA30000}"/>
    <cellStyle name="Процентный 4 52 2 2" xfId="6281" xr:uid="{00000000-0005-0000-0000-0000A0A30000}"/>
    <cellStyle name="Процентный 4 52 2 2 2" xfId="54343" xr:uid="{00000000-0005-0000-0000-0000A1A30000}"/>
    <cellStyle name="Процентный 4 52 2 3" xfId="11622" xr:uid="{00000000-0005-0000-0000-0000A2A30000}"/>
    <cellStyle name="Процентный 4 52 2 4" xfId="16962" xr:uid="{00000000-0005-0000-0000-0000A3A30000}"/>
    <cellStyle name="Процентный 4 52 2 5" xfId="22302" xr:uid="{00000000-0005-0000-0000-0000A4A30000}"/>
    <cellStyle name="Процентный 4 52 2 6" xfId="27642" xr:uid="{00000000-0005-0000-0000-0000A5A30000}"/>
    <cellStyle name="Процентный 4 52 2 7" xfId="32982" xr:uid="{00000000-0005-0000-0000-0000A6A30000}"/>
    <cellStyle name="Процентный 4 52 2 8" xfId="38322" xr:uid="{00000000-0005-0000-0000-0000A7A30000}"/>
    <cellStyle name="Процентный 4 52 2 9" xfId="43662" xr:uid="{00000000-0005-0000-0000-0000A8A30000}"/>
    <cellStyle name="Процентный 4 52 3" xfId="5814" xr:uid="{00000000-0005-0000-0000-0000A9A30000}"/>
    <cellStyle name="Процентный 4 52 3 2" xfId="53876" xr:uid="{00000000-0005-0000-0000-0000AAA30000}"/>
    <cellStyle name="Процентный 4 52 4" xfId="11155" xr:uid="{00000000-0005-0000-0000-0000ABA30000}"/>
    <cellStyle name="Процентный 4 52 5" xfId="16495" xr:uid="{00000000-0005-0000-0000-0000ACA30000}"/>
    <cellStyle name="Процентный 4 52 6" xfId="21835" xr:uid="{00000000-0005-0000-0000-0000ADA30000}"/>
    <cellStyle name="Процентный 4 52 7" xfId="27175" xr:uid="{00000000-0005-0000-0000-0000AEA30000}"/>
    <cellStyle name="Процентный 4 52 8" xfId="32515" xr:uid="{00000000-0005-0000-0000-0000AFA30000}"/>
    <cellStyle name="Процентный 4 52 9" xfId="37855" xr:uid="{00000000-0005-0000-0000-0000B0A30000}"/>
    <cellStyle name="Процентный 4 53" xfId="485" xr:uid="{00000000-0005-0000-0000-0000B1A30000}"/>
    <cellStyle name="Процентный 4 53 10" xfId="43207" xr:uid="{00000000-0005-0000-0000-0000B2A30000}"/>
    <cellStyle name="Процентный 4 53 11" xfId="48547" xr:uid="{00000000-0005-0000-0000-0000B3A30000}"/>
    <cellStyle name="Процентный 4 53 2" xfId="952" xr:uid="{00000000-0005-0000-0000-0000B4A30000}"/>
    <cellStyle name="Процентный 4 53 2 10" xfId="49014" xr:uid="{00000000-0005-0000-0000-0000B5A30000}"/>
    <cellStyle name="Процентный 4 53 2 2" xfId="6293" xr:uid="{00000000-0005-0000-0000-0000B6A30000}"/>
    <cellStyle name="Процентный 4 53 2 2 2" xfId="54355" xr:uid="{00000000-0005-0000-0000-0000B7A30000}"/>
    <cellStyle name="Процентный 4 53 2 3" xfId="11634" xr:uid="{00000000-0005-0000-0000-0000B8A30000}"/>
    <cellStyle name="Процентный 4 53 2 4" xfId="16974" xr:uid="{00000000-0005-0000-0000-0000B9A30000}"/>
    <cellStyle name="Процентный 4 53 2 5" xfId="22314" xr:uid="{00000000-0005-0000-0000-0000BAA30000}"/>
    <cellStyle name="Процентный 4 53 2 6" xfId="27654" xr:uid="{00000000-0005-0000-0000-0000BBA30000}"/>
    <cellStyle name="Процентный 4 53 2 7" xfId="32994" xr:uid="{00000000-0005-0000-0000-0000BCA30000}"/>
    <cellStyle name="Процентный 4 53 2 8" xfId="38334" xr:uid="{00000000-0005-0000-0000-0000BDA30000}"/>
    <cellStyle name="Процентный 4 53 2 9" xfId="43674" xr:uid="{00000000-0005-0000-0000-0000BEA30000}"/>
    <cellStyle name="Процентный 4 53 3" xfId="5826" xr:uid="{00000000-0005-0000-0000-0000BFA30000}"/>
    <cellStyle name="Процентный 4 53 3 2" xfId="53888" xr:uid="{00000000-0005-0000-0000-0000C0A30000}"/>
    <cellStyle name="Процентный 4 53 4" xfId="11167" xr:uid="{00000000-0005-0000-0000-0000C1A30000}"/>
    <cellStyle name="Процентный 4 53 5" xfId="16507" xr:uid="{00000000-0005-0000-0000-0000C2A30000}"/>
    <cellStyle name="Процентный 4 53 6" xfId="21847" xr:uid="{00000000-0005-0000-0000-0000C3A30000}"/>
    <cellStyle name="Процентный 4 53 7" xfId="27187" xr:uid="{00000000-0005-0000-0000-0000C4A30000}"/>
    <cellStyle name="Процентный 4 53 8" xfId="32527" xr:uid="{00000000-0005-0000-0000-0000C5A30000}"/>
    <cellStyle name="Процентный 4 53 9" xfId="37867" xr:uid="{00000000-0005-0000-0000-0000C6A30000}"/>
    <cellStyle name="Процентный 4 54" xfId="497" xr:uid="{00000000-0005-0000-0000-0000C7A30000}"/>
    <cellStyle name="Процентный 4 54 10" xfId="43219" xr:uid="{00000000-0005-0000-0000-0000C8A30000}"/>
    <cellStyle name="Процентный 4 54 11" xfId="48559" xr:uid="{00000000-0005-0000-0000-0000C9A30000}"/>
    <cellStyle name="Процентный 4 54 2" xfId="964" xr:uid="{00000000-0005-0000-0000-0000CAA30000}"/>
    <cellStyle name="Процентный 4 54 2 10" xfId="49026" xr:uid="{00000000-0005-0000-0000-0000CBA30000}"/>
    <cellStyle name="Процентный 4 54 2 2" xfId="6305" xr:uid="{00000000-0005-0000-0000-0000CCA30000}"/>
    <cellStyle name="Процентный 4 54 2 2 2" xfId="54367" xr:uid="{00000000-0005-0000-0000-0000CDA30000}"/>
    <cellStyle name="Процентный 4 54 2 3" xfId="11646" xr:uid="{00000000-0005-0000-0000-0000CEA30000}"/>
    <cellStyle name="Процентный 4 54 2 4" xfId="16986" xr:uid="{00000000-0005-0000-0000-0000CFA30000}"/>
    <cellStyle name="Процентный 4 54 2 5" xfId="22326" xr:uid="{00000000-0005-0000-0000-0000D0A30000}"/>
    <cellStyle name="Процентный 4 54 2 6" xfId="27666" xr:uid="{00000000-0005-0000-0000-0000D1A30000}"/>
    <cellStyle name="Процентный 4 54 2 7" xfId="33006" xr:uid="{00000000-0005-0000-0000-0000D2A30000}"/>
    <cellStyle name="Процентный 4 54 2 8" xfId="38346" xr:uid="{00000000-0005-0000-0000-0000D3A30000}"/>
    <cellStyle name="Процентный 4 54 2 9" xfId="43686" xr:uid="{00000000-0005-0000-0000-0000D4A30000}"/>
    <cellStyle name="Процентный 4 54 3" xfId="5838" xr:uid="{00000000-0005-0000-0000-0000D5A30000}"/>
    <cellStyle name="Процентный 4 54 3 2" xfId="53900" xr:uid="{00000000-0005-0000-0000-0000D6A30000}"/>
    <cellStyle name="Процентный 4 54 4" xfId="11179" xr:uid="{00000000-0005-0000-0000-0000D7A30000}"/>
    <cellStyle name="Процентный 4 54 5" xfId="16519" xr:uid="{00000000-0005-0000-0000-0000D8A30000}"/>
    <cellStyle name="Процентный 4 54 6" xfId="21859" xr:uid="{00000000-0005-0000-0000-0000D9A30000}"/>
    <cellStyle name="Процентный 4 54 7" xfId="27199" xr:uid="{00000000-0005-0000-0000-0000DAA30000}"/>
    <cellStyle name="Процентный 4 54 8" xfId="32539" xr:uid="{00000000-0005-0000-0000-0000DBA30000}"/>
    <cellStyle name="Процентный 4 54 9" xfId="37879" xr:uid="{00000000-0005-0000-0000-0000DCA30000}"/>
    <cellStyle name="Процентный 4 55" xfId="509" xr:uid="{00000000-0005-0000-0000-0000DDA30000}"/>
    <cellStyle name="Процентный 4 55 10" xfId="43231" xr:uid="{00000000-0005-0000-0000-0000DEA30000}"/>
    <cellStyle name="Процентный 4 55 11" xfId="48571" xr:uid="{00000000-0005-0000-0000-0000DFA30000}"/>
    <cellStyle name="Процентный 4 55 2" xfId="976" xr:uid="{00000000-0005-0000-0000-0000E0A30000}"/>
    <cellStyle name="Процентный 4 55 2 10" xfId="49038" xr:uid="{00000000-0005-0000-0000-0000E1A30000}"/>
    <cellStyle name="Процентный 4 55 2 2" xfId="6317" xr:uid="{00000000-0005-0000-0000-0000E2A30000}"/>
    <cellStyle name="Процентный 4 55 2 2 2" xfId="54379" xr:uid="{00000000-0005-0000-0000-0000E3A30000}"/>
    <cellStyle name="Процентный 4 55 2 3" xfId="11658" xr:uid="{00000000-0005-0000-0000-0000E4A30000}"/>
    <cellStyle name="Процентный 4 55 2 4" xfId="16998" xr:uid="{00000000-0005-0000-0000-0000E5A30000}"/>
    <cellStyle name="Процентный 4 55 2 5" xfId="22338" xr:uid="{00000000-0005-0000-0000-0000E6A30000}"/>
    <cellStyle name="Процентный 4 55 2 6" xfId="27678" xr:uid="{00000000-0005-0000-0000-0000E7A30000}"/>
    <cellStyle name="Процентный 4 55 2 7" xfId="33018" xr:uid="{00000000-0005-0000-0000-0000E8A30000}"/>
    <cellStyle name="Процентный 4 55 2 8" xfId="38358" xr:uid="{00000000-0005-0000-0000-0000E9A30000}"/>
    <cellStyle name="Процентный 4 55 2 9" xfId="43698" xr:uid="{00000000-0005-0000-0000-0000EAA30000}"/>
    <cellStyle name="Процентный 4 55 3" xfId="5850" xr:uid="{00000000-0005-0000-0000-0000EBA30000}"/>
    <cellStyle name="Процентный 4 55 3 2" xfId="53912" xr:uid="{00000000-0005-0000-0000-0000ECA30000}"/>
    <cellStyle name="Процентный 4 55 4" xfId="11191" xr:uid="{00000000-0005-0000-0000-0000EDA30000}"/>
    <cellStyle name="Процентный 4 55 5" xfId="16531" xr:uid="{00000000-0005-0000-0000-0000EEA30000}"/>
    <cellStyle name="Процентный 4 55 6" xfId="21871" xr:uid="{00000000-0005-0000-0000-0000EFA30000}"/>
    <cellStyle name="Процентный 4 55 7" xfId="27211" xr:uid="{00000000-0005-0000-0000-0000F0A30000}"/>
    <cellStyle name="Процентный 4 55 8" xfId="32551" xr:uid="{00000000-0005-0000-0000-0000F1A30000}"/>
    <cellStyle name="Процентный 4 55 9" xfId="37891" xr:uid="{00000000-0005-0000-0000-0000F2A30000}"/>
    <cellStyle name="Процентный 4 56" xfId="522" xr:uid="{00000000-0005-0000-0000-0000F3A30000}"/>
    <cellStyle name="Процентный 4 56 10" xfId="48584" xr:uid="{00000000-0005-0000-0000-0000F4A30000}"/>
    <cellStyle name="Процентный 4 56 2" xfId="5863" xr:uid="{00000000-0005-0000-0000-0000F5A30000}"/>
    <cellStyle name="Процентный 4 56 2 2" xfId="53925" xr:uid="{00000000-0005-0000-0000-0000F6A30000}"/>
    <cellStyle name="Процентный 4 56 3" xfId="11204" xr:uid="{00000000-0005-0000-0000-0000F7A30000}"/>
    <cellStyle name="Процентный 4 56 4" xfId="16544" xr:uid="{00000000-0005-0000-0000-0000F8A30000}"/>
    <cellStyle name="Процентный 4 56 5" xfId="21884" xr:uid="{00000000-0005-0000-0000-0000F9A30000}"/>
    <cellStyle name="Процентный 4 56 6" xfId="27224" xr:uid="{00000000-0005-0000-0000-0000FAA30000}"/>
    <cellStyle name="Процентный 4 56 7" xfId="32564" xr:uid="{00000000-0005-0000-0000-0000FBA30000}"/>
    <cellStyle name="Процентный 4 56 8" xfId="37904" xr:uid="{00000000-0005-0000-0000-0000FCA30000}"/>
    <cellStyle name="Процентный 4 56 9" xfId="43244" xr:uid="{00000000-0005-0000-0000-0000FDA30000}"/>
    <cellStyle name="Процентный 4 57" xfId="988" xr:uid="{00000000-0005-0000-0000-0000FEA30000}"/>
    <cellStyle name="Процентный 4 57 10" xfId="49050" xr:uid="{00000000-0005-0000-0000-0000FFA30000}"/>
    <cellStyle name="Процентный 4 57 2" xfId="6329" xr:uid="{00000000-0005-0000-0000-000000A40000}"/>
    <cellStyle name="Процентный 4 57 2 2" xfId="54391" xr:uid="{00000000-0005-0000-0000-000001A40000}"/>
    <cellStyle name="Процентный 4 57 3" xfId="11670" xr:uid="{00000000-0005-0000-0000-000002A40000}"/>
    <cellStyle name="Процентный 4 57 4" xfId="17010" xr:uid="{00000000-0005-0000-0000-000003A40000}"/>
    <cellStyle name="Процентный 4 57 5" xfId="22350" xr:uid="{00000000-0005-0000-0000-000004A40000}"/>
    <cellStyle name="Процентный 4 57 6" xfId="27690" xr:uid="{00000000-0005-0000-0000-000005A40000}"/>
    <cellStyle name="Процентный 4 57 7" xfId="33030" xr:uid="{00000000-0005-0000-0000-000006A40000}"/>
    <cellStyle name="Процентный 4 57 8" xfId="38370" xr:uid="{00000000-0005-0000-0000-000007A40000}"/>
    <cellStyle name="Процентный 4 57 9" xfId="43710" xr:uid="{00000000-0005-0000-0000-000008A40000}"/>
    <cellStyle name="Процентный 4 58" xfId="1012" xr:uid="{00000000-0005-0000-0000-000009A40000}"/>
    <cellStyle name="Процентный 4 58 10" xfId="49074" xr:uid="{00000000-0005-0000-0000-00000AA40000}"/>
    <cellStyle name="Процентный 4 58 2" xfId="6353" xr:uid="{00000000-0005-0000-0000-00000BA40000}"/>
    <cellStyle name="Процентный 4 58 2 2" xfId="54415" xr:uid="{00000000-0005-0000-0000-00000CA40000}"/>
    <cellStyle name="Процентный 4 58 3" xfId="11694" xr:uid="{00000000-0005-0000-0000-00000DA40000}"/>
    <cellStyle name="Процентный 4 58 4" xfId="17034" xr:uid="{00000000-0005-0000-0000-00000EA40000}"/>
    <cellStyle name="Процентный 4 58 5" xfId="22374" xr:uid="{00000000-0005-0000-0000-00000FA40000}"/>
    <cellStyle name="Процентный 4 58 6" xfId="27714" xr:uid="{00000000-0005-0000-0000-000010A40000}"/>
    <cellStyle name="Процентный 4 58 7" xfId="33054" xr:uid="{00000000-0005-0000-0000-000011A40000}"/>
    <cellStyle name="Процентный 4 58 8" xfId="38394" xr:uid="{00000000-0005-0000-0000-000012A40000}"/>
    <cellStyle name="Процентный 4 58 9" xfId="43734" xr:uid="{00000000-0005-0000-0000-000013A40000}"/>
    <cellStyle name="Процентный 4 59" xfId="1036" xr:uid="{00000000-0005-0000-0000-000014A40000}"/>
    <cellStyle name="Процентный 4 59 10" xfId="49098" xr:uid="{00000000-0005-0000-0000-000015A40000}"/>
    <cellStyle name="Процентный 4 59 2" xfId="6377" xr:uid="{00000000-0005-0000-0000-000016A40000}"/>
    <cellStyle name="Процентный 4 59 2 2" xfId="54439" xr:uid="{00000000-0005-0000-0000-000017A40000}"/>
    <cellStyle name="Процентный 4 59 3" xfId="11718" xr:uid="{00000000-0005-0000-0000-000018A40000}"/>
    <cellStyle name="Процентный 4 59 4" xfId="17058" xr:uid="{00000000-0005-0000-0000-000019A40000}"/>
    <cellStyle name="Процентный 4 59 5" xfId="22398" xr:uid="{00000000-0005-0000-0000-00001AA40000}"/>
    <cellStyle name="Процентный 4 59 6" xfId="27738" xr:uid="{00000000-0005-0000-0000-00001BA40000}"/>
    <cellStyle name="Процентный 4 59 7" xfId="33078" xr:uid="{00000000-0005-0000-0000-00001CA40000}"/>
    <cellStyle name="Процентный 4 59 8" xfId="38418" xr:uid="{00000000-0005-0000-0000-00001DA40000}"/>
    <cellStyle name="Процентный 4 59 9" xfId="43758" xr:uid="{00000000-0005-0000-0000-00001EA40000}"/>
    <cellStyle name="Процентный 4 6" xfId="67" xr:uid="{00000000-0005-0000-0000-00001FA40000}"/>
    <cellStyle name="Процентный 4 6 10" xfId="42789" xr:uid="{00000000-0005-0000-0000-000020A40000}"/>
    <cellStyle name="Процентный 4 6 11" xfId="48129" xr:uid="{00000000-0005-0000-0000-000021A40000}"/>
    <cellStyle name="Процентный 4 6 2" xfId="534" xr:uid="{00000000-0005-0000-0000-000022A40000}"/>
    <cellStyle name="Процентный 4 6 2 10" xfId="48596" xr:uid="{00000000-0005-0000-0000-000023A40000}"/>
    <cellStyle name="Процентный 4 6 2 2" xfId="5875" xr:uid="{00000000-0005-0000-0000-000024A40000}"/>
    <cellStyle name="Процентный 4 6 2 2 2" xfId="53937" xr:uid="{00000000-0005-0000-0000-000025A40000}"/>
    <cellStyle name="Процентный 4 6 2 3" xfId="11216" xr:uid="{00000000-0005-0000-0000-000026A40000}"/>
    <cellStyle name="Процентный 4 6 2 4" xfId="16556" xr:uid="{00000000-0005-0000-0000-000027A40000}"/>
    <cellStyle name="Процентный 4 6 2 5" xfId="21896" xr:uid="{00000000-0005-0000-0000-000028A40000}"/>
    <cellStyle name="Процентный 4 6 2 6" xfId="27236" xr:uid="{00000000-0005-0000-0000-000029A40000}"/>
    <cellStyle name="Процентный 4 6 2 7" xfId="32576" xr:uid="{00000000-0005-0000-0000-00002AA40000}"/>
    <cellStyle name="Процентный 4 6 2 8" xfId="37916" xr:uid="{00000000-0005-0000-0000-00002BA40000}"/>
    <cellStyle name="Процентный 4 6 2 9" xfId="43256" xr:uid="{00000000-0005-0000-0000-00002CA40000}"/>
    <cellStyle name="Процентный 4 6 3" xfId="5408" xr:uid="{00000000-0005-0000-0000-00002DA40000}"/>
    <cellStyle name="Процентный 4 6 3 2" xfId="53470" xr:uid="{00000000-0005-0000-0000-00002EA40000}"/>
    <cellStyle name="Процентный 4 6 4" xfId="10749" xr:uid="{00000000-0005-0000-0000-00002FA40000}"/>
    <cellStyle name="Процентный 4 6 5" xfId="16089" xr:uid="{00000000-0005-0000-0000-000030A40000}"/>
    <cellStyle name="Процентный 4 6 6" xfId="21429" xr:uid="{00000000-0005-0000-0000-000031A40000}"/>
    <cellStyle name="Процентный 4 6 7" xfId="26769" xr:uid="{00000000-0005-0000-0000-000032A40000}"/>
    <cellStyle name="Процентный 4 6 8" xfId="32109" xr:uid="{00000000-0005-0000-0000-000033A40000}"/>
    <cellStyle name="Процентный 4 6 9" xfId="37449" xr:uid="{00000000-0005-0000-0000-000034A40000}"/>
    <cellStyle name="Процентный 4 60" xfId="1061" xr:uid="{00000000-0005-0000-0000-000035A40000}"/>
    <cellStyle name="Процентный 4 60 10" xfId="49124" xr:uid="{00000000-0005-0000-0000-000036A40000}"/>
    <cellStyle name="Процентный 4 60 2" xfId="6403" xr:uid="{00000000-0005-0000-0000-000037A40000}"/>
    <cellStyle name="Процентный 4 60 2 2" xfId="54465" xr:uid="{00000000-0005-0000-0000-000038A40000}"/>
    <cellStyle name="Процентный 4 60 3" xfId="11744" xr:uid="{00000000-0005-0000-0000-000039A40000}"/>
    <cellStyle name="Процентный 4 60 4" xfId="17084" xr:uid="{00000000-0005-0000-0000-00003AA40000}"/>
    <cellStyle name="Процентный 4 60 5" xfId="22424" xr:uid="{00000000-0005-0000-0000-00003BA40000}"/>
    <cellStyle name="Процентный 4 60 6" xfId="27764" xr:uid="{00000000-0005-0000-0000-00003CA40000}"/>
    <cellStyle name="Процентный 4 60 7" xfId="33104" xr:uid="{00000000-0005-0000-0000-00003DA40000}"/>
    <cellStyle name="Процентный 4 60 8" xfId="38444" xr:uid="{00000000-0005-0000-0000-00003EA40000}"/>
    <cellStyle name="Процентный 4 60 9" xfId="43784" xr:uid="{00000000-0005-0000-0000-00003FA40000}"/>
    <cellStyle name="Процентный 4 61" xfId="1087" xr:uid="{00000000-0005-0000-0000-000040A40000}"/>
    <cellStyle name="Процентный 4 61 10" xfId="49150" xr:uid="{00000000-0005-0000-0000-000041A40000}"/>
    <cellStyle name="Процентный 4 61 2" xfId="6429" xr:uid="{00000000-0005-0000-0000-000042A40000}"/>
    <cellStyle name="Процентный 4 61 2 2" xfId="54491" xr:uid="{00000000-0005-0000-0000-000043A40000}"/>
    <cellStyle name="Процентный 4 61 3" xfId="11770" xr:uid="{00000000-0005-0000-0000-000044A40000}"/>
    <cellStyle name="Процентный 4 61 4" xfId="17110" xr:uid="{00000000-0005-0000-0000-000045A40000}"/>
    <cellStyle name="Процентный 4 61 5" xfId="22450" xr:uid="{00000000-0005-0000-0000-000046A40000}"/>
    <cellStyle name="Процентный 4 61 6" xfId="27790" xr:uid="{00000000-0005-0000-0000-000047A40000}"/>
    <cellStyle name="Процентный 4 61 7" xfId="33130" xr:uid="{00000000-0005-0000-0000-000048A40000}"/>
    <cellStyle name="Процентный 4 61 8" xfId="38470" xr:uid="{00000000-0005-0000-0000-000049A40000}"/>
    <cellStyle name="Процентный 4 61 9" xfId="43810" xr:uid="{00000000-0005-0000-0000-00004AA40000}"/>
    <cellStyle name="Процентный 4 62" xfId="1113" xr:uid="{00000000-0005-0000-0000-00004BA40000}"/>
    <cellStyle name="Процентный 4 62 10" xfId="49176" xr:uid="{00000000-0005-0000-0000-00004CA40000}"/>
    <cellStyle name="Процентный 4 62 2" xfId="6455" xr:uid="{00000000-0005-0000-0000-00004DA40000}"/>
    <cellStyle name="Процентный 4 62 2 2" xfId="54517" xr:uid="{00000000-0005-0000-0000-00004EA40000}"/>
    <cellStyle name="Процентный 4 62 3" xfId="11796" xr:uid="{00000000-0005-0000-0000-00004FA40000}"/>
    <cellStyle name="Процентный 4 62 4" xfId="17136" xr:uid="{00000000-0005-0000-0000-000050A40000}"/>
    <cellStyle name="Процентный 4 62 5" xfId="22476" xr:uid="{00000000-0005-0000-0000-000051A40000}"/>
    <cellStyle name="Процентный 4 62 6" xfId="27816" xr:uid="{00000000-0005-0000-0000-000052A40000}"/>
    <cellStyle name="Процентный 4 62 7" xfId="33156" xr:uid="{00000000-0005-0000-0000-000053A40000}"/>
    <cellStyle name="Процентный 4 62 8" xfId="38496" xr:uid="{00000000-0005-0000-0000-000054A40000}"/>
    <cellStyle name="Процентный 4 62 9" xfId="43836" xr:uid="{00000000-0005-0000-0000-000055A40000}"/>
    <cellStyle name="Процентный 4 63" xfId="1139" xr:uid="{00000000-0005-0000-0000-000056A40000}"/>
    <cellStyle name="Процентный 4 63 10" xfId="49202" xr:uid="{00000000-0005-0000-0000-000057A40000}"/>
    <cellStyle name="Процентный 4 63 2" xfId="6481" xr:uid="{00000000-0005-0000-0000-000058A40000}"/>
    <cellStyle name="Процентный 4 63 2 2" xfId="54543" xr:uid="{00000000-0005-0000-0000-000059A40000}"/>
    <cellStyle name="Процентный 4 63 3" xfId="11822" xr:uid="{00000000-0005-0000-0000-00005AA40000}"/>
    <cellStyle name="Процентный 4 63 4" xfId="17162" xr:uid="{00000000-0005-0000-0000-00005BA40000}"/>
    <cellStyle name="Процентный 4 63 5" xfId="22502" xr:uid="{00000000-0005-0000-0000-00005CA40000}"/>
    <cellStyle name="Процентный 4 63 6" xfId="27842" xr:uid="{00000000-0005-0000-0000-00005DA40000}"/>
    <cellStyle name="Процентный 4 63 7" xfId="33182" xr:uid="{00000000-0005-0000-0000-00005EA40000}"/>
    <cellStyle name="Процентный 4 63 8" xfId="38522" xr:uid="{00000000-0005-0000-0000-00005FA40000}"/>
    <cellStyle name="Процентный 4 63 9" xfId="43862" xr:uid="{00000000-0005-0000-0000-000060A40000}"/>
    <cellStyle name="Процентный 4 64" xfId="1165" xr:uid="{00000000-0005-0000-0000-000061A40000}"/>
    <cellStyle name="Процентный 4 64 10" xfId="49228" xr:uid="{00000000-0005-0000-0000-000062A40000}"/>
    <cellStyle name="Процентный 4 64 2" xfId="6507" xr:uid="{00000000-0005-0000-0000-000063A40000}"/>
    <cellStyle name="Процентный 4 64 2 2" xfId="54569" xr:uid="{00000000-0005-0000-0000-000064A40000}"/>
    <cellStyle name="Процентный 4 64 3" xfId="11848" xr:uid="{00000000-0005-0000-0000-000065A40000}"/>
    <cellStyle name="Процентный 4 64 4" xfId="17188" xr:uid="{00000000-0005-0000-0000-000066A40000}"/>
    <cellStyle name="Процентный 4 64 5" xfId="22528" xr:uid="{00000000-0005-0000-0000-000067A40000}"/>
    <cellStyle name="Процентный 4 64 6" xfId="27868" xr:uid="{00000000-0005-0000-0000-000068A40000}"/>
    <cellStyle name="Процентный 4 64 7" xfId="33208" xr:uid="{00000000-0005-0000-0000-000069A40000}"/>
    <cellStyle name="Процентный 4 64 8" xfId="38548" xr:uid="{00000000-0005-0000-0000-00006AA40000}"/>
    <cellStyle name="Процентный 4 64 9" xfId="43888" xr:uid="{00000000-0005-0000-0000-00006BA40000}"/>
    <cellStyle name="Процентный 4 65" xfId="1191" xr:uid="{00000000-0005-0000-0000-00006CA40000}"/>
    <cellStyle name="Процентный 4 65 10" xfId="49254" xr:uid="{00000000-0005-0000-0000-00006DA40000}"/>
    <cellStyle name="Процентный 4 65 2" xfId="6533" xr:uid="{00000000-0005-0000-0000-00006EA40000}"/>
    <cellStyle name="Процентный 4 65 2 2" xfId="54595" xr:uid="{00000000-0005-0000-0000-00006FA40000}"/>
    <cellStyle name="Процентный 4 65 3" xfId="11874" xr:uid="{00000000-0005-0000-0000-000070A40000}"/>
    <cellStyle name="Процентный 4 65 4" xfId="17214" xr:uid="{00000000-0005-0000-0000-000071A40000}"/>
    <cellStyle name="Процентный 4 65 5" xfId="22554" xr:uid="{00000000-0005-0000-0000-000072A40000}"/>
    <cellStyle name="Процентный 4 65 6" xfId="27894" xr:uid="{00000000-0005-0000-0000-000073A40000}"/>
    <cellStyle name="Процентный 4 65 7" xfId="33234" xr:uid="{00000000-0005-0000-0000-000074A40000}"/>
    <cellStyle name="Процентный 4 65 8" xfId="38574" xr:uid="{00000000-0005-0000-0000-000075A40000}"/>
    <cellStyle name="Процентный 4 65 9" xfId="43914" xr:uid="{00000000-0005-0000-0000-000076A40000}"/>
    <cellStyle name="Процентный 4 66" xfId="1217" xr:uid="{00000000-0005-0000-0000-000077A40000}"/>
    <cellStyle name="Процентный 4 66 10" xfId="49280" xr:uid="{00000000-0005-0000-0000-000078A40000}"/>
    <cellStyle name="Процентный 4 66 2" xfId="6559" xr:uid="{00000000-0005-0000-0000-000079A40000}"/>
    <cellStyle name="Процентный 4 66 2 2" xfId="54621" xr:uid="{00000000-0005-0000-0000-00007AA40000}"/>
    <cellStyle name="Процентный 4 66 3" xfId="11900" xr:uid="{00000000-0005-0000-0000-00007BA40000}"/>
    <cellStyle name="Процентный 4 66 4" xfId="17240" xr:uid="{00000000-0005-0000-0000-00007CA40000}"/>
    <cellStyle name="Процентный 4 66 5" xfId="22580" xr:uid="{00000000-0005-0000-0000-00007DA40000}"/>
    <cellStyle name="Процентный 4 66 6" xfId="27920" xr:uid="{00000000-0005-0000-0000-00007EA40000}"/>
    <cellStyle name="Процентный 4 66 7" xfId="33260" xr:uid="{00000000-0005-0000-0000-00007FA40000}"/>
    <cellStyle name="Процентный 4 66 8" xfId="38600" xr:uid="{00000000-0005-0000-0000-000080A40000}"/>
    <cellStyle name="Процентный 4 66 9" xfId="43940" xr:uid="{00000000-0005-0000-0000-000081A40000}"/>
    <cellStyle name="Процентный 4 67" xfId="1243" xr:uid="{00000000-0005-0000-0000-000082A40000}"/>
    <cellStyle name="Процентный 4 67 10" xfId="49306" xr:uid="{00000000-0005-0000-0000-000083A40000}"/>
    <cellStyle name="Процентный 4 67 2" xfId="6585" xr:uid="{00000000-0005-0000-0000-000084A40000}"/>
    <cellStyle name="Процентный 4 67 2 2" xfId="54647" xr:uid="{00000000-0005-0000-0000-000085A40000}"/>
    <cellStyle name="Процентный 4 67 3" xfId="11926" xr:uid="{00000000-0005-0000-0000-000086A40000}"/>
    <cellStyle name="Процентный 4 67 4" xfId="17266" xr:uid="{00000000-0005-0000-0000-000087A40000}"/>
    <cellStyle name="Процентный 4 67 5" xfId="22606" xr:uid="{00000000-0005-0000-0000-000088A40000}"/>
    <cellStyle name="Процентный 4 67 6" xfId="27946" xr:uid="{00000000-0005-0000-0000-000089A40000}"/>
    <cellStyle name="Процентный 4 67 7" xfId="33286" xr:uid="{00000000-0005-0000-0000-00008AA40000}"/>
    <cellStyle name="Процентный 4 67 8" xfId="38626" xr:uid="{00000000-0005-0000-0000-00008BA40000}"/>
    <cellStyle name="Процентный 4 67 9" xfId="43966" xr:uid="{00000000-0005-0000-0000-00008CA40000}"/>
    <cellStyle name="Процентный 4 68" xfId="1269" xr:uid="{00000000-0005-0000-0000-00008DA40000}"/>
    <cellStyle name="Процентный 4 68 10" xfId="49332" xr:uid="{00000000-0005-0000-0000-00008EA40000}"/>
    <cellStyle name="Процентный 4 68 2" xfId="6611" xr:uid="{00000000-0005-0000-0000-00008FA40000}"/>
    <cellStyle name="Процентный 4 68 2 2" xfId="54673" xr:uid="{00000000-0005-0000-0000-000090A40000}"/>
    <cellStyle name="Процентный 4 68 3" xfId="11952" xr:uid="{00000000-0005-0000-0000-000091A40000}"/>
    <cellStyle name="Процентный 4 68 4" xfId="17292" xr:uid="{00000000-0005-0000-0000-000092A40000}"/>
    <cellStyle name="Процентный 4 68 5" xfId="22632" xr:uid="{00000000-0005-0000-0000-000093A40000}"/>
    <cellStyle name="Процентный 4 68 6" xfId="27972" xr:uid="{00000000-0005-0000-0000-000094A40000}"/>
    <cellStyle name="Процентный 4 68 7" xfId="33312" xr:uid="{00000000-0005-0000-0000-000095A40000}"/>
    <cellStyle name="Процентный 4 68 8" xfId="38652" xr:uid="{00000000-0005-0000-0000-000096A40000}"/>
    <cellStyle name="Процентный 4 68 9" xfId="43992" xr:uid="{00000000-0005-0000-0000-000097A40000}"/>
    <cellStyle name="Процентный 4 69" xfId="1295" xr:uid="{00000000-0005-0000-0000-000098A40000}"/>
    <cellStyle name="Процентный 4 69 10" xfId="49358" xr:uid="{00000000-0005-0000-0000-000099A40000}"/>
    <cellStyle name="Процентный 4 69 2" xfId="6637" xr:uid="{00000000-0005-0000-0000-00009AA40000}"/>
    <cellStyle name="Процентный 4 69 2 2" xfId="54699" xr:uid="{00000000-0005-0000-0000-00009BA40000}"/>
    <cellStyle name="Процентный 4 69 3" xfId="11978" xr:uid="{00000000-0005-0000-0000-00009CA40000}"/>
    <cellStyle name="Процентный 4 69 4" xfId="17318" xr:uid="{00000000-0005-0000-0000-00009DA40000}"/>
    <cellStyle name="Процентный 4 69 5" xfId="22658" xr:uid="{00000000-0005-0000-0000-00009EA40000}"/>
    <cellStyle name="Процентный 4 69 6" xfId="27998" xr:uid="{00000000-0005-0000-0000-00009FA40000}"/>
    <cellStyle name="Процентный 4 69 7" xfId="33338" xr:uid="{00000000-0005-0000-0000-0000A0A40000}"/>
    <cellStyle name="Процентный 4 69 8" xfId="38678" xr:uid="{00000000-0005-0000-0000-0000A1A40000}"/>
    <cellStyle name="Процентный 4 69 9" xfId="44018" xr:uid="{00000000-0005-0000-0000-0000A2A40000}"/>
    <cellStyle name="Процентный 4 7" xfId="69" xr:uid="{00000000-0005-0000-0000-0000A3A40000}"/>
    <cellStyle name="Процентный 4 7 10" xfId="42791" xr:uid="{00000000-0005-0000-0000-0000A4A40000}"/>
    <cellStyle name="Процентный 4 7 11" xfId="48131" xr:uid="{00000000-0005-0000-0000-0000A5A40000}"/>
    <cellStyle name="Процентный 4 7 2" xfId="536" xr:uid="{00000000-0005-0000-0000-0000A6A40000}"/>
    <cellStyle name="Процентный 4 7 2 10" xfId="48598" xr:uid="{00000000-0005-0000-0000-0000A7A40000}"/>
    <cellStyle name="Процентный 4 7 2 2" xfId="5877" xr:uid="{00000000-0005-0000-0000-0000A8A40000}"/>
    <cellStyle name="Процентный 4 7 2 2 2" xfId="53939" xr:uid="{00000000-0005-0000-0000-0000A9A40000}"/>
    <cellStyle name="Процентный 4 7 2 3" xfId="11218" xr:uid="{00000000-0005-0000-0000-0000AAA40000}"/>
    <cellStyle name="Процентный 4 7 2 4" xfId="16558" xr:uid="{00000000-0005-0000-0000-0000ABA40000}"/>
    <cellStyle name="Процентный 4 7 2 5" xfId="21898" xr:uid="{00000000-0005-0000-0000-0000ACA40000}"/>
    <cellStyle name="Процентный 4 7 2 6" xfId="27238" xr:uid="{00000000-0005-0000-0000-0000ADA40000}"/>
    <cellStyle name="Процентный 4 7 2 7" xfId="32578" xr:uid="{00000000-0005-0000-0000-0000AEA40000}"/>
    <cellStyle name="Процентный 4 7 2 8" xfId="37918" xr:uid="{00000000-0005-0000-0000-0000AFA40000}"/>
    <cellStyle name="Процентный 4 7 2 9" xfId="43258" xr:uid="{00000000-0005-0000-0000-0000B0A40000}"/>
    <cellStyle name="Процентный 4 7 3" xfId="5410" xr:uid="{00000000-0005-0000-0000-0000B1A40000}"/>
    <cellStyle name="Процентный 4 7 3 2" xfId="53472" xr:uid="{00000000-0005-0000-0000-0000B2A40000}"/>
    <cellStyle name="Процентный 4 7 4" xfId="10751" xr:uid="{00000000-0005-0000-0000-0000B3A40000}"/>
    <cellStyle name="Процентный 4 7 5" xfId="16091" xr:uid="{00000000-0005-0000-0000-0000B4A40000}"/>
    <cellStyle name="Процентный 4 7 6" xfId="21431" xr:uid="{00000000-0005-0000-0000-0000B5A40000}"/>
    <cellStyle name="Процентный 4 7 7" xfId="26771" xr:uid="{00000000-0005-0000-0000-0000B6A40000}"/>
    <cellStyle name="Процентный 4 7 8" xfId="32111" xr:uid="{00000000-0005-0000-0000-0000B7A40000}"/>
    <cellStyle name="Процентный 4 7 9" xfId="37451" xr:uid="{00000000-0005-0000-0000-0000B8A40000}"/>
    <cellStyle name="Процентный 4 70" xfId="1321" xr:uid="{00000000-0005-0000-0000-0000B9A40000}"/>
    <cellStyle name="Процентный 4 70 10" xfId="49384" xr:uid="{00000000-0005-0000-0000-0000BAA40000}"/>
    <cellStyle name="Процентный 4 70 2" xfId="6663" xr:uid="{00000000-0005-0000-0000-0000BBA40000}"/>
    <cellStyle name="Процентный 4 70 2 2" xfId="54725" xr:uid="{00000000-0005-0000-0000-0000BCA40000}"/>
    <cellStyle name="Процентный 4 70 3" xfId="12004" xr:uid="{00000000-0005-0000-0000-0000BDA40000}"/>
    <cellStyle name="Процентный 4 70 4" xfId="17344" xr:uid="{00000000-0005-0000-0000-0000BEA40000}"/>
    <cellStyle name="Процентный 4 70 5" xfId="22684" xr:uid="{00000000-0005-0000-0000-0000BFA40000}"/>
    <cellStyle name="Процентный 4 70 6" xfId="28024" xr:uid="{00000000-0005-0000-0000-0000C0A40000}"/>
    <cellStyle name="Процентный 4 70 7" xfId="33364" xr:uid="{00000000-0005-0000-0000-0000C1A40000}"/>
    <cellStyle name="Процентный 4 70 8" xfId="38704" xr:uid="{00000000-0005-0000-0000-0000C2A40000}"/>
    <cellStyle name="Процентный 4 70 9" xfId="44044" xr:uid="{00000000-0005-0000-0000-0000C3A40000}"/>
    <cellStyle name="Процентный 4 71" xfId="1347" xr:uid="{00000000-0005-0000-0000-0000C4A40000}"/>
    <cellStyle name="Процентный 4 71 10" xfId="49410" xr:uid="{00000000-0005-0000-0000-0000C5A40000}"/>
    <cellStyle name="Процентный 4 71 2" xfId="6689" xr:uid="{00000000-0005-0000-0000-0000C6A40000}"/>
    <cellStyle name="Процентный 4 71 2 2" xfId="54751" xr:uid="{00000000-0005-0000-0000-0000C7A40000}"/>
    <cellStyle name="Процентный 4 71 3" xfId="12030" xr:uid="{00000000-0005-0000-0000-0000C8A40000}"/>
    <cellStyle name="Процентный 4 71 4" xfId="17370" xr:uid="{00000000-0005-0000-0000-0000C9A40000}"/>
    <cellStyle name="Процентный 4 71 5" xfId="22710" xr:uid="{00000000-0005-0000-0000-0000CAA40000}"/>
    <cellStyle name="Процентный 4 71 6" xfId="28050" xr:uid="{00000000-0005-0000-0000-0000CBA40000}"/>
    <cellStyle name="Процентный 4 71 7" xfId="33390" xr:uid="{00000000-0005-0000-0000-0000CCA40000}"/>
    <cellStyle name="Процентный 4 71 8" xfId="38730" xr:uid="{00000000-0005-0000-0000-0000CDA40000}"/>
    <cellStyle name="Процентный 4 71 9" xfId="44070" xr:uid="{00000000-0005-0000-0000-0000CEA40000}"/>
    <cellStyle name="Процентный 4 72" xfId="1373" xr:uid="{00000000-0005-0000-0000-0000CFA40000}"/>
    <cellStyle name="Процентный 4 72 10" xfId="49436" xr:uid="{00000000-0005-0000-0000-0000D0A40000}"/>
    <cellStyle name="Процентный 4 72 2" xfId="6715" xr:uid="{00000000-0005-0000-0000-0000D1A40000}"/>
    <cellStyle name="Процентный 4 72 2 2" xfId="54777" xr:uid="{00000000-0005-0000-0000-0000D2A40000}"/>
    <cellStyle name="Процентный 4 72 3" xfId="12056" xr:uid="{00000000-0005-0000-0000-0000D3A40000}"/>
    <cellStyle name="Процентный 4 72 4" xfId="17396" xr:uid="{00000000-0005-0000-0000-0000D4A40000}"/>
    <cellStyle name="Процентный 4 72 5" xfId="22736" xr:uid="{00000000-0005-0000-0000-0000D5A40000}"/>
    <cellStyle name="Процентный 4 72 6" xfId="28076" xr:uid="{00000000-0005-0000-0000-0000D6A40000}"/>
    <cellStyle name="Процентный 4 72 7" xfId="33416" xr:uid="{00000000-0005-0000-0000-0000D7A40000}"/>
    <cellStyle name="Процентный 4 72 8" xfId="38756" xr:uid="{00000000-0005-0000-0000-0000D8A40000}"/>
    <cellStyle name="Процентный 4 72 9" xfId="44096" xr:uid="{00000000-0005-0000-0000-0000D9A40000}"/>
    <cellStyle name="Процентный 4 73" xfId="1399" xr:uid="{00000000-0005-0000-0000-0000DAA40000}"/>
    <cellStyle name="Процентный 4 73 10" xfId="49462" xr:uid="{00000000-0005-0000-0000-0000DBA40000}"/>
    <cellStyle name="Процентный 4 73 2" xfId="6741" xr:uid="{00000000-0005-0000-0000-0000DCA40000}"/>
    <cellStyle name="Процентный 4 73 2 2" xfId="54803" xr:uid="{00000000-0005-0000-0000-0000DDA40000}"/>
    <cellStyle name="Процентный 4 73 3" xfId="12082" xr:uid="{00000000-0005-0000-0000-0000DEA40000}"/>
    <cellStyle name="Процентный 4 73 4" xfId="17422" xr:uid="{00000000-0005-0000-0000-0000DFA40000}"/>
    <cellStyle name="Процентный 4 73 5" xfId="22762" xr:uid="{00000000-0005-0000-0000-0000E0A40000}"/>
    <cellStyle name="Процентный 4 73 6" xfId="28102" xr:uid="{00000000-0005-0000-0000-0000E1A40000}"/>
    <cellStyle name="Процентный 4 73 7" xfId="33442" xr:uid="{00000000-0005-0000-0000-0000E2A40000}"/>
    <cellStyle name="Процентный 4 73 8" xfId="38782" xr:uid="{00000000-0005-0000-0000-0000E3A40000}"/>
    <cellStyle name="Процентный 4 73 9" xfId="44122" xr:uid="{00000000-0005-0000-0000-0000E4A40000}"/>
    <cellStyle name="Процентный 4 74" xfId="1425" xr:uid="{00000000-0005-0000-0000-0000E5A40000}"/>
    <cellStyle name="Процентный 4 74 10" xfId="49488" xr:uid="{00000000-0005-0000-0000-0000E6A40000}"/>
    <cellStyle name="Процентный 4 74 2" xfId="6767" xr:uid="{00000000-0005-0000-0000-0000E7A40000}"/>
    <cellStyle name="Процентный 4 74 2 2" xfId="54829" xr:uid="{00000000-0005-0000-0000-0000E8A40000}"/>
    <cellStyle name="Процентный 4 74 3" xfId="12108" xr:uid="{00000000-0005-0000-0000-0000E9A40000}"/>
    <cellStyle name="Процентный 4 74 4" xfId="17448" xr:uid="{00000000-0005-0000-0000-0000EAA40000}"/>
    <cellStyle name="Процентный 4 74 5" xfId="22788" xr:uid="{00000000-0005-0000-0000-0000EBA40000}"/>
    <cellStyle name="Процентный 4 74 6" xfId="28128" xr:uid="{00000000-0005-0000-0000-0000ECA40000}"/>
    <cellStyle name="Процентный 4 74 7" xfId="33468" xr:uid="{00000000-0005-0000-0000-0000EDA40000}"/>
    <cellStyle name="Процентный 4 74 8" xfId="38808" xr:uid="{00000000-0005-0000-0000-0000EEA40000}"/>
    <cellStyle name="Процентный 4 74 9" xfId="44148" xr:uid="{00000000-0005-0000-0000-0000EFA40000}"/>
    <cellStyle name="Процентный 4 75" xfId="1451" xr:uid="{00000000-0005-0000-0000-0000F0A40000}"/>
    <cellStyle name="Процентный 4 75 10" xfId="49514" xr:uid="{00000000-0005-0000-0000-0000F1A40000}"/>
    <cellStyle name="Процентный 4 75 2" xfId="6793" xr:uid="{00000000-0005-0000-0000-0000F2A40000}"/>
    <cellStyle name="Процентный 4 75 2 2" xfId="54855" xr:uid="{00000000-0005-0000-0000-0000F3A40000}"/>
    <cellStyle name="Процентный 4 75 3" xfId="12134" xr:uid="{00000000-0005-0000-0000-0000F4A40000}"/>
    <cellStyle name="Процентный 4 75 4" xfId="17474" xr:uid="{00000000-0005-0000-0000-0000F5A40000}"/>
    <cellStyle name="Процентный 4 75 5" xfId="22814" xr:uid="{00000000-0005-0000-0000-0000F6A40000}"/>
    <cellStyle name="Процентный 4 75 6" xfId="28154" xr:uid="{00000000-0005-0000-0000-0000F7A40000}"/>
    <cellStyle name="Процентный 4 75 7" xfId="33494" xr:uid="{00000000-0005-0000-0000-0000F8A40000}"/>
    <cellStyle name="Процентный 4 75 8" xfId="38834" xr:uid="{00000000-0005-0000-0000-0000F9A40000}"/>
    <cellStyle name="Процентный 4 75 9" xfId="44174" xr:uid="{00000000-0005-0000-0000-0000FAA40000}"/>
    <cellStyle name="Процентный 4 76" xfId="1477" xr:uid="{00000000-0005-0000-0000-0000FBA40000}"/>
    <cellStyle name="Процентный 4 76 10" xfId="49540" xr:uid="{00000000-0005-0000-0000-0000FCA40000}"/>
    <cellStyle name="Процентный 4 76 2" xfId="6819" xr:uid="{00000000-0005-0000-0000-0000FDA40000}"/>
    <cellStyle name="Процентный 4 76 2 2" xfId="54881" xr:uid="{00000000-0005-0000-0000-0000FEA40000}"/>
    <cellStyle name="Процентный 4 76 3" xfId="12160" xr:uid="{00000000-0005-0000-0000-0000FFA40000}"/>
    <cellStyle name="Процентный 4 76 4" xfId="17500" xr:uid="{00000000-0005-0000-0000-000000A50000}"/>
    <cellStyle name="Процентный 4 76 5" xfId="22840" xr:uid="{00000000-0005-0000-0000-000001A50000}"/>
    <cellStyle name="Процентный 4 76 6" xfId="28180" xr:uid="{00000000-0005-0000-0000-000002A50000}"/>
    <cellStyle name="Процентный 4 76 7" xfId="33520" xr:uid="{00000000-0005-0000-0000-000003A50000}"/>
    <cellStyle name="Процентный 4 76 8" xfId="38860" xr:uid="{00000000-0005-0000-0000-000004A50000}"/>
    <cellStyle name="Процентный 4 76 9" xfId="44200" xr:uid="{00000000-0005-0000-0000-000005A50000}"/>
    <cellStyle name="Процентный 4 77" xfId="1503" xr:uid="{00000000-0005-0000-0000-000006A50000}"/>
    <cellStyle name="Процентный 4 77 10" xfId="49566" xr:uid="{00000000-0005-0000-0000-000007A50000}"/>
    <cellStyle name="Процентный 4 77 2" xfId="6845" xr:uid="{00000000-0005-0000-0000-000008A50000}"/>
    <cellStyle name="Процентный 4 77 2 2" xfId="54907" xr:uid="{00000000-0005-0000-0000-000009A50000}"/>
    <cellStyle name="Процентный 4 77 3" xfId="12186" xr:uid="{00000000-0005-0000-0000-00000AA50000}"/>
    <cellStyle name="Процентный 4 77 4" xfId="17526" xr:uid="{00000000-0005-0000-0000-00000BA50000}"/>
    <cellStyle name="Процентный 4 77 5" xfId="22866" xr:uid="{00000000-0005-0000-0000-00000CA50000}"/>
    <cellStyle name="Процентный 4 77 6" xfId="28206" xr:uid="{00000000-0005-0000-0000-00000DA50000}"/>
    <cellStyle name="Процентный 4 77 7" xfId="33546" xr:uid="{00000000-0005-0000-0000-00000EA50000}"/>
    <cellStyle name="Процентный 4 77 8" xfId="38886" xr:uid="{00000000-0005-0000-0000-00000FA50000}"/>
    <cellStyle name="Процентный 4 77 9" xfId="44226" xr:uid="{00000000-0005-0000-0000-000010A50000}"/>
    <cellStyle name="Процентный 4 78" xfId="1529" xr:uid="{00000000-0005-0000-0000-000011A50000}"/>
    <cellStyle name="Процентный 4 78 10" xfId="49592" xr:uid="{00000000-0005-0000-0000-000012A50000}"/>
    <cellStyle name="Процентный 4 78 2" xfId="6871" xr:uid="{00000000-0005-0000-0000-000013A50000}"/>
    <cellStyle name="Процентный 4 78 2 2" xfId="54933" xr:uid="{00000000-0005-0000-0000-000014A50000}"/>
    <cellStyle name="Процентный 4 78 3" xfId="12212" xr:uid="{00000000-0005-0000-0000-000015A50000}"/>
    <cellStyle name="Процентный 4 78 4" xfId="17552" xr:uid="{00000000-0005-0000-0000-000016A50000}"/>
    <cellStyle name="Процентный 4 78 5" xfId="22892" xr:uid="{00000000-0005-0000-0000-000017A50000}"/>
    <cellStyle name="Процентный 4 78 6" xfId="28232" xr:uid="{00000000-0005-0000-0000-000018A50000}"/>
    <cellStyle name="Процентный 4 78 7" xfId="33572" xr:uid="{00000000-0005-0000-0000-000019A50000}"/>
    <cellStyle name="Процентный 4 78 8" xfId="38912" xr:uid="{00000000-0005-0000-0000-00001AA50000}"/>
    <cellStyle name="Процентный 4 78 9" xfId="44252" xr:uid="{00000000-0005-0000-0000-00001BA50000}"/>
    <cellStyle name="Процентный 4 79" xfId="1555" xr:uid="{00000000-0005-0000-0000-00001CA50000}"/>
    <cellStyle name="Процентный 4 79 10" xfId="49618" xr:uid="{00000000-0005-0000-0000-00001DA50000}"/>
    <cellStyle name="Процентный 4 79 2" xfId="6897" xr:uid="{00000000-0005-0000-0000-00001EA50000}"/>
    <cellStyle name="Процентный 4 79 2 2" xfId="54959" xr:uid="{00000000-0005-0000-0000-00001FA50000}"/>
    <cellStyle name="Процентный 4 79 3" xfId="12238" xr:uid="{00000000-0005-0000-0000-000020A50000}"/>
    <cellStyle name="Процентный 4 79 4" xfId="17578" xr:uid="{00000000-0005-0000-0000-000021A50000}"/>
    <cellStyle name="Процентный 4 79 5" xfId="22918" xr:uid="{00000000-0005-0000-0000-000022A50000}"/>
    <cellStyle name="Процентный 4 79 6" xfId="28258" xr:uid="{00000000-0005-0000-0000-000023A50000}"/>
    <cellStyle name="Процентный 4 79 7" xfId="33598" xr:uid="{00000000-0005-0000-0000-000024A50000}"/>
    <cellStyle name="Процентный 4 79 8" xfId="38938" xr:uid="{00000000-0005-0000-0000-000025A50000}"/>
    <cellStyle name="Процентный 4 79 9" xfId="44278" xr:uid="{00000000-0005-0000-0000-000026A50000}"/>
    <cellStyle name="Процентный 4 8" xfId="71" xr:uid="{00000000-0005-0000-0000-000027A50000}"/>
    <cellStyle name="Процентный 4 8 10" xfId="42793" xr:uid="{00000000-0005-0000-0000-000028A50000}"/>
    <cellStyle name="Процентный 4 8 11" xfId="48133" xr:uid="{00000000-0005-0000-0000-000029A50000}"/>
    <cellStyle name="Процентный 4 8 2" xfId="538" xr:uid="{00000000-0005-0000-0000-00002AA50000}"/>
    <cellStyle name="Процентный 4 8 2 10" xfId="48600" xr:uid="{00000000-0005-0000-0000-00002BA50000}"/>
    <cellStyle name="Процентный 4 8 2 2" xfId="5879" xr:uid="{00000000-0005-0000-0000-00002CA50000}"/>
    <cellStyle name="Процентный 4 8 2 2 2" xfId="53941" xr:uid="{00000000-0005-0000-0000-00002DA50000}"/>
    <cellStyle name="Процентный 4 8 2 3" xfId="11220" xr:uid="{00000000-0005-0000-0000-00002EA50000}"/>
    <cellStyle name="Процентный 4 8 2 4" xfId="16560" xr:uid="{00000000-0005-0000-0000-00002FA50000}"/>
    <cellStyle name="Процентный 4 8 2 5" xfId="21900" xr:uid="{00000000-0005-0000-0000-000030A50000}"/>
    <cellStyle name="Процентный 4 8 2 6" xfId="27240" xr:uid="{00000000-0005-0000-0000-000031A50000}"/>
    <cellStyle name="Процентный 4 8 2 7" xfId="32580" xr:uid="{00000000-0005-0000-0000-000032A50000}"/>
    <cellStyle name="Процентный 4 8 2 8" xfId="37920" xr:uid="{00000000-0005-0000-0000-000033A50000}"/>
    <cellStyle name="Процентный 4 8 2 9" xfId="43260" xr:uid="{00000000-0005-0000-0000-000034A50000}"/>
    <cellStyle name="Процентный 4 8 3" xfId="5412" xr:uid="{00000000-0005-0000-0000-000035A50000}"/>
    <cellStyle name="Процентный 4 8 3 2" xfId="53474" xr:uid="{00000000-0005-0000-0000-000036A50000}"/>
    <cellStyle name="Процентный 4 8 4" xfId="10753" xr:uid="{00000000-0005-0000-0000-000037A50000}"/>
    <cellStyle name="Процентный 4 8 5" xfId="16093" xr:uid="{00000000-0005-0000-0000-000038A50000}"/>
    <cellStyle name="Процентный 4 8 6" xfId="21433" xr:uid="{00000000-0005-0000-0000-000039A50000}"/>
    <cellStyle name="Процентный 4 8 7" xfId="26773" xr:uid="{00000000-0005-0000-0000-00003AA50000}"/>
    <cellStyle name="Процентный 4 8 8" xfId="32113" xr:uid="{00000000-0005-0000-0000-00003BA50000}"/>
    <cellStyle name="Процентный 4 8 9" xfId="37453" xr:uid="{00000000-0005-0000-0000-00003CA50000}"/>
    <cellStyle name="Процентный 4 80" xfId="1581" xr:uid="{00000000-0005-0000-0000-00003DA50000}"/>
    <cellStyle name="Процентный 4 80 10" xfId="49644" xr:uid="{00000000-0005-0000-0000-00003EA50000}"/>
    <cellStyle name="Процентный 4 80 2" xfId="6923" xr:uid="{00000000-0005-0000-0000-00003FA50000}"/>
    <cellStyle name="Процентный 4 80 2 2" xfId="54985" xr:uid="{00000000-0005-0000-0000-000040A50000}"/>
    <cellStyle name="Процентный 4 80 3" xfId="12264" xr:uid="{00000000-0005-0000-0000-000041A50000}"/>
    <cellStyle name="Процентный 4 80 4" xfId="17604" xr:uid="{00000000-0005-0000-0000-000042A50000}"/>
    <cellStyle name="Процентный 4 80 5" xfId="22944" xr:uid="{00000000-0005-0000-0000-000043A50000}"/>
    <cellStyle name="Процентный 4 80 6" xfId="28284" xr:uid="{00000000-0005-0000-0000-000044A50000}"/>
    <cellStyle name="Процентный 4 80 7" xfId="33624" xr:uid="{00000000-0005-0000-0000-000045A50000}"/>
    <cellStyle name="Процентный 4 80 8" xfId="38964" xr:uid="{00000000-0005-0000-0000-000046A50000}"/>
    <cellStyle name="Процентный 4 80 9" xfId="44304" xr:uid="{00000000-0005-0000-0000-000047A50000}"/>
    <cellStyle name="Процентный 4 81" xfId="1607" xr:uid="{00000000-0005-0000-0000-000048A50000}"/>
    <cellStyle name="Процентный 4 81 10" xfId="49670" xr:uid="{00000000-0005-0000-0000-000049A50000}"/>
    <cellStyle name="Процентный 4 81 2" xfId="6949" xr:uid="{00000000-0005-0000-0000-00004AA50000}"/>
    <cellStyle name="Процентный 4 81 2 2" xfId="55011" xr:uid="{00000000-0005-0000-0000-00004BA50000}"/>
    <cellStyle name="Процентный 4 81 3" xfId="12290" xr:uid="{00000000-0005-0000-0000-00004CA50000}"/>
    <cellStyle name="Процентный 4 81 4" xfId="17630" xr:uid="{00000000-0005-0000-0000-00004DA50000}"/>
    <cellStyle name="Процентный 4 81 5" xfId="22970" xr:uid="{00000000-0005-0000-0000-00004EA50000}"/>
    <cellStyle name="Процентный 4 81 6" xfId="28310" xr:uid="{00000000-0005-0000-0000-00004FA50000}"/>
    <cellStyle name="Процентный 4 81 7" xfId="33650" xr:uid="{00000000-0005-0000-0000-000050A50000}"/>
    <cellStyle name="Процентный 4 81 8" xfId="38990" xr:uid="{00000000-0005-0000-0000-000051A50000}"/>
    <cellStyle name="Процентный 4 81 9" xfId="44330" xr:uid="{00000000-0005-0000-0000-000052A50000}"/>
    <cellStyle name="Процентный 4 82" xfId="1633" xr:uid="{00000000-0005-0000-0000-000053A50000}"/>
    <cellStyle name="Процентный 4 82 10" xfId="49696" xr:uid="{00000000-0005-0000-0000-000054A50000}"/>
    <cellStyle name="Процентный 4 82 2" xfId="6975" xr:uid="{00000000-0005-0000-0000-000055A50000}"/>
    <cellStyle name="Процентный 4 82 2 2" xfId="55037" xr:uid="{00000000-0005-0000-0000-000056A50000}"/>
    <cellStyle name="Процентный 4 82 3" xfId="12316" xr:uid="{00000000-0005-0000-0000-000057A50000}"/>
    <cellStyle name="Процентный 4 82 4" xfId="17656" xr:uid="{00000000-0005-0000-0000-000058A50000}"/>
    <cellStyle name="Процентный 4 82 5" xfId="22996" xr:uid="{00000000-0005-0000-0000-000059A50000}"/>
    <cellStyle name="Процентный 4 82 6" xfId="28336" xr:uid="{00000000-0005-0000-0000-00005AA50000}"/>
    <cellStyle name="Процентный 4 82 7" xfId="33676" xr:uid="{00000000-0005-0000-0000-00005BA50000}"/>
    <cellStyle name="Процентный 4 82 8" xfId="39016" xr:uid="{00000000-0005-0000-0000-00005CA50000}"/>
    <cellStyle name="Процентный 4 82 9" xfId="44356" xr:uid="{00000000-0005-0000-0000-00005DA50000}"/>
    <cellStyle name="Процентный 4 83" xfId="1659" xr:uid="{00000000-0005-0000-0000-00005EA50000}"/>
    <cellStyle name="Процентный 4 83 10" xfId="49722" xr:uid="{00000000-0005-0000-0000-00005FA50000}"/>
    <cellStyle name="Процентный 4 83 2" xfId="7001" xr:uid="{00000000-0005-0000-0000-000060A50000}"/>
    <cellStyle name="Процентный 4 83 2 2" xfId="55063" xr:uid="{00000000-0005-0000-0000-000061A50000}"/>
    <cellStyle name="Процентный 4 83 3" xfId="12342" xr:uid="{00000000-0005-0000-0000-000062A50000}"/>
    <cellStyle name="Процентный 4 83 4" xfId="17682" xr:uid="{00000000-0005-0000-0000-000063A50000}"/>
    <cellStyle name="Процентный 4 83 5" xfId="23022" xr:uid="{00000000-0005-0000-0000-000064A50000}"/>
    <cellStyle name="Процентный 4 83 6" xfId="28362" xr:uid="{00000000-0005-0000-0000-000065A50000}"/>
    <cellStyle name="Процентный 4 83 7" xfId="33702" xr:uid="{00000000-0005-0000-0000-000066A50000}"/>
    <cellStyle name="Процентный 4 83 8" xfId="39042" xr:uid="{00000000-0005-0000-0000-000067A50000}"/>
    <cellStyle name="Процентный 4 83 9" xfId="44382" xr:uid="{00000000-0005-0000-0000-000068A50000}"/>
    <cellStyle name="Процентный 4 84" xfId="1685" xr:uid="{00000000-0005-0000-0000-000069A50000}"/>
    <cellStyle name="Процентный 4 84 10" xfId="49748" xr:uid="{00000000-0005-0000-0000-00006AA50000}"/>
    <cellStyle name="Процентный 4 84 2" xfId="7027" xr:uid="{00000000-0005-0000-0000-00006BA50000}"/>
    <cellStyle name="Процентный 4 84 2 2" xfId="55089" xr:uid="{00000000-0005-0000-0000-00006CA50000}"/>
    <cellStyle name="Процентный 4 84 3" xfId="12368" xr:uid="{00000000-0005-0000-0000-00006DA50000}"/>
    <cellStyle name="Процентный 4 84 4" xfId="17708" xr:uid="{00000000-0005-0000-0000-00006EA50000}"/>
    <cellStyle name="Процентный 4 84 5" xfId="23048" xr:uid="{00000000-0005-0000-0000-00006FA50000}"/>
    <cellStyle name="Процентный 4 84 6" xfId="28388" xr:uid="{00000000-0005-0000-0000-000070A50000}"/>
    <cellStyle name="Процентный 4 84 7" xfId="33728" xr:uid="{00000000-0005-0000-0000-000071A50000}"/>
    <cellStyle name="Процентный 4 84 8" xfId="39068" xr:uid="{00000000-0005-0000-0000-000072A50000}"/>
    <cellStyle name="Процентный 4 84 9" xfId="44408" xr:uid="{00000000-0005-0000-0000-000073A50000}"/>
    <cellStyle name="Процентный 4 85" xfId="1711" xr:uid="{00000000-0005-0000-0000-000074A50000}"/>
    <cellStyle name="Процентный 4 85 10" xfId="49774" xr:uid="{00000000-0005-0000-0000-000075A50000}"/>
    <cellStyle name="Процентный 4 85 2" xfId="7053" xr:uid="{00000000-0005-0000-0000-000076A50000}"/>
    <cellStyle name="Процентный 4 85 2 2" xfId="55115" xr:uid="{00000000-0005-0000-0000-000077A50000}"/>
    <cellStyle name="Процентный 4 85 3" xfId="12394" xr:uid="{00000000-0005-0000-0000-000078A50000}"/>
    <cellStyle name="Процентный 4 85 4" xfId="17734" xr:uid="{00000000-0005-0000-0000-000079A50000}"/>
    <cellStyle name="Процентный 4 85 5" xfId="23074" xr:uid="{00000000-0005-0000-0000-00007AA50000}"/>
    <cellStyle name="Процентный 4 85 6" xfId="28414" xr:uid="{00000000-0005-0000-0000-00007BA50000}"/>
    <cellStyle name="Процентный 4 85 7" xfId="33754" xr:uid="{00000000-0005-0000-0000-00007CA50000}"/>
    <cellStyle name="Процентный 4 85 8" xfId="39094" xr:uid="{00000000-0005-0000-0000-00007DA50000}"/>
    <cellStyle name="Процентный 4 85 9" xfId="44434" xr:uid="{00000000-0005-0000-0000-00007EA50000}"/>
    <cellStyle name="Процентный 4 86" xfId="1737" xr:uid="{00000000-0005-0000-0000-00007FA50000}"/>
    <cellStyle name="Процентный 4 86 10" xfId="49800" xr:uid="{00000000-0005-0000-0000-000080A50000}"/>
    <cellStyle name="Процентный 4 86 2" xfId="7079" xr:uid="{00000000-0005-0000-0000-000081A50000}"/>
    <cellStyle name="Процентный 4 86 2 2" xfId="55141" xr:uid="{00000000-0005-0000-0000-000082A50000}"/>
    <cellStyle name="Процентный 4 86 3" xfId="12420" xr:uid="{00000000-0005-0000-0000-000083A50000}"/>
    <cellStyle name="Процентный 4 86 4" xfId="17760" xr:uid="{00000000-0005-0000-0000-000084A50000}"/>
    <cellStyle name="Процентный 4 86 5" xfId="23100" xr:uid="{00000000-0005-0000-0000-000085A50000}"/>
    <cellStyle name="Процентный 4 86 6" xfId="28440" xr:uid="{00000000-0005-0000-0000-000086A50000}"/>
    <cellStyle name="Процентный 4 86 7" xfId="33780" xr:uid="{00000000-0005-0000-0000-000087A50000}"/>
    <cellStyle name="Процентный 4 86 8" xfId="39120" xr:uid="{00000000-0005-0000-0000-000088A50000}"/>
    <cellStyle name="Процентный 4 86 9" xfId="44460" xr:uid="{00000000-0005-0000-0000-000089A50000}"/>
    <cellStyle name="Процентный 4 87" xfId="1763" xr:uid="{00000000-0005-0000-0000-00008AA50000}"/>
    <cellStyle name="Процентный 4 87 10" xfId="49826" xr:uid="{00000000-0005-0000-0000-00008BA50000}"/>
    <cellStyle name="Процентный 4 87 2" xfId="7105" xr:uid="{00000000-0005-0000-0000-00008CA50000}"/>
    <cellStyle name="Процентный 4 87 2 2" xfId="55167" xr:uid="{00000000-0005-0000-0000-00008DA50000}"/>
    <cellStyle name="Процентный 4 87 3" xfId="12446" xr:uid="{00000000-0005-0000-0000-00008EA50000}"/>
    <cellStyle name="Процентный 4 87 4" xfId="17786" xr:uid="{00000000-0005-0000-0000-00008FA50000}"/>
    <cellStyle name="Процентный 4 87 5" xfId="23126" xr:uid="{00000000-0005-0000-0000-000090A50000}"/>
    <cellStyle name="Процентный 4 87 6" xfId="28466" xr:uid="{00000000-0005-0000-0000-000091A50000}"/>
    <cellStyle name="Процентный 4 87 7" xfId="33806" xr:uid="{00000000-0005-0000-0000-000092A50000}"/>
    <cellStyle name="Процентный 4 87 8" xfId="39146" xr:uid="{00000000-0005-0000-0000-000093A50000}"/>
    <cellStyle name="Процентный 4 87 9" xfId="44486" xr:uid="{00000000-0005-0000-0000-000094A50000}"/>
    <cellStyle name="Процентный 4 88" xfId="1789" xr:uid="{00000000-0005-0000-0000-000095A50000}"/>
    <cellStyle name="Процентный 4 88 10" xfId="49852" xr:uid="{00000000-0005-0000-0000-000096A50000}"/>
    <cellStyle name="Процентный 4 88 2" xfId="7131" xr:uid="{00000000-0005-0000-0000-000097A50000}"/>
    <cellStyle name="Процентный 4 88 2 2" xfId="55193" xr:uid="{00000000-0005-0000-0000-000098A50000}"/>
    <cellStyle name="Процентный 4 88 3" xfId="12472" xr:uid="{00000000-0005-0000-0000-000099A50000}"/>
    <cellStyle name="Процентный 4 88 4" xfId="17812" xr:uid="{00000000-0005-0000-0000-00009AA50000}"/>
    <cellStyle name="Процентный 4 88 5" xfId="23152" xr:uid="{00000000-0005-0000-0000-00009BA50000}"/>
    <cellStyle name="Процентный 4 88 6" xfId="28492" xr:uid="{00000000-0005-0000-0000-00009CA50000}"/>
    <cellStyle name="Процентный 4 88 7" xfId="33832" xr:uid="{00000000-0005-0000-0000-00009DA50000}"/>
    <cellStyle name="Процентный 4 88 8" xfId="39172" xr:uid="{00000000-0005-0000-0000-00009EA50000}"/>
    <cellStyle name="Процентный 4 88 9" xfId="44512" xr:uid="{00000000-0005-0000-0000-00009FA50000}"/>
    <cellStyle name="Процентный 4 89" xfId="1815" xr:uid="{00000000-0005-0000-0000-0000A0A50000}"/>
    <cellStyle name="Процентный 4 89 10" xfId="49878" xr:uid="{00000000-0005-0000-0000-0000A1A50000}"/>
    <cellStyle name="Процентный 4 89 2" xfId="7157" xr:uid="{00000000-0005-0000-0000-0000A2A50000}"/>
    <cellStyle name="Процентный 4 89 2 2" xfId="55219" xr:uid="{00000000-0005-0000-0000-0000A3A50000}"/>
    <cellStyle name="Процентный 4 89 3" xfId="12498" xr:uid="{00000000-0005-0000-0000-0000A4A50000}"/>
    <cellStyle name="Процентный 4 89 4" xfId="17838" xr:uid="{00000000-0005-0000-0000-0000A5A50000}"/>
    <cellStyle name="Процентный 4 89 5" xfId="23178" xr:uid="{00000000-0005-0000-0000-0000A6A50000}"/>
    <cellStyle name="Процентный 4 89 6" xfId="28518" xr:uid="{00000000-0005-0000-0000-0000A7A50000}"/>
    <cellStyle name="Процентный 4 89 7" xfId="33858" xr:uid="{00000000-0005-0000-0000-0000A8A50000}"/>
    <cellStyle name="Процентный 4 89 8" xfId="39198" xr:uid="{00000000-0005-0000-0000-0000A9A50000}"/>
    <cellStyle name="Процентный 4 89 9" xfId="44538" xr:uid="{00000000-0005-0000-0000-0000AAA50000}"/>
    <cellStyle name="Процентный 4 9" xfId="73" xr:uid="{00000000-0005-0000-0000-0000ABA50000}"/>
    <cellStyle name="Процентный 4 9 10" xfId="42795" xr:uid="{00000000-0005-0000-0000-0000ACA50000}"/>
    <cellStyle name="Процентный 4 9 11" xfId="48135" xr:uid="{00000000-0005-0000-0000-0000ADA50000}"/>
    <cellStyle name="Процентный 4 9 2" xfId="540" xr:uid="{00000000-0005-0000-0000-0000AEA50000}"/>
    <cellStyle name="Процентный 4 9 2 10" xfId="48602" xr:uid="{00000000-0005-0000-0000-0000AFA50000}"/>
    <cellStyle name="Процентный 4 9 2 2" xfId="5881" xr:uid="{00000000-0005-0000-0000-0000B0A50000}"/>
    <cellStyle name="Процентный 4 9 2 2 2" xfId="53943" xr:uid="{00000000-0005-0000-0000-0000B1A50000}"/>
    <cellStyle name="Процентный 4 9 2 3" xfId="11222" xr:uid="{00000000-0005-0000-0000-0000B2A50000}"/>
    <cellStyle name="Процентный 4 9 2 4" xfId="16562" xr:uid="{00000000-0005-0000-0000-0000B3A50000}"/>
    <cellStyle name="Процентный 4 9 2 5" xfId="21902" xr:uid="{00000000-0005-0000-0000-0000B4A50000}"/>
    <cellStyle name="Процентный 4 9 2 6" xfId="27242" xr:uid="{00000000-0005-0000-0000-0000B5A50000}"/>
    <cellStyle name="Процентный 4 9 2 7" xfId="32582" xr:uid="{00000000-0005-0000-0000-0000B6A50000}"/>
    <cellStyle name="Процентный 4 9 2 8" xfId="37922" xr:uid="{00000000-0005-0000-0000-0000B7A50000}"/>
    <cellStyle name="Процентный 4 9 2 9" xfId="43262" xr:uid="{00000000-0005-0000-0000-0000B8A50000}"/>
    <cellStyle name="Процентный 4 9 3" xfId="5414" xr:uid="{00000000-0005-0000-0000-0000B9A50000}"/>
    <cellStyle name="Процентный 4 9 3 2" xfId="53476" xr:uid="{00000000-0005-0000-0000-0000BAA50000}"/>
    <cellStyle name="Процентный 4 9 4" xfId="10755" xr:uid="{00000000-0005-0000-0000-0000BBA50000}"/>
    <cellStyle name="Процентный 4 9 5" xfId="16095" xr:uid="{00000000-0005-0000-0000-0000BCA50000}"/>
    <cellStyle name="Процентный 4 9 6" xfId="21435" xr:uid="{00000000-0005-0000-0000-0000BDA50000}"/>
    <cellStyle name="Процентный 4 9 7" xfId="26775" xr:uid="{00000000-0005-0000-0000-0000BEA50000}"/>
    <cellStyle name="Процентный 4 9 8" xfId="32115" xr:uid="{00000000-0005-0000-0000-0000BFA50000}"/>
    <cellStyle name="Процентный 4 9 9" xfId="37455" xr:uid="{00000000-0005-0000-0000-0000C0A50000}"/>
    <cellStyle name="Процентный 4 90" xfId="1841" xr:uid="{00000000-0005-0000-0000-0000C1A50000}"/>
    <cellStyle name="Процентный 4 90 10" xfId="49904" xr:uid="{00000000-0005-0000-0000-0000C2A50000}"/>
    <cellStyle name="Процентный 4 90 2" xfId="7183" xr:uid="{00000000-0005-0000-0000-0000C3A50000}"/>
    <cellStyle name="Процентный 4 90 2 2" xfId="55245" xr:uid="{00000000-0005-0000-0000-0000C4A50000}"/>
    <cellStyle name="Процентный 4 90 3" xfId="12524" xr:uid="{00000000-0005-0000-0000-0000C5A50000}"/>
    <cellStyle name="Процентный 4 90 4" xfId="17864" xr:uid="{00000000-0005-0000-0000-0000C6A50000}"/>
    <cellStyle name="Процентный 4 90 5" xfId="23204" xr:uid="{00000000-0005-0000-0000-0000C7A50000}"/>
    <cellStyle name="Процентный 4 90 6" xfId="28544" xr:uid="{00000000-0005-0000-0000-0000C8A50000}"/>
    <cellStyle name="Процентный 4 90 7" xfId="33884" xr:uid="{00000000-0005-0000-0000-0000C9A50000}"/>
    <cellStyle name="Процентный 4 90 8" xfId="39224" xr:uid="{00000000-0005-0000-0000-0000CAA50000}"/>
    <cellStyle name="Процентный 4 90 9" xfId="44564" xr:uid="{00000000-0005-0000-0000-0000CBA50000}"/>
    <cellStyle name="Процентный 4 91" xfId="1867" xr:uid="{00000000-0005-0000-0000-0000CCA50000}"/>
    <cellStyle name="Процентный 4 91 10" xfId="49930" xr:uid="{00000000-0005-0000-0000-0000CDA50000}"/>
    <cellStyle name="Процентный 4 91 2" xfId="7209" xr:uid="{00000000-0005-0000-0000-0000CEA50000}"/>
    <cellStyle name="Процентный 4 91 2 2" xfId="55271" xr:uid="{00000000-0005-0000-0000-0000CFA50000}"/>
    <cellStyle name="Процентный 4 91 3" xfId="12550" xr:uid="{00000000-0005-0000-0000-0000D0A50000}"/>
    <cellStyle name="Процентный 4 91 4" xfId="17890" xr:uid="{00000000-0005-0000-0000-0000D1A50000}"/>
    <cellStyle name="Процентный 4 91 5" xfId="23230" xr:uid="{00000000-0005-0000-0000-0000D2A50000}"/>
    <cellStyle name="Процентный 4 91 6" xfId="28570" xr:uid="{00000000-0005-0000-0000-0000D3A50000}"/>
    <cellStyle name="Процентный 4 91 7" xfId="33910" xr:uid="{00000000-0005-0000-0000-0000D4A50000}"/>
    <cellStyle name="Процентный 4 91 8" xfId="39250" xr:uid="{00000000-0005-0000-0000-0000D5A50000}"/>
    <cellStyle name="Процентный 4 91 9" xfId="44590" xr:uid="{00000000-0005-0000-0000-0000D6A50000}"/>
    <cellStyle name="Процентный 4 92" xfId="1893" xr:uid="{00000000-0005-0000-0000-0000D7A50000}"/>
    <cellStyle name="Процентный 4 92 10" xfId="49956" xr:uid="{00000000-0005-0000-0000-0000D8A50000}"/>
    <cellStyle name="Процентный 4 92 2" xfId="7235" xr:uid="{00000000-0005-0000-0000-0000D9A50000}"/>
    <cellStyle name="Процентный 4 92 2 2" xfId="55297" xr:uid="{00000000-0005-0000-0000-0000DAA50000}"/>
    <cellStyle name="Процентный 4 92 3" xfId="12576" xr:uid="{00000000-0005-0000-0000-0000DBA50000}"/>
    <cellStyle name="Процентный 4 92 4" xfId="17916" xr:uid="{00000000-0005-0000-0000-0000DCA50000}"/>
    <cellStyle name="Процентный 4 92 5" xfId="23256" xr:uid="{00000000-0005-0000-0000-0000DDA50000}"/>
    <cellStyle name="Процентный 4 92 6" xfId="28596" xr:uid="{00000000-0005-0000-0000-0000DEA50000}"/>
    <cellStyle name="Процентный 4 92 7" xfId="33936" xr:uid="{00000000-0005-0000-0000-0000DFA50000}"/>
    <cellStyle name="Процентный 4 92 8" xfId="39276" xr:uid="{00000000-0005-0000-0000-0000E0A50000}"/>
    <cellStyle name="Процентный 4 92 9" xfId="44616" xr:uid="{00000000-0005-0000-0000-0000E1A50000}"/>
    <cellStyle name="Процентный 4 93" xfId="1919" xr:uid="{00000000-0005-0000-0000-0000E2A50000}"/>
    <cellStyle name="Процентный 4 93 10" xfId="49982" xr:uid="{00000000-0005-0000-0000-0000E3A50000}"/>
    <cellStyle name="Процентный 4 93 2" xfId="7261" xr:uid="{00000000-0005-0000-0000-0000E4A50000}"/>
    <cellStyle name="Процентный 4 93 2 2" xfId="55323" xr:uid="{00000000-0005-0000-0000-0000E5A50000}"/>
    <cellStyle name="Процентный 4 93 3" xfId="12602" xr:uid="{00000000-0005-0000-0000-0000E6A50000}"/>
    <cellStyle name="Процентный 4 93 4" xfId="17942" xr:uid="{00000000-0005-0000-0000-0000E7A50000}"/>
    <cellStyle name="Процентный 4 93 5" xfId="23282" xr:uid="{00000000-0005-0000-0000-0000E8A50000}"/>
    <cellStyle name="Процентный 4 93 6" xfId="28622" xr:uid="{00000000-0005-0000-0000-0000E9A50000}"/>
    <cellStyle name="Процентный 4 93 7" xfId="33962" xr:uid="{00000000-0005-0000-0000-0000EAA50000}"/>
    <cellStyle name="Процентный 4 93 8" xfId="39302" xr:uid="{00000000-0005-0000-0000-0000EBA50000}"/>
    <cellStyle name="Процентный 4 93 9" xfId="44642" xr:uid="{00000000-0005-0000-0000-0000ECA50000}"/>
    <cellStyle name="Процентный 4 94" xfId="1947" xr:uid="{00000000-0005-0000-0000-0000EDA50000}"/>
    <cellStyle name="Процентный 4 94 10" xfId="50010" xr:uid="{00000000-0005-0000-0000-0000EEA50000}"/>
    <cellStyle name="Процентный 4 94 2" xfId="7289" xr:uid="{00000000-0005-0000-0000-0000EFA50000}"/>
    <cellStyle name="Процентный 4 94 2 2" xfId="55351" xr:uid="{00000000-0005-0000-0000-0000F0A50000}"/>
    <cellStyle name="Процентный 4 94 3" xfId="12630" xr:uid="{00000000-0005-0000-0000-0000F1A50000}"/>
    <cellStyle name="Процентный 4 94 4" xfId="17970" xr:uid="{00000000-0005-0000-0000-0000F2A50000}"/>
    <cellStyle name="Процентный 4 94 5" xfId="23310" xr:uid="{00000000-0005-0000-0000-0000F3A50000}"/>
    <cellStyle name="Процентный 4 94 6" xfId="28650" xr:uid="{00000000-0005-0000-0000-0000F4A50000}"/>
    <cellStyle name="Процентный 4 94 7" xfId="33990" xr:uid="{00000000-0005-0000-0000-0000F5A50000}"/>
    <cellStyle name="Процентный 4 94 8" xfId="39330" xr:uid="{00000000-0005-0000-0000-0000F6A50000}"/>
    <cellStyle name="Процентный 4 94 9" xfId="44670" xr:uid="{00000000-0005-0000-0000-0000F7A50000}"/>
    <cellStyle name="Процентный 4 95" xfId="1974" xr:uid="{00000000-0005-0000-0000-0000F8A50000}"/>
    <cellStyle name="Процентный 4 95 10" xfId="50038" xr:uid="{00000000-0005-0000-0000-0000F9A50000}"/>
    <cellStyle name="Процентный 4 95 2" xfId="7317" xr:uid="{00000000-0005-0000-0000-0000FAA50000}"/>
    <cellStyle name="Процентный 4 95 2 2" xfId="55379" xr:uid="{00000000-0005-0000-0000-0000FBA50000}"/>
    <cellStyle name="Процентный 4 95 3" xfId="12658" xr:uid="{00000000-0005-0000-0000-0000FCA50000}"/>
    <cellStyle name="Процентный 4 95 4" xfId="17998" xr:uid="{00000000-0005-0000-0000-0000FDA50000}"/>
    <cellStyle name="Процентный 4 95 5" xfId="23338" xr:uid="{00000000-0005-0000-0000-0000FEA50000}"/>
    <cellStyle name="Процентный 4 95 6" xfId="28678" xr:uid="{00000000-0005-0000-0000-0000FFA50000}"/>
    <cellStyle name="Процентный 4 95 7" xfId="34018" xr:uid="{00000000-0005-0000-0000-000000A60000}"/>
    <cellStyle name="Процентный 4 95 8" xfId="39358" xr:uid="{00000000-0005-0000-0000-000001A60000}"/>
    <cellStyle name="Процентный 4 95 9" xfId="44698" xr:uid="{00000000-0005-0000-0000-000002A60000}"/>
    <cellStyle name="Процентный 4 96" xfId="2002" xr:uid="{00000000-0005-0000-0000-000003A60000}"/>
    <cellStyle name="Процентный 4 96 10" xfId="50066" xr:uid="{00000000-0005-0000-0000-000004A60000}"/>
    <cellStyle name="Процентный 4 96 2" xfId="7345" xr:uid="{00000000-0005-0000-0000-000005A60000}"/>
    <cellStyle name="Процентный 4 96 2 2" xfId="55407" xr:uid="{00000000-0005-0000-0000-000006A60000}"/>
    <cellStyle name="Процентный 4 96 3" xfId="12686" xr:uid="{00000000-0005-0000-0000-000007A60000}"/>
    <cellStyle name="Процентный 4 96 4" xfId="18026" xr:uid="{00000000-0005-0000-0000-000008A60000}"/>
    <cellStyle name="Процентный 4 96 5" xfId="23366" xr:uid="{00000000-0005-0000-0000-000009A60000}"/>
    <cellStyle name="Процентный 4 96 6" xfId="28706" xr:uid="{00000000-0005-0000-0000-00000AA60000}"/>
    <cellStyle name="Процентный 4 96 7" xfId="34046" xr:uid="{00000000-0005-0000-0000-00000BA60000}"/>
    <cellStyle name="Процентный 4 96 8" xfId="39386" xr:uid="{00000000-0005-0000-0000-00000CA60000}"/>
    <cellStyle name="Процентный 4 96 9" xfId="44726" xr:uid="{00000000-0005-0000-0000-00000DA60000}"/>
    <cellStyle name="Процентный 4 97" xfId="2030" xr:uid="{00000000-0005-0000-0000-00000EA60000}"/>
    <cellStyle name="Процентный 4 97 10" xfId="50094" xr:uid="{00000000-0005-0000-0000-00000FA60000}"/>
    <cellStyle name="Процентный 4 97 2" xfId="7373" xr:uid="{00000000-0005-0000-0000-000010A60000}"/>
    <cellStyle name="Процентный 4 97 2 2" xfId="55435" xr:uid="{00000000-0005-0000-0000-000011A60000}"/>
    <cellStyle name="Процентный 4 97 3" xfId="12714" xr:uid="{00000000-0005-0000-0000-000012A60000}"/>
    <cellStyle name="Процентный 4 97 4" xfId="18054" xr:uid="{00000000-0005-0000-0000-000013A60000}"/>
    <cellStyle name="Процентный 4 97 5" xfId="23394" xr:uid="{00000000-0005-0000-0000-000014A60000}"/>
    <cellStyle name="Процентный 4 97 6" xfId="28734" xr:uid="{00000000-0005-0000-0000-000015A60000}"/>
    <cellStyle name="Процентный 4 97 7" xfId="34074" xr:uid="{00000000-0005-0000-0000-000016A60000}"/>
    <cellStyle name="Процентный 4 97 8" xfId="39414" xr:uid="{00000000-0005-0000-0000-000017A60000}"/>
    <cellStyle name="Процентный 4 97 9" xfId="44754" xr:uid="{00000000-0005-0000-0000-000018A60000}"/>
    <cellStyle name="Процентный 4 98" xfId="2058" xr:uid="{00000000-0005-0000-0000-000019A60000}"/>
    <cellStyle name="Процентный 4 98 10" xfId="50122" xr:uid="{00000000-0005-0000-0000-00001AA60000}"/>
    <cellStyle name="Процентный 4 98 2" xfId="7401" xr:uid="{00000000-0005-0000-0000-00001BA60000}"/>
    <cellStyle name="Процентный 4 98 2 2" xfId="55463" xr:uid="{00000000-0005-0000-0000-00001CA60000}"/>
    <cellStyle name="Процентный 4 98 3" xfId="12742" xr:uid="{00000000-0005-0000-0000-00001DA60000}"/>
    <cellStyle name="Процентный 4 98 4" xfId="18082" xr:uid="{00000000-0005-0000-0000-00001EA60000}"/>
    <cellStyle name="Процентный 4 98 5" xfId="23422" xr:uid="{00000000-0005-0000-0000-00001FA60000}"/>
    <cellStyle name="Процентный 4 98 6" xfId="28762" xr:uid="{00000000-0005-0000-0000-000020A60000}"/>
    <cellStyle name="Процентный 4 98 7" xfId="34102" xr:uid="{00000000-0005-0000-0000-000021A60000}"/>
    <cellStyle name="Процентный 4 98 8" xfId="39442" xr:uid="{00000000-0005-0000-0000-000022A60000}"/>
    <cellStyle name="Процентный 4 98 9" xfId="44782" xr:uid="{00000000-0005-0000-0000-000023A60000}"/>
    <cellStyle name="Процентный 4 99" xfId="2086" xr:uid="{00000000-0005-0000-0000-000024A60000}"/>
    <cellStyle name="Процентный 4 99 10" xfId="50150" xr:uid="{00000000-0005-0000-0000-000025A60000}"/>
    <cellStyle name="Процентный 4 99 2" xfId="7429" xr:uid="{00000000-0005-0000-0000-000026A60000}"/>
    <cellStyle name="Процентный 4 99 2 2" xfId="55491" xr:uid="{00000000-0005-0000-0000-000027A60000}"/>
    <cellStyle name="Процентный 4 99 3" xfId="12770" xr:uid="{00000000-0005-0000-0000-000028A60000}"/>
    <cellStyle name="Процентный 4 99 4" xfId="18110" xr:uid="{00000000-0005-0000-0000-000029A60000}"/>
    <cellStyle name="Процентный 4 99 5" xfId="23450" xr:uid="{00000000-0005-0000-0000-00002AA60000}"/>
    <cellStyle name="Процентный 4 99 6" xfId="28790" xr:uid="{00000000-0005-0000-0000-00002BA60000}"/>
    <cellStyle name="Процентный 4 99 7" xfId="34130" xr:uid="{00000000-0005-0000-0000-00002CA60000}"/>
    <cellStyle name="Процентный 4 99 8" xfId="39470" xr:uid="{00000000-0005-0000-0000-00002DA60000}"/>
    <cellStyle name="Процентный 4 99 9" xfId="44810" xr:uid="{00000000-0005-0000-0000-00002EA60000}"/>
    <cellStyle name="Процентный 5" xfId="61" xr:uid="{00000000-0005-0000-0000-00002FA60000}"/>
    <cellStyle name="Процентный 5 10" xfId="115" xr:uid="{00000000-0005-0000-0000-000030A60000}"/>
    <cellStyle name="Процентный 5 10 10" xfId="42837" xr:uid="{00000000-0005-0000-0000-000031A60000}"/>
    <cellStyle name="Процентный 5 10 11" xfId="48177" xr:uid="{00000000-0005-0000-0000-000032A60000}"/>
    <cellStyle name="Процентный 5 10 2" xfId="582" xr:uid="{00000000-0005-0000-0000-000033A60000}"/>
    <cellStyle name="Процентный 5 10 2 10" xfId="48644" xr:uid="{00000000-0005-0000-0000-000034A60000}"/>
    <cellStyle name="Процентный 5 10 2 2" xfId="5923" xr:uid="{00000000-0005-0000-0000-000035A60000}"/>
    <cellStyle name="Процентный 5 10 2 2 2" xfId="53985" xr:uid="{00000000-0005-0000-0000-000036A60000}"/>
    <cellStyle name="Процентный 5 10 2 3" xfId="11264" xr:uid="{00000000-0005-0000-0000-000037A60000}"/>
    <cellStyle name="Процентный 5 10 2 4" xfId="16604" xr:uid="{00000000-0005-0000-0000-000038A60000}"/>
    <cellStyle name="Процентный 5 10 2 5" xfId="21944" xr:uid="{00000000-0005-0000-0000-000039A60000}"/>
    <cellStyle name="Процентный 5 10 2 6" xfId="27284" xr:uid="{00000000-0005-0000-0000-00003AA60000}"/>
    <cellStyle name="Процентный 5 10 2 7" xfId="32624" xr:uid="{00000000-0005-0000-0000-00003BA60000}"/>
    <cellStyle name="Процентный 5 10 2 8" xfId="37964" xr:uid="{00000000-0005-0000-0000-00003CA60000}"/>
    <cellStyle name="Процентный 5 10 2 9" xfId="43304" xr:uid="{00000000-0005-0000-0000-00003DA60000}"/>
    <cellStyle name="Процентный 5 10 3" xfId="5456" xr:uid="{00000000-0005-0000-0000-00003EA60000}"/>
    <cellStyle name="Процентный 5 10 3 2" xfId="53518" xr:uid="{00000000-0005-0000-0000-00003FA60000}"/>
    <cellStyle name="Процентный 5 10 4" xfId="10797" xr:uid="{00000000-0005-0000-0000-000040A60000}"/>
    <cellStyle name="Процентный 5 10 5" xfId="16137" xr:uid="{00000000-0005-0000-0000-000041A60000}"/>
    <cellStyle name="Процентный 5 10 6" xfId="21477" xr:uid="{00000000-0005-0000-0000-000042A60000}"/>
    <cellStyle name="Процентный 5 10 7" xfId="26817" xr:uid="{00000000-0005-0000-0000-000043A60000}"/>
    <cellStyle name="Процентный 5 10 8" xfId="32157" xr:uid="{00000000-0005-0000-0000-000044A60000}"/>
    <cellStyle name="Процентный 5 10 9" xfId="37497" xr:uid="{00000000-0005-0000-0000-000045A60000}"/>
    <cellStyle name="Процентный 5 100" xfId="2326" xr:uid="{00000000-0005-0000-0000-000046A60000}"/>
    <cellStyle name="Процентный 5 100 10" xfId="50390" xr:uid="{00000000-0005-0000-0000-000047A60000}"/>
    <cellStyle name="Процентный 5 100 2" xfId="7669" xr:uid="{00000000-0005-0000-0000-000048A60000}"/>
    <cellStyle name="Процентный 5 100 2 2" xfId="55731" xr:uid="{00000000-0005-0000-0000-000049A60000}"/>
    <cellStyle name="Процентный 5 100 3" xfId="13010" xr:uid="{00000000-0005-0000-0000-00004AA60000}"/>
    <cellStyle name="Процентный 5 100 4" xfId="18350" xr:uid="{00000000-0005-0000-0000-00004BA60000}"/>
    <cellStyle name="Процентный 5 100 5" xfId="23690" xr:uid="{00000000-0005-0000-0000-00004CA60000}"/>
    <cellStyle name="Процентный 5 100 6" xfId="29030" xr:uid="{00000000-0005-0000-0000-00004DA60000}"/>
    <cellStyle name="Процентный 5 100 7" xfId="34370" xr:uid="{00000000-0005-0000-0000-00004EA60000}"/>
    <cellStyle name="Процентный 5 100 8" xfId="39710" xr:uid="{00000000-0005-0000-0000-00004FA60000}"/>
    <cellStyle name="Процентный 5 100 9" xfId="45050" xr:uid="{00000000-0005-0000-0000-000050A60000}"/>
    <cellStyle name="Процентный 5 101" xfId="2356" xr:uid="{00000000-0005-0000-0000-000051A60000}"/>
    <cellStyle name="Процентный 5 101 10" xfId="50420" xr:uid="{00000000-0005-0000-0000-000052A60000}"/>
    <cellStyle name="Процентный 5 101 2" xfId="7699" xr:uid="{00000000-0005-0000-0000-000053A60000}"/>
    <cellStyle name="Процентный 5 101 2 2" xfId="55761" xr:uid="{00000000-0005-0000-0000-000054A60000}"/>
    <cellStyle name="Процентный 5 101 3" xfId="13040" xr:uid="{00000000-0005-0000-0000-000055A60000}"/>
    <cellStyle name="Процентный 5 101 4" xfId="18380" xr:uid="{00000000-0005-0000-0000-000056A60000}"/>
    <cellStyle name="Процентный 5 101 5" xfId="23720" xr:uid="{00000000-0005-0000-0000-000057A60000}"/>
    <cellStyle name="Процентный 5 101 6" xfId="29060" xr:uid="{00000000-0005-0000-0000-000058A60000}"/>
    <cellStyle name="Процентный 5 101 7" xfId="34400" xr:uid="{00000000-0005-0000-0000-000059A60000}"/>
    <cellStyle name="Процентный 5 101 8" xfId="39740" xr:uid="{00000000-0005-0000-0000-00005AA60000}"/>
    <cellStyle name="Процентный 5 101 9" xfId="45080" xr:uid="{00000000-0005-0000-0000-00005BA60000}"/>
    <cellStyle name="Процентный 5 102" xfId="2386" xr:uid="{00000000-0005-0000-0000-00005CA60000}"/>
    <cellStyle name="Процентный 5 102 10" xfId="50450" xr:uid="{00000000-0005-0000-0000-00005DA60000}"/>
    <cellStyle name="Процентный 5 102 2" xfId="7729" xr:uid="{00000000-0005-0000-0000-00005EA60000}"/>
    <cellStyle name="Процентный 5 102 2 2" xfId="55791" xr:uid="{00000000-0005-0000-0000-00005FA60000}"/>
    <cellStyle name="Процентный 5 102 3" xfId="13070" xr:uid="{00000000-0005-0000-0000-000060A60000}"/>
    <cellStyle name="Процентный 5 102 4" xfId="18410" xr:uid="{00000000-0005-0000-0000-000061A60000}"/>
    <cellStyle name="Процентный 5 102 5" xfId="23750" xr:uid="{00000000-0005-0000-0000-000062A60000}"/>
    <cellStyle name="Процентный 5 102 6" xfId="29090" xr:uid="{00000000-0005-0000-0000-000063A60000}"/>
    <cellStyle name="Процентный 5 102 7" xfId="34430" xr:uid="{00000000-0005-0000-0000-000064A60000}"/>
    <cellStyle name="Процентный 5 102 8" xfId="39770" xr:uid="{00000000-0005-0000-0000-000065A60000}"/>
    <cellStyle name="Процентный 5 102 9" xfId="45110" xr:uid="{00000000-0005-0000-0000-000066A60000}"/>
    <cellStyle name="Процентный 5 103" xfId="2416" xr:uid="{00000000-0005-0000-0000-000067A60000}"/>
    <cellStyle name="Процентный 5 103 10" xfId="50480" xr:uid="{00000000-0005-0000-0000-000068A60000}"/>
    <cellStyle name="Процентный 5 103 2" xfId="7759" xr:uid="{00000000-0005-0000-0000-000069A60000}"/>
    <cellStyle name="Процентный 5 103 2 2" xfId="55821" xr:uid="{00000000-0005-0000-0000-00006AA60000}"/>
    <cellStyle name="Процентный 5 103 3" xfId="13100" xr:uid="{00000000-0005-0000-0000-00006BA60000}"/>
    <cellStyle name="Процентный 5 103 4" xfId="18440" xr:uid="{00000000-0005-0000-0000-00006CA60000}"/>
    <cellStyle name="Процентный 5 103 5" xfId="23780" xr:uid="{00000000-0005-0000-0000-00006DA60000}"/>
    <cellStyle name="Процентный 5 103 6" xfId="29120" xr:uid="{00000000-0005-0000-0000-00006EA60000}"/>
    <cellStyle name="Процентный 5 103 7" xfId="34460" xr:uid="{00000000-0005-0000-0000-00006FA60000}"/>
    <cellStyle name="Процентный 5 103 8" xfId="39800" xr:uid="{00000000-0005-0000-0000-000070A60000}"/>
    <cellStyle name="Процентный 5 103 9" xfId="45140" xr:uid="{00000000-0005-0000-0000-000071A60000}"/>
    <cellStyle name="Процентный 5 104" xfId="2446" xr:uid="{00000000-0005-0000-0000-000072A60000}"/>
    <cellStyle name="Процентный 5 104 10" xfId="50510" xr:uid="{00000000-0005-0000-0000-000073A60000}"/>
    <cellStyle name="Процентный 5 104 2" xfId="7789" xr:uid="{00000000-0005-0000-0000-000074A60000}"/>
    <cellStyle name="Процентный 5 104 2 2" xfId="55851" xr:uid="{00000000-0005-0000-0000-000075A60000}"/>
    <cellStyle name="Процентный 5 104 3" xfId="13130" xr:uid="{00000000-0005-0000-0000-000076A60000}"/>
    <cellStyle name="Процентный 5 104 4" xfId="18470" xr:uid="{00000000-0005-0000-0000-000077A60000}"/>
    <cellStyle name="Процентный 5 104 5" xfId="23810" xr:uid="{00000000-0005-0000-0000-000078A60000}"/>
    <cellStyle name="Процентный 5 104 6" xfId="29150" xr:uid="{00000000-0005-0000-0000-000079A60000}"/>
    <cellStyle name="Процентный 5 104 7" xfId="34490" xr:uid="{00000000-0005-0000-0000-00007AA60000}"/>
    <cellStyle name="Процентный 5 104 8" xfId="39830" xr:uid="{00000000-0005-0000-0000-00007BA60000}"/>
    <cellStyle name="Процентный 5 104 9" xfId="45170" xr:uid="{00000000-0005-0000-0000-00007CA60000}"/>
    <cellStyle name="Процентный 5 105" xfId="2476" xr:uid="{00000000-0005-0000-0000-00007DA60000}"/>
    <cellStyle name="Процентный 5 105 10" xfId="50540" xr:uid="{00000000-0005-0000-0000-00007EA60000}"/>
    <cellStyle name="Процентный 5 105 2" xfId="7819" xr:uid="{00000000-0005-0000-0000-00007FA60000}"/>
    <cellStyle name="Процентный 5 105 2 2" xfId="55881" xr:uid="{00000000-0005-0000-0000-000080A60000}"/>
    <cellStyle name="Процентный 5 105 3" xfId="13160" xr:uid="{00000000-0005-0000-0000-000081A60000}"/>
    <cellStyle name="Процентный 5 105 4" xfId="18500" xr:uid="{00000000-0005-0000-0000-000082A60000}"/>
    <cellStyle name="Процентный 5 105 5" xfId="23840" xr:uid="{00000000-0005-0000-0000-000083A60000}"/>
    <cellStyle name="Процентный 5 105 6" xfId="29180" xr:uid="{00000000-0005-0000-0000-000084A60000}"/>
    <cellStyle name="Процентный 5 105 7" xfId="34520" xr:uid="{00000000-0005-0000-0000-000085A60000}"/>
    <cellStyle name="Процентный 5 105 8" xfId="39860" xr:uid="{00000000-0005-0000-0000-000086A60000}"/>
    <cellStyle name="Процентный 5 105 9" xfId="45200" xr:uid="{00000000-0005-0000-0000-000087A60000}"/>
    <cellStyle name="Процентный 5 106" xfId="2508" xr:uid="{00000000-0005-0000-0000-000088A60000}"/>
    <cellStyle name="Процентный 5 106 10" xfId="50572" xr:uid="{00000000-0005-0000-0000-000089A60000}"/>
    <cellStyle name="Процентный 5 106 2" xfId="7851" xr:uid="{00000000-0005-0000-0000-00008AA60000}"/>
    <cellStyle name="Процентный 5 106 2 2" xfId="55913" xr:uid="{00000000-0005-0000-0000-00008BA60000}"/>
    <cellStyle name="Процентный 5 106 3" xfId="13192" xr:uid="{00000000-0005-0000-0000-00008CA60000}"/>
    <cellStyle name="Процентный 5 106 4" xfId="18532" xr:uid="{00000000-0005-0000-0000-00008DA60000}"/>
    <cellStyle name="Процентный 5 106 5" xfId="23872" xr:uid="{00000000-0005-0000-0000-00008EA60000}"/>
    <cellStyle name="Процентный 5 106 6" xfId="29212" xr:uid="{00000000-0005-0000-0000-00008FA60000}"/>
    <cellStyle name="Процентный 5 106 7" xfId="34552" xr:uid="{00000000-0005-0000-0000-000090A60000}"/>
    <cellStyle name="Процентный 5 106 8" xfId="39892" xr:uid="{00000000-0005-0000-0000-000091A60000}"/>
    <cellStyle name="Процентный 5 106 9" xfId="45232" xr:uid="{00000000-0005-0000-0000-000092A60000}"/>
    <cellStyle name="Процентный 5 107" xfId="2542" xr:uid="{00000000-0005-0000-0000-000093A60000}"/>
    <cellStyle name="Процентный 5 107 10" xfId="50606" xr:uid="{00000000-0005-0000-0000-000094A60000}"/>
    <cellStyle name="Процентный 5 107 2" xfId="7885" xr:uid="{00000000-0005-0000-0000-000095A60000}"/>
    <cellStyle name="Процентный 5 107 2 2" xfId="55947" xr:uid="{00000000-0005-0000-0000-000096A60000}"/>
    <cellStyle name="Процентный 5 107 3" xfId="13226" xr:uid="{00000000-0005-0000-0000-000097A60000}"/>
    <cellStyle name="Процентный 5 107 4" xfId="18566" xr:uid="{00000000-0005-0000-0000-000098A60000}"/>
    <cellStyle name="Процентный 5 107 5" xfId="23906" xr:uid="{00000000-0005-0000-0000-000099A60000}"/>
    <cellStyle name="Процентный 5 107 6" xfId="29246" xr:uid="{00000000-0005-0000-0000-00009AA60000}"/>
    <cellStyle name="Процентный 5 107 7" xfId="34586" xr:uid="{00000000-0005-0000-0000-00009BA60000}"/>
    <cellStyle name="Процентный 5 107 8" xfId="39926" xr:uid="{00000000-0005-0000-0000-00009CA60000}"/>
    <cellStyle name="Процентный 5 107 9" xfId="45266" xr:uid="{00000000-0005-0000-0000-00009DA60000}"/>
    <cellStyle name="Процентный 5 108" xfId="2574" xr:uid="{00000000-0005-0000-0000-00009EA60000}"/>
    <cellStyle name="Процентный 5 108 10" xfId="50638" xr:uid="{00000000-0005-0000-0000-00009FA60000}"/>
    <cellStyle name="Процентный 5 108 2" xfId="7917" xr:uid="{00000000-0005-0000-0000-0000A0A60000}"/>
    <cellStyle name="Процентный 5 108 2 2" xfId="55979" xr:uid="{00000000-0005-0000-0000-0000A1A60000}"/>
    <cellStyle name="Процентный 5 108 3" xfId="13258" xr:uid="{00000000-0005-0000-0000-0000A2A60000}"/>
    <cellStyle name="Процентный 5 108 4" xfId="18598" xr:uid="{00000000-0005-0000-0000-0000A3A60000}"/>
    <cellStyle name="Процентный 5 108 5" xfId="23938" xr:uid="{00000000-0005-0000-0000-0000A4A60000}"/>
    <cellStyle name="Процентный 5 108 6" xfId="29278" xr:uid="{00000000-0005-0000-0000-0000A5A60000}"/>
    <cellStyle name="Процентный 5 108 7" xfId="34618" xr:uid="{00000000-0005-0000-0000-0000A6A60000}"/>
    <cellStyle name="Процентный 5 108 8" xfId="39958" xr:uid="{00000000-0005-0000-0000-0000A7A60000}"/>
    <cellStyle name="Процентный 5 108 9" xfId="45298" xr:uid="{00000000-0005-0000-0000-0000A8A60000}"/>
    <cellStyle name="Процентный 5 109" xfId="2606" xr:uid="{00000000-0005-0000-0000-0000A9A60000}"/>
    <cellStyle name="Процентный 5 109 10" xfId="50670" xr:uid="{00000000-0005-0000-0000-0000AAA60000}"/>
    <cellStyle name="Процентный 5 109 2" xfId="7949" xr:uid="{00000000-0005-0000-0000-0000ABA60000}"/>
    <cellStyle name="Процентный 5 109 2 2" xfId="56011" xr:uid="{00000000-0005-0000-0000-0000ACA60000}"/>
    <cellStyle name="Процентный 5 109 3" xfId="13290" xr:uid="{00000000-0005-0000-0000-0000ADA60000}"/>
    <cellStyle name="Процентный 5 109 4" xfId="18630" xr:uid="{00000000-0005-0000-0000-0000AEA60000}"/>
    <cellStyle name="Процентный 5 109 5" xfId="23970" xr:uid="{00000000-0005-0000-0000-0000AFA60000}"/>
    <cellStyle name="Процентный 5 109 6" xfId="29310" xr:uid="{00000000-0005-0000-0000-0000B0A60000}"/>
    <cellStyle name="Процентный 5 109 7" xfId="34650" xr:uid="{00000000-0005-0000-0000-0000B1A60000}"/>
    <cellStyle name="Процентный 5 109 8" xfId="39990" xr:uid="{00000000-0005-0000-0000-0000B2A60000}"/>
    <cellStyle name="Процентный 5 109 9" xfId="45330" xr:uid="{00000000-0005-0000-0000-0000B3A60000}"/>
    <cellStyle name="Процентный 5 11" xfId="125" xr:uid="{00000000-0005-0000-0000-0000B4A60000}"/>
    <cellStyle name="Процентный 5 11 10" xfId="42847" xr:uid="{00000000-0005-0000-0000-0000B5A60000}"/>
    <cellStyle name="Процентный 5 11 11" xfId="48187" xr:uid="{00000000-0005-0000-0000-0000B6A60000}"/>
    <cellStyle name="Процентный 5 11 2" xfId="592" xr:uid="{00000000-0005-0000-0000-0000B7A60000}"/>
    <cellStyle name="Процентный 5 11 2 10" xfId="48654" xr:uid="{00000000-0005-0000-0000-0000B8A60000}"/>
    <cellStyle name="Процентный 5 11 2 2" xfId="5933" xr:uid="{00000000-0005-0000-0000-0000B9A60000}"/>
    <cellStyle name="Процентный 5 11 2 2 2" xfId="53995" xr:uid="{00000000-0005-0000-0000-0000BAA60000}"/>
    <cellStyle name="Процентный 5 11 2 3" xfId="11274" xr:uid="{00000000-0005-0000-0000-0000BBA60000}"/>
    <cellStyle name="Процентный 5 11 2 4" xfId="16614" xr:uid="{00000000-0005-0000-0000-0000BCA60000}"/>
    <cellStyle name="Процентный 5 11 2 5" xfId="21954" xr:uid="{00000000-0005-0000-0000-0000BDA60000}"/>
    <cellStyle name="Процентный 5 11 2 6" xfId="27294" xr:uid="{00000000-0005-0000-0000-0000BEA60000}"/>
    <cellStyle name="Процентный 5 11 2 7" xfId="32634" xr:uid="{00000000-0005-0000-0000-0000BFA60000}"/>
    <cellStyle name="Процентный 5 11 2 8" xfId="37974" xr:uid="{00000000-0005-0000-0000-0000C0A60000}"/>
    <cellStyle name="Процентный 5 11 2 9" xfId="43314" xr:uid="{00000000-0005-0000-0000-0000C1A60000}"/>
    <cellStyle name="Процентный 5 11 3" xfId="5466" xr:uid="{00000000-0005-0000-0000-0000C2A60000}"/>
    <cellStyle name="Процентный 5 11 3 2" xfId="53528" xr:uid="{00000000-0005-0000-0000-0000C3A60000}"/>
    <cellStyle name="Процентный 5 11 4" xfId="10807" xr:uid="{00000000-0005-0000-0000-0000C4A60000}"/>
    <cellStyle name="Процентный 5 11 5" xfId="16147" xr:uid="{00000000-0005-0000-0000-0000C5A60000}"/>
    <cellStyle name="Процентный 5 11 6" xfId="21487" xr:uid="{00000000-0005-0000-0000-0000C6A60000}"/>
    <cellStyle name="Процентный 5 11 7" xfId="26827" xr:uid="{00000000-0005-0000-0000-0000C7A60000}"/>
    <cellStyle name="Процентный 5 11 8" xfId="32167" xr:uid="{00000000-0005-0000-0000-0000C8A60000}"/>
    <cellStyle name="Процентный 5 11 9" xfId="37507" xr:uid="{00000000-0005-0000-0000-0000C9A60000}"/>
    <cellStyle name="Процентный 5 110" xfId="2638" xr:uid="{00000000-0005-0000-0000-0000CAA60000}"/>
    <cellStyle name="Процентный 5 110 10" xfId="50702" xr:uid="{00000000-0005-0000-0000-0000CBA60000}"/>
    <cellStyle name="Процентный 5 110 2" xfId="7981" xr:uid="{00000000-0005-0000-0000-0000CCA60000}"/>
    <cellStyle name="Процентный 5 110 2 2" xfId="56043" xr:uid="{00000000-0005-0000-0000-0000CDA60000}"/>
    <cellStyle name="Процентный 5 110 3" xfId="13322" xr:uid="{00000000-0005-0000-0000-0000CEA60000}"/>
    <cellStyle name="Процентный 5 110 4" xfId="18662" xr:uid="{00000000-0005-0000-0000-0000CFA60000}"/>
    <cellStyle name="Процентный 5 110 5" xfId="24002" xr:uid="{00000000-0005-0000-0000-0000D0A60000}"/>
    <cellStyle name="Процентный 5 110 6" xfId="29342" xr:uid="{00000000-0005-0000-0000-0000D1A60000}"/>
    <cellStyle name="Процентный 5 110 7" xfId="34682" xr:uid="{00000000-0005-0000-0000-0000D2A60000}"/>
    <cellStyle name="Процентный 5 110 8" xfId="40022" xr:uid="{00000000-0005-0000-0000-0000D3A60000}"/>
    <cellStyle name="Процентный 5 110 9" xfId="45362" xr:uid="{00000000-0005-0000-0000-0000D4A60000}"/>
    <cellStyle name="Процентный 5 111" xfId="2670" xr:uid="{00000000-0005-0000-0000-0000D5A60000}"/>
    <cellStyle name="Процентный 5 111 10" xfId="50734" xr:uid="{00000000-0005-0000-0000-0000D6A60000}"/>
    <cellStyle name="Процентный 5 111 2" xfId="8013" xr:uid="{00000000-0005-0000-0000-0000D7A60000}"/>
    <cellStyle name="Процентный 5 111 2 2" xfId="56075" xr:uid="{00000000-0005-0000-0000-0000D8A60000}"/>
    <cellStyle name="Процентный 5 111 3" xfId="13354" xr:uid="{00000000-0005-0000-0000-0000D9A60000}"/>
    <cellStyle name="Процентный 5 111 4" xfId="18694" xr:uid="{00000000-0005-0000-0000-0000DAA60000}"/>
    <cellStyle name="Процентный 5 111 5" xfId="24034" xr:uid="{00000000-0005-0000-0000-0000DBA60000}"/>
    <cellStyle name="Процентный 5 111 6" xfId="29374" xr:uid="{00000000-0005-0000-0000-0000DCA60000}"/>
    <cellStyle name="Процентный 5 111 7" xfId="34714" xr:uid="{00000000-0005-0000-0000-0000DDA60000}"/>
    <cellStyle name="Процентный 5 111 8" xfId="40054" xr:uid="{00000000-0005-0000-0000-0000DEA60000}"/>
    <cellStyle name="Процентный 5 111 9" xfId="45394" xr:uid="{00000000-0005-0000-0000-0000DFA60000}"/>
    <cellStyle name="Процентный 5 112" xfId="2702" xr:uid="{00000000-0005-0000-0000-0000E0A60000}"/>
    <cellStyle name="Процентный 5 112 10" xfId="50766" xr:uid="{00000000-0005-0000-0000-0000E1A60000}"/>
    <cellStyle name="Процентный 5 112 2" xfId="8045" xr:uid="{00000000-0005-0000-0000-0000E2A60000}"/>
    <cellStyle name="Процентный 5 112 2 2" xfId="56107" xr:uid="{00000000-0005-0000-0000-0000E3A60000}"/>
    <cellStyle name="Процентный 5 112 3" xfId="13386" xr:uid="{00000000-0005-0000-0000-0000E4A60000}"/>
    <cellStyle name="Процентный 5 112 4" xfId="18726" xr:uid="{00000000-0005-0000-0000-0000E5A60000}"/>
    <cellStyle name="Процентный 5 112 5" xfId="24066" xr:uid="{00000000-0005-0000-0000-0000E6A60000}"/>
    <cellStyle name="Процентный 5 112 6" xfId="29406" xr:uid="{00000000-0005-0000-0000-0000E7A60000}"/>
    <cellStyle name="Процентный 5 112 7" xfId="34746" xr:uid="{00000000-0005-0000-0000-0000E8A60000}"/>
    <cellStyle name="Процентный 5 112 8" xfId="40086" xr:uid="{00000000-0005-0000-0000-0000E9A60000}"/>
    <cellStyle name="Процентный 5 112 9" xfId="45426" xr:uid="{00000000-0005-0000-0000-0000EAA60000}"/>
    <cellStyle name="Процентный 5 113" xfId="2734" xr:uid="{00000000-0005-0000-0000-0000EBA60000}"/>
    <cellStyle name="Процентный 5 113 10" xfId="50798" xr:uid="{00000000-0005-0000-0000-0000ECA60000}"/>
    <cellStyle name="Процентный 5 113 2" xfId="8077" xr:uid="{00000000-0005-0000-0000-0000EDA60000}"/>
    <cellStyle name="Процентный 5 113 2 2" xfId="56139" xr:uid="{00000000-0005-0000-0000-0000EEA60000}"/>
    <cellStyle name="Процентный 5 113 3" xfId="13418" xr:uid="{00000000-0005-0000-0000-0000EFA60000}"/>
    <cellStyle name="Процентный 5 113 4" xfId="18758" xr:uid="{00000000-0005-0000-0000-0000F0A60000}"/>
    <cellStyle name="Процентный 5 113 5" xfId="24098" xr:uid="{00000000-0005-0000-0000-0000F1A60000}"/>
    <cellStyle name="Процентный 5 113 6" xfId="29438" xr:uid="{00000000-0005-0000-0000-0000F2A60000}"/>
    <cellStyle name="Процентный 5 113 7" xfId="34778" xr:uid="{00000000-0005-0000-0000-0000F3A60000}"/>
    <cellStyle name="Процентный 5 113 8" xfId="40118" xr:uid="{00000000-0005-0000-0000-0000F4A60000}"/>
    <cellStyle name="Процентный 5 113 9" xfId="45458" xr:uid="{00000000-0005-0000-0000-0000F5A60000}"/>
    <cellStyle name="Процентный 5 114" xfId="2768" xr:uid="{00000000-0005-0000-0000-0000F6A60000}"/>
    <cellStyle name="Процентный 5 114 10" xfId="50832" xr:uid="{00000000-0005-0000-0000-0000F7A60000}"/>
    <cellStyle name="Процентный 5 114 2" xfId="8111" xr:uid="{00000000-0005-0000-0000-0000F8A60000}"/>
    <cellStyle name="Процентный 5 114 2 2" xfId="56173" xr:uid="{00000000-0005-0000-0000-0000F9A60000}"/>
    <cellStyle name="Процентный 5 114 3" xfId="13452" xr:uid="{00000000-0005-0000-0000-0000FAA60000}"/>
    <cellStyle name="Процентный 5 114 4" xfId="18792" xr:uid="{00000000-0005-0000-0000-0000FBA60000}"/>
    <cellStyle name="Процентный 5 114 5" xfId="24132" xr:uid="{00000000-0005-0000-0000-0000FCA60000}"/>
    <cellStyle name="Процентный 5 114 6" xfId="29472" xr:uid="{00000000-0005-0000-0000-0000FDA60000}"/>
    <cellStyle name="Процентный 5 114 7" xfId="34812" xr:uid="{00000000-0005-0000-0000-0000FEA60000}"/>
    <cellStyle name="Процентный 5 114 8" xfId="40152" xr:uid="{00000000-0005-0000-0000-0000FFA60000}"/>
    <cellStyle name="Процентный 5 114 9" xfId="45492" xr:uid="{00000000-0005-0000-0000-000000A70000}"/>
    <cellStyle name="Процентный 5 115" xfId="2800" xr:uid="{00000000-0005-0000-0000-000001A70000}"/>
    <cellStyle name="Процентный 5 115 10" xfId="50864" xr:uid="{00000000-0005-0000-0000-000002A70000}"/>
    <cellStyle name="Процентный 5 115 2" xfId="8143" xr:uid="{00000000-0005-0000-0000-000003A70000}"/>
    <cellStyle name="Процентный 5 115 2 2" xfId="56205" xr:uid="{00000000-0005-0000-0000-000004A70000}"/>
    <cellStyle name="Процентный 5 115 3" xfId="13484" xr:uid="{00000000-0005-0000-0000-000005A70000}"/>
    <cellStyle name="Процентный 5 115 4" xfId="18824" xr:uid="{00000000-0005-0000-0000-000006A70000}"/>
    <cellStyle name="Процентный 5 115 5" xfId="24164" xr:uid="{00000000-0005-0000-0000-000007A70000}"/>
    <cellStyle name="Процентный 5 115 6" xfId="29504" xr:uid="{00000000-0005-0000-0000-000008A70000}"/>
    <cellStyle name="Процентный 5 115 7" xfId="34844" xr:uid="{00000000-0005-0000-0000-000009A70000}"/>
    <cellStyle name="Процентный 5 115 8" xfId="40184" xr:uid="{00000000-0005-0000-0000-00000AA70000}"/>
    <cellStyle name="Процентный 5 115 9" xfId="45524" xr:uid="{00000000-0005-0000-0000-00000BA70000}"/>
    <cellStyle name="Процентный 5 116" xfId="2832" xr:uid="{00000000-0005-0000-0000-00000CA70000}"/>
    <cellStyle name="Процентный 5 116 10" xfId="50896" xr:uid="{00000000-0005-0000-0000-00000DA70000}"/>
    <cellStyle name="Процентный 5 116 2" xfId="8175" xr:uid="{00000000-0005-0000-0000-00000EA70000}"/>
    <cellStyle name="Процентный 5 116 2 2" xfId="56237" xr:uid="{00000000-0005-0000-0000-00000FA70000}"/>
    <cellStyle name="Процентный 5 116 3" xfId="13516" xr:uid="{00000000-0005-0000-0000-000010A70000}"/>
    <cellStyle name="Процентный 5 116 4" xfId="18856" xr:uid="{00000000-0005-0000-0000-000011A70000}"/>
    <cellStyle name="Процентный 5 116 5" xfId="24196" xr:uid="{00000000-0005-0000-0000-000012A70000}"/>
    <cellStyle name="Процентный 5 116 6" xfId="29536" xr:uid="{00000000-0005-0000-0000-000013A70000}"/>
    <cellStyle name="Процентный 5 116 7" xfId="34876" xr:uid="{00000000-0005-0000-0000-000014A70000}"/>
    <cellStyle name="Процентный 5 116 8" xfId="40216" xr:uid="{00000000-0005-0000-0000-000015A70000}"/>
    <cellStyle name="Процентный 5 116 9" xfId="45556" xr:uid="{00000000-0005-0000-0000-000016A70000}"/>
    <cellStyle name="Процентный 5 117" xfId="2864" xr:uid="{00000000-0005-0000-0000-000017A70000}"/>
    <cellStyle name="Процентный 5 117 10" xfId="50928" xr:uid="{00000000-0005-0000-0000-000018A70000}"/>
    <cellStyle name="Процентный 5 117 2" xfId="8207" xr:uid="{00000000-0005-0000-0000-000019A70000}"/>
    <cellStyle name="Процентный 5 117 2 2" xfId="56269" xr:uid="{00000000-0005-0000-0000-00001AA70000}"/>
    <cellStyle name="Процентный 5 117 3" xfId="13548" xr:uid="{00000000-0005-0000-0000-00001BA70000}"/>
    <cellStyle name="Процентный 5 117 4" xfId="18888" xr:uid="{00000000-0005-0000-0000-00001CA70000}"/>
    <cellStyle name="Процентный 5 117 5" xfId="24228" xr:uid="{00000000-0005-0000-0000-00001DA70000}"/>
    <cellStyle name="Процентный 5 117 6" xfId="29568" xr:uid="{00000000-0005-0000-0000-00001EA70000}"/>
    <cellStyle name="Процентный 5 117 7" xfId="34908" xr:uid="{00000000-0005-0000-0000-00001FA70000}"/>
    <cellStyle name="Процентный 5 117 8" xfId="40248" xr:uid="{00000000-0005-0000-0000-000020A70000}"/>
    <cellStyle name="Процентный 5 117 9" xfId="45588" xr:uid="{00000000-0005-0000-0000-000021A70000}"/>
    <cellStyle name="Процентный 5 118" xfId="2896" xr:uid="{00000000-0005-0000-0000-000022A70000}"/>
    <cellStyle name="Процентный 5 118 10" xfId="50960" xr:uid="{00000000-0005-0000-0000-000023A70000}"/>
    <cellStyle name="Процентный 5 118 2" xfId="8239" xr:uid="{00000000-0005-0000-0000-000024A70000}"/>
    <cellStyle name="Процентный 5 118 2 2" xfId="56301" xr:uid="{00000000-0005-0000-0000-000025A70000}"/>
    <cellStyle name="Процентный 5 118 3" xfId="13580" xr:uid="{00000000-0005-0000-0000-000026A70000}"/>
    <cellStyle name="Процентный 5 118 4" xfId="18920" xr:uid="{00000000-0005-0000-0000-000027A70000}"/>
    <cellStyle name="Процентный 5 118 5" xfId="24260" xr:uid="{00000000-0005-0000-0000-000028A70000}"/>
    <cellStyle name="Процентный 5 118 6" xfId="29600" xr:uid="{00000000-0005-0000-0000-000029A70000}"/>
    <cellStyle name="Процентный 5 118 7" xfId="34940" xr:uid="{00000000-0005-0000-0000-00002AA70000}"/>
    <cellStyle name="Процентный 5 118 8" xfId="40280" xr:uid="{00000000-0005-0000-0000-00002BA70000}"/>
    <cellStyle name="Процентный 5 118 9" xfId="45620" xr:uid="{00000000-0005-0000-0000-00002CA70000}"/>
    <cellStyle name="Процентный 5 119" xfId="2928" xr:uid="{00000000-0005-0000-0000-00002DA70000}"/>
    <cellStyle name="Процентный 5 119 10" xfId="50992" xr:uid="{00000000-0005-0000-0000-00002EA70000}"/>
    <cellStyle name="Процентный 5 119 2" xfId="8271" xr:uid="{00000000-0005-0000-0000-00002FA70000}"/>
    <cellStyle name="Процентный 5 119 2 2" xfId="56333" xr:uid="{00000000-0005-0000-0000-000030A70000}"/>
    <cellStyle name="Процентный 5 119 3" xfId="13612" xr:uid="{00000000-0005-0000-0000-000031A70000}"/>
    <cellStyle name="Процентный 5 119 4" xfId="18952" xr:uid="{00000000-0005-0000-0000-000032A70000}"/>
    <cellStyle name="Процентный 5 119 5" xfId="24292" xr:uid="{00000000-0005-0000-0000-000033A70000}"/>
    <cellStyle name="Процентный 5 119 6" xfId="29632" xr:uid="{00000000-0005-0000-0000-000034A70000}"/>
    <cellStyle name="Процентный 5 119 7" xfId="34972" xr:uid="{00000000-0005-0000-0000-000035A70000}"/>
    <cellStyle name="Процентный 5 119 8" xfId="40312" xr:uid="{00000000-0005-0000-0000-000036A70000}"/>
    <cellStyle name="Процентный 5 119 9" xfId="45652" xr:uid="{00000000-0005-0000-0000-000037A70000}"/>
    <cellStyle name="Процентный 5 12" xfId="135" xr:uid="{00000000-0005-0000-0000-000038A70000}"/>
    <cellStyle name="Процентный 5 12 10" xfId="42857" xr:uid="{00000000-0005-0000-0000-000039A70000}"/>
    <cellStyle name="Процентный 5 12 11" xfId="48197" xr:uid="{00000000-0005-0000-0000-00003AA70000}"/>
    <cellStyle name="Процентный 5 12 2" xfId="602" xr:uid="{00000000-0005-0000-0000-00003BA70000}"/>
    <cellStyle name="Процентный 5 12 2 10" xfId="48664" xr:uid="{00000000-0005-0000-0000-00003CA70000}"/>
    <cellStyle name="Процентный 5 12 2 2" xfId="5943" xr:uid="{00000000-0005-0000-0000-00003DA70000}"/>
    <cellStyle name="Процентный 5 12 2 2 2" xfId="54005" xr:uid="{00000000-0005-0000-0000-00003EA70000}"/>
    <cellStyle name="Процентный 5 12 2 3" xfId="11284" xr:uid="{00000000-0005-0000-0000-00003FA70000}"/>
    <cellStyle name="Процентный 5 12 2 4" xfId="16624" xr:uid="{00000000-0005-0000-0000-000040A70000}"/>
    <cellStyle name="Процентный 5 12 2 5" xfId="21964" xr:uid="{00000000-0005-0000-0000-000041A70000}"/>
    <cellStyle name="Процентный 5 12 2 6" xfId="27304" xr:uid="{00000000-0005-0000-0000-000042A70000}"/>
    <cellStyle name="Процентный 5 12 2 7" xfId="32644" xr:uid="{00000000-0005-0000-0000-000043A70000}"/>
    <cellStyle name="Процентный 5 12 2 8" xfId="37984" xr:uid="{00000000-0005-0000-0000-000044A70000}"/>
    <cellStyle name="Процентный 5 12 2 9" xfId="43324" xr:uid="{00000000-0005-0000-0000-000045A70000}"/>
    <cellStyle name="Процентный 5 12 3" xfId="5476" xr:uid="{00000000-0005-0000-0000-000046A70000}"/>
    <cellStyle name="Процентный 5 12 3 2" xfId="53538" xr:uid="{00000000-0005-0000-0000-000047A70000}"/>
    <cellStyle name="Процентный 5 12 4" xfId="10817" xr:uid="{00000000-0005-0000-0000-000048A70000}"/>
    <cellStyle name="Процентный 5 12 5" xfId="16157" xr:uid="{00000000-0005-0000-0000-000049A70000}"/>
    <cellStyle name="Процентный 5 12 6" xfId="21497" xr:uid="{00000000-0005-0000-0000-00004AA70000}"/>
    <cellStyle name="Процентный 5 12 7" xfId="26837" xr:uid="{00000000-0005-0000-0000-00004BA70000}"/>
    <cellStyle name="Процентный 5 12 8" xfId="32177" xr:uid="{00000000-0005-0000-0000-00004CA70000}"/>
    <cellStyle name="Процентный 5 12 9" xfId="37517" xr:uid="{00000000-0005-0000-0000-00004DA70000}"/>
    <cellStyle name="Процентный 5 120" xfId="2960" xr:uid="{00000000-0005-0000-0000-00004EA70000}"/>
    <cellStyle name="Процентный 5 120 10" xfId="51024" xr:uid="{00000000-0005-0000-0000-00004FA70000}"/>
    <cellStyle name="Процентный 5 120 2" xfId="8303" xr:uid="{00000000-0005-0000-0000-000050A70000}"/>
    <cellStyle name="Процентный 5 120 2 2" xfId="56365" xr:uid="{00000000-0005-0000-0000-000051A70000}"/>
    <cellStyle name="Процентный 5 120 3" xfId="13644" xr:uid="{00000000-0005-0000-0000-000052A70000}"/>
    <cellStyle name="Процентный 5 120 4" xfId="18984" xr:uid="{00000000-0005-0000-0000-000053A70000}"/>
    <cellStyle name="Процентный 5 120 5" xfId="24324" xr:uid="{00000000-0005-0000-0000-000054A70000}"/>
    <cellStyle name="Процентный 5 120 6" xfId="29664" xr:uid="{00000000-0005-0000-0000-000055A70000}"/>
    <cellStyle name="Процентный 5 120 7" xfId="35004" xr:uid="{00000000-0005-0000-0000-000056A70000}"/>
    <cellStyle name="Процентный 5 120 8" xfId="40344" xr:uid="{00000000-0005-0000-0000-000057A70000}"/>
    <cellStyle name="Процентный 5 120 9" xfId="45684" xr:uid="{00000000-0005-0000-0000-000058A70000}"/>
    <cellStyle name="Процентный 5 121" xfId="2992" xr:uid="{00000000-0005-0000-0000-000059A70000}"/>
    <cellStyle name="Процентный 5 121 10" xfId="51056" xr:uid="{00000000-0005-0000-0000-00005AA70000}"/>
    <cellStyle name="Процентный 5 121 2" xfId="8335" xr:uid="{00000000-0005-0000-0000-00005BA70000}"/>
    <cellStyle name="Процентный 5 121 2 2" xfId="56397" xr:uid="{00000000-0005-0000-0000-00005CA70000}"/>
    <cellStyle name="Процентный 5 121 3" xfId="13676" xr:uid="{00000000-0005-0000-0000-00005DA70000}"/>
    <cellStyle name="Процентный 5 121 4" xfId="19016" xr:uid="{00000000-0005-0000-0000-00005EA70000}"/>
    <cellStyle name="Процентный 5 121 5" xfId="24356" xr:uid="{00000000-0005-0000-0000-00005FA70000}"/>
    <cellStyle name="Процентный 5 121 6" xfId="29696" xr:uid="{00000000-0005-0000-0000-000060A70000}"/>
    <cellStyle name="Процентный 5 121 7" xfId="35036" xr:uid="{00000000-0005-0000-0000-000061A70000}"/>
    <cellStyle name="Процентный 5 121 8" xfId="40376" xr:uid="{00000000-0005-0000-0000-000062A70000}"/>
    <cellStyle name="Процентный 5 121 9" xfId="45716" xr:uid="{00000000-0005-0000-0000-000063A70000}"/>
    <cellStyle name="Процентный 5 122" xfId="3024" xr:uid="{00000000-0005-0000-0000-000064A70000}"/>
    <cellStyle name="Процентный 5 122 10" xfId="51088" xr:uid="{00000000-0005-0000-0000-000065A70000}"/>
    <cellStyle name="Процентный 5 122 2" xfId="8367" xr:uid="{00000000-0005-0000-0000-000066A70000}"/>
    <cellStyle name="Процентный 5 122 2 2" xfId="56429" xr:uid="{00000000-0005-0000-0000-000067A70000}"/>
    <cellStyle name="Процентный 5 122 3" xfId="13708" xr:uid="{00000000-0005-0000-0000-000068A70000}"/>
    <cellStyle name="Процентный 5 122 4" xfId="19048" xr:uid="{00000000-0005-0000-0000-000069A70000}"/>
    <cellStyle name="Процентный 5 122 5" xfId="24388" xr:uid="{00000000-0005-0000-0000-00006AA70000}"/>
    <cellStyle name="Процентный 5 122 6" xfId="29728" xr:uid="{00000000-0005-0000-0000-00006BA70000}"/>
    <cellStyle name="Процентный 5 122 7" xfId="35068" xr:uid="{00000000-0005-0000-0000-00006CA70000}"/>
    <cellStyle name="Процентный 5 122 8" xfId="40408" xr:uid="{00000000-0005-0000-0000-00006DA70000}"/>
    <cellStyle name="Процентный 5 122 9" xfId="45748" xr:uid="{00000000-0005-0000-0000-00006EA70000}"/>
    <cellStyle name="Процентный 5 123" xfId="3056" xr:uid="{00000000-0005-0000-0000-00006FA70000}"/>
    <cellStyle name="Процентный 5 123 10" xfId="51120" xr:uid="{00000000-0005-0000-0000-000070A70000}"/>
    <cellStyle name="Процентный 5 123 2" xfId="8399" xr:uid="{00000000-0005-0000-0000-000071A70000}"/>
    <cellStyle name="Процентный 5 123 2 2" xfId="56461" xr:uid="{00000000-0005-0000-0000-000072A70000}"/>
    <cellStyle name="Процентный 5 123 3" xfId="13740" xr:uid="{00000000-0005-0000-0000-000073A70000}"/>
    <cellStyle name="Процентный 5 123 4" xfId="19080" xr:uid="{00000000-0005-0000-0000-000074A70000}"/>
    <cellStyle name="Процентный 5 123 5" xfId="24420" xr:uid="{00000000-0005-0000-0000-000075A70000}"/>
    <cellStyle name="Процентный 5 123 6" xfId="29760" xr:uid="{00000000-0005-0000-0000-000076A70000}"/>
    <cellStyle name="Процентный 5 123 7" xfId="35100" xr:uid="{00000000-0005-0000-0000-000077A70000}"/>
    <cellStyle name="Процентный 5 123 8" xfId="40440" xr:uid="{00000000-0005-0000-0000-000078A70000}"/>
    <cellStyle name="Процентный 5 123 9" xfId="45780" xr:uid="{00000000-0005-0000-0000-000079A70000}"/>
    <cellStyle name="Процентный 5 124" xfId="3088" xr:uid="{00000000-0005-0000-0000-00007AA70000}"/>
    <cellStyle name="Процентный 5 124 10" xfId="51152" xr:uid="{00000000-0005-0000-0000-00007BA70000}"/>
    <cellStyle name="Процентный 5 124 2" xfId="8431" xr:uid="{00000000-0005-0000-0000-00007CA70000}"/>
    <cellStyle name="Процентный 5 124 2 2" xfId="56493" xr:uid="{00000000-0005-0000-0000-00007DA70000}"/>
    <cellStyle name="Процентный 5 124 3" xfId="13772" xr:uid="{00000000-0005-0000-0000-00007EA70000}"/>
    <cellStyle name="Процентный 5 124 4" xfId="19112" xr:uid="{00000000-0005-0000-0000-00007FA70000}"/>
    <cellStyle name="Процентный 5 124 5" xfId="24452" xr:uid="{00000000-0005-0000-0000-000080A70000}"/>
    <cellStyle name="Процентный 5 124 6" xfId="29792" xr:uid="{00000000-0005-0000-0000-000081A70000}"/>
    <cellStyle name="Процентный 5 124 7" xfId="35132" xr:uid="{00000000-0005-0000-0000-000082A70000}"/>
    <cellStyle name="Процентный 5 124 8" xfId="40472" xr:uid="{00000000-0005-0000-0000-000083A70000}"/>
    <cellStyle name="Процентный 5 124 9" xfId="45812" xr:uid="{00000000-0005-0000-0000-000084A70000}"/>
    <cellStyle name="Процентный 5 125" xfId="3121" xr:uid="{00000000-0005-0000-0000-000085A70000}"/>
    <cellStyle name="Процентный 5 125 10" xfId="51184" xr:uid="{00000000-0005-0000-0000-000086A70000}"/>
    <cellStyle name="Процентный 5 125 2" xfId="8464" xr:uid="{00000000-0005-0000-0000-000087A70000}"/>
    <cellStyle name="Процентный 5 125 2 2" xfId="56525" xr:uid="{00000000-0005-0000-0000-000088A70000}"/>
    <cellStyle name="Процентный 5 125 3" xfId="13804" xr:uid="{00000000-0005-0000-0000-000089A70000}"/>
    <cellStyle name="Процентный 5 125 4" xfId="19144" xr:uid="{00000000-0005-0000-0000-00008AA70000}"/>
    <cellStyle name="Процентный 5 125 5" xfId="24484" xr:uid="{00000000-0005-0000-0000-00008BA70000}"/>
    <cellStyle name="Процентный 5 125 6" xfId="29824" xr:uid="{00000000-0005-0000-0000-00008CA70000}"/>
    <cellStyle name="Процентный 5 125 7" xfId="35164" xr:uid="{00000000-0005-0000-0000-00008DA70000}"/>
    <cellStyle name="Процентный 5 125 8" xfId="40504" xr:uid="{00000000-0005-0000-0000-00008EA70000}"/>
    <cellStyle name="Процентный 5 125 9" xfId="45844" xr:uid="{00000000-0005-0000-0000-00008FA70000}"/>
    <cellStyle name="Процентный 5 126" xfId="3153" xr:uid="{00000000-0005-0000-0000-000090A70000}"/>
    <cellStyle name="Процентный 5 126 10" xfId="51216" xr:uid="{00000000-0005-0000-0000-000091A70000}"/>
    <cellStyle name="Процентный 5 126 2" xfId="8496" xr:uid="{00000000-0005-0000-0000-000092A70000}"/>
    <cellStyle name="Процентный 5 126 2 2" xfId="56557" xr:uid="{00000000-0005-0000-0000-000093A70000}"/>
    <cellStyle name="Процентный 5 126 3" xfId="13836" xr:uid="{00000000-0005-0000-0000-000094A70000}"/>
    <cellStyle name="Процентный 5 126 4" xfId="19176" xr:uid="{00000000-0005-0000-0000-000095A70000}"/>
    <cellStyle name="Процентный 5 126 5" xfId="24516" xr:uid="{00000000-0005-0000-0000-000096A70000}"/>
    <cellStyle name="Процентный 5 126 6" xfId="29856" xr:uid="{00000000-0005-0000-0000-000097A70000}"/>
    <cellStyle name="Процентный 5 126 7" xfId="35196" xr:uid="{00000000-0005-0000-0000-000098A70000}"/>
    <cellStyle name="Процентный 5 126 8" xfId="40536" xr:uid="{00000000-0005-0000-0000-000099A70000}"/>
    <cellStyle name="Процентный 5 126 9" xfId="45876" xr:uid="{00000000-0005-0000-0000-00009AA70000}"/>
    <cellStyle name="Процентный 5 127" xfId="3185" xr:uid="{00000000-0005-0000-0000-00009BA70000}"/>
    <cellStyle name="Процентный 5 127 10" xfId="51248" xr:uid="{00000000-0005-0000-0000-00009CA70000}"/>
    <cellStyle name="Процентный 5 127 2" xfId="8528" xr:uid="{00000000-0005-0000-0000-00009DA70000}"/>
    <cellStyle name="Процентный 5 127 2 2" xfId="56589" xr:uid="{00000000-0005-0000-0000-00009EA70000}"/>
    <cellStyle name="Процентный 5 127 3" xfId="13868" xr:uid="{00000000-0005-0000-0000-00009FA70000}"/>
    <cellStyle name="Процентный 5 127 4" xfId="19208" xr:uid="{00000000-0005-0000-0000-0000A0A70000}"/>
    <cellStyle name="Процентный 5 127 5" xfId="24548" xr:uid="{00000000-0005-0000-0000-0000A1A70000}"/>
    <cellStyle name="Процентный 5 127 6" xfId="29888" xr:uid="{00000000-0005-0000-0000-0000A2A70000}"/>
    <cellStyle name="Процентный 5 127 7" xfId="35228" xr:uid="{00000000-0005-0000-0000-0000A3A70000}"/>
    <cellStyle name="Процентный 5 127 8" xfId="40568" xr:uid="{00000000-0005-0000-0000-0000A4A70000}"/>
    <cellStyle name="Процентный 5 127 9" xfId="45908" xr:uid="{00000000-0005-0000-0000-0000A5A70000}"/>
    <cellStyle name="Процентный 5 128" xfId="3217" xr:uid="{00000000-0005-0000-0000-0000A6A70000}"/>
    <cellStyle name="Процентный 5 128 10" xfId="51280" xr:uid="{00000000-0005-0000-0000-0000A7A70000}"/>
    <cellStyle name="Процентный 5 128 2" xfId="8560" xr:uid="{00000000-0005-0000-0000-0000A8A70000}"/>
    <cellStyle name="Процентный 5 128 2 2" xfId="56621" xr:uid="{00000000-0005-0000-0000-0000A9A70000}"/>
    <cellStyle name="Процентный 5 128 3" xfId="13900" xr:uid="{00000000-0005-0000-0000-0000AAA70000}"/>
    <cellStyle name="Процентный 5 128 4" xfId="19240" xr:uid="{00000000-0005-0000-0000-0000ABA70000}"/>
    <cellStyle name="Процентный 5 128 5" xfId="24580" xr:uid="{00000000-0005-0000-0000-0000ACA70000}"/>
    <cellStyle name="Процентный 5 128 6" xfId="29920" xr:uid="{00000000-0005-0000-0000-0000ADA70000}"/>
    <cellStyle name="Процентный 5 128 7" xfId="35260" xr:uid="{00000000-0005-0000-0000-0000AEA70000}"/>
    <cellStyle name="Процентный 5 128 8" xfId="40600" xr:uid="{00000000-0005-0000-0000-0000AFA70000}"/>
    <cellStyle name="Процентный 5 128 9" xfId="45940" xr:uid="{00000000-0005-0000-0000-0000B0A70000}"/>
    <cellStyle name="Процентный 5 129" xfId="3249" xr:uid="{00000000-0005-0000-0000-0000B1A70000}"/>
    <cellStyle name="Процентный 5 129 10" xfId="51312" xr:uid="{00000000-0005-0000-0000-0000B2A70000}"/>
    <cellStyle name="Процентный 5 129 2" xfId="8592" xr:uid="{00000000-0005-0000-0000-0000B3A70000}"/>
    <cellStyle name="Процентный 5 129 2 2" xfId="56653" xr:uid="{00000000-0005-0000-0000-0000B4A70000}"/>
    <cellStyle name="Процентный 5 129 3" xfId="13932" xr:uid="{00000000-0005-0000-0000-0000B5A70000}"/>
    <cellStyle name="Процентный 5 129 4" xfId="19272" xr:uid="{00000000-0005-0000-0000-0000B6A70000}"/>
    <cellStyle name="Процентный 5 129 5" xfId="24612" xr:uid="{00000000-0005-0000-0000-0000B7A70000}"/>
    <cellStyle name="Процентный 5 129 6" xfId="29952" xr:uid="{00000000-0005-0000-0000-0000B8A70000}"/>
    <cellStyle name="Процентный 5 129 7" xfId="35292" xr:uid="{00000000-0005-0000-0000-0000B9A70000}"/>
    <cellStyle name="Процентный 5 129 8" xfId="40632" xr:uid="{00000000-0005-0000-0000-0000BAA70000}"/>
    <cellStyle name="Процентный 5 129 9" xfId="45972" xr:uid="{00000000-0005-0000-0000-0000BBA70000}"/>
    <cellStyle name="Процентный 5 13" xfId="145" xr:uid="{00000000-0005-0000-0000-0000BCA70000}"/>
    <cellStyle name="Процентный 5 13 10" xfId="42867" xr:uid="{00000000-0005-0000-0000-0000BDA70000}"/>
    <cellStyle name="Процентный 5 13 11" xfId="48207" xr:uid="{00000000-0005-0000-0000-0000BEA70000}"/>
    <cellStyle name="Процентный 5 13 2" xfId="612" xr:uid="{00000000-0005-0000-0000-0000BFA70000}"/>
    <cellStyle name="Процентный 5 13 2 10" xfId="48674" xr:uid="{00000000-0005-0000-0000-0000C0A70000}"/>
    <cellStyle name="Процентный 5 13 2 2" xfId="5953" xr:uid="{00000000-0005-0000-0000-0000C1A70000}"/>
    <cellStyle name="Процентный 5 13 2 2 2" xfId="54015" xr:uid="{00000000-0005-0000-0000-0000C2A70000}"/>
    <cellStyle name="Процентный 5 13 2 3" xfId="11294" xr:uid="{00000000-0005-0000-0000-0000C3A70000}"/>
    <cellStyle name="Процентный 5 13 2 4" xfId="16634" xr:uid="{00000000-0005-0000-0000-0000C4A70000}"/>
    <cellStyle name="Процентный 5 13 2 5" xfId="21974" xr:uid="{00000000-0005-0000-0000-0000C5A70000}"/>
    <cellStyle name="Процентный 5 13 2 6" xfId="27314" xr:uid="{00000000-0005-0000-0000-0000C6A70000}"/>
    <cellStyle name="Процентный 5 13 2 7" xfId="32654" xr:uid="{00000000-0005-0000-0000-0000C7A70000}"/>
    <cellStyle name="Процентный 5 13 2 8" xfId="37994" xr:uid="{00000000-0005-0000-0000-0000C8A70000}"/>
    <cellStyle name="Процентный 5 13 2 9" xfId="43334" xr:uid="{00000000-0005-0000-0000-0000C9A70000}"/>
    <cellStyle name="Процентный 5 13 3" xfId="5486" xr:uid="{00000000-0005-0000-0000-0000CAA70000}"/>
    <cellStyle name="Процентный 5 13 3 2" xfId="53548" xr:uid="{00000000-0005-0000-0000-0000CBA70000}"/>
    <cellStyle name="Процентный 5 13 4" xfId="10827" xr:uid="{00000000-0005-0000-0000-0000CCA70000}"/>
    <cellStyle name="Процентный 5 13 5" xfId="16167" xr:uid="{00000000-0005-0000-0000-0000CDA70000}"/>
    <cellStyle name="Процентный 5 13 6" xfId="21507" xr:uid="{00000000-0005-0000-0000-0000CEA70000}"/>
    <cellStyle name="Процентный 5 13 7" xfId="26847" xr:uid="{00000000-0005-0000-0000-0000CFA70000}"/>
    <cellStyle name="Процентный 5 13 8" xfId="32187" xr:uid="{00000000-0005-0000-0000-0000D0A70000}"/>
    <cellStyle name="Процентный 5 13 9" xfId="37527" xr:uid="{00000000-0005-0000-0000-0000D1A70000}"/>
    <cellStyle name="Процентный 5 130" xfId="3281" xr:uid="{00000000-0005-0000-0000-0000D2A70000}"/>
    <cellStyle name="Процентный 5 130 10" xfId="51344" xr:uid="{00000000-0005-0000-0000-0000D3A70000}"/>
    <cellStyle name="Процентный 5 130 2" xfId="8624" xr:uid="{00000000-0005-0000-0000-0000D4A70000}"/>
    <cellStyle name="Процентный 5 130 2 2" xfId="56685" xr:uid="{00000000-0005-0000-0000-0000D5A70000}"/>
    <cellStyle name="Процентный 5 130 3" xfId="13964" xr:uid="{00000000-0005-0000-0000-0000D6A70000}"/>
    <cellStyle name="Процентный 5 130 4" xfId="19304" xr:uid="{00000000-0005-0000-0000-0000D7A70000}"/>
    <cellStyle name="Процентный 5 130 5" xfId="24644" xr:uid="{00000000-0005-0000-0000-0000D8A70000}"/>
    <cellStyle name="Процентный 5 130 6" xfId="29984" xr:uid="{00000000-0005-0000-0000-0000D9A70000}"/>
    <cellStyle name="Процентный 5 130 7" xfId="35324" xr:uid="{00000000-0005-0000-0000-0000DAA70000}"/>
    <cellStyle name="Процентный 5 130 8" xfId="40664" xr:uid="{00000000-0005-0000-0000-0000DBA70000}"/>
    <cellStyle name="Процентный 5 130 9" xfId="46004" xr:uid="{00000000-0005-0000-0000-0000DCA70000}"/>
    <cellStyle name="Процентный 5 131" xfId="3313" xr:uid="{00000000-0005-0000-0000-0000DDA70000}"/>
    <cellStyle name="Процентный 5 131 10" xfId="51376" xr:uid="{00000000-0005-0000-0000-0000DEA70000}"/>
    <cellStyle name="Процентный 5 131 2" xfId="8656" xr:uid="{00000000-0005-0000-0000-0000DFA70000}"/>
    <cellStyle name="Процентный 5 131 2 2" xfId="56717" xr:uid="{00000000-0005-0000-0000-0000E0A70000}"/>
    <cellStyle name="Процентный 5 131 3" xfId="13996" xr:uid="{00000000-0005-0000-0000-0000E1A70000}"/>
    <cellStyle name="Процентный 5 131 4" xfId="19336" xr:uid="{00000000-0005-0000-0000-0000E2A70000}"/>
    <cellStyle name="Процентный 5 131 5" xfId="24676" xr:uid="{00000000-0005-0000-0000-0000E3A70000}"/>
    <cellStyle name="Процентный 5 131 6" xfId="30016" xr:uid="{00000000-0005-0000-0000-0000E4A70000}"/>
    <cellStyle name="Процентный 5 131 7" xfId="35356" xr:uid="{00000000-0005-0000-0000-0000E5A70000}"/>
    <cellStyle name="Процентный 5 131 8" xfId="40696" xr:uid="{00000000-0005-0000-0000-0000E6A70000}"/>
    <cellStyle name="Процентный 5 131 9" xfId="46036" xr:uid="{00000000-0005-0000-0000-0000E7A70000}"/>
    <cellStyle name="Процентный 5 132" xfId="3345" xr:uid="{00000000-0005-0000-0000-0000E8A70000}"/>
    <cellStyle name="Процентный 5 132 10" xfId="51408" xr:uid="{00000000-0005-0000-0000-0000E9A70000}"/>
    <cellStyle name="Процентный 5 132 2" xfId="8688" xr:uid="{00000000-0005-0000-0000-0000EAA70000}"/>
    <cellStyle name="Процентный 5 132 2 2" xfId="56749" xr:uid="{00000000-0005-0000-0000-0000EBA70000}"/>
    <cellStyle name="Процентный 5 132 3" xfId="14028" xr:uid="{00000000-0005-0000-0000-0000ECA70000}"/>
    <cellStyle name="Процентный 5 132 4" xfId="19368" xr:uid="{00000000-0005-0000-0000-0000EDA70000}"/>
    <cellStyle name="Процентный 5 132 5" xfId="24708" xr:uid="{00000000-0005-0000-0000-0000EEA70000}"/>
    <cellStyle name="Процентный 5 132 6" xfId="30048" xr:uid="{00000000-0005-0000-0000-0000EFA70000}"/>
    <cellStyle name="Процентный 5 132 7" xfId="35388" xr:uid="{00000000-0005-0000-0000-0000F0A70000}"/>
    <cellStyle name="Процентный 5 132 8" xfId="40728" xr:uid="{00000000-0005-0000-0000-0000F1A70000}"/>
    <cellStyle name="Процентный 5 132 9" xfId="46068" xr:uid="{00000000-0005-0000-0000-0000F2A70000}"/>
    <cellStyle name="Процентный 5 133" xfId="3377" xr:uid="{00000000-0005-0000-0000-0000F3A70000}"/>
    <cellStyle name="Процентный 5 133 10" xfId="51440" xr:uid="{00000000-0005-0000-0000-0000F4A70000}"/>
    <cellStyle name="Процентный 5 133 2" xfId="8720" xr:uid="{00000000-0005-0000-0000-0000F5A70000}"/>
    <cellStyle name="Процентный 5 133 2 2" xfId="56781" xr:uid="{00000000-0005-0000-0000-0000F6A70000}"/>
    <cellStyle name="Процентный 5 133 3" xfId="14060" xr:uid="{00000000-0005-0000-0000-0000F7A70000}"/>
    <cellStyle name="Процентный 5 133 4" xfId="19400" xr:uid="{00000000-0005-0000-0000-0000F8A70000}"/>
    <cellStyle name="Процентный 5 133 5" xfId="24740" xr:uid="{00000000-0005-0000-0000-0000F9A70000}"/>
    <cellStyle name="Процентный 5 133 6" xfId="30080" xr:uid="{00000000-0005-0000-0000-0000FAA70000}"/>
    <cellStyle name="Процентный 5 133 7" xfId="35420" xr:uid="{00000000-0005-0000-0000-0000FBA70000}"/>
    <cellStyle name="Процентный 5 133 8" xfId="40760" xr:uid="{00000000-0005-0000-0000-0000FCA70000}"/>
    <cellStyle name="Процентный 5 133 9" xfId="46100" xr:uid="{00000000-0005-0000-0000-0000FDA70000}"/>
    <cellStyle name="Процентный 5 134" xfId="3409" xr:uid="{00000000-0005-0000-0000-0000FEA70000}"/>
    <cellStyle name="Процентный 5 134 10" xfId="51472" xr:uid="{00000000-0005-0000-0000-0000FFA70000}"/>
    <cellStyle name="Процентный 5 134 2" xfId="8752" xr:uid="{00000000-0005-0000-0000-000000A80000}"/>
    <cellStyle name="Процентный 5 134 2 2" xfId="56813" xr:uid="{00000000-0005-0000-0000-000001A80000}"/>
    <cellStyle name="Процентный 5 134 3" xfId="14092" xr:uid="{00000000-0005-0000-0000-000002A80000}"/>
    <cellStyle name="Процентный 5 134 4" xfId="19432" xr:uid="{00000000-0005-0000-0000-000003A80000}"/>
    <cellStyle name="Процентный 5 134 5" xfId="24772" xr:uid="{00000000-0005-0000-0000-000004A80000}"/>
    <cellStyle name="Процентный 5 134 6" xfId="30112" xr:uid="{00000000-0005-0000-0000-000005A80000}"/>
    <cellStyle name="Процентный 5 134 7" xfId="35452" xr:uid="{00000000-0005-0000-0000-000006A80000}"/>
    <cellStyle name="Процентный 5 134 8" xfId="40792" xr:uid="{00000000-0005-0000-0000-000007A80000}"/>
    <cellStyle name="Процентный 5 134 9" xfId="46132" xr:uid="{00000000-0005-0000-0000-000008A80000}"/>
    <cellStyle name="Процентный 5 135" xfId="3441" xr:uid="{00000000-0005-0000-0000-000009A80000}"/>
    <cellStyle name="Процентный 5 135 10" xfId="51504" xr:uid="{00000000-0005-0000-0000-00000AA80000}"/>
    <cellStyle name="Процентный 5 135 2" xfId="8784" xr:uid="{00000000-0005-0000-0000-00000BA80000}"/>
    <cellStyle name="Процентный 5 135 2 2" xfId="56845" xr:uid="{00000000-0005-0000-0000-00000CA80000}"/>
    <cellStyle name="Процентный 5 135 3" xfId="14124" xr:uid="{00000000-0005-0000-0000-00000DA80000}"/>
    <cellStyle name="Процентный 5 135 4" xfId="19464" xr:uid="{00000000-0005-0000-0000-00000EA80000}"/>
    <cellStyle name="Процентный 5 135 5" xfId="24804" xr:uid="{00000000-0005-0000-0000-00000FA80000}"/>
    <cellStyle name="Процентный 5 135 6" xfId="30144" xr:uid="{00000000-0005-0000-0000-000010A80000}"/>
    <cellStyle name="Процентный 5 135 7" xfId="35484" xr:uid="{00000000-0005-0000-0000-000011A80000}"/>
    <cellStyle name="Процентный 5 135 8" xfId="40824" xr:uid="{00000000-0005-0000-0000-000012A80000}"/>
    <cellStyle name="Процентный 5 135 9" xfId="46164" xr:uid="{00000000-0005-0000-0000-000013A80000}"/>
    <cellStyle name="Процентный 5 136" xfId="3473" xr:uid="{00000000-0005-0000-0000-000014A80000}"/>
    <cellStyle name="Процентный 5 136 10" xfId="51536" xr:uid="{00000000-0005-0000-0000-000015A80000}"/>
    <cellStyle name="Процентный 5 136 2" xfId="8816" xr:uid="{00000000-0005-0000-0000-000016A80000}"/>
    <cellStyle name="Процентный 5 136 2 2" xfId="56877" xr:uid="{00000000-0005-0000-0000-000017A80000}"/>
    <cellStyle name="Процентный 5 136 3" xfId="14156" xr:uid="{00000000-0005-0000-0000-000018A80000}"/>
    <cellStyle name="Процентный 5 136 4" xfId="19496" xr:uid="{00000000-0005-0000-0000-000019A80000}"/>
    <cellStyle name="Процентный 5 136 5" xfId="24836" xr:uid="{00000000-0005-0000-0000-00001AA80000}"/>
    <cellStyle name="Процентный 5 136 6" xfId="30176" xr:uid="{00000000-0005-0000-0000-00001BA80000}"/>
    <cellStyle name="Процентный 5 136 7" xfId="35516" xr:uid="{00000000-0005-0000-0000-00001CA80000}"/>
    <cellStyle name="Процентный 5 136 8" xfId="40856" xr:uid="{00000000-0005-0000-0000-00001DA80000}"/>
    <cellStyle name="Процентный 5 136 9" xfId="46196" xr:uid="{00000000-0005-0000-0000-00001EA80000}"/>
    <cellStyle name="Процентный 5 137" xfId="3505" xr:uid="{00000000-0005-0000-0000-00001FA80000}"/>
    <cellStyle name="Процентный 5 137 10" xfId="51568" xr:uid="{00000000-0005-0000-0000-000020A80000}"/>
    <cellStyle name="Процентный 5 137 2" xfId="8848" xr:uid="{00000000-0005-0000-0000-000021A80000}"/>
    <cellStyle name="Процентный 5 137 2 2" xfId="56909" xr:uid="{00000000-0005-0000-0000-000022A80000}"/>
    <cellStyle name="Процентный 5 137 3" xfId="14188" xr:uid="{00000000-0005-0000-0000-000023A80000}"/>
    <cellStyle name="Процентный 5 137 4" xfId="19528" xr:uid="{00000000-0005-0000-0000-000024A80000}"/>
    <cellStyle name="Процентный 5 137 5" xfId="24868" xr:uid="{00000000-0005-0000-0000-000025A80000}"/>
    <cellStyle name="Процентный 5 137 6" xfId="30208" xr:uid="{00000000-0005-0000-0000-000026A80000}"/>
    <cellStyle name="Процентный 5 137 7" xfId="35548" xr:uid="{00000000-0005-0000-0000-000027A80000}"/>
    <cellStyle name="Процентный 5 137 8" xfId="40888" xr:uid="{00000000-0005-0000-0000-000028A80000}"/>
    <cellStyle name="Процентный 5 137 9" xfId="46228" xr:uid="{00000000-0005-0000-0000-000029A80000}"/>
    <cellStyle name="Процентный 5 138" xfId="3537" xr:uid="{00000000-0005-0000-0000-00002AA80000}"/>
    <cellStyle name="Процентный 5 138 10" xfId="51600" xr:uid="{00000000-0005-0000-0000-00002BA80000}"/>
    <cellStyle name="Процентный 5 138 2" xfId="8880" xr:uid="{00000000-0005-0000-0000-00002CA80000}"/>
    <cellStyle name="Процентный 5 138 2 2" xfId="56941" xr:uid="{00000000-0005-0000-0000-00002DA80000}"/>
    <cellStyle name="Процентный 5 138 3" xfId="14220" xr:uid="{00000000-0005-0000-0000-00002EA80000}"/>
    <cellStyle name="Процентный 5 138 4" xfId="19560" xr:uid="{00000000-0005-0000-0000-00002FA80000}"/>
    <cellStyle name="Процентный 5 138 5" xfId="24900" xr:uid="{00000000-0005-0000-0000-000030A80000}"/>
    <cellStyle name="Процентный 5 138 6" xfId="30240" xr:uid="{00000000-0005-0000-0000-000031A80000}"/>
    <cellStyle name="Процентный 5 138 7" xfId="35580" xr:uid="{00000000-0005-0000-0000-000032A80000}"/>
    <cellStyle name="Процентный 5 138 8" xfId="40920" xr:uid="{00000000-0005-0000-0000-000033A80000}"/>
    <cellStyle name="Процентный 5 138 9" xfId="46260" xr:uid="{00000000-0005-0000-0000-000034A80000}"/>
    <cellStyle name="Процентный 5 139" xfId="3569" xr:uid="{00000000-0005-0000-0000-000035A80000}"/>
    <cellStyle name="Процентный 5 139 10" xfId="51632" xr:uid="{00000000-0005-0000-0000-000036A80000}"/>
    <cellStyle name="Процентный 5 139 2" xfId="8912" xr:uid="{00000000-0005-0000-0000-000037A80000}"/>
    <cellStyle name="Процентный 5 139 2 2" xfId="56973" xr:uid="{00000000-0005-0000-0000-000038A80000}"/>
    <cellStyle name="Процентный 5 139 3" xfId="14252" xr:uid="{00000000-0005-0000-0000-000039A80000}"/>
    <cellStyle name="Процентный 5 139 4" xfId="19592" xr:uid="{00000000-0005-0000-0000-00003AA80000}"/>
    <cellStyle name="Процентный 5 139 5" xfId="24932" xr:uid="{00000000-0005-0000-0000-00003BA80000}"/>
    <cellStyle name="Процентный 5 139 6" xfId="30272" xr:uid="{00000000-0005-0000-0000-00003CA80000}"/>
    <cellStyle name="Процентный 5 139 7" xfId="35612" xr:uid="{00000000-0005-0000-0000-00003DA80000}"/>
    <cellStyle name="Процентный 5 139 8" xfId="40952" xr:uid="{00000000-0005-0000-0000-00003EA80000}"/>
    <cellStyle name="Процентный 5 139 9" xfId="46292" xr:uid="{00000000-0005-0000-0000-00003FA80000}"/>
    <cellStyle name="Процентный 5 14" xfId="155" xr:uid="{00000000-0005-0000-0000-000040A80000}"/>
    <cellStyle name="Процентный 5 14 10" xfId="42877" xr:uid="{00000000-0005-0000-0000-000041A80000}"/>
    <cellStyle name="Процентный 5 14 11" xfId="48217" xr:uid="{00000000-0005-0000-0000-000042A80000}"/>
    <cellStyle name="Процентный 5 14 2" xfId="622" xr:uid="{00000000-0005-0000-0000-000043A80000}"/>
    <cellStyle name="Процентный 5 14 2 10" xfId="48684" xr:uid="{00000000-0005-0000-0000-000044A80000}"/>
    <cellStyle name="Процентный 5 14 2 2" xfId="5963" xr:uid="{00000000-0005-0000-0000-000045A80000}"/>
    <cellStyle name="Процентный 5 14 2 2 2" xfId="54025" xr:uid="{00000000-0005-0000-0000-000046A80000}"/>
    <cellStyle name="Процентный 5 14 2 3" xfId="11304" xr:uid="{00000000-0005-0000-0000-000047A80000}"/>
    <cellStyle name="Процентный 5 14 2 4" xfId="16644" xr:uid="{00000000-0005-0000-0000-000048A80000}"/>
    <cellStyle name="Процентный 5 14 2 5" xfId="21984" xr:uid="{00000000-0005-0000-0000-000049A80000}"/>
    <cellStyle name="Процентный 5 14 2 6" xfId="27324" xr:uid="{00000000-0005-0000-0000-00004AA80000}"/>
    <cellStyle name="Процентный 5 14 2 7" xfId="32664" xr:uid="{00000000-0005-0000-0000-00004BA80000}"/>
    <cellStyle name="Процентный 5 14 2 8" xfId="38004" xr:uid="{00000000-0005-0000-0000-00004CA80000}"/>
    <cellStyle name="Процентный 5 14 2 9" xfId="43344" xr:uid="{00000000-0005-0000-0000-00004DA80000}"/>
    <cellStyle name="Процентный 5 14 3" xfId="5496" xr:uid="{00000000-0005-0000-0000-00004EA80000}"/>
    <cellStyle name="Процентный 5 14 3 2" xfId="53558" xr:uid="{00000000-0005-0000-0000-00004FA80000}"/>
    <cellStyle name="Процентный 5 14 4" xfId="10837" xr:uid="{00000000-0005-0000-0000-000050A80000}"/>
    <cellStyle name="Процентный 5 14 5" xfId="16177" xr:uid="{00000000-0005-0000-0000-000051A80000}"/>
    <cellStyle name="Процентный 5 14 6" xfId="21517" xr:uid="{00000000-0005-0000-0000-000052A80000}"/>
    <cellStyle name="Процентный 5 14 7" xfId="26857" xr:uid="{00000000-0005-0000-0000-000053A80000}"/>
    <cellStyle name="Процентный 5 14 8" xfId="32197" xr:uid="{00000000-0005-0000-0000-000054A80000}"/>
    <cellStyle name="Процентный 5 14 9" xfId="37537" xr:uid="{00000000-0005-0000-0000-000055A80000}"/>
    <cellStyle name="Процентный 5 140" xfId="3601" xr:uid="{00000000-0005-0000-0000-000056A80000}"/>
    <cellStyle name="Процентный 5 140 10" xfId="51664" xr:uid="{00000000-0005-0000-0000-000057A80000}"/>
    <cellStyle name="Процентный 5 140 2" xfId="8944" xr:uid="{00000000-0005-0000-0000-000058A80000}"/>
    <cellStyle name="Процентный 5 140 2 2" xfId="57005" xr:uid="{00000000-0005-0000-0000-000059A80000}"/>
    <cellStyle name="Процентный 5 140 3" xfId="14284" xr:uid="{00000000-0005-0000-0000-00005AA80000}"/>
    <cellStyle name="Процентный 5 140 4" xfId="19624" xr:uid="{00000000-0005-0000-0000-00005BA80000}"/>
    <cellStyle name="Процентный 5 140 5" xfId="24964" xr:uid="{00000000-0005-0000-0000-00005CA80000}"/>
    <cellStyle name="Процентный 5 140 6" xfId="30304" xr:uid="{00000000-0005-0000-0000-00005DA80000}"/>
    <cellStyle name="Процентный 5 140 7" xfId="35644" xr:uid="{00000000-0005-0000-0000-00005EA80000}"/>
    <cellStyle name="Процентный 5 140 8" xfId="40984" xr:uid="{00000000-0005-0000-0000-00005FA80000}"/>
    <cellStyle name="Процентный 5 140 9" xfId="46324" xr:uid="{00000000-0005-0000-0000-000060A80000}"/>
    <cellStyle name="Процентный 5 141" xfId="3633" xr:uid="{00000000-0005-0000-0000-000061A80000}"/>
    <cellStyle name="Процентный 5 141 10" xfId="51696" xr:uid="{00000000-0005-0000-0000-000062A80000}"/>
    <cellStyle name="Процентный 5 141 2" xfId="8976" xr:uid="{00000000-0005-0000-0000-000063A80000}"/>
    <cellStyle name="Процентный 5 141 2 2" xfId="57037" xr:uid="{00000000-0005-0000-0000-000064A80000}"/>
    <cellStyle name="Процентный 5 141 3" xfId="14316" xr:uid="{00000000-0005-0000-0000-000065A80000}"/>
    <cellStyle name="Процентный 5 141 4" xfId="19656" xr:uid="{00000000-0005-0000-0000-000066A80000}"/>
    <cellStyle name="Процентный 5 141 5" xfId="24996" xr:uid="{00000000-0005-0000-0000-000067A80000}"/>
    <cellStyle name="Процентный 5 141 6" xfId="30336" xr:uid="{00000000-0005-0000-0000-000068A80000}"/>
    <cellStyle name="Процентный 5 141 7" xfId="35676" xr:uid="{00000000-0005-0000-0000-000069A80000}"/>
    <cellStyle name="Процентный 5 141 8" xfId="41016" xr:uid="{00000000-0005-0000-0000-00006AA80000}"/>
    <cellStyle name="Процентный 5 141 9" xfId="46356" xr:uid="{00000000-0005-0000-0000-00006BA80000}"/>
    <cellStyle name="Процентный 5 142" xfId="3665" xr:uid="{00000000-0005-0000-0000-00006CA80000}"/>
    <cellStyle name="Процентный 5 142 10" xfId="51728" xr:uid="{00000000-0005-0000-0000-00006DA80000}"/>
    <cellStyle name="Процентный 5 142 2" xfId="9008" xr:uid="{00000000-0005-0000-0000-00006EA80000}"/>
    <cellStyle name="Процентный 5 142 2 2" xfId="57069" xr:uid="{00000000-0005-0000-0000-00006FA80000}"/>
    <cellStyle name="Процентный 5 142 3" xfId="14348" xr:uid="{00000000-0005-0000-0000-000070A80000}"/>
    <cellStyle name="Процентный 5 142 4" xfId="19688" xr:uid="{00000000-0005-0000-0000-000071A80000}"/>
    <cellStyle name="Процентный 5 142 5" xfId="25028" xr:uid="{00000000-0005-0000-0000-000072A80000}"/>
    <cellStyle name="Процентный 5 142 6" xfId="30368" xr:uid="{00000000-0005-0000-0000-000073A80000}"/>
    <cellStyle name="Процентный 5 142 7" xfId="35708" xr:uid="{00000000-0005-0000-0000-000074A80000}"/>
    <cellStyle name="Процентный 5 142 8" xfId="41048" xr:uid="{00000000-0005-0000-0000-000075A80000}"/>
    <cellStyle name="Процентный 5 142 9" xfId="46388" xr:uid="{00000000-0005-0000-0000-000076A80000}"/>
    <cellStyle name="Процентный 5 143" xfId="3697" xr:uid="{00000000-0005-0000-0000-000077A80000}"/>
    <cellStyle name="Процентный 5 143 10" xfId="51760" xr:uid="{00000000-0005-0000-0000-000078A80000}"/>
    <cellStyle name="Процентный 5 143 2" xfId="9040" xr:uid="{00000000-0005-0000-0000-000079A80000}"/>
    <cellStyle name="Процентный 5 143 2 2" xfId="57101" xr:uid="{00000000-0005-0000-0000-00007AA80000}"/>
    <cellStyle name="Процентный 5 143 3" xfId="14380" xr:uid="{00000000-0005-0000-0000-00007BA80000}"/>
    <cellStyle name="Процентный 5 143 4" xfId="19720" xr:uid="{00000000-0005-0000-0000-00007CA80000}"/>
    <cellStyle name="Процентный 5 143 5" xfId="25060" xr:uid="{00000000-0005-0000-0000-00007DA80000}"/>
    <cellStyle name="Процентный 5 143 6" xfId="30400" xr:uid="{00000000-0005-0000-0000-00007EA80000}"/>
    <cellStyle name="Процентный 5 143 7" xfId="35740" xr:uid="{00000000-0005-0000-0000-00007FA80000}"/>
    <cellStyle name="Процентный 5 143 8" xfId="41080" xr:uid="{00000000-0005-0000-0000-000080A80000}"/>
    <cellStyle name="Процентный 5 143 9" xfId="46420" xr:uid="{00000000-0005-0000-0000-000081A80000}"/>
    <cellStyle name="Процентный 5 144" xfId="3729" xr:uid="{00000000-0005-0000-0000-000082A80000}"/>
    <cellStyle name="Процентный 5 144 10" xfId="51792" xr:uid="{00000000-0005-0000-0000-000083A80000}"/>
    <cellStyle name="Процентный 5 144 2" xfId="9072" xr:uid="{00000000-0005-0000-0000-000084A80000}"/>
    <cellStyle name="Процентный 5 144 2 2" xfId="57133" xr:uid="{00000000-0005-0000-0000-000085A80000}"/>
    <cellStyle name="Процентный 5 144 3" xfId="14412" xr:uid="{00000000-0005-0000-0000-000086A80000}"/>
    <cellStyle name="Процентный 5 144 4" xfId="19752" xr:uid="{00000000-0005-0000-0000-000087A80000}"/>
    <cellStyle name="Процентный 5 144 5" xfId="25092" xr:uid="{00000000-0005-0000-0000-000088A80000}"/>
    <cellStyle name="Процентный 5 144 6" xfId="30432" xr:uid="{00000000-0005-0000-0000-000089A80000}"/>
    <cellStyle name="Процентный 5 144 7" xfId="35772" xr:uid="{00000000-0005-0000-0000-00008AA80000}"/>
    <cellStyle name="Процентный 5 144 8" xfId="41112" xr:uid="{00000000-0005-0000-0000-00008BA80000}"/>
    <cellStyle name="Процентный 5 144 9" xfId="46452" xr:uid="{00000000-0005-0000-0000-00008CA80000}"/>
    <cellStyle name="Процентный 5 145" xfId="3761" xr:uid="{00000000-0005-0000-0000-00008DA80000}"/>
    <cellStyle name="Процентный 5 145 10" xfId="51824" xr:uid="{00000000-0005-0000-0000-00008EA80000}"/>
    <cellStyle name="Процентный 5 145 2" xfId="9104" xr:uid="{00000000-0005-0000-0000-00008FA80000}"/>
    <cellStyle name="Процентный 5 145 2 2" xfId="57165" xr:uid="{00000000-0005-0000-0000-000090A80000}"/>
    <cellStyle name="Процентный 5 145 3" xfId="14444" xr:uid="{00000000-0005-0000-0000-000091A80000}"/>
    <cellStyle name="Процентный 5 145 4" xfId="19784" xr:uid="{00000000-0005-0000-0000-000092A80000}"/>
    <cellStyle name="Процентный 5 145 5" xfId="25124" xr:uid="{00000000-0005-0000-0000-000093A80000}"/>
    <cellStyle name="Процентный 5 145 6" xfId="30464" xr:uid="{00000000-0005-0000-0000-000094A80000}"/>
    <cellStyle name="Процентный 5 145 7" xfId="35804" xr:uid="{00000000-0005-0000-0000-000095A80000}"/>
    <cellStyle name="Процентный 5 145 8" xfId="41144" xr:uid="{00000000-0005-0000-0000-000096A80000}"/>
    <cellStyle name="Процентный 5 145 9" xfId="46484" xr:uid="{00000000-0005-0000-0000-000097A80000}"/>
    <cellStyle name="Процентный 5 146" xfId="3793" xr:uid="{00000000-0005-0000-0000-000098A80000}"/>
    <cellStyle name="Процентный 5 146 10" xfId="51856" xr:uid="{00000000-0005-0000-0000-000099A80000}"/>
    <cellStyle name="Процентный 5 146 2" xfId="9136" xr:uid="{00000000-0005-0000-0000-00009AA80000}"/>
    <cellStyle name="Процентный 5 146 2 2" xfId="57197" xr:uid="{00000000-0005-0000-0000-00009BA80000}"/>
    <cellStyle name="Процентный 5 146 3" xfId="14476" xr:uid="{00000000-0005-0000-0000-00009CA80000}"/>
    <cellStyle name="Процентный 5 146 4" xfId="19816" xr:uid="{00000000-0005-0000-0000-00009DA80000}"/>
    <cellStyle name="Процентный 5 146 5" xfId="25156" xr:uid="{00000000-0005-0000-0000-00009EA80000}"/>
    <cellStyle name="Процентный 5 146 6" xfId="30496" xr:uid="{00000000-0005-0000-0000-00009FA80000}"/>
    <cellStyle name="Процентный 5 146 7" xfId="35836" xr:uid="{00000000-0005-0000-0000-0000A0A80000}"/>
    <cellStyle name="Процентный 5 146 8" xfId="41176" xr:uid="{00000000-0005-0000-0000-0000A1A80000}"/>
    <cellStyle name="Процентный 5 146 9" xfId="46516" xr:uid="{00000000-0005-0000-0000-0000A2A80000}"/>
    <cellStyle name="Процентный 5 147" xfId="3825" xr:uid="{00000000-0005-0000-0000-0000A3A80000}"/>
    <cellStyle name="Процентный 5 147 10" xfId="51888" xr:uid="{00000000-0005-0000-0000-0000A4A80000}"/>
    <cellStyle name="Процентный 5 147 2" xfId="9168" xr:uid="{00000000-0005-0000-0000-0000A5A80000}"/>
    <cellStyle name="Процентный 5 147 2 2" xfId="57229" xr:uid="{00000000-0005-0000-0000-0000A6A80000}"/>
    <cellStyle name="Процентный 5 147 3" xfId="14508" xr:uid="{00000000-0005-0000-0000-0000A7A80000}"/>
    <cellStyle name="Процентный 5 147 4" xfId="19848" xr:uid="{00000000-0005-0000-0000-0000A8A80000}"/>
    <cellStyle name="Процентный 5 147 5" xfId="25188" xr:uid="{00000000-0005-0000-0000-0000A9A80000}"/>
    <cellStyle name="Процентный 5 147 6" xfId="30528" xr:uid="{00000000-0005-0000-0000-0000AAA80000}"/>
    <cellStyle name="Процентный 5 147 7" xfId="35868" xr:uid="{00000000-0005-0000-0000-0000ABA80000}"/>
    <cellStyle name="Процентный 5 147 8" xfId="41208" xr:uid="{00000000-0005-0000-0000-0000ACA80000}"/>
    <cellStyle name="Процентный 5 147 9" xfId="46548" xr:uid="{00000000-0005-0000-0000-0000ADA80000}"/>
    <cellStyle name="Процентный 5 148" xfId="3857" xr:uid="{00000000-0005-0000-0000-0000AEA80000}"/>
    <cellStyle name="Процентный 5 148 10" xfId="51920" xr:uid="{00000000-0005-0000-0000-0000AFA80000}"/>
    <cellStyle name="Процентный 5 148 2" xfId="9200" xr:uid="{00000000-0005-0000-0000-0000B0A80000}"/>
    <cellStyle name="Процентный 5 148 2 2" xfId="57261" xr:uid="{00000000-0005-0000-0000-0000B1A80000}"/>
    <cellStyle name="Процентный 5 148 3" xfId="14540" xr:uid="{00000000-0005-0000-0000-0000B2A80000}"/>
    <cellStyle name="Процентный 5 148 4" xfId="19880" xr:uid="{00000000-0005-0000-0000-0000B3A80000}"/>
    <cellStyle name="Процентный 5 148 5" xfId="25220" xr:uid="{00000000-0005-0000-0000-0000B4A80000}"/>
    <cellStyle name="Процентный 5 148 6" xfId="30560" xr:uid="{00000000-0005-0000-0000-0000B5A80000}"/>
    <cellStyle name="Процентный 5 148 7" xfId="35900" xr:uid="{00000000-0005-0000-0000-0000B6A80000}"/>
    <cellStyle name="Процентный 5 148 8" xfId="41240" xr:uid="{00000000-0005-0000-0000-0000B7A80000}"/>
    <cellStyle name="Процентный 5 148 9" xfId="46580" xr:uid="{00000000-0005-0000-0000-0000B8A80000}"/>
    <cellStyle name="Процентный 5 149" xfId="3889" xr:uid="{00000000-0005-0000-0000-0000B9A80000}"/>
    <cellStyle name="Процентный 5 149 10" xfId="51952" xr:uid="{00000000-0005-0000-0000-0000BAA80000}"/>
    <cellStyle name="Процентный 5 149 2" xfId="9232" xr:uid="{00000000-0005-0000-0000-0000BBA80000}"/>
    <cellStyle name="Процентный 5 149 2 2" xfId="57293" xr:uid="{00000000-0005-0000-0000-0000BCA80000}"/>
    <cellStyle name="Процентный 5 149 3" xfId="14572" xr:uid="{00000000-0005-0000-0000-0000BDA80000}"/>
    <cellStyle name="Процентный 5 149 4" xfId="19912" xr:uid="{00000000-0005-0000-0000-0000BEA80000}"/>
    <cellStyle name="Процентный 5 149 5" xfId="25252" xr:uid="{00000000-0005-0000-0000-0000BFA80000}"/>
    <cellStyle name="Процентный 5 149 6" xfId="30592" xr:uid="{00000000-0005-0000-0000-0000C0A80000}"/>
    <cellStyle name="Процентный 5 149 7" xfId="35932" xr:uid="{00000000-0005-0000-0000-0000C1A80000}"/>
    <cellStyle name="Процентный 5 149 8" xfId="41272" xr:uid="{00000000-0005-0000-0000-0000C2A80000}"/>
    <cellStyle name="Процентный 5 149 9" xfId="46612" xr:uid="{00000000-0005-0000-0000-0000C3A80000}"/>
    <cellStyle name="Процентный 5 15" xfId="165" xr:uid="{00000000-0005-0000-0000-0000C4A80000}"/>
    <cellStyle name="Процентный 5 15 10" xfId="42887" xr:uid="{00000000-0005-0000-0000-0000C5A80000}"/>
    <cellStyle name="Процентный 5 15 11" xfId="48227" xr:uid="{00000000-0005-0000-0000-0000C6A80000}"/>
    <cellStyle name="Процентный 5 15 2" xfId="632" xr:uid="{00000000-0005-0000-0000-0000C7A80000}"/>
    <cellStyle name="Процентный 5 15 2 10" xfId="48694" xr:uid="{00000000-0005-0000-0000-0000C8A80000}"/>
    <cellStyle name="Процентный 5 15 2 2" xfId="5973" xr:uid="{00000000-0005-0000-0000-0000C9A80000}"/>
    <cellStyle name="Процентный 5 15 2 2 2" xfId="54035" xr:uid="{00000000-0005-0000-0000-0000CAA80000}"/>
    <cellStyle name="Процентный 5 15 2 3" xfId="11314" xr:uid="{00000000-0005-0000-0000-0000CBA80000}"/>
    <cellStyle name="Процентный 5 15 2 4" xfId="16654" xr:uid="{00000000-0005-0000-0000-0000CCA80000}"/>
    <cellStyle name="Процентный 5 15 2 5" xfId="21994" xr:uid="{00000000-0005-0000-0000-0000CDA80000}"/>
    <cellStyle name="Процентный 5 15 2 6" xfId="27334" xr:uid="{00000000-0005-0000-0000-0000CEA80000}"/>
    <cellStyle name="Процентный 5 15 2 7" xfId="32674" xr:uid="{00000000-0005-0000-0000-0000CFA80000}"/>
    <cellStyle name="Процентный 5 15 2 8" xfId="38014" xr:uid="{00000000-0005-0000-0000-0000D0A80000}"/>
    <cellStyle name="Процентный 5 15 2 9" xfId="43354" xr:uid="{00000000-0005-0000-0000-0000D1A80000}"/>
    <cellStyle name="Процентный 5 15 3" xfId="5506" xr:uid="{00000000-0005-0000-0000-0000D2A80000}"/>
    <cellStyle name="Процентный 5 15 3 2" xfId="53568" xr:uid="{00000000-0005-0000-0000-0000D3A80000}"/>
    <cellStyle name="Процентный 5 15 4" xfId="10847" xr:uid="{00000000-0005-0000-0000-0000D4A80000}"/>
    <cellStyle name="Процентный 5 15 5" xfId="16187" xr:uid="{00000000-0005-0000-0000-0000D5A80000}"/>
    <cellStyle name="Процентный 5 15 6" xfId="21527" xr:uid="{00000000-0005-0000-0000-0000D6A80000}"/>
    <cellStyle name="Процентный 5 15 7" xfId="26867" xr:uid="{00000000-0005-0000-0000-0000D7A80000}"/>
    <cellStyle name="Процентный 5 15 8" xfId="32207" xr:uid="{00000000-0005-0000-0000-0000D8A80000}"/>
    <cellStyle name="Процентный 5 15 9" xfId="37547" xr:uid="{00000000-0005-0000-0000-0000D9A80000}"/>
    <cellStyle name="Процентный 5 150" xfId="3921" xr:uid="{00000000-0005-0000-0000-0000DAA80000}"/>
    <cellStyle name="Процентный 5 150 10" xfId="51984" xr:uid="{00000000-0005-0000-0000-0000DBA80000}"/>
    <cellStyle name="Процентный 5 150 2" xfId="9264" xr:uid="{00000000-0005-0000-0000-0000DCA80000}"/>
    <cellStyle name="Процентный 5 150 2 2" xfId="57325" xr:uid="{00000000-0005-0000-0000-0000DDA80000}"/>
    <cellStyle name="Процентный 5 150 3" xfId="14604" xr:uid="{00000000-0005-0000-0000-0000DEA80000}"/>
    <cellStyle name="Процентный 5 150 4" xfId="19944" xr:uid="{00000000-0005-0000-0000-0000DFA80000}"/>
    <cellStyle name="Процентный 5 150 5" xfId="25284" xr:uid="{00000000-0005-0000-0000-0000E0A80000}"/>
    <cellStyle name="Процентный 5 150 6" xfId="30624" xr:uid="{00000000-0005-0000-0000-0000E1A80000}"/>
    <cellStyle name="Процентный 5 150 7" xfId="35964" xr:uid="{00000000-0005-0000-0000-0000E2A80000}"/>
    <cellStyle name="Процентный 5 150 8" xfId="41304" xr:uid="{00000000-0005-0000-0000-0000E3A80000}"/>
    <cellStyle name="Процентный 5 150 9" xfId="46644" xr:uid="{00000000-0005-0000-0000-0000E4A80000}"/>
    <cellStyle name="Процентный 5 151" xfId="3953" xr:uid="{00000000-0005-0000-0000-0000E5A80000}"/>
    <cellStyle name="Процентный 5 151 10" xfId="52016" xr:uid="{00000000-0005-0000-0000-0000E6A80000}"/>
    <cellStyle name="Процентный 5 151 2" xfId="9296" xr:uid="{00000000-0005-0000-0000-0000E7A80000}"/>
    <cellStyle name="Процентный 5 151 2 2" xfId="57357" xr:uid="{00000000-0005-0000-0000-0000E8A80000}"/>
    <cellStyle name="Процентный 5 151 3" xfId="14636" xr:uid="{00000000-0005-0000-0000-0000E9A80000}"/>
    <cellStyle name="Процентный 5 151 4" xfId="19976" xr:uid="{00000000-0005-0000-0000-0000EAA80000}"/>
    <cellStyle name="Процентный 5 151 5" xfId="25316" xr:uid="{00000000-0005-0000-0000-0000EBA80000}"/>
    <cellStyle name="Процентный 5 151 6" xfId="30656" xr:uid="{00000000-0005-0000-0000-0000ECA80000}"/>
    <cellStyle name="Процентный 5 151 7" xfId="35996" xr:uid="{00000000-0005-0000-0000-0000EDA80000}"/>
    <cellStyle name="Процентный 5 151 8" xfId="41336" xr:uid="{00000000-0005-0000-0000-0000EEA80000}"/>
    <cellStyle name="Процентный 5 151 9" xfId="46676" xr:uid="{00000000-0005-0000-0000-0000EFA80000}"/>
    <cellStyle name="Процентный 5 152" xfId="3985" xr:uid="{00000000-0005-0000-0000-0000F0A80000}"/>
    <cellStyle name="Процентный 5 152 10" xfId="52048" xr:uid="{00000000-0005-0000-0000-0000F1A80000}"/>
    <cellStyle name="Процентный 5 152 2" xfId="9328" xr:uid="{00000000-0005-0000-0000-0000F2A80000}"/>
    <cellStyle name="Процентный 5 152 2 2" xfId="57389" xr:uid="{00000000-0005-0000-0000-0000F3A80000}"/>
    <cellStyle name="Процентный 5 152 3" xfId="14668" xr:uid="{00000000-0005-0000-0000-0000F4A80000}"/>
    <cellStyle name="Процентный 5 152 4" xfId="20008" xr:uid="{00000000-0005-0000-0000-0000F5A80000}"/>
    <cellStyle name="Процентный 5 152 5" xfId="25348" xr:uid="{00000000-0005-0000-0000-0000F6A80000}"/>
    <cellStyle name="Процентный 5 152 6" xfId="30688" xr:uid="{00000000-0005-0000-0000-0000F7A80000}"/>
    <cellStyle name="Процентный 5 152 7" xfId="36028" xr:uid="{00000000-0005-0000-0000-0000F8A80000}"/>
    <cellStyle name="Процентный 5 152 8" xfId="41368" xr:uid="{00000000-0005-0000-0000-0000F9A80000}"/>
    <cellStyle name="Процентный 5 152 9" xfId="46708" xr:uid="{00000000-0005-0000-0000-0000FAA80000}"/>
    <cellStyle name="Процентный 5 153" xfId="4017" xr:uid="{00000000-0005-0000-0000-0000FBA80000}"/>
    <cellStyle name="Процентный 5 153 10" xfId="52080" xr:uid="{00000000-0005-0000-0000-0000FCA80000}"/>
    <cellStyle name="Процентный 5 153 2" xfId="9360" xr:uid="{00000000-0005-0000-0000-0000FDA80000}"/>
    <cellStyle name="Процентный 5 153 2 2" xfId="57421" xr:uid="{00000000-0005-0000-0000-0000FEA80000}"/>
    <cellStyle name="Процентный 5 153 3" xfId="14700" xr:uid="{00000000-0005-0000-0000-0000FFA80000}"/>
    <cellStyle name="Процентный 5 153 4" xfId="20040" xr:uid="{00000000-0005-0000-0000-000000A90000}"/>
    <cellStyle name="Процентный 5 153 5" xfId="25380" xr:uid="{00000000-0005-0000-0000-000001A90000}"/>
    <cellStyle name="Процентный 5 153 6" xfId="30720" xr:uid="{00000000-0005-0000-0000-000002A90000}"/>
    <cellStyle name="Процентный 5 153 7" xfId="36060" xr:uid="{00000000-0005-0000-0000-000003A90000}"/>
    <cellStyle name="Процентный 5 153 8" xfId="41400" xr:uid="{00000000-0005-0000-0000-000004A90000}"/>
    <cellStyle name="Процентный 5 153 9" xfId="46740" xr:uid="{00000000-0005-0000-0000-000005A90000}"/>
    <cellStyle name="Процентный 5 154" xfId="4049" xr:uid="{00000000-0005-0000-0000-000006A90000}"/>
    <cellStyle name="Процентный 5 154 10" xfId="52112" xr:uid="{00000000-0005-0000-0000-000007A90000}"/>
    <cellStyle name="Процентный 5 154 2" xfId="9392" xr:uid="{00000000-0005-0000-0000-000008A90000}"/>
    <cellStyle name="Процентный 5 154 2 2" xfId="57453" xr:uid="{00000000-0005-0000-0000-000009A90000}"/>
    <cellStyle name="Процентный 5 154 3" xfId="14732" xr:uid="{00000000-0005-0000-0000-00000AA90000}"/>
    <cellStyle name="Процентный 5 154 4" xfId="20072" xr:uid="{00000000-0005-0000-0000-00000BA90000}"/>
    <cellStyle name="Процентный 5 154 5" xfId="25412" xr:uid="{00000000-0005-0000-0000-00000CA90000}"/>
    <cellStyle name="Процентный 5 154 6" xfId="30752" xr:uid="{00000000-0005-0000-0000-00000DA90000}"/>
    <cellStyle name="Процентный 5 154 7" xfId="36092" xr:uid="{00000000-0005-0000-0000-00000EA90000}"/>
    <cellStyle name="Процентный 5 154 8" xfId="41432" xr:uid="{00000000-0005-0000-0000-00000FA90000}"/>
    <cellStyle name="Процентный 5 154 9" xfId="46772" xr:uid="{00000000-0005-0000-0000-000010A90000}"/>
    <cellStyle name="Процентный 5 155" xfId="4081" xr:uid="{00000000-0005-0000-0000-000011A90000}"/>
    <cellStyle name="Процентный 5 155 10" xfId="52144" xr:uid="{00000000-0005-0000-0000-000012A90000}"/>
    <cellStyle name="Процентный 5 155 2" xfId="9424" xr:uid="{00000000-0005-0000-0000-000013A90000}"/>
    <cellStyle name="Процентный 5 155 2 2" xfId="57485" xr:uid="{00000000-0005-0000-0000-000014A90000}"/>
    <cellStyle name="Процентный 5 155 3" xfId="14764" xr:uid="{00000000-0005-0000-0000-000015A90000}"/>
    <cellStyle name="Процентный 5 155 4" xfId="20104" xr:uid="{00000000-0005-0000-0000-000016A90000}"/>
    <cellStyle name="Процентный 5 155 5" xfId="25444" xr:uid="{00000000-0005-0000-0000-000017A90000}"/>
    <cellStyle name="Процентный 5 155 6" xfId="30784" xr:uid="{00000000-0005-0000-0000-000018A90000}"/>
    <cellStyle name="Процентный 5 155 7" xfId="36124" xr:uid="{00000000-0005-0000-0000-000019A90000}"/>
    <cellStyle name="Процентный 5 155 8" xfId="41464" xr:uid="{00000000-0005-0000-0000-00001AA90000}"/>
    <cellStyle name="Процентный 5 155 9" xfId="46804" xr:uid="{00000000-0005-0000-0000-00001BA90000}"/>
    <cellStyle name="Процентный 5 156" xfId="4113" xr:uid="{00000000-0005-0000-0000-00001CA90000}"/>
    <cellStyle name="Процентный 5 156 10" xfId="52176" xr:uid="{00000000-0005-0000-0000-00001DA90000}"/>
    <cellStyle name="Процентный 5 156 2" xfId="9456" xr:uid="{00000000-0005-0000-0000-00001EA90000}"/>
    <cellStyle name="Процентный 5 156 2 2" xfId="57517" xr:uid="{00000000-0005-0000-0000-00001FA90000}"/>
    <cellStyle name="Процентный 5 156 3" xfId="14796" xr:uid="{00000000-0005-0000-0000-000020A90000}"/>
    <cellStyle name="Процентный 5 156 4" xfId="20136" xr:uid="{00000000-0005-0000-0000-000021A90000}"/>
    <cellStyle name="Процентный 5 156 5" xfId="25476" xr:uid="{00000000-0005-0000-0000-000022A90000}"/>
    <cellStyle name="Процентный 5 156 6" xfId="30816" xr:uid="{00000000-0005-0000-0000-000023A90000}"/>
    <cellStyle name="Процентный 5 156 7" xfId="36156" xr:uid="{00000000-0005-0000-0000-000024A90000}"/>
    <cellStyle name="Процентный 5 156 8" xfId="41496" xr:uid="{00000000-0005-0000-0000-000025A90000}"/>
    <cellStyle name="Процентный 5 156 9" xfId="46836" xr:uid="{00000000-0005-0000-0000-000026A90000}"/>
    <cellStyle name="Процентный 5 157" xfId="4145" xr:uid="{00000000-0005-0000-0000-000027A90000}"/>
    <cellStyle name="Процентный 5 157 10" xfId="52208" xr:uid="{00000000-0005-0000-0000-000028A90000}"/>
    <cellStyle name="Процентный 5 157 2" xfId="9488" xr:uid="{00000000-0005-0000-0000-000029A90000}"/>
    <cellStyle name="Процентный 5 157 2 2" xfId="57549" xr:uid="{00000000-0005-0000-0000-00002AA90000}"/>
    <cellStyle name="Процентный 5 157 3" xfId="14828" xr:uid="{00000000-0005-0000-0000-00002BA90000}"/>
    <cellStyle name="Процентный 5 157 4" xfId="20168" xr:uid="{00000000-0005-0000-0000-00002CA90000}"/>
    <cellStyle name="Процентный 5 157 5" xfId="25508" xr:uid="{00000000-0005-0000-0000-00002DA90000}"/>
    <cellStyle name="Процентный 5 157 6" xfId="30848" xr:uid="{00000000-0005-0000-0000-00002EA90000}"/>
    <cellStyle name="Процентный 5 157 7" xfId="36188" xr:uid="{00000000-0005-0000-0000-00002FA90000}"/>
    <cellStyle name="Процентный 5 157 8" xfId="41528" xr:uid="{00000000-0005-0000-0000-000030A90000}"/>
    <cellStyle name="Процентный 5 157 9" xfId="46868" xr:uid="{00000000-0005-0000-0000-000031A90000}"/>
    <cellStyle name="Процентный 5 158" xfId="4177" xr:uid="{00000000-0005-0000-0000-000032A90000}"/>
    <cellStyle name="Процентный 5 158 10" xfId="52240" xr:uid="{00000000-0005-0000-0000-000033A90000}"/>
    <cellStyle name="Процентный 5 158 2" xfId="9520" xr:uid="{00000000-0005-0000-0000-000034A90000}"/>
    <cellStyle name="Процентный 5 158 2 2" xfId="57581" xr:uid="{00000000-0005-0000-0000-000035A90000}"/>
    <cellStyle name="Процентный 5 158 3" xfId="14860" xr:uid="{00000000-0005-0000-0000-000036A90000}"/>
    <cellStyle name="Процентный 5 158 4" xfId="20200" xr:uid="{00000000-0005-0000-0000-000037A90000}"/>
    <cellStyle name="Процентный 5 158 5" xfId="25540" xr:uid="{00000000-0005-0000-0000-000038A90000}"/>
    <cellStyle name="Процентный 5 158 6" xfId="30880" xr:uid="{00000000-0005-0000-0000-000039A90000}"/>
    <cellStyle name="Процентный 5 158 7" xfId="36220" xr:uid="{00000000-0005-0000-0000-00003AA90000}"/>
    <cellStyle name="Процентный 5 158 8" xfId="41560" xr:uid="{00000000-0005-0000-0000-00003BA90000}"/>
    <cellStyle name="Процентный 5 158 9" xfId="46900" xr:uid="{00000000-0005-0000-0000-00003CA90000}"/>
    <cellStyle name="Процентный 5 159" xfId="4209" xr:uid="{00000000-0005-0000-0000-00003DA90000}"/>
    <cellStyle name="Процентный 5 159 10" xfId="52272" xr:uid="{00000000-0005-0000-0000-00003EA90000}"/>
    <cellStyle name="Процентный 5 159 2" xfId="9552" xr:uid="{00000000-0005-0000-0000-00003FA90000}"/>
    <cellStyle name="Процентный 5 159 2 2" xfId="57613" xr:uid="{00000000-0005-0000-0000-000040A90000}"/>
    <cellStyle name="Процентный 5 159 3" xfId="14892" xr:uid="{00000000-0005-0000-0000-000041A90000}"/>
    <cellStyle name="Процентный 5 159 4" xfId="20232" xr:uid="{00000000-0005-0000-0000-000042A90000}"/>
    <cellStyle name="Процентный 5 159 5" xfId="25572" xr:uid="{00000000-0005-0000-0000-000043A90000}"/>
    <cellStyle name="Процентный 5 159 6" xfId="30912" xr:uid="{00000000-0005-0000-0000-000044A90000}"/>
    <cellStyle name="Процентный 5 159 7" xfId="36252" xr:uid="{00000000-0005-0000-0000-000045A90000}"/>
    <cellStyle name="Процентный 5 159 8" xfId="41592" xr:uid="{00000000-0005-0000-0000-000046A90000}"/>
    <cellStyle name="Процентный 5 159 9" xfId="46932" xr:uid="{00000000-0005-0000-0000-000047A90000}"/>
    <cellStyle name="Процентный 5 16" xfId="175" xr:uid="{00000000-0005-0000-0000-000048A90000}"/>
    <cellStyle name="Процентный 5 16 10" xfId="42897" xr:uid="{00000000-0005-0000-0000-000049A90000}"/>
    <cellStyle name="Процентный 5 16 11" xfId="48237" xr:uid="{00000000-0005-0000-0000-00004AA90000}"/>
    <cellStyle name="Процентный 5 16 2" xfId="642" xr:uid="{00000000-0005-0000-0000-00004BA90000}"/>
    <cellStyle name="Процентный 5 16 2 10" xfId="48704" xr:uid="{00000000-0005-0000-0000-00004CA90000}"/>
    <cellStyle name="Процентный 5 16 2 2" xfId="5983" xr:uid="{00000000-0005-0000-0000-00004DA90000}"/>
    <cellStyle name="Процентный 5 16 2 2 2" xfId="54045" xr:uid="{00000000-0005-0000-0000-00004EA90000}"/>
    <cellStyle name="Процентный 5 16 2 3" xfId="11324" xr:uid="{00000000-0005-0000-0000-00004FA90000}"/>
    <cellStyle name="Процентный 5 16 2 4" xfId="16664" xr:uid="{00000000-0005-0000-0000-000050A90000}"/>
    <cellStyle name="Процентный 5 16 2 5" xfId="22004" xr:uid="{00000000-0005-0000-0000-000051A90000}"/>
    <cellStyle name="Процентный 5 16 2 6" xfId="27344" xr:uid="{00000000-0005-0000-0000-000052A90000}"/>
    <cellStyle name="Процентный 5 16 2 7" xfId="32684" xr:uid="{00000000-0005-0000-0000-000053A90000}"/>
    <cellStyle name="Процентный 5 16 2 8" xfId="38024" xr:uid="{00000000-0005-0000-0000-000054A90000}"/>
    <cellStyle name="Процентный 5 16 2 9" xfId="43364" xr:uid="{00000000-0005-0000-0000-000055A90000}"/>
    <cellStyle name="Процентный 5 16 3" xfId="5516" xr:uid="{00000000-0005-0000-0000-000056A90000}"/>
    <cellStyle name="Процентный 5 16 3 2" xfId="53578" xr:uid="{00000000-0005-0000-0000-000057A90000}"/>
    <cellStyle name="Процентный 5 16 4" xfId="10857" xr:uid="{00000000-0005-0000-0000-000058A90000}"/>
    <cellStyle name="Процентный 5 16 5" xfId="16197" xr:uid="{00000000-0005-0000-0000-000059A90000}"/>
    <cellStyle name="Процентный 5 16 6" xfId="21537" xr:uid="{00000000-0005-0000-0000-00005AA90000}"/>
    <cellStyle name="Процентный 5 16 7" xfId="26877" xr:uid="{00000000-0005-0000-0000-00005BA90000}"/>
    <cellStyle name="Процентный 5 16 8" xfId="32217" xr:uid="{00000000-0005-0000-0000-00005CA90000}"/>
    <cellStyle name="Процентный 5 16 9" xfId="37557" xr:uid="{00000000-0005-0000-0000-00005DA90000}"/>
    <cellStyle name="Процентный 5 160" xfId="4241" xr:uid="{00000000-0005-0000-0000-00005EA90000}"/>
    <cellStyle name="Процентный 5 160 10" xfId="52304" xr:uid="{00000000-0005-0000-0000-00005FA90000}"/>
    <cellStyle name="Процентный 5 160 2" xfId="9584" xr:uid="{00000000-0005-0000-0000-000060A90000}"/>
    <cellStyle name="Процентный 5 160 2 2" xfId="57645" xr:uid="{00000000-0005-0000-0000-000061A90000}"/>
    <cellStyle name="Процентный 5 160 3" xfId="14924" xr:uid="{00000000-0005-0000-0000-000062A90000}"/>
    <cellStyle name="Процентный 5 160 4" xfId="20264" xr:uid="{00000000-0005-0000-0000-000063A90000}"/>
    <cellStyle name="Процентный 5 160 5" xfId="25604" xr:uid="{00000000-0005-0000-0000-000064A90000}"/>
    <cellStyle name="Процентный 5 160 6" xfId="30944" xr:uid="{00000000-0005-0000-0000-000065A90000}"/>
    <cellStyle name="Процентный 5 160 7" xfId="36284" xr:uid="{00000000-0005-0000-0000-000066A90000}"/>
    <cellStyle name="Процентный 5 160 8" xfId="41624" xr:uid="{00000000-0005-0000-0000-000067A90000}"/>
    <cellStyle name="Процентный 5 160 9" xfId="46964" xr:uid="{00000000-0005-0000-0000-000068A90000}"/>
    <cellStyle name="Процентный 5 161" xfId="4273" xr:uid="{00000000-0005-0000-0000-000069A90000}"/>
    <cellStyle name="Процентный 5 161 10" xfId="52336" xr:uid="{00000000-0005-0000-0000-00006AA90000}"/>
    <cellStyle name="Процентный 5 161 2" xfId="9616" xr:uid="{00000000-0005-0000-0000-00006BA90000}"/>
    <cellStyle name="Процентный 5 161 2 2" xfId="57677" xr:uid="{00000000-0005-0000-0000-00006CA90000}"/>
    <cellStyle name="Процентный 5 161 3" xfId="14956" xr:uid="{00000000-0005-0000-0000-00006DA90000}"/>
    <cellStyle name="Процентный 5 161 4" xfId="20296" xr:uid="{00000000-0005-0000-0000-00006EA90000}"/>
    <cellStyle name="Процентный 5 161 5" xfId="25636" xr:uid="{00000000-0005-0000-0000-00006FA90000}"/>
    <cellStyle name="Процентный 5 161 6" xfId="30976" xr:uid="{00000000-0005-0000-0000-000070A90000}"/>
    <cellStyle name="Процентный 5 161 7" xfId="36316" xr:uid="{00000000-0005-0000-0000-000071A90000}"/>
    <cellStyle name="Процентный 5 161 8" xfId="41656" xr:uid="{00000000-0005-0000-0000-000072A90000}"/>
    <cellStyle name="Процентный 5 161 9" xfId="46996" xr:uid="{00000000-0005-0000-0000-000073A90000}"/>
    <cellStyle name="Процентный 5 162" xfId="4305" xr:uid="{00000000-0005-0000-0000-000074A90000}"/>
    <cellStyle name="Процентный 5 162 10" xfId="52368" xr:uid="{00000000-0005-0000-0000-000075A90000}"/>
    <cellStyle name="Процентный 5 162 2" xfId="9648" xr:uid="{00000000-0005-0000-0000-000076A90000}"/>
    <cellStyle name="Процентный 5 162 2 2" xfId="57709" xr:uid="{00000000-0005-0000-0000-000077A90000}"/>
    <cellStyle name="Процентный 5 162 3" xfId="14988" xr:uid="{00000000-0005-0000-0000-000078A90000}"/>
    <cellStyle name="Процентный 5 162 4" xfId="20328" xr:uid="{00000000-0005-0000-0000-000079A90000}"/>
    <cellStyle name="Процентный 5 162 5" xfId="25668" xr:uid="{00000000-0005-0000-0000-00007AA90000}"/>
    <cellStyle name="Процентный 5 162 6" xfId="31008" xr:uid="{00000000-0005-0000-0000-00007BA90000}"/>
    <cellStyle name="Процентный 5 162 7" xfId="36348" xr:uid="{00000000-0005-0000-0000-00007CA90000}"/>
    <cellStyle name="Процентный 5 162 8" xfId="41688" xr:uid="{00000000-0005-0000-0000-00007DA90000}"/>
    <cellStyle name="Процентный 5 162 9" xfId="47028" xr:uid="{00000000-0005-0000-0000-00007EA90000}"/>
    <cellStyle name="Процентный 5 163" xfId="4337" xr:uid="{00000000-0005-0000-0000-00007FA90000}"/>
    <cellStyle name="Процентный 5 163 10" xfId="52400" xr:uid="{00000000-0005-0000-0000-000080A90000}"/>
    <cellStyle name="Процентный 5 163 2" xfId="9680" xr:uid="{00000000-0005-0000-0000-000081A90000}"/>
    <cellStyle name="Процентный 5 163 2 2" xfId="57741" xr:uid="{00000000-0005-0000-0000-000082A90000}"/>
    <cellStyle name="Процентный 5 163 3" xfId="15020" xr:uid="{00000000-0005-0000-0000-000083A90000}"/>
    <cellStyle name="Процентный 5 163 4" xfId="20360" xr:uid="{00000000-0005-0000-0000-000084A90000}"/>
    <cellStyle name="Процентный 5 163 5" xfId="25700" xr:uid="{00000000-0005-0000-0000-000085A90000}"/>
    <cellStyle name="Процентный 5 163 6" xfId="31040" xr:uid="{00000000-0005-0000-0000-000086A90000}"/>
    <cellStyle name="Процентный 5 163 7" xfId="36380" xr:uid="{00000000-0005-0000-0000-000087A90000}"/>
    <cellStyle name="Процентный 5 163 8" xfId="41720" xr:uid="{00000000-0005-0000-0000-000088A90000}"/>
    <cellStyle name="Процентный 5 163 9" xfId="47060" xr:uid="{00000000-0005-0000-0000-000089A90000}"/>
    <cellStyle name="Процентный 5 164" xfId="4369" xr:uid="{00000000-0005-0000-0000-00008AA90000}"/>
    <cellStyle name="Процентный 5 164 10" xfId="52432" xr:uid="{00000000-0005-0000-0000-00008BA90000}"/>
    <cellStyle name="Процентный 5 164 2" xfId="9712" xr:uid="{00000000-0005-0000-0000-00008CA90000}"/>
    <cellStyle name="Процентный 5 164 2 2" xfId="57773" xr:uid="{00000000-0005-0000-0000-00008DA90000}"/>
    <cellStyle name="Процентный 5 164 3" xfId="15052" xr:uid="{00000000-0005-0000-0000-00008EA90000}"/>
    <cellStyle name="Процентный 5 164 4" xfId="20392" xr:uid="{00000000-0005-0000-0000-00008FA90000}"/>
    <cellStyle name="Процентный 5 164 5" xfId="25732" xr:uid="{00000000-0005-0000-0000-000090A90000}"/>
    <cellStyle name="Процентный 5 164 6" xfId="31072" xr:uid="{00000000-0005-0000-0000-000091A90000}"/>
    <cellStyle name="Процентный 5 164 7" xfId="36412" xr:uid="{00000000-0005-0000-0000-000092A90000}"/>
    <cellStyle name="Процентный 5 164 8" xfId="41752" xr:uid="{00000000-0005-0000-0000-000093A90000}"/>
    <cellStyle name="Процентный 5 164 9" xfId="47092" xr:uid="{00000000-0005-0000-0000-000094A90000}"/>
    <cellStyle name="Процентный 5 165" xfId="4401" xr:uid="{00000000-0005-0000-0000-000095A90000}"/>
    <cellStyle name="Процентный 5 165 10" xfId="52464" xr:uid="{00000000-0005-0000-0000-000096A90000}"/>
    <cellStyle name="Процентный 5 165 2" xfId="9744" xr:uid="{00000000-0005-0000-0000-000097A90000}"/>
    <cellStyle name="Процентный 5 165 2 2" xfId="57805" xr:uid="{00000000-0005-0000-0000-000098A90000}"/>
    <cellStyle name="Процентный 5 165 3" xfId="15084" xr:uid="{00000000-0005-0000-0000-000099A90000}"/>
    <cellStyle name="Процентный 5 165 4" xfId="20424" xr:uid="{00000000-0005-0000-0000-00009AA90000}"/>
    <cellStyle name="Процентный 5 165 5" xfId="25764" xr:uid="{00000000-0005-0000-0000-00009BA90000}"/>
    <cellStyle name="Процентный 5 165 6" xfId="31104" xr:uid="{00000000-0005-0000-0000-00009CA90000}"/>
    <cellStyle name="Процентный 5 165 7" xfId="36444" xr:uid="{00000000-0005-0000-0000-00009DA90000}"/>
    <cellStyle name="Процентный 5 165 8" xfId="41784" xr:uid="{00000000-0005-0000-0000-00009EA90000}"/>
    <cellStyle name="Процентный 5 165 9" xfId="47124" xr:uid="{00000000-0005-0000-0000-00009FA90000}"/>
    <cellStyle name="Процентный 5 166" xfId="4433" xr:uid="{00000000-0005-0000-0000-0000A0A90000}"/>
    <cellStyle name="Процентный 5 166 10" xfId="52496" xr:uid="{00000000-0005-0000-0000-0000A1A90000}"/>
    <cellStyle name="Процентный 5 166 2" xfId="9776" xr:uid="{00000000-0005-0000-0000-0000A2A90000}"/>
    <cellStyle name="Процентный 5 166 2 2" xfId="57837" xr:uid="{00000000-0005-0000-0000-0000A3A90000}"/>
    <cellStyle name="Процентный 5 166 3" xfId="15116" xr:uid="{00000000-0005-0000-0000-0000A4A90000}"/>
    <cellStyle name="Процентный 5 166 4" xfId="20456" xr:uid="{00000000-0005-0000-0000-0000A5A90000}"/>
    <cellStyle name="Процентный 5 166 5" xfId="25796" xr:uid="{00000000-0005-0000-0000-0000A6A90000}"/>
    <cellStyle name="Процентный 5 166 6" xfId="31136" xr:uid="{00000000-0005-0000-0000-0000A7A90000}"/>
    <cellStyle name="Процентный 5 166 7" xfId="36476" xr:uid="{00000000-0005-0000-0000-0000A8A90000}"/>
    <cellStyle name="Процентный 5 166 8" xfId="41816" xr:uid="{00000000-0005-0000-0000-0000A9A90000}"/>
    <cellStyle name="Процентный 5 166 9" xfId="47156" xr:uid="{00000000-0005-0000-0000-0000AAA90000}"/>
    <cellStyle name="Процентный 5 167" xfId="4465" xr:uid="{00000000-0005-0000-0000-0000ABA90000}"/>
    <cellStyle name="Процентный 5 167 10" xfId="52528" xr:uid="{00000000-0005-0000-0000-0000ACA90000}"/>
    <cellStyle name="Процентный 5 167 2" xfId="9808" xr:uid="{00000000-0005-0000-0000-0000ADA90000}"/>
    <cellStyle name="Процентный 5 167 2 2" xfId="57869" xr:uid="{00000000-0005-0000-0000-0000AEA90000}"/>
    <cellStyle name="Процентный 5 167 3" xfId="15148" xr:uid="{00000000-0005-0000-0000-0000AFA90000}"/>
    <cellStyle name="Процентный 5 167 4" xfId="20488" xr:uid="{00000000-0005-0000-0000-0000B0A90000}"/>
    <cellStyle name="Процентный 5 167 5" xfId="25828" xr:uid="{00000000-0005-0000-0000-0000B1A90000}"/>
    <cellStyle name="Процентный 5 167 6" xfId="31168" xr:uid="{00000000-0005-0000-0000-0000B2A90000}"/>
    <cellStyle name="Процентный 5 167 7" xfId="36508" xr:uid="{00000000-0005-0000-0000-0000B3A90000}"/>
    <cellStyle name="Процентный 5 167 8" xfId="41848" xr:uid="{00000000-0005-0000-0000-0000B4A90000}"/>
    <cellStyle name="Процентный 5 167 9" xfId="47188" xr:uid="{00000000-0005-0000-0000-0000B5A90000}"/>
    <cellStyle name="Процентный 5 168" xfId="4497" xr:uid="{00000000-0005-0000-0000-0000B6A90000}"/>
    <cellStyle name="Процентный 5 168 10" xfId="52560" xr:uid="{00000000-0005-0000-0000-0000B7A90000}"/>
    <cellStyle name="Процентный 5 168 2" xfId="9840" xr:uid="{00000000-0005-0000-0000-0000B8A90000}"/>
    <cellStyle name="Процентный 5 168 2 2" xfId="57901" xr:uid="{00000000-0005-0000-0000-0000B9A90000}"/>
    <cellStyle name="Процентный 5 168 3" xfId="15180" xr:uid="{00000000-0005-0000-0000-0000BAA90000}"/>
    <cellStyle name="Процентный 5 168 4" xfId="20520" xr:uid="{00000000-0005-0000-0000-0000BBA90000}"/>
    <cellStyle name="Процентный 5 168 5" xfId="25860" xr:uid="{00000000-0005-0000-0000-0000BCA90000}"/>
    <cellStyle name="Процентный 5 168 6" xfId="31200" xr:uid="{00000000-0005-0000-0000-0000BDA90000}"/>
    <cellStyle name="Процентный 5 168 7" xfId="36540" xr:uid="{00000000-0005-0000-0000-0000BEA90000}"/>
    <cellStyle name="Процентный 5 168 8" xfId="41880" xr:uid="{00000000-0005-0000-0000-0000BFA90000}"/>
    <cellStyle name="Процентный 5 168 9" xfId="47220" xr:uid="{00000000-0005-0000-0000-0000C0A90000}"/>
    <cellStyle name="Процентный 5 169" xfId="4529" xr:uid="{00000000-0005-0000-0000-0000C1A90000}"/>
    <cellStyle name="Процентный 5 169 10" xfId="52592" xr:uid="{00000000-0005-0000-0000-0000C2A90000}"/>
    <cellStyle name="Процентный 5 169 2" xfId="9872" xr:uid="{00000000-0005-0000-0000-0000C3A90000}"/>
    <cellStyle name="Процентный 5 169 2 2" xfId="57933" xr:uid="{00000000-0005-0000-0000-0000C4A90000}"/>
    <cellStyle name="Процентный 5 169 3" xfId="15212" xr:uid="{00000000-0005-0000-0000-0000C5A90000}"/>
    <cellStyle name="Процентный 5 169 4" xfId="20552" xr:uid="{00000000-0005-0000-0000-0000C6A90000}"/>
    <cellStyle name="Процентный 5 169 5" xfId="25892" xr:uid="{00000000-0005-0000-0000-0000C7A90000}"/>
    <cellStyle name="Процентный 5 169 6" xfId="31232" xr:uid="{00000000-0005-0000-0000-0000C8A90000}"/>
    <cellStyle name="Процентный 5 169 7" xfId="36572" xr:uid="{00000000-0005-0000-0000-0000C9A90000}"/>
    <cellStyle name="Процентный 5 169 8" xfId="41912" xr:uid="{00000000-0005-0000-0000-0000CAA90000}"/>
    <cellStyle name="Процентный 5 169 9" xfId="47252" xr:uid="{00000000-0005-0000-0000-0000CBA90000}"/>
    <cellStyle name="Процентный 5 17" xfId="185" xr:uid="{00000000-0005-0000-0000-0000CCA90000}"/>
    <cellStyle name="Процентный 5 17 10" xfId="42907" xr:uid="{00000000-0005-0000-0000-0000CDA90000}"/>
    <cellStyle name="Процентный 5 17 11" xfId="48247" xr:uid="{00000000-0005-0000-0000-0000CEA90000}"/>
    <cellStyle name="Процентный 5 17 2" xfId="652" xr:uid="{00000000-0005-0000-0000-0000CFA90000}"/>
    <cellStyle name="Процентный 5 17 2 10" xfId="48714" xr:uid="{00000000-0005-0000-0000-0000D0A90000}"/>
    <cellStyle name="Процентный 5 17 2 2" xfId="5993" xr:uid="{00000000-0005-0000-0000-0000D1A90000}"/>
    <cellStyle name="Процентный 5 17 2 2 2" xfId="54055" xr:uid="{00000000-0005-0000-0000-0000D2A90000}"/>
    <cellStyle name="Процентный 5 17 2 3" xfId="11334" xr:uid="{00000000-0005-0000-0000-0000D3A90000}"/>
    <cellStyle name="Процентный 5 17 2 4" xfId="16674" xr:uid="{00000000-0005-0000-0000-0000D4A90000}"/>
    <cellStyle name="Процентный 5 17 2 5" xfId="22014" xr:uid="{00000000-0005-0000-0000-0000D5A90000}"/>
    <cellStyle name="Процентный 5 17 2 6" xfId="27354" xr:uid="{00000000-0005-0000-0000-0000D6A90000}"/>
    <cellStyle name="Процентный 5 17 2 7" xfId="32694" xr:uid="{00000000-0005-0000-0000-0000D7A90000}"/>
    <cellStyle name="Процентный 5 17 2 8" xfId="38034" xr:uid="{00000000-0005-0000-0000-0000D8A90000}"/>
    <cellStyle name="Процентный 5 17 2 9" xfId="43374" xr:uid="{00000000-0005-0000-0000-0000D9A90000}"/>
    <cellStyle name="Процентный 5 17 3" xfId="5526" xr:uid="{00000000-0005-0000-0000-0000DAA90000}"/>
    <cellStyle name="Процентный 5 17 3 2" xfId="53588" xr:uid="{00000000-0005-0000-0000-0000DBA90000}"/>
    <cellStyle name="Процентный 5 17 4" xfId="10867" xr:uid="{00000000-0005-0000-0000-0000DCA90000}"/>
    <cellStyle name="Процентный 5 17 5" xfId="16207" xr:uid="{00000000-0005-0000-0000-0000DDA90000}"/>
    <cellStyle name="Процентный 5 17 6" xfId="21547" xr:uid="{00000000-0005-0000-0000-0000DEA90000}"/>
    <cellStyle name="Процентный 5 17 7" xfId="26887" xr:uid="{00000000-0005-0000-0000-0000DFA90000}"/>
    <cellStyle name="Процентный 5 17 8" xfId="32227" xr:uid="{00000000-0005-0000-0000-0000E0A90000}"/>
    <cellStyle name="Процентный 5 17 9" xfId="37567" xr:uid="{00000000-0005-0000-0000-0000E1A90000}"/>
    <cellStyle name="Процентный 5 170" xfId="4561" xr:uid="{00000000-0005-0000-0000-0000E2A90000}"/>
    <cellStyle name="Процентный 5 170 10" xfId="52624" xr:uid="{00000000-0005-0000-0000-0000E3A90000}"/>
    <cellStyle name="Процентный 5 170 2" xfId="9904" xr:uid="{00000000-0005-0000-0000-0000E4A90000}"/>
    <cellStyle name="Процентный 5 170 2 2" xfId="57965" xr:uid="{00000000-0005-0000-0000-0000E5A90000}"/>
    <cellStyle name="Процентный 5 170 3" xfId="15244" xr:uid="{00000000-0005-0000-0000-0000E6A90000}"/>
    <cellStyle name="Процентный 5 170 4" xfId="20584" xr:uid="{00000000-0005-0000-0000-0000E7A90000}"/>
    <cellStyle name="Процентный 5 170 5" xfId="25924" xr:uid="{00000000-0005-0000-0000-0000E8A90000}"/>
    <cellStyle name="Процентный 5 170 6" xfId="31264" xr:uid="{00000000-0005-0000-0000-0000E9A90000}"/>
    <cellStyle name="Процентный 5 170 7" xfId="36604" xr:uid="{00000000-0005-0000-0000-0000EAA90000}"/>
    <cellStyle name="Процентный 5 170 8" xfId="41944" xr:uid="{00000000-0005-0000-0000-0000EBA90000}"/>
    <cellStyle name="Процентный 5 170 9" xfId="47284" xr:uid="{00000000-0005-0000-0000-0000ECA90000}"/>
    <cellStyle name="Процентный 5 171" xfId="4593" xr:uid="{00000000-0005-0000-0000-0000EDA90000}"/>
    <cellStyle name="Процентный 5 171 10" xfId="52656" xr:uid="{00000000-0005-0000-0000-0000EEA90000}"/>
    <cellStyle name="Процентный 5 171 2" xfId="9936" xr:uid="{00000000-0005-0000-0000-0000EFA90000}"/>
    <cellStyle name="Процентный 5 171 2 2" xfId="57997" xr:uid="{00000000-0005-0000-0000-0000F0A90000}"/>
    <cellStyle name="Процентный 5 171 3" xfId="15276" xr:uid="{00000000-0005-0000-0000-0000F1A90000}"/>
    <cellStyle name="Процентный 5 171 4" xfId="20616" xr:uid="{00000000-0005-0000-0000-0000F2A90000}"/>
    <cellStyle name="Процентный 5 171 5" xfId="25956" xr:uid="{00000000-0005-0000-0000-0000F3A90000}"/>
    <cellStyle name="Процентный 5 171 6" xfId="31296" xr:uid="{00000000-0005-0000-0000-0000F4A90000}"/>
    <cellStyle name="Процентный 5 171 7" xfId="36636" xr:uid="{00000000-0005-0000-0000-0000F5A90000}"/>
    <cellStyle name="Процентный 5 171 8" xfId="41976" xr:uid="{00000000-0005-0000-0000-0000F6A90000}"/>
    <cellStyle name="Процентный 5 171 9" xfId="47316" xr:uid="{00000000-0005-0000-0000-0000F7A90000}"/>
    <cellStyle name="Процентный 5 172" xfId="4625" xr:uid="{00000000-0005-0000-0000-0000F8A90000}"/>
    <cellStyle name="Процентный 5 172 10" xfId="52688" xr:uid="{00000000-0005-0000-0000-0000F9A90000}"/>
    <cellStyle name="Процентный 5 172 2" xfId="9968" xr:uid="{00000000-0005-0000-0000-0000FAA90000}"/>
    <cellStyle name="Процентный 5 172 2 2" xfId="58029" xr:uid="{00000000-0005-0000-0000-0000FBA90000}"/>
    <cellStyle name="Процентный 5 172 3" xfId="15308" xr:uid="{00000000-0005-0000-0000-0000FCA90000}"/>
    <cellStyle name="Процентный 5 172 4" xfId="20648" xr:uid="{00000000-0005-0000-0000-0000FDA90000}"/>
    <cellStyle name="Процентный 5 172 5" xfId="25988" xr:uid="{00000000-0005-0000-0000-0000FEA90000}"/>
    <cellStyle name="Процентный 5 172 6" xfId="31328" xr:uid="{00000000-0005-0000-0000-0000FFA90000}"/>
    <cellStyle name="Процентный 5 172 7" xfId="36668" xr:uid="{00000000-0005-0000-0000-000000AA0000}"/>
    <cellStyle name="Процентный 5 172 8" xfId="42008" xr:uid="{00000000-0005-0000-0000-000001AA0000}"/>
    <cellStyle name="Процентный 5 172 9" xfId="47348" xr:uid="{00000000-0005-0000-0000-000002AA0000}"/>
    <cellStyle name="Процентный 5 173" xfId="4657" xr:uid="{00000000-0005-0000-0000-000003AA0000}"/>
    <cellStyle name="Процентный 5 173 10" xfId="52720" xr:uid="{00000000-0005-0000-0000-000004AA0000}"/>
    <cellStyle name="Процентный 5 173 2" xfId="10000" xr:uid="{00000000-0005-0000-0000-000005AA0000}"/>
    <cellStyle name="Процентный 5 173 2 2" xfId="58061" xr:uid="{00000000-0005-0000-0000-000006AA0000}"/>
    <cellStyle name="Процентный 5 173 3" xfId="15340" xr:uid="{00000000-0005-0000-0000-000007AA0000}"/>
    <cellStyle name="Процентный 5 173 4" xfId="20680" xr:uid="{00000000-0005-0000-0000-000008AA0000}"/>
    <cellStyle name="Процентный 5 173 5" xfId="26020" xr:uid="{00000000-0005-0000-0000-000009AA0000}"/>
    <cellStyle name="Процентный 5 173 6" xfId="31360" xr:uid="{00000000-0005-0000-0000-00000AAA0000}"/>
    <cellStyle name="Процентный 5 173 7" xfId="36700" xr:uid="{00000000-0005-0000-0000-00000BAA0000}"/>
    <cellStyle name="Процентный 5 173 8" xfId="42040" xr:uid="{00000000-0005-0000-0000-00000CAA0000}"/>
    <cellStyle name="Процентный 5 173 9" xfId="47380" xr:uid="{00000000-0005-0000-0000-00000DAA0000}"/>
    <cellStyle name="Процентный 5 174" xfId="4689" xr:uid="{00000000-0005-0000-0000-00000EAA0000}"/>
    <cellStyle name="Процентный 5 174 10" xfId="52752" xr:uid="{00000000-0005-0000-0000-00000FAA0000}"/>
    <cellStyle name="Процентный 5 174 2" xfId="10032" xr:uid="{00000000-0005-0000-0000-000010AA0000}"/>
    <cellStyle name="Процентный 5 174 2 2" xfId="58093" xr:uid="{00000000-0005-0000-0000-000011AA0000}"/>
    <cellStyle name="Процентный 5 174 3" xfId="15372" xr:uid="{00000000-0005-0000-0000-000012AA0000}"/>
    <cellStyle name="Процентный 5 174 4" xfId="20712" xr:uid="{00000000-0005-0000-0000-000013AA0000}"/>
    <cellStyle name="Процентный 5 174 5" xfId="26052" xr:uid="{00000000-0005-0000-0000-000014AA0000}"/>
    <cellStyle name="Процентный 5 174 6" xfId="31392" xr:uid="{00000000-0005-0000-0000-000015AA0000}"/>
    <cellStyle name="Процентный 5 174 7" xfId="36732" xr:uid="{00000000-0005-0000-0000-000016AA0000}"/>
    <cellStyle name="Процентный 5 174 8" xfId="42072" xr:uid="{00000000-0005-0000-0000-000017AA0000}"/>
    <cellStyle name="Процентный 5 174 9" xfId="47412" xr:uid="{00000000-0005-0000-0000-000018AA0000}"/>
    <cellStyle name="Процентный 5 175" xfId="4723" xr:uid="{00000000-0005-0000-0000-000019AA0000}"/>
    <cellStyle name="Процентный 5 175 10" xfId="52786" xr:uid="{00000000-0005-0000-0000-00001AAA0000}"/>
    <cellStyle name="Процентный 5 175 2" xfId="10066" xr:uid="{00000000-0005-0000-0000-00001BAA0000}"/>
    <cellStyle name="Процентный 5 175 2 2" xfId="58127" xr:uid="{00000000-0005-0000-0000-00001CAA0000}"/>
    <cellStyle name="Процентный 5 175 3" xfId="15406" xr:uid="{00000000-0005-0000-0000-00001DAA0000}"/>
    <cellStyle name="Процентный 5 175 4" xfId="20746" xr:uid="{00000000-0005-0000-0000-00001EAA0000}"/>
    <cellStyle name="Процентный 5 175 5" xfId="26086" xr:uid="{00000000-0005-0000-0000-00001FAA0000}"/>
    <cellStyle name="Процентный 5 175 6" xfId="31426" xr:uid="{00000000-0005-0000-0000-000020AA0000}"/>
    <cellStyle name="Процентный 5 175 7" xfId="36766" xr:uid="{00000000-0005-0000-0000-000021AA0000}"/>
    <cellStyle name="Процентный 5 175 8" xfId="42106" xr:uid="{00000000-0005-0000-0000-000022AA0000}"/>
    <cellStyle name="Процентный 5 175 9" xfId="47446" xr:uid="{00000000-0005-0000-0000-000023AA0000}"/>
    <cellStyle name="Процентный 5 176" xfId="4755" xr:uid="{00000000-0005-0000-0000-000024AA0000}"/>
    <cellStyle name="Процентный 5 176 10" xfId="52818" xr:uid="{00000000-0005-0000-0000-000025AA0000}"/>
    <cellStyle name="Процентный 5 176 2" xfId="10098" xr:uid="{00000000-0005-0000-0000-000026AA0000}"/>
    <cellStyle name="Процентный 5 176 2 2" xfId="58159" xr:uid="{00000000-0005-0000-0000-000027AA0000}"/>
    <cellStyle name="Процентный 5 176 3" xfId="15438" xr:uid="{00000000-0005-0000-0000-000028AA0000}"/>
    <cellStyle name="Процентный 5 176 4" xfId="20778" xr:uid="{00000000-0005-0000-0000-000029AA0000}"/>
    <cellStyle name="Процентный 5 176 5" xfId="26118" xr:uid="{00000000-0005-0000-0000-00002AAA0000}"/>
    <cellStyle name="Процентный 5 176 6" xfId="31458" xr:uid="{00000000-0005-0000-0000-00002BAA0000}"/>
    <cellStyle name="Процентный 5 176 7" xfId="36798" xr:uid="{00000000-0005-0000-0000-00002CAA0000}"/>
    <cellStyle name="Процентный 5 176 8" xfId="42138" xr:uid="{00000000-0005-0000-0000-00002DAA0000}"/>
    <cellStyle name="Процентный 5 176 9" xfId="47478" xr:uid="{00000000-0005-0000-0000-00002EAA0000}"/>
    <cellStyle name="Процентный 5 177" xfId="4787" xr:uid="{00000000-0005-0000-0000-00002FAA0000}"/>
    <cellStyle name="Процентный 5 177 10" xfId="52850" xr:uid="{00000000-0005-0000-0000-000030AA0000}"/>
    <cellStyle name="Процентный 5 177 2" xfId="10130" xr:uid="{00000000-0005-0000-0000-000031AA0000}"/>
    <cellStyle name="Процентный 5 177 2 2" xfId="58191" xr:uid="{00000000-0005-0000-0000-000032AA0000}"/>
    <cellStyle name="Процентный 5 177 3" xfId="15470" xr:uid="{00000000-0005-0000-0000-000033AA0000}"/>
    <cellStyle name="Процентный 5 177 4" xfId="20810" xr:uid="{00000000-0005-0000-0000-000034AA0000}"/>
    <cellStyle name="Процентный 5 177 5" xfId="26150" xr:uid="{00000000-0005-0000-0000-000035AA0000}"/>
    <cellStyle name="Процентный 5 177 6" xfId="31490" xr:uid="{00000000-0005-0000-0000-000036AA0000}"/>
    <cellStyle name="Процентный 5 177 7" xfId="36830" xr:uid="{00000000-0005-0000-0000-000037AA0000}"/>
    <cellStyle name="Процентный 5 177 8" xfId="42170" xr:uid="{00000000-0005-0000-0000-000038AA0000}"/>
    <cellStyle name="Процентный 5 177 9" xfId="47510" xr:uid="{00000000-0005-0000-0000-000039AA0000}"/>
    <cellStyle name="Процентный 5 178" xfId="4819" xr:uid="{00000000-0005-0000-0000-00003AAA0000}"/>
    <cellStyle name="Процентный 5 178 10" xfId="52882" xr:uid="{00000000-0005-0000-0000-00003BAA0000}"/>
    <cellStyle name="Процентный 5 178 2" xfId="10162" xr:uid="{00000000-0005-0000-0000-00003CAA0000}"/>
    <cellStyle name="Процентный 5 178 2 2" xfId="58223" xr:uid="{00000000-0005-0000-0000-00003DAA0000}"/>
    <cellStyle name="Процентный 5 178 3" xfId="15502" xr:uid="{00000000-0005-0000-0000-00003EAA0000}"/>
    <cellStyle name="Процентный 5 178 4" xfId="20842" xr:uid="{00000000-0005-0000-0000-00003FAA0000}"/>
    <cellStyle name="Процентный 5 178 5" xfId="26182" xr:uid="{00000000-0005-0000-0000-000040AA0000}"/>
    <cellStyle name="Процентный 5 178 6" xfId="31522" xr:uid="{00000000-0005-0000-0000-000041AA0000}"/>
    <cellStyle name="Процентный 5 178 7" xfId="36862" xr:uid="{00000000-0005-0000-0000-000042AA0000}"/>
    <cellStyle name="Процентный 5 178 8" xfId="42202" xr:uid="{00000000-0005-0000-0000-000043AA0000}"/>
    <cellStyle name="Процентный 5 178 9" xfId="47542" xr:uid="{00000000-0005-0000-0000-000044AA0000}"/>
    <cellStyle name="Процентный 5 179" xfId="4851" xr:uid="{00000000-0005-0000-0000-000045AA0000}"/>
    <cellStyle name="Процентный 5 179 10" xfId="52914" xr:uid="{00000000-0005-0000-0000-000046AA0000}"/>
    <cellStyle name="Процентный 5 179 2" xfId="10194" xr:uid="{00000000-0005-0000-0000-000047AA0000}"/>
    <cellStyle name="Процентный 5 179 2 2" xfId="58255" xr:uid="{00000000-0005-0000-0000-000048AA0000}"/>
    <cellStyle name="Процентный 5 179 3" xfId="15534" xr:uid="{00000000-0005-0000-0000-000049AA0000}"/>
    <cellStyle name="Процентный 5 179 4" xfId="20874" xr:uid="{00000000-0005-0000-0000-00004AAA0000}"/>
    <cellStyle name="Процентный 5 179 5" xfId="26214" xr:uid="{00000000-0005-0000-0000-00004BAA0000}"/>
    <cellStyle name="Процентный 5 179 6" xfId="31554" xr:uid="{00000000-0005-0000-0000-00004CAA0000}"/>
    <cellStyle name="Процентный 5 179 7" xfId="36894" xr:uid="{00000000-0005-0000-0000-00004DAA0000}"/>
    <cellStyle name="Процентный 5 179 8" xfId="42234" xr:uid="{00000000-0005-0000-0000-00004EAA0000}"/>
    <cellStyle name="Процентный 5 179 9" xfId="47574" xr:uid="{00000000-0005-0000-0000-00004FAA0000}"/>
    <cellStyle name="Процентный 5 18" xfId="195" xr:uid="{00000000-0005-0000-0000-000050AA0000}"/>
    <cellStyle name="Процентный 5 18 10" xfId="42917" xr:uid="{00000000-0005-0000-0000-000051AA0000}"/>
    <cellStyle name="Процентный 5 18 11" xfId="48257" xr:uid="{00000000-0005-0000-0000-000052AA0000}"/>
    <cellStyle name="Процентный 5 18 2" xfId="662" xr:uid="{00000000-0005-0000-0000-000053AA0000}"/>
    <cellStyle name="Процентный 5 18 2 10" xfId="48724" xr:uid="{00000000-0005-0000-0000-000054AA0000}"/>
    <cellStyle name="Процентный 5 18 2 2" xfId="6003" xr:uid="{00000000-0005-0000-0000-000055AA0000}"/>
    <cellStyle name="Процентный 5 18 2 2 2" xfId="54065" xr:uid="{00000000-0005-0000-0000-000056AA0000}"/>
    <cellStyle name="Процентный 5 18 2 3" xfId="11344" xr:uid="{00000000-0005-0000-0000-000057AA0000}"/>
    <cellStyle name="Процентный 5 18 2 4" xfId="16684" xr:uid="{00000000-0005-0000-0000-000058AA0000}"/>
    <cellStyle name="Процентный 5 18 2 5" xfId="22024" xr:uid="{00000000-0005-0000-0000-000059AA0000}"/>
    <cellStyle name="Процентный 5 18 2 6" xfId="27364" xr:uid="{00000000-0005-0000-0000-00005AAA0000}"/>
    <cellStyle name="Процентный 5 18 2 7" xfId="32704" xr:uid="{00000000-0005-0000-0000-00005BAA0000}"/>
    <cellStyle name="Процентный 5 18 2 8" xfId="38044" xr:uid="{00000000-0005-0000-0000-00005CAA0000}"/>
    <cellStyle name="Процентный 5 18 2 9" xfId="43384" xr:uid="{00000000-0005-0000-0000-00005DAA0000}"/>
    <cellStyle name="Процентный 5 18 3" xfId="5536" xr:uid="{00000000-0005-0000-0000-00005EAA0000}"/>
    <cellStyle name="Процентный 5 18 3 2" xfId="53598" xr:uid="{00000000-0005-0000-0000-00005FAA0000}"/>
    <cellStyle name="Процентный 5 18 4" xfId="10877" xr:uid="{00000000-0005-0000-0000-000060AA0000}"/>
    <cellStyle name="Процентный 5 18 5" xfId="16217" xr:uid="{00000000-0005-0000-0000-000061AA0000}"/>
    <cellStyle name="Процентный 5 18 6" xfId="21557" xr:uid="{00000000-0005-0000-0000-000062AA0000}"/>
    <cellStyle name="Процентный 5 18 7" xfId="26897" xr:uid="{00000000-0005-0000-0000-000063AA0000}"/>
    <cellStyle name="Процентный 5 18 8" xfId="32237" xr:uid="{00000000-0005-0000-0000-000064AA0000}"/>
    <cellStyle name="Процентный 5 18 9" xfId="37577" xr:uid="{00000000-0005-0000-0000-000065AA0000}"/>
    <cellStyle name="Процентный 5 180" xfId="4883" xr:uid="{00000000-0005-0000-0000-000066AA0000}"/>
    <cellStyle name="Процентный 5 180 10" xfId="52946" xr:uid="{00000000-0005-0000-0000-000067AA0000}"/>
    <cellStyle name="Процентный 5 180 2" xfId="10226" xr:uid="{00000000-0005-0000-0000-000068AA0000}"/>
    <cellStyle name="Процентный 5 180 2 2" xfId="58287" xr:uid="{00000000-0005-0000-0000-000069AA0000}"/>
    <cellStyle name="Процентный 5 180 3" xfId="15566" xr:uid="{00000000-0005-0000-0000-00006AAA0000}"/>
    <cellStyle name="Процентный 5 180 4" xfId="20906" xr:uid="{00000000-0005-0000-0000-00006BAA0000}"/>
    <cellStyle name="Процентный 5 180 5" xfId="26246" xr:uid="{00000000-0005-0000-0000-00006CAA0000}"/>
    <cellStyle name="Процентный 5 180 6" xfId="31586" xr:uid="{00000000-0005-0000-0000-00006DAA0000}"/>
    <cellStyle name="Процентный 5 180 7" xfId="36926" xr:uid="{00000000-0005-0000-0000-00006EAA0000}"/>
    <cellStyle name="Процентный 5 180 8" xfId="42266" xr:uid="{00000000-0005-0000-0000-00006FAA0000}"/>
    <cellStyle name="Процентный 5 180 9" xfId="47606" xr:uid="{00000000-0005-0000-0000-000070AA0000}"/>
    <cellStyle name="Процентный 5 181" xfId="4915" xr:uid="{00000000-0005-0000-0000-000071AA0000}"/>
    <cellStyle name="Процентный 5 181 10" xfId="52978" xr:uid="{00000000-0005-0000-0000-000072AA0000}"/>
    <cellStyle name="Процентный 5 181 2" xfId="10258" xr:uid="{00000000-0005-0000-0000-000073AA0000}"/>
    <cellStyle name="Процентный 5 181 2 2" xfId="58319" xr:uid="{00000000-0005-0000-0000-000074AA0000}"/>
    <cellStyle name="Процентный 5 181 3" xfId="15598" xr:uid="{00000000-0005-0000-0000-000075AA0000}"/>
    <cellStyle name="Процентный 5 181 4" xfId="20938" xr:uid="{00000000-0005-0000-0000-000076AA0000}"/>
    <cellStyle name="Процентный 5 181 5" xfId="26278" xr:uid="{00000000-0005-0000-0000-000077AA0000}"/>
    <cellStyle name="Процентный 5 181 6" xfId="31618" xr:uid="{00000000-0005-0000-0000-000078AA0000}"/>
    <cellStyle name="Процентный 5 181 7" xfId="36958" xr:uid="{00000000-0005-0000-0000-000079AA0000}"/>
    <cellStyle name="Процентный 5 181 8" xfId="42298" xr:uid="{00000000-0005-0000-0000-00007AAA0000}"/>
    <cellStyle name="Процентный 5 181 9" xfId="47638" xr:uid="{00000000-0005-0000-0000-00007BAA0000}"/>
    <cellStyle name="Процентный 5 182" xfId="4947" xr:uid="{00000000-0005-0000-0000-00007CAA0000}"/>
    <cellStyle name="Процентный 5 182 10" xfId="53010" xr:uid="{00000000-0005-0000-0000-00007DAA0000}"/>
    <cellStyle name="Процентный 5 182 2" xfId="10290" xr:uid="{00000000-0005-0000-0000-00007EAA0000}"/>
    <cellStyle name="Процентный 5 182 2 2" xfId="58351" xr:uid="{00000000-0005-0000-0000-00007FAA0000}"/>
    <cellStyle name="Процентный 5 182 3" xfId="15630" xr:uid="{00000000-0005-0000-0000-000080AA0000}"/>
    <cellStyle name="Процентный 5 182 4" xfId="20970" xr:uid="{00000000-0005-0000-0000-000081AA0000}"/>
    <cellStyle name="Процентный 5 182 5" xfId="26310" xr:uid="{00000000-0005-0000-0000-000082AA0000}"/>
    <cellStyle name="Процентный 5 182 6" xfId="31650" xr:uid="{00000000-0005-0000-0000-000083AA0000}"/>
    <cellStyle name="Процентный 5 182 7" xfId="36990" xr:uid="{00000000-0005-0000-0000-000084AA0000}"/>
    <cellStyle name="Процентный 5 182 8" xfId="42330" xr:uid="{00000000-0005-0000-0000-000085AA0000}"/>
    <cellStyle name="Процентный 5 182 9" xfId="47670" xr:uid="{00000000-0005-0000-0000-000086AA0000}"/>
    <cellStyle name="Процентный 5 183" xfId="4979" xr:uid="{00000000-0005-0000-0000-000087AA0000}"/>
    <cellStyle name="Процентный 5 183 10" xfId="53042" xr:uid="{00000000-0005-0000-0000-000088AA0000}"/>
    <cellStyle name="Процентный 5 183 2" xfId="10322" xr:uid="{00000000-0005-0000-0000-000089AA0000}"/>
    <cellStyle name="Процентный 5 183 2 2" xfId="58383" xr:uid="{00000000-0005-0000-0000-00008AAA0000}"/>
    <cellStyle name="Процентный 5 183 3" xfId="15662" xr:uid="{00000000-0005-0000-0000-00008BAA0000}"/>
    <cellStyle name="Процентный 5 183 4" xfId="21002" xr:uid="{00000000-0005-0000-0000-00008CAA0000}"/>
    <cellStyle name="Процентный 5 183 5" xfId="26342" xr:uid="{00000000-0005-0000-0000-00008DAA0000}"/>
    <cellStyle name="Процентный 5 183 6" xfId="31682" xr:uid="{00000000-0005-0000-0000-00008EAA0000}"/>
    <cellStyle name="Процентный 5 183 7" xfId="37022" xr:uid="{00000000-0005-0000-0000-00008FAA0000}"/>
    <cellStyle name="Процентный 5 183 8" xfId="42362" xr:uid="{00000000-0005-0000-0000-000090AA0000}"/>
    <cellStyle name="Процентный 5 183 9" xfId="47702" xr:uid="{00000000-0005-0000-0000-000091AA0000}"/>
    <cellStyle name="Процентный 5 184" xfId="5011" xr:uid="{00000000-0005-0000-0000-000092AA0000}"/>
    <cellStyle name="Процентный 5 184 10" xfId="53074" xr:uid="{00000000-0005-0000-0000-000093AA0000}"/>
    <cellStyle name="Процентный 5 184 2" xfId="10354" xr:uid="{00000000-0005-0000-0000-000094AA0000}"/>
    <cellStyle name="Процентный 5 184 2 2" xfId="58415" xr:uid="{00000000-0005-0000-0000-000095AA0000}"/>
    <cellStyle name="Процентный 5 184 3" xfId="15694" xr:uid="{00000000-0005-0000-0000-000096AA0000}"/>
    <cellStyle name="Процентный 5 184 4" xfId="21034" xr:uid="{00000000-0005-0000-0000-000097AA0000}"/>
    <cellStyle name="Процентный 5 184 5" xfId="26374" xr:uid="{00000000-0005-0000-0000-000098AA0000}"/>
    <cellStyle name="Процентный 5 184 6" xfId="31714" xr:uid="{00000000-0005-0000-0000-000099AA0000}"/>
    <cellStyle name="Процентный 5 184 7" xfId="37054" xr:uid="{00000000-0005-0000-0000-00009AAA0000}"/>
    <cellStyle name="Процентный 5 184 8" xfId="42394" xr:uid="{00000000-0005-0000-0000-00009BAA0000}"/>
    <cellStyle name="Процентный 5 184 9" xfId="47734" xr:uid="{00000000-0005-0000-0000-00009CAA0000}"/>
    <cellStyle name="Процентный 5 185" xfId="5043" xr:uid="{00000000-0005-0000-0000-00009DAA0000}"/>
    <cellStyle name="Процентный 5 185 10" xfId="53106" xr:uid="{00000000-0005-0000-0000-00009EAA0000}"/>
    <cellStyle name="Процентный 5 185 2" xfId="10386" xr:uid="{00000000-0005-0000-0000-00009FAA0000}"/>
    <cellStyle name="Процентный 5 185 2 2" xfId="58447" xr:uid="{00000000-0005-0000-0000-0000A0AA0000}"/>
    <cellStyle name="Процентный 5 185 3" xfId="15726" xr:uid="{00000000-0005-0000-0000-0000A1AA0000}"/>
    <cellStyle name="Процентный 5 185 4" xfId="21066" xr:uid="{00000000-0005-0000-0000-0000A2AA0000}"/>
    <cellStyle name="Процентный 5 185 5" xfId="26406" xr:uid="{00000000-0005-0000-0000-0000A3AA0000}"/>
    <cellStyle name="Процентный 5 185 6" xfId="31746" xr:uid="{00000000-0005-0000-0000-0000A4AA0000}"/>
    <cellStyle name="Процентный 5 185 7" xfId="37086" xr:uid="{00000000-0005-0000-0000-0000A5AA0000}"/>
    <cellStyle name="Процентный 5 185 8" xfId="42426" xr:uid="{00000000-0005-0000-0000-0000A6AA0000}"/>
    <cellStyle name="Процентный 5 185 9" xfId="47766" xr:uid="{00000000-0005-0000-0000-0000A7AA0000}"/>
    <cellStyle name="Процентный 5 186" xfId="5075" xr:uid="{00000000-0005-0000-0000-0000A8AA0000}"/>
    <cellStyle name="Процентный 5 186 10" xfId="53138" xr:uid="{00000000-0005-0000-0000-0000A9AA0000}"/>
    <cellStyle name="Процентный 5 186 2" xfId="10418" xr:uid="{00000000-0005-0000-0000-0000AAAA0000}"/>
    <cellStyle name="Процентный 5 186 2 2" xfId="58479" xr:uid="{00000000-0005-0000-0000-0000ABAA0000}"/>
    <cellStyle name="Процентный 5 186 3" xfId="15758" xr:uid="{00000000-0005-0000-0000-0000ACAA0000}"/>
    <cellStyle name="Процентный 5 186 4" xfId="21098" xr:uid="{00000000-0005-0000-0000-0000ADAA0000}"/>
    <cellStyle name="Процентный 5 186 5" xfId="26438" xr:uid="{00000000-0005-0000-0000-0000AEAA0000}"/>
    <cellStyle name="Процентный 5 186 6" xfId="31778" xr:uid="{00000000-0005-0000-0000-0000AFAA0000}"/>
    <cellStyle name="Процентный 5 186 7" xfId="37118" xr:uid="{00000000-0005-0000-0000-0000B0AA0000}"/>
    <cellStyle name="Процентный 5 186 8" xfId="42458" xr:uid="{00000000-0005-0000-0000-0000B1AA0000}"/>
    <cellStyle name="Процентный 5 186 9" xfId="47798" xr:uid="{00000000-0005-0000-0000-0000B2AA0000}"/>
    <cellStyle name="Процентный 5 187" xfId="5107" xr:uid="{00000000-0005-0000-0000-0000B3AA0000}"/>
    <cellStyle name="Процентный 5 187 10" xfId="53170" xr:uid="{00000000-0005-0000-0000-0000B4AA0000}"/>
    <cellStyle name="Процентный 5 187 2" xfId="10450" xr:uid="{00000000-0005-0000-0000-0000B5AA0000}"/>
    <cellStyle name="Процентный 5 187 2 2" xfId="58511" xr:uid="{00000000-0005-0000-0000-0000B6AA0000}"/>
    <cellStyle name="Процентный 5 187 3" xfId="15790" xr:uid="{00000000-0005-0000-0000-0000B7AA0000}"/>
    <cellStyle name="Процентный 5 187 4" xfId="21130" xr:uid="{00000000-0005-0000-0000-0000B8AA0000}"/>
    <cellStyle name="Процентный 5 187 5" xfId="26470" xr:uid="{00000000-0005-0000-0000-0000B9AA0000}"/>
    <cellStyle name="Процентный 5 187 6" xfId="31810" xr:uid="{00000000-0005-0000-0000-0000BAAA0000}"/>
    <cellStyle name="Процентный 5 187 7" xfId="37150" xr:uid="{00000000-0005-0000-0000-0000BBAA0000}"/>
    <cellStyle name="Процентный 5 187 8" xfId="42490" xr:uid="{00000000-0005-0000-0000-0000BCAA0000}"/>
    <cellStyle name="Процентный 5 187 9" xfId="47830" xr:uid="{00000000-0005-0000-0000-0000BDAA0000}"/>
    <cellStyle name="Процентный 5 188" xfId="5139" xr:uid="{00000000-0005-0000-0000-0000BEAA0000}"/>
    <cellStyle name="Процентный 5 188 10" xfId="53202" xr:uid="{00000000-0005-0000-0000-0000BFAA0000}"/>
    <cellStyle name="Процентный 5 188 2" xfId="10482" xr:uid="{00000000-0005-0000-0000-0000C0AA0000}"/>
    <cellStyle name="Процентный 5 188 2 2" xfId="58543" xr:uid="{00000000-0005-0000-0000-0000C1AA0000}"/>
    <cellStyle name="Процентный 5 188 3" xfId="15822" xr:uid="{00000000-0005-0000-0000-0000C2AA0000}"/>
    <cellStyle name="Процентный 5 188 4" xfId="21162" xr:uid="{00000000-0005-0000-0000-0000C3AA0000}"/>
    <cellStyle name="Процентный 5 188 5" xfId="26502" xr:uid="{00000000-0005-0000-0000-0000C4AA0000}"/>
    <cellStyle name="Процентный 5 188 6" xfId="31842" xr:uid="{00000000-0005-0000-0000-0000C5AA0000}"/>
    <cellStyle name="Процентный 5 188 7" xfId="37182" xr:uid="{00000000-0005-0000-0000-0000C6AA0000}"/>
    <cellStyle name="Процентный 5 188 8" xfId="42522" xr:uid="{00000000-0005-0000-0000-0000C7AA0000}"/>
    <cellStyle name="Процентный 5 188 9" xfId="47862" xr:uid="{00000000-0005-0000-0000-0000C8AA0000}"/>
    <cellStyle name="Процентный 5 189" xfId="5171" xr:uid="{00000000-0005-0000-0000-0000C9AA0000}"/>
    <cellStyle name="Процентный 5 189 10" xfId="53234" xr:uid="{00000000-0005-0000-0000-0000CAAA0000}"/>
    <cellStyle name="Процентный 5 189 2" xfId="10514" xr:uid="{00000000-0005-0000-0000-0000CBAA0000}"/>
    <cellStyle name="Процентный 5 189 2 2" xfId="58575" xr:uid="{00000000-0005-0000-0000-0000CCAA0000}"/>
    <cellStyle name="Процентный 5 189 3" xfId="15854" xr:uid="{00000000-0005-0000-0000-0000CDAA0000}"/>
    <cellStyle name="Процентный 5 189 4" xfId="21194" xr:uid="{00000000-0005-0000-0000-0000CEAA0000}"/>
    <cellStyle name="Процентный 5 189 5" xfId="26534" xr:uid="{00000000-0005-0000-0000-0000CFAA0000}"/>
    <cellStyle name="Процентный 5 189 6" xfId="31874" xr:uid="{00000000-0005-0000-0000-0000D0AA0000}"/>
    <cellStyle name="Процентный 5 189 7" xfId="37214" xr:uid="{00000000-0005-0000-0000-0000D1AA0000}"/>
    <cellStyle name="Процентный 5 189 8" xfId="42554" xr:uid="{00000000-0005-0000-0000-0000D2AA0000}"/>
    <cellStyle name="Процентный 5 189 9" xfId="47894" xr:uid="{00000000-0005-0000-0000-0000D3AA0000}"/>
    <cellStyle name="Процентный 5 19" xfId="205" xr:uid="{00000000-0005-0000-0000-0000D4AA0000}"/>
    <cellStyle name="Процентный 5 19 10" xfId="42927" xr:uid="{00000000-0005-0000-0000-0000D5AA0000}"/>
    <cellStyle name="Процентный 5 19 11" xfId="48267" xr:uid="{00000000-0005-0000-0000-0000D6AA0000}"/>
    <cellStyle name="Процентный 5 19 2" xfId="672" xr:uid="{00000000-0005-0000-0000-0000D7AA0000}"/>
    <cellStyle name="Процентный 5 19 2 10" xfId="48734" xr:uid="{00000000-0005-0000-0000-0000D8AA0000}"/>
    <cellStyle name="Процентный 5 19 2 2" xfId="6013" xr:uid="{00000000-0005-0000-0000-0000D9AA0000}"/>
    <cellStyle name="Процентный 5 19 2 2 2" xfId="54075" xr:uid="{00000000-0005-0000-0000-0000DAAA0000}"/>
    <cellStyle name="Процентный 5 19 2 3" xfId="11354" xr:uid="{00000000-0005-0000-0000-0000DBAA0000}"/>
    <cellStyle name="Процентный 5 19 2 4" xfId="16694" xr:uid="{00000000-0005-0000-0000-0000DCAA0000}"/>
    <cellStyle name="Процентный 5 19 2 5" xfId="22034" xr:uid="{00000000-0005-0000-0000-0000DDAA0000}"/>
    <cellStyle name="Процентный 5 19 2 6" xfId="27374" xr:uid="{00000000-0005-0000-0000-0000DEAA0000}"/>
    <cellStyle name="Процентный 5 19 2 7" xfId="32714" xr:uid="{00000000-0005-0000-0000-0000DFAA0000}"/>
    <cellStyle name="Процентный 5 19 2 8" xfId="38054" xr:uid="{00000000-0005-0000-0000-0000E0AA0000}"/>
    <cellStyle name="Процентный 5 19 2 9" xfId="43394" xr:uid="{00000000-0005-0000-0000-0000E1AA0000}"/>
    <cellStyle name="Процентный 5 19 3" xfId="5546" xr:uid="{00000000-0005-0000-0000-0000E2AA0000}"/>
    <cellStyle name="Процентный 5 19 3 2" xfId="53608" xr:uid="{00000000-0005-0000-0000-0000E3AA0000}"/>
    <cellStyle name="Процентный 5 19 4" xfId="10887" xr:uid="{00000000-0005-0000-0000-0000E4AA0000}"/>
    <cellStyle name="Процентный 5 19 5" xfId="16227" xr:uid="{00000000-0005-0000-0000-0000E5AA0000}"/>
    <cellStyle name="Процентный 5 19 6" xfId="21567" xr:uid="{00000000-0005-0000-0000-0000E6AA0000}"/>
    <cellStyle name="Процентный 5 19 7" xfId="26907" xr:uid="{00000000-0005-0000-0000-0000E7AA0000}"/>
    <cellStyle name="Процентный 5 19 8" xfId="32247" xr:uid="{00000000-0005-0000-0000-0000E8AA0000}"/>
    <cellStyle name="Процентный 5 19 9" xfId="37587" xr:uid="{00000000-0005-0000-0000-0000E9AA0000}"/>
    <cellStyle name="Процентный 5 190" xfId="5203" xr:uid="{00000000-0005-0000-0000-0000EAAA0000}"/>
    <cellStyle name="Процентный 5 190 10" xfId="53266" xr:uid="{00000000-0005-0000-0000-0000EBAA0000}"/>
    <cellStyle name="Процентный 5 190 2" xfId="10546" xr:uid="{00000000-0005-0000-0000-0000ECAA0000}"/>
    <cellStyle name="Процентный 5 190 2 2" xfId="58607" xr:uid="{00000000-0005-0000-0000-0000EDAA0000}"/>
    <cellStyle name="Процентный 5 190 3" xfId="15886" xr:uid="{00000000-0005-0000-0000-0000EEAA0000}"/>
    <cellStyle name="Процентный 5 190 4" xfId="21226" xr:uid="{00000000-0005-0000-0000-0000EFAA0000}"/>
    <cellStyle name="Процентный 5 190 5" xfId="26566" xr:uid="{00000000-0005-0000-0000-0000F0AA0000}"/>
    <cellStyle name="Процентный 5 190 6" xfId="31906" xr:uid="{00000000-0005-0000-0000-0000F1AA0000}"/>
    <cellStyle name="Процентный 5 190 7" xfId="37246" xr:uid="{00000000-0005-0000-0000-0000F2AA0000}"/>
    <cellStyle name="Процентный 5 190 8" xfId="42586" xr:uid="{00000000-0005-0000-0000-0000F3AA0000}"/>
    <cellStyle name="Процентный 5 190 9" xfId="47926" xr:uid="{00000000-0005-0000-0000-0000F4AA0000}"/>
    <cellStyle name="Процентный 5 191" xfId="5235" xr:uid="{00000000-0005-0000-0000-0000F5AA0000}"/>
    <cellStyle name="Процентный 5 191 10" xfId="53298" xr:uid="{00000000-0005-0000-0000-0000F6AA0000}"/>
    <cellStyle name="Процентный 5 191 2" xfId="10578" xr:uid="{00000000-0005-0000-0000-0000F7AA0000}"/>
    <cellStyle name="Процентный 5 191 2 2" xfId="58639" xr:uid="{00000000-0005-0000-0000-0000F8AA0000}"/>
    <cellStyle name="Процентный 5 191 3" xfId="15918" xr:uid="{00000000-0005-0000-0000-0000F9AA0000}"/>
    <cellStyle name="Процентный 5 191 4" xfId="21258" xr:uid="{00000000-0005-0000-0000-0000FAAA0000}"/>
    <cellStyle name="Процентный 5 191 5" xfId="26598" xr:uid="{00000000-0005-0000-0000-0000FBAA0000}"/>
    <cellStyle name="Процентный 5 191 6" xfId="31938" xr:uid="{00000000-0005-0000-0000-0000FCAA0000}"/>
    <cellStyle name="Процентный 5 191 7" xfId="37278" xr:uid="{00000000-0005-0000-0000-0000FDAA0000}"/>
    <cellStyle name="Процентный 5 191 8" xfId="42618" xr:uid="{00000000-0005-0000-0000-0000FEAA0000}"/>
    <cellStyle name="Процентный 5 191 9" xfId="47958" xr:uid="{00000000-0005-0000-0000-0000FFAA0000}"/>
    <cellStyle name="Процентный 5 192" xfId="5267" xr:uid="{00000000-0005-0000-0000-000000AB0000}"/>
    <cellStyle name="Процентный 5 192 10" xfId="53330" xr:uid="{00000000-0005-0000-0000-000001AB0000}"/>
    <cellStyle name="Процентный 5 192 2" xfId="10610" xr:uid="{00000000-0005-0000-0000-000002AB0000}"/>
    <cellStyle name="Процентный 5 192 2 2" xfId="58671" xr:uid="{00000000-0005-0000-0000-000003AB0000}"/>
    <cellStyle name="Процентный 5 192 3" xfId="15950" xr:uid="{00000000-0005-0000-0000-000004AB0000}"/>
    <cellStyle name="Процентный 5 192 4" xfId="21290" xr:uid="{00000000-0005-0000-0000-000005AB0000}"/>
    <cellStyle name="Процентный 5 192 5" xfId="26630" xr:uid="{00000000-0005-0000-0000-000006AB0000}"/>
    <cellStyle name="Процентный 5 192 6" xfId="31970" xr:uid="{00000000-0005-0000-0000-000007AB0000}"/>
    <cellStyle name="Процентный 5 192 7" xfId="37310" xr:uid="{00000000-0005-0000-0000-000008AB0000}"/>
    <cellStyle name="Процентный 5 192 8" xfId="42650" xr:uid="{00000000-0005-0000-0000-000009AB0000}"/>
    <cellStyle name="Процентный 5 192 9" xfId="47990" xr:uid="{00000000-0005-0000-0000-00000AAB0000}"/>
    <cellStyle name="Процентный 5 193" xfId="5299" xr:uid="{00000000-0005-0000-0000-00000BAB0000}"/>
    <cellStyle name="Процентный 5 193 10" xfId="53362" xr:uid="{00000000-0005-0000-0000-00000CAB0000}"/>
    <cellStyle name="Процентный 5 193 2" xfId="10642" xr:uid="{00000000-0005-0000-0000-00000DAB0000}"/>
    <cellStyle name="Процентный 5 193 2 2" xfId="58703" xr:uid="{00000000-0005-0000-0000-00000EAB0000}"/>
    <cellStyle name="Процентный 5 193 3" xfId="15982" xr:uid="{00000000-0005-0000-0000-00000FAB0000}"/>
    <cellStyle name="Процентный 5 193 4" xfId="21322" xr:uid="{00000000-0005-0000-0000-000010AB0000}"/>
    <cellStyle name="Процентный 5 193 5" xfId="26662" xr:uid="{00000000-0005-0000-0000-000011AB0000}"/>
    <cellStyle name="Процентный 5 193 6" xfId="32002" xr:uid="{00000000-0005-0000-0000-000012AB0000}"/>
    <cellStyle name="Процентный 5 193 7" xfId="37342" xr:uid="{00000000-0005-0000-0000-000013AB0000}"/>
    <cellStyle name="Процентный 5 193 8" xfId="42682" xr:uid="{00000000-0005-0000-0000-000014AB0000}"/>
    <cellStyle name="Процентный 5 193 9" xfId="48022" xr:uid="{00000000-0005-0000-0000-000015AB0000}"/>
    <cellStyle name="Процентный 5 194" xfId="5331" xr:uid="{00000000-0005-0000-0000-000016AB0000}"/>
    <cellStyle name="Процентный 5 194 10" xfId="53394" xr:uid="{00000000-0005-0000-0000-000017AB0000}"/>
    <cellStyle name="Процентный 5 194 2" xfId="10674" xr:uid="{00000000-0005-0000-0000-000018AB0000}"/>
    <cellStyle name="Процентный 5 194 2 2" xfId="58735" xr:uid="{00000000-0005-0000-0000-000019AB0000}"/>
    <cellStyle name="Процентный 5 194 3" xfId="16014" xr:uid="{00000000-0005-0000-0000-00001AAB0000}"/>
    <cellStyle name="Процентный 5 194 4" xfId="21354" xr:uid="{00000000-0005-0000-0000-00001BAB0000}"/>
    <cellStyle name="Процентный 5 194 5" xfId="26694" xr:uid="{00000000-0005-0000-0000-00001CAB0000}"/>
    <cellStyle name="Процентный 5 194 6" xfId="32034" xr:uid="{00000000-0005-0000-0000-00001DAB0000}"/>
    <cellStyle name="Процентный 5 194 7" xfId="37374" xr:uid="{00000000-0005-0000-0000-00001EAB0000}"/>
    <cellStyle name="Процентный 5 194 8" xfId="42714" xr:uid="{00000000-0005-0000-0000-00001FAB0000}"/>
    <cellStyle name="Процентный 5 194 9" xfId="48054" xr:uid="{00000000-0005-0000-0000-000020AB0000}"/>
    <cellStyle name="Процентный 5 195" xfId="5363" xr:uid="{00000000-0005-0000-0000-000021AB0000}"/>
    <cellStyle name="Процентный 5 195 10" xfId="53426" xr:uid="{00000000-0005-0000-0000-000022AB0000}"/>
    <cellStyle name="Процентный 5 195 2" xfId="10706" xr:uid="{00000000-0005-0000-0000-000023AB0000}"/>
    <cellStyle name="Процентный 5 195 2 2" xfId="58767" xr:uid="{00000000-0005-0000-0000-000024AB0000}"/>
    <cellStyle name="Процентный 5 195 3" xfId="16046" xr:uid="{00000000-0005-0000-0000-000025AB0000}"/>
    <cellStyle name="Процентный 5 195 4" xfId="21386" xr:uid="{00000000-0005-0000-0000-000026AB0000}"/>
    <cellStyle name="Процентный 5 195 5" xfId="26726" xr:uid="{00000000-0005-0000-0000-000027AB0000}"/>
    <cellStyle name="Процентный 5 195 6" xfId="32066" xr:uid="{00000000-0005-0000-0000-000028AB0000}"/>
    <cellStyle name="Процентный 5 195 7" xfId="37406" xr:uid="{00000000-0005-0000-0000-000029AB0000}"/>
    <cellStyle name="Процентный 5 195 8" xfId="42746" xr:uid="{00000000-0005-0000-0000-00002AAB0000}"/>
    <cellStyle name="Процентный 5 195 9" xfId="48086" xr:uid="{00000000-0005-0000-0000-00002BAB0000}"/>
    <cellStyle name="Процентный 5 196" xfId="5402" xr:uid="{00000000-0005-0000-0000-00002CAB0000}"/>
    <cellStyle name="Процентный 5 196 2" xfId="53464" xr:uid="{00000000-0005-0000-0000-00002DAB0000}"/>
    <cellStyle name="Процентный 5 197" xfId="10743" xr:uid="{00000000-0005-0000-0000-00002EAB0000}"/>
    <cellStyle name="Процентный 5 198" xfId="16083" xr:uid="{00000000-0005-0000-0000-00002FAB0000}"/>
    <cellStyle name="Процентный 5 199" xfId="21423" xr:uid="{00000000-0005-0000-0000-000030AB0000}"/>
    <cellStyle name="Процентный 5 2" xfId="75" xr:uid="{00000000-0005-0000-0000-000031AB0000}"/>
    <cellStyle name="Процентный 5 2 10" xfId="179" xr:uid="{00000000-0005-0000-0000-000032AB0000}"/>
    <cellStyle name="Процентный 5 2 10 10" xfId="42901" xr:uid="{00000000-0005-0000-0000-000033AB0000}"/>
    <cellStyle name="Процентный 5 2 10 11" xfId="48241" xr:uid="{00000000-0005-0000-0000-000034AB0000}"/>
    <cellStyle name="Процентный 5 2 10 2" xfId="646" xr:uid="{00000000-0005-0000-0000-000035AB0000}"/>
    <cellStyle name="Процентный 5 2 10 2 10" xfId="48708" xr:uid="{00000000-0005-0000-0000-000036AB0000}"/>
    <cellStyle name="Процентный 5 2 10 2 2" xfId="5987" xr:uid="{00000000-0005-0000-0000-000037AB0000}"/>
    <cellStyle name="Процентный 5 2 10 2 2 2" xfId="54049" xr:uid="{00000000-0005-0000-0000-000038AB0000}"/>
    <cellStyle name="Процентный 5 2 10 2 3" xfId="11328" xr:uid="{00000000-0005-0000-0000-000039AB0000}"/>
    <cellStyle name="Процентный 5 2 10 2 4" xfId="16668" xr:uid="{00000000-0005-0000-0000-00003AAB0000}"/>
    <cellStyle name="Процентный 5 2 10 2 5" xfId="22008" xr:uid="{00000000-0005-0000-0000-00003BAB0000}"/>
    <cellStyle name="Процентный 5 2 10 2 6" xfId="27348" xr:uid="{00000000-0005-0000-0000-00003CAB0000}"/>
    <cellStyle name="Процентный 5 2 10 2 7" xfId="32688" xr:uid="{00000000-0005-0000-0000-00003DAB0000}"/>
    <cellStyle name="Процентный 5 2 10 2 8" xfId="38028" xr:uid="{00000000-0005-0000-0000-00003EAB0000}"/>
    <cellStyle name="Процентный 5 2 10 2 9" xfId="43368" xr:uid="{00000000-0005-0000-0000-00003FAB0000}"/>
    <cellStyle name="Процентный 5 2 10 3" xfId="5520" xr:uid="{00000000-0005-0000-0000-000040AB0000}"/>
    <cellStyle name="Процентный 5 2 10 3 2" xfId="53582" xr:uid="{00000000-0005-0000-0000-000041AB0000}"/>
    <cellStyle name="Процентный 5 2 10 4" xfId="10861" xr:uid="{00000000-0005-0000-0000-000042AB0000}"/>
    <cellStyle name="Процентный 5 2 10 5" xfId="16201" xr:uid="{00000000-0005-0000-0000-000043AB0000}"/>
    <cellStyle name="Процентный 5 2 10 6" xfId="21541" xr:uid="{00000000-0005-0000-0000-000044AB0000}"/>
    <cellStyle name="Процентный 5 2 10 7" xfId="26881" xr:uid="{00000000-0005-0000-0000-000045AB0000}"/>
    <cellStyle name="Процентный 5 2 10 8" xfId="32221" xr:uid="{00000000-0005-0000-0000-000046AB0000}"/>
    <cellStyle name="Процентный 5 2 10 9" xfId="37561" xr:uid="{00000000-0005-0000-0000-000047AB0000}"/>
    <cellStyle name="Процентный 5 2 100" xfId="2512" xr:uid="{00000000-0005-0000-0000-000048AB0000}"/>
    <cellStyle name="Процентный 5 2 100 10" xfId="50576" xr:uid="{00000000-0005-0000-0000-000049AB0000}"/>
    <cellStyle name="Процентный 5 2 100 2" xfId="7855" xr:uid="{00000000-0005-0000-0000-00004AAB0000}"/>
    <cellStyle name="Процентный 5 2 100 2 2" xfId="55917" xr:uid="{00000000-0005-0000-0000-00004BAB0000}"/>
    <cellStyle name="Процентный 5 2 100 3" xfId="13196" xr:uid="{00000000-0005-0000-0000-00004CAB0000}"/>
    <cellStyle name="Процентный 5 2 100 4" xfId="18536" xr:uid="{00000000-0005-0000-0000-00004DAB0000}"/>
    <cellStyle name="Процентный 5 2 100 5" xfId="23876" xr:uid="{00000000-0005-0000-0000-00004EAB0000}"/>
    <cellStyle name="Процентный 5 2 100 6" xfId="29216" xr:uid="{00000000-0005-0000-0000-00004FAB0000}"/>
    <cellStyle name="Процентный 5 2 100 7" xfId="34556" xr:uid="{00000000-0005-0000-0000-000050AB0000}"/>
    <cellStyle name="Процентный 5 2 100 8" xfId="39896" xr:uid="{00000000-0005-0000-0000-000051AB0000}"/>
    <cellStyle name="Процентный 5 2 100 9" xfId="45236" xr:uid="{00000000-0005-0000-0000-000052AB0000}"/>
    <cellStyle name="Процентный 5 2 101" xfId="2546" xr:uid="{00000000-0005-0000-0000-000053AB0000}"/>
    <cellStyle name="Процентный 5 2 101 10" xfId="50610" xr:uid="{00000000-0005-0000-0000-000054AB0000}"/>
    <cellStyle name="Процентный 5 2 101 2" xfId="7889" xr:uid="{00000000-0005-0000-0000-000055AB0000}"/>
    <cellStyle name="Процентный 5 2 101 2 2" xfId="55951" xr:uid="{00000000-0005-0000-0000-000056AB0000}"/>
    <cellStyle name="Процентный 5 2 101 3" xfId="13230" xr:uid="{00000000-0005-0000-0000-000057AB0000}"/>
    <cellStyle name="Процентный 5 2 101 4" xfId="18570" xr:uid="{00000000-0005-0000-0000-000058AB0000}"/>
    <cellStyle name="Процентный 5 2 101 5" xfId="23910" xr:uid="{00000000-0005-0000-0000-000059AB0000}"/>
    <cellStyle name="Процентный 5 2 101 6" xfId="29250" xr:uid="{00000000-0005-0000-0000-00005AAB0000}"/>
    <cellStyle name="Процентный 5 2 101 7" xfId="34590" xr:uid="{00000000-0005-0000-0000-00005BAB0000}"/>
    <cellStyle name="Процентный 5 2 101 8" xfId="39930" xr:uid="{00000000-0005-0000-0000-00005CAB0000}"/>
    <cellStyle name="Процентный 5 2 101 9" xfId="45270" xr:uid="{00000000-0005-0000-0000-00005DAB0000}"/>
    <cellStyle name="Процентный 5 2 102" xfId="2578" xr:uid="{00000000-0005-0000-0000-00005EAB0000}"/>
    <cellStyle name="Процентный 5 2 102 10" xfId="50642" xr:uid="{00000000-0005-0000-0000-00005FAB0000}"/>
    <cellStyle name="Процентный 5 2 102 2" xfId="7921" xr:uid="{00000000-0005-0000-0000-000060AB0000}"/>
    <cellStyle name="Процентный 5 2 102 2 2" xfId="55983" xr:uid="{00000000-0005-0000-0000-000061AB0000}"/>
    <cellStyle name="Процентный 5 2 102 3" xfId="13262" xr:uid="{00000000-0005-0000-0000-000062AB0000}"/>
    <cellStyle name="Процентный 5 2 102 4" xfId="18602" xr:uid="{00000000-0005-0000-0000-000063AB0000}"/>
    <cellStyle name="Процентный 5 2 102 5" xfId="23942" xr:uid="{00000000-0005-0000-0000-000064AB0000}"/>
    <cellStyle name="Процентный 5 2 102 6" xfId="29282" xr:uid="{00000000-0005-0000-0000-000065AB0000}"/>
    <cellStyle name="Процентный 5 2 102 7" xfId="34622" xr:uid="{00000000-0005-0000-0000-000066AB0000}"/>
    <cellStyle name="Процентный 5 2 102 8" xfId="39962" xr:uid="{00000000-0005-0000-0000-000067AB0000}"/>
    <cellStyle name="Процентный 5 2 102 9" xfId="45302" xr:uid="{00000000-0005-0000-0000-000068AB0000}"/>
    <cellStyle name="Процентный 5 2 103" xfId="2610" xr:uid="{00000000-0005-0000-0000-000069AB0000}"/>
    <cellStyle name="Процентный 5 2 103 10" xfId="50674" xr:uid="{00000000-0005-0000-0000-00006AAB0000}"/>
    <cellStyle name="Процентный 5 2 103 2" xfId="7953" xr:uid="{00000000-0005-0000-0000-00006BAB0000}"/>
    <cellStyle name="Процентный 5 2 103 2 2" xfId="56015" xr:uid="{00000000-0005-0000-0000-00006CAB0000}"/>
    <cellStyle name="Процентный 5 2 103 3" xfId="13294" xr:uid="{00000000-0005-0000-0000-00006DAB0000}"/>
    <cellStyle name="Процентный 5 2 103 4" xfId="18634" xr:uid="{00000000-0005-0000-0000-00006EAB0000}"/>
    <cellStyle name="Процентный 5 2 103 5" xfId="23974" xr:uid="{00000000-0005-0000-0000-00006FAB0000}"/>
    <cellStyle name="Процентный 5 2 103 6" xfId="29314" xr:uid="{00000000-0005-0000-0000-000070AB0000}"/>
    <cellStyle name="Процентный 5 2 103 7" xfId="34654" xr:uid="{00000000-0005-0000-0000-000071AB0000}"/>
    <cellStyle name="Процентный 5 2 103 8" xfId="39994" xr:uid="{00000000-0005-0000-0000-000072AB0000}"/>
    <cellStyle name="Процентный 5 2 103 9" xfId="45334" xr:uid="{00000000-0005-0000-0000-000073AB0000}"/>
    <cellStyle name="Процентный 5 2 104" xfId="2642" xr:uid="{00000000-0005-0000-0000-000074AB0000}"/>
    <cellStyle name="Процентный 5 2 104 10" xfId="50706" xr:uid="{00000000-0005-0000-0000-000075AB0000}"/>
    <cellStyle name="Процентный 5 2 104 2" xfId="7985" xr:uid="{00000000-0005-0000-0000-000076AB0000}"/>
    <cellStyle name="Процентный 5 2 104 2 2" xfId="56047" xr:uid="{00000000-0005-0000-0000-000077AB0000}"/>
    <cellStyle name="Процентный 5 2 104 3" xfId="13326" xr:uid="{00000000-0005-0000-0000-000078AB0000}"/>
    <cellStyle name="Процентный 5 2 104 4" xfId="18666" xr:uid="{00000000-0005-0000-0000-000079AB0000}"/>
    <cellStyle name="Процентный 5 2 104 5" xfId="24006" xr:uid="{00000000-0005-0000-0000-00007AAB0000}"/>
    <cellStyle name="Процентный 5 2 104 6" xfId="29346" xr:uid="{00000000-0005-0000-0000-00007BAB0000}"/>
    <cellStyle name="Процентный 5 2 104 7" xfId="34686" xr:uid="{00000000-0005-0000-0000-00007CAB0000}"/>
    <cellStyle name="Процентный 5 2 104 8" xfId="40026" xr:uid="{00000000-0005-0000-0000-00007DAB0000}"/>
    <cellStyle name="Процентный 5 2 104 9" xfId="45366" xr:uid="{00000000-0005-0000-0000-00007EAB0000}"/>
    <cellStyle name="Процентный 5 2 105" xfId="2674" xr:uid="{00000000-0005-0000-0000-00007FAB0000}"/>
    <cellStyle name="Процентный 5 2 105 10" xfId="50738" xr:uid="{00000000-0005-0000-0000-000080AB0000}"/>
    <cellStyle name="Процентный 5 2 105 2" xfId="8017" xr:uid="{00000000-0005-0000-0000-000081AB0000}"/>
    <cellStyle name="Процентный 5 2 105 2 2" xfId="56079" xr:uid="{00000000-0005-0000-0000-000082AB0000}"/>
    <cellStyle name="Процентный 5 2 105 3" xfId="13358" xr:uid="{00000000-0005-0000-0000-000083AB0000}"/>
    <cellStyle name="Процентный 5 2 105 4" xfId="18698" xr:uid="{00000000-0005-0000-0000-000084AB0000}"/>
    <cellStyle name="Процентный 5 2 105 5" xfId="24038" xr:uid="{00000000-0005-0000-0000-000085AB0000}"/>
    <cellStyle name="Процентный 5 2 105 6" xfId="29378" xr:uid="{00000000-0005-0000-0000-000086AB0000}"/>
    <cellStyle name="Процентный 5 2 105 7" xfId="34718" xr:uid="{00000000-0005-0000-0000-000087AB0000}"/>
    <cellStyle name="Процентный 5 2 105 8" xfId="40058" xr:uid="{00000000-0005-0000-0000-000088AB0000}"/>
    <cellStyle name="Процентный 5 2 105 9" xfId="45398" xr:uid="{00000000-0005-0000-0000-000089AB0000}"/>
    <cellStyle name="Процентный 5 2 106" xfId="2706" xr:uid="{00000000-0005-0000-0000-00008AAB0000}"/>
    <cellStyle name="Процентный 5 2 106 10" xfId="50770" xr:uid="{00000000-0005-0000-0000-00008BAB0000}"/>
    <cellStyle name="Процентный 5 2 106 2" xfId="8049" xr:uid="{00000000-0005-0000-0000-00008CAB0000}"/>
    <cellStyle name="Процентный 5 2 106 2 2" xfId="56111" xr:uid="{00000000-0005-0000-0000-00008DAB0000}"/>
    <cellStyle name="Процентный 5 2 106 3" xfId="13390" xr:uid="{00000000-0005-0000-0000-00008EAB0000}"/>
    <cellStyle name="Процентный 5 2 106 4" xfId="18730" xr:uid="{00000000-0005-0000-0000-00008FAB0000}"/>
    <cellStyle name="Процентный 5 2 106 5" xfId="24070" xr:uid="{00000000-0005-0000-0000-000090AB0000}"/>
    <cellStyle name="Процентный 5 2 106 6" xfId="29410" xr:uid="{00000000-0005-0000-0000-000091AB0000}"/>
    <cellStyle name="Процентный 5 2 106 7" xfId="34750" xr:uid="{00000000-0005-0000-0000-000092AB0000}"/>
    <cellStyle name="Процентный 5 2 106 8" xfId="40090" xr:uid="{00000000-0005-0000-0000-000093AB0000}"/>
    <cellStyle name="Процентный 5 2 106 9" xfId="45430" xr:uid="{00000000-0005-0000-0000-000094AB0000}"/>
    <cellStyle name="Процентный 5 2 107" xfId="2738" xr:uid="{00000000-0005-0000-0000-000095AB0000}"/>
    <cellStyle name="Процентный 5 2 107 10" xfId="50802" xr:uid="{00000000-0005-0000-0000-000096AB0000}"/>
    <cellStyle name="Процентный 5 2 107 2" xfId="8081" xr:uid="{00000000-0005-0000-0000-000097AB0000}"/>
    <cellStyle name="Процентный 5 2 107 2 2" xfId="56143" xr:uid="{00000000-0005-0000-0000-000098AB0000}"/>
    <cellStyle name="Процентный 5 2 107 3" xfId="13422" xr:uid="{00000000-0005-0000-0000-000099AB0000}"/>
    <cellStyle name="Процентный 5 2 107 4" xfId="18762" xr:uid="{00000000-0005-0000-0000-00009AAB0000}"/>
    <cellStyle name="Процентный 5 2 107 5" xfId="24102" xr:uid="{00000000-0005-0000-0000-00009BAB0000}"/>
    <cellStyle name="Процентный 5 2 107 6" xfId="29442" xr:uid="{00000000-0005-0000-0000-00009CAB0000}"/>
    <cellStyle name="Процентный 5 2 107 7" xfId="34782" xr:uid="{00000000-0005-0000-0000-00009DAB0000}"/>
    <cellStyle name="Процентный 5 2 107 8" xfId="40122" xr:uid="{00000000-0005-0000-0000-00009EAB0000}"/>
    <cellStyle name="Процентный 5 2 107 9" xfId="45462" xr:uid="{00000000-0005-0000-0000-00009FAB0000}"/>
    <cellStyle name="Процентный 5 2 108" xfId="2772" xr:uid="{00000000-0005-0000-0000-0000A0AB0000}"/>
    <cellStyle name="Процентный 5 2 108 10" xfId="50836" xr:uid="{00000000-0005-0000-0000-0000A1AB0000}"/>
    <cellStyle name="Процентный 5 2 108 2" xfId="8115" xr:uid="{00000000-0005-0000-0000-0000A2AB0000}"/>
    <cellStyle name="Процентный 5 2 108 2 2" xfId="56177" xr:uid="{00000000-0005-0000-0000-0000A3AB0000}"/>
    <cellStyle name="Процентный 5 2 108 3" xfId="13456" xr:uid="{00000000-0005-0000-0000-0000A4AB0000}"/>
    <cellStyle name="Процентный 5 2 108 4" xfId="18796" xr:uid="{00000000-0005-0000-0000-0000A5AB0000}"/>
    <cellStyle name="Процентный 5 2 108 5" xfId="24136" xr:uid="{00000000-0005-0000-0000-0000A6AB0000}"/>
    <cellStyle name="Процентный 5 2 108 6" xfId="29476" xr:uid="{00000000-0005-0000-0000-0000A7AB0000}"/>
    <cellStyle name="Процентный 5 2 108 7" xfId="34816" xr:uid="{00000000-0005-0000-0000-0000A8AB0000}"/>
    <cellStyle name="Процентный 5 2 108 8" xfId="40156" xr:uid="{00000000-0005-0000-0000-0000A9AB0000}"/>
    <cellStyle name="Процентный 5 2 108 9" xfId="45496" xr:uid="{00000000-0005-0000-0000-0000AAAB0000}"/>
    <cellStyle name="Процентный 5 2 109" xfId="2804" xr:uid="{00000000-0005-0000-0000-0000ABAB0000}"/>
    <cellStyle name="Процентный 5 2 109 10" xfId="50868" xr:uid="{00000000-0005-0000-0000-0000ACAB0000}"/>
    <cellStyle name="Процентный 5 2 109 2" xfId="8147" xr:uid="{00000000-0005-0000-0000-0000ADAB0000}"/>
    <cellStyle name="Процентный 5 2 109 2 2" xfId="56209" xr:uid="{00000000-0005-0000-0000-0000AEAB0000}"/>
    <cellStyle name="Процентный 5 2 109 3" xfId="13488" xr:uid="{00000000-0005-0000-0000-0000AFAB0000}"/>
    <cellStyle name="Процентный 5 2 109 4" xfId="18828" xr:uid="{00000000-0005-0000-0000-0000B0AB0000}"/>
    <cellStyle name="Процентный 5 2 109 5" xfId="24168" xr:uid="{00000000-0005-0000-0000-0000B1AB0000}"/>
    <cellStyle name="Процентный 5 2 109 6" xfId="29508" xr:uid="{00000000-0005-0000-0000-0000B2AB0000}"/>
    <cellStyle name="Процентный 5 2 109 7" xfId="34848" xr:uid="{00000000-0005-0000-0000-0000B3AB0000}"/>
    <cellStyle name="Процентный 5 2 109 8" xfId="40188" xr:uid="{00000000-0005-0000-0000-0000B4AB0000}"/>
    <cellStyle name="Процентный 5 2 109 9" xfId="45528" xr:uid="{00000000-0005-0000-0000-0000B5AB0000}"/>
    <cellStyle name="Процентный 5 2 11" xfId="189" xr:uid="{00000000-0005-0000-0000-0000B6AB0000}"/>
    <cellStyle name="Процентный 5 2 11 10" xfId="42911" xr:uid="{00000000-0005-0000-0000-0000B7AB0000}"/>
    <cellStyle name="Процентный 5 2 11 11" xfId="48251" xr:uid="{00000000-0005-0000-0000-0000B8AB0000}"/>
    <cellStyle name="Процентный 5 2 11 2" xfId="656" xr:uid="{00000000-0005-0000-0000-0000B9AB0000}"/>
    <cellStyle name="Процентный 5 2 11 2 10" xfId="48718" xr:uid="{00000000-0005-0000-0000-0000BAAB0000}"/>
    <cellStyle name="Процентный 5 2 11 2 2" xfId="5997" xr:uid="{00000000-0005-0000-0000-0000BBAB0000}"/>
    <cellStyle name="Процентный 5 2 11 2 2 2" xfId="54059" xr:uid="{00000000-0005-0000-0000-0000BCAB0000}"/>
    <cellStyle name="Процентный 5 2 11 2 3" xfId="11338" xr:uid="{00000000-0005-0000-0000-0000BDAB0000}"/>
    <cellStyle name="Процентный 5 2 11 2 4" xfId="16678" xr:uid="{00000000-0005-0000-0000-0000BEAB0000}"/>
    <cellStyle name="Процентный 5 2 11 2 5" xfId="22018" xr:uid="{00000000-0005-0000-0000-0000BFAB0000}"/>
    <cellStyle name="Процентный 5 2 11 2 6" xfId="27358" xr:uid="{00000000-0005-0000-0000-0000C0AB0000}"/>
    <cellStyle name="Процентный 5 2 11 2 7" xfId="32698" xr:uid="{00000000-0005-0000-0000-0000C1AB0000}"/>
    <cellStyle name="Процентный 5 2 11 2 8" xfId="38038" xr:uid="{00000000-0005-0000-0000-0000C2AB0000}"/>
    <cellStyle name="Процентный 5 2 11 2 9" xfId="43378" xr:uid="{00000000-0005-0000-0000-0000C3AB0000}"/>
    <cellStyle name="Процентный 5 2 11 3" xfId="5530" xr:uid="{00000000-0005-0000-0000-0000C4AB0000}"/>
    <cellStyle name="Процентный 5 2 11 3 2" xfId="53592" xr:uid="{00000000-0005-0000-0000-0000C5AB0000}"/>
    <cellStyle name="Процентный 5 2 11 4" xfId="10871" xr:uid="{00000000-0005-0000-0000-0000C6AB0000}"/>
    <cellStyle name="Процентный 5 2 11 5" xfId="16211" xr:uid="{00000000-0005-0000-0000-0000C7AB0000}"/>
    <cellStyle name="Процентный 5 2 11 6" xfId="21551" xr:uid="{00000000-0005-0000-0000-0000C8AB0000}"/>
    <cellStyle name="Процентный 5 2 11 7" xfId="26891" xr:uid="{00000000-0005-0000-0000-0000C9AB0000}"/>
    <cellStyle name="Процентный 5 2 11 8" xfId="32231" xr:uid="{00000000-0005-0000-0000-0000CAAB0000}"/>
    <cellStyle name="Процентный 5 2 11 9" xfId="37571" xr:uid="{00000000-0005-0000-0000-0000CBAB0000}"/>
    <cellStyle name="Процентный 5 2 110" xfId="2836" xr:uid="{00000000-0005-0000-0000-0000CCAB0000}"/>
    <cellStyle name="Процентный 5 2 110 10" xfId="50900" xr:uid="{00000000-0005-0000-0000-0000CDAB0000}"/>
    <cellStyle name="Процентный 5 2 110 2" xfId="8179" xr:uid="{00000000-0005-0000-0000-0000CEAB0000}"/>
    <cellStyle name="Процентный 5 2 110 2 2" xfId="56241" xr:uid="{00000000-0005-0000-0000-0000CFAB0000}"/>
    <cellStyle name="Процентный 5 2 110 3" xfId="13520" xr:uid="{00000000-0005-0000-0000-0000D0AB0000}"/>
    <cellStyle name="Процентный 5 2 110 4" xfId="18860" xr:uid="{00000000-0005-0000-0000-0000D1AB0000}"/>
    <cellStyle name="Процентный 5 2 110 5" xfId="24200" xr:uid="{00000000-0005-0000-0000-0000D2AB0000}"/>
    <cellStyle name="Процентный 5 2 110 6" xfId="29540" xr:uid="{00000000-0005-0000-0000-0000D3AB0000}"/>
    <cellStyle name="Процентный 5 2 110 7" xfId="34880" xr:uid="{00000000-0005-0000-0000-0000D4AB0000}"/>
    <cellStyle name="Процентный 5 2 110 8" xfId="40220" xr:uid="{00000000-0005-0000-0000-0000D5AB0000}"/>
    <cellStyle name="Процентный 5 2 110 9" xfId="45560" xr:uid="{00000000-0005-0000-0000-0000D6AB0000}"/>
    <cellStyle name="Процентный 5 2 111" xfId="2868" xr:uid="{00000000-0005-0000-0000-0000D7AB0000}"/>
    <cellStyle name="Процентный 5 2 111 10" xfId="50932" xr:uid="{00000000-0005-0000-0000-0000D8AB0000}"/>
    <cellStyle name="Процентный 5 2 111 2" xfId="8211" xr:uid="{00000000-0005-0000-0000-0000D9AB0000}"/>
    <cellStyle name="Процентный 5 2 111 2 2" xfId="56273" xr:uid="{00000000-0005-0000-0000-0000DAAB0000}"/>
    <cellStyle name="Процентный 5 2 111 3" xfId="13552" xr:uid="{00000000-0005-0000-0000-0000DBAB0000}"/>
    <cellStyle name="Процентный 5 2 111 4" xfId="18892" xr:uid="{00000000-0005-0000-0000-0000DCAB0000}"/>
    <cellStyle name="Процентный 5 2 111 5" xfId="24232" xr:uid="{00000000-0005-0000-0000-0000DDAB0000}"/>
    <cellStyle name="Процентный 5 2 111 6" xfId="29572" xr:uid="{00000000-0005-0000-0000-0000DEAB0000}"/>
    <cellStyle name="Процентный 5 2 111 7" xfId="34912" xr:uid="{00000000-0005-0000-0000-0000DFAB0000}"/>
    <cellStyle name="Процентный 5 2 111 8" xfId="40252" xr:uid="{00000000-0005-0000-0000-0000E0AB0000}"/>
    <cellStyle name="Процентный 5 2 111 9" xfId="45592" xr:uid="{00000000-0005-0000-0000-0000E1AB0000}"/>
    <cellStyle name="Процентный 5 2 112" xfId="2900" xr:uid="{00000000-0005-0000-0000-0000E2AB0000}"/>
    <cellStyle name="Процентный 5 2 112 10" xfId="50964" xr:uid="{00000000-0005-0000-0000-0000E3AB0000}"/>
    <cellStyle name="Процентный 5 2 112 2" xfId="8243" xr:uid="{00000000-0005-0000-0000-0000E4AB0000}"/>
    <cellStyle name="Процентный 5 2 112 2 2" xfId="56305" xr:uid="{00000000-0005-0000-0000-0000E5AB0000}"/>
    <cellStyle name="Процентный 5 2 112 3" xfId="13584" xr:uid="{00000000-0005-0000-0000-0000E6AB0000}"/>
    <cellStyle name="Процентный 5 2 112 4" xfId="18924" xr:uid="{00000000-0005-0000-0000-0000E7AB0000}"/>
    <cellStyle name="Процентный 5 2 112 5" xfId="24264" xr:uid="{00000000-0005-0000-0000-0000E8AB0000}"/>
    <cellStyle name="Процентный 5 2 112 6" xfId="29604" xr:uid="{00000000-0005-0000-0000-0000E9AB0000}"/>
    <cellStyle name="Процентный 5 2 112 7" xfId="34944" xr:uid="{00000000-0005-0000-0000-0000EAAB0000}"/>
    <cellStyle name="Процентный 5 2 112 8" xfId="40284" xr:uid="{00000000-0005-0000-0000-0000EBAB0000}"/>
    <cellStyle name="Процентный 5 2 112 9" xfId="45624" xr:uid="{00000000-0005-0000-0000-0000ECAB0000}"/>
    <cellStyle name="Процентный 5 2 113" xfId="2932" xr:uid="{00000000-0005-0000-0000-0000EDAB0000}"/>
    <cellStyle name="Процентный 5 2 113 10" xfId="50996" xr:uid="{00000000-0005-0000-0000-0000EEAB0000}"/>
    <cellStyle name="Процентный 5 2 113 2" xfId="8275" xr:uid="{00000000-0005-0000-0000-0000EFAB0000}"/>
    <cellStyle name="Процентный 5 2 113 2 2" xfId="56337" xr:uid="{00000000-0005-0000-0000-0000F0AB0000}"/>
    <cellStyle name="Процентный 5 2 113 3" xfId="13616" xr:uid="{00000000-0005-0000-0000-0000F1AB0000}"/>
    <cellStyle name="Процентный 5 2 113 4" xfId="18956" xr:uid="{00000000-0005-0000-0000-0000F2AB0000}"/>
    <cellStyle name="Процентный 5 2 113 5" xfId="24296" xr:uid="{00000000-0005-0000-0000-0000F3AB0000}"/>
    <cellStyle name="Процентный 5 2 113 6" xfId="29636" xr:uid="{00000000-0005-0000-0000-0000F4AB0000}"/>
    <cellStyle name="Процентный 5 2 113 7" xfId="34976" xr:uid="{00000000-0005-0000-0000-0000F5AB0000}"/>
    <cellStyle name="Процентный 5 2 113 8" xfId="40316" xr:uid="{00000000-0005-0000-0000-0000F6AB0000}"/>
    <cellStyle name="Процентный 5 2 113 9" xfId="45656" xr:uid="{00000000-0005-0000-0000-0000F7AB0000}"/>
    <cellStyle name="Процентный 5 2 114" xfId="2964" xr:uid="{00000000-0005-0000-0000-0000F8AB0000}"/>
    <cellStyle name="Процентный 5 2 114 10" xfId="51028" xr:uid="{00000000-0005-0000-0000-0000F9AB0000}"/>
    <cellStyle name="Процентный 5 2 114 2" xfId="8307" xr:uid="{00000000-0005-0000-0000-0000FAAB0000}"/>
    <cellStyle name="Процентный 5 2 114 2 2" xfId="56369" xr:uid="{00000000-0005-0000-0000-0000FBAB0000}"/>
    <cellStyle name="Процентный 5 2 114 3" xfId="13648" xr:uid="{00000000-0005-0000-0000-0000FCAB0000}"/>
    <cellStyle name="Процентный 5 2 114 4" xfId="18988" xr:uid="{00000000-0005-0000-0000-0000FDAB0000}"/>
    <cellStyle name="Процентный 5 2 114 5" xfId="24328" xr:uid="{00000000-0005-0000-0000-0000FEAB0000}"/>
    <cellStyle name="Процентный 5 2 114 6" xfId="29668" xr:uid="{00000000-0005-0000-0000-0000FFAB0000}"/>
    <cellStyle name="Процентный 5 2 114 7" xfId="35008" xr:uid="{00000000-0005-0000-0000-000000AC0000}"/>
    <cellStyle name="Процентный 5 2 114 8" xfId="40348" xr:uid="{00000000-0005-0000-0000-000001AC0000}"/>
    <cellStyle name="Процентный 5 2 114 9" xfId="45688" xr:uid="{00000000-0005-0000-0000-000002AC0000}"/>
    <cellStyle name="Процентный 5 2 115" xfId="2996" xr:uid="{00000000-0005-0000-0000-000003AC0000}"/>
    <cellStyle name="Процентный 5 2 115 10" xfId="51060" xr:uid="{00000000-0005-0000-0000-000004AC0000}"/>
    <cellStyle name="Процентный 5 2 115 2" xfId="8339" xr:uid="{00000000-0005-0000-0000-000005AC0000}"/>
    <cellStyle name="Процентный 5 2 115 2 2" xfId="56401" xr:uid="{00000000-0005-0000-0000-000006AC0000}"/>
    <cellStyle name="Процентный 5 2 115 3" xfId="13680" xr:uid="{00000000-0005-0000-0000-000007AC0000}"/>
    <cellStyle name="Процентный 5 2 115 4" xfId="19020" xr:uid="{00000000-0005-0000-0000-000008AC0000}"/>
    <cellStyle name="Процентный 5 2 115 5" xfId="24360" xr:uid="{00000000-0005-0000-0000-000009AC0000}"/>
    <cellStyle name="Процентный 5 2 115 6" xfId="29700" xr:uid="{00000000-0005-0000-0000-00000AAC0000}"/>
    <cellStyle name="Процентный 5 2 115 7" xfId="35040" xr:uid="{00000000-0005-0000-0000-00000BAC0000}"/>
    <cellStyle name="Процентный 5 2 115 8" xfId="40380" xr:uid="{00000000-0005-0000-0000-00000CAC0000}"/>
    <cellStyle name="Процентный 5 2 115 9" xfId="45720" xr:uid="{00000000-0005-0000-0000-00000DAC0000}"/>
    <cellStyle name="Процентный 5 2 116" xfId="3028" xr:uid="{00000000-0005-0000-0000-00000EAC0000}"/>
    <cellStyle name="Процентный 5 2 116 10" xfId="51092" xr:uid="{00000000-0005-0000-0000-00000FAC0000}"/>
    <cellStyle name="Процентный 5 2 116 2" xfId="8371" xr:uid="{00000000-0005-0000-0000-000010AC0000}"/>
    <cellStyle name="Процентный 5 2 116 2 2" xfId="56433" xr:uid="{00000000-0005-0000-0000-000011AC0000}"/>
    <cellStyle name="Процентный 5 2 116 3" xfId="13712" xr:uid="{00000000-0005-0000-0000-000012AC0000}"/>
    <cellStyle name="Процентный 5 2 116 4" xfId="19052" xr:uid="{00000000-0005-0000-0000-000013AC0000}"/>
    <cellStyle name="Процентный 5 2 116 5" xfId="24392" xr:uid="{00000000-0005-0000-0000-000014AC0000}"/>
    <cellStyle name="Процентный 5 2 116 6" xfId="29732" xr:uid="{00000000-0005-0000-0000-000015AC0000}"/>
    <cellStyle name="Процентный 5 2 116 7" xfId="35072" xr:uid="{00000000-0005-0000-0000-000016AC0000}"/>
    <cellStyle name="Процентный 5 2 116 8" xfId="40412" xr:uid="{00000000-0005-0000-0000-000017AC0000}"/>
    <cellStyle name="Процентный 5 2 116 9" xfId="45752" xr:uid="{00000000-0005-0000-0000-000018AC0000}"/>
    <cellStyle name="Процентный 5 2 117" xfId="3060" xr:uid="{00000000-0005-0000-0000-000019AC0000}"/>
    <cellStyle name="Процентный 5 2 117 10" xfId="51124" xr:uid="{00000000-0005-0000-0000-00001AAC0000}"/>
    <cellStyle name="Процентный 5 2 117 2" xfId="8403" xr:uid="{00000000-0005-0000-0000-00001BAC0000}"/>
    <cellStyle name="Процентный 5 2 117 2 2" xfId="56465" xr:uid="{00000000-0005-0000-0000-00001CAC0000}"/>
    <cellStyle name="Процентный 5 2 117 3" xfId="13744" xr:uid="{00000000-0005-0000-0000-00001DAC0000}"/>
    <cellStyle name="Процентный 5 2 117 4" xfId="19084" xr:uid="{00000000-0005-0000-0000-00001EAC0000}"/>
    <cellStyle name="Процентный 5 2 117 5" xfId="24424" xr:uid="{00000000-0005-0000-0000-00001FAC0000}"/>
    <cellStyle name="Процентный 5 2 117 6" xfId="29764" xr:uid="{00000000-0005-0000-0000-000020AC0000}"/>
    <cellStyle name="Процентный 5 2 117 7" xfId="35104" xr:uid="{00000000-0005-0000-0000-000021AC0000}"/>
    <cellStyle name="Процентный 5 2 117 8" xfId="40444" xr:uid="{00000000-0005-0000-0000-000022AC0000}"/>
    <cellStyle name="Процентный 5 2 117 9" xfId="45784" xr:uid="{00000000-0005-0000-0000-000023AC0000}"/>
    <cellStyle name="Процентный 5 2 118" xfId="3092" xr:uid="{00000000-0005-0000-0000-000024AC0000}"/>
    <cellStyle name="Процентный 5 2 118 10" xfId="51156" xr:uid="{00000000-0005-0000-0000-000025AC0000}"/>
    <cellStyle name="Процентный 5 2 118 2" xfId="8435" xr:uid="{00000000-0005-0000-0000-000026AC0000}"/>
    <cellStyle name="Процентный 5 2 118 2 2" xfId="56497" xr:uid="{00000000-0005-0000-0000-000027AC0000}"/>
    <cellStyle name="Процентный 5 2 118 3" xfId="13776" xr:uid="{00000000-0005-0000-0000-000028AC0000}"/>
    <cellStyle name="Процентный 5 2 118 4" xfId="19116" xr:uid="{00000000-0005-0000-0000-000029AC0000}"/>
    <cellStyle name="Процентный 5 2 118 5" xfId="24456" xr:uid="{00000000-0005-0000-0000-00002AAC0000}"/>
    <cellStyle name="Процентный 5 2 118 6" xfId="29796" xr:uid="{00000000-0005-0000-0000-00002BAC0000}"/>
    <cellStyle name="Процентный 5 2 118 7" xfId="35136" xr:uid="{00000000-0005-0000-0000-00002CAC0000}"/>
    <cellStyle name="Процентный 5 2 118 8" xfId="40476" xr:uid="{00000000-0005-0000-0000-00002DAC0000}"/>
    <cellStyle name="Процентный 5 2 118 9" xfId="45816" xr:uid="{00000000-0005-0000-0000-00002EAC0000}"/>
    <cellStyle name="Процентный 5 2 119" xfId="3125" xr:uid="{00000000-0005-0000-0000-00002FAC0000}"/>
    <cellStyle name="Процентный 5 2 119 10" xfId="51188" xr:uid="{00000000-0005-0000-0000-000030AC0000}"/>
    <cellStyle name="Процентный 5 2 119 2" xfId="8468" xr:uid="{00000000-0005-0000-0000-000031AC0000}"/>
    <cellStyle name="Процентный 5 2 119 2 2" xfId="56529" xr:uid="{00000000-0005-0000-0000-000032AC0000}"/>
    <cellStyle name="Процентный 5 2 119 3" xfId="13808" xr:uid="{00000000-0005-0000-0000-000033AC0000}"/>
    <cellStyle name="Процентный 5 2 119 4" xfId="19148" xr:uid="{00000000-0005-0000-0000-000034AC0000}"/>
    <cellStyle name="Процентный 5 2 119 5" xfId="24488" xr:uid="{00000000-0005-0000-0000-000035AC0000}"/>
    <cellStyle name="Процентный 5 2 119 6" xfId="29828" xr:uid="{00000000-0005-0000-0000-000036AC0000}"/>
    <cellStyle name="Процентный 5 2 119 7" xfId="35168" xr:uid="{00000000-0005-0000-0000-000037AC0000}"/>
    <cellStyle name="Процентный 5 2 119 8" xfId="40508" xr:uid="{00000000-0005-0000-0000-000038AC0000}"/>
    <cellStyle name="Процентный 5 2 119 9" xfId="45848" xr:uid="{00000000-0005-0000-0000-000039AC0000}"/>
    <cellStyle name="Процентный 5 2 12" xfId="199" xr:uid="{00000000-0005-0000-0000-00003AAC0000}"/>
    <cellStyle name="Процентный 5 2 12 10" xfId="42921" xr:uid="{00000000-0005-0000-0000-00003BAC0000}"/>
    <cellStyle name="Процентный 5 2 12 11" xfId="48261" xr:uid="{00000000-0005-0000-0000-00003CAC0000}"/>
    <cellStyle name="Процентный 5 2 12 2" xfId="666" xr:uid="{00000000-0005-0000-0000-00003DAC0000}"/>
    <cellStyle name="Процентный 5 2 12 2 10" xfId="48728" xr:uid="{00000000-0005-0000-0000-00003EAC0000}"/>
    <cellStyle name="Процентный 5 2 12 2 2" xfId="6007" xr:uid="{00000000-0005-0000-0000-00003FAC0000}"/>
    <cellStyle name="Процентный 5 2 12 2 2 2" xfId="54069" xr:uid="{00000000-0005-0000-0000-000040AC0000}"/>
    <cellStyle name="Процентный 5 2 12 2 3" xfId="11348" xr:uid="{00000000-0005-0000-0000-000041AC0000}"/>
    <cellStyle name="Процентный 5 2 12 2 4" xfId="16688" xr:uid="{00000000-0005-0000-0000-000042AC0000}"/>
    <cellStyle name="Процентный 5 2 12 2 5" xfId="22028" xr:uid="{00000000-0005-0000-0000-000043AC0000}"/>
    <cellStyle name="Процентный 5 2 12 2 6" xfId="27368" xr:uid="{00000000-0005-0000-0000-000044AC0000}"/>
    <cellStyle name="Процентный 5 2 12 2 7" xfId="32708" xr:uid="{00000000-0005-0000-0000-000045AC0000}"/>
    <cellStyle name="Процентный 5 2 12 2 8" xfId="38048" xr:uid="{00000000-0005-0000-0000-000046AC0000}"/>
    <cellStyle name="Процентный 5 2 12 2 9" xfId="43388" xr:uid="{00000000-0005-0000-0000-000047AC0000}"/>
    <cellStyle name="Процентный 5 2 12 3" xfId="5540" xr:uid="{00000000-0005-0000-0000-000048AC0000}"/>
    <cellStyle name="Процентный 5 2 12 3 2" xfId="53602" xr:uid="{00000000-0005-0000-0000-000049AC0000}"/>
    <cellStyle name="Процентный 5 2 12 4" xfId="10881" xr:uid="{00000000-0005-0000-0000-00004AAC0000}"/>
    <cellStyle name="Процентный 5 2 12 5" xfId="16221" xr:uid="{00000000-0005-0000-0000-00004BAC0000}"/>
    <cellStyle name="Процентный 5 2 12 6" xfId="21561" xr:uid="{00000000-0005-0000-0000-00004CAC0000}"/>
    <cellStyle name="Процентный 5 2 12 7" xfId="26901" xr:uid="{00000000-0005-0000-0000-00004DAC0000}"/>
    <cellStyle name="Процентный 5 2 12 8" xfId="32241" xr:uid="{00000000-0005-0000-0000-00004EAC0000}"/>
    <cellStyle name="Процентный 5 2 12 9" xfId="37581" xr:uid="{00000000-0005-0000-0000-00004FAC0000}"/>
    <cellStyle name="Процентный 5 2 120" xfId="3157" xr:uid="{00000000-0005-0000-0000-000050AC0000}"/>
    <cellStyle name="Процентный 5 2 120 10" xfId="51220" xr:uid="{00000000-0005-0000-0000-000051AC0000}"/>
    <cellStyle name="Процентный 5 2 120 2" xfId="8500" xr:uid="{00000000-0005-0000-0000-000052AC0000}"/>
    <cellStyle name="Процентный 5 2 120 2 2" xfId="56561" xr:uid="{00000000-0005-0000-0000-000053AC0000}"/>
    <cellStyle name="Процентный 5 2 120 3" xfId="13840" xr:uid="{00000000-0005-0000-0000-000054AC0000}"/>
    <cellStyle name="Процентный 5 2 120 4" xfId="19180" xr:uid="{00000000-0005-0000-0000-000055AC0000}"/>
    <cellStyle name="Процентный 5 2 120 5" xfId="24520" xr:uid="{00000000-0005-0000-0000-000056AC0000}"/>
    <cellStyle name="Процентный 5 2 120 6" xfId="29860" xr:uid="{00000000-0005-0000-0000-000057AC0000}"/>
    <cellStyle name="Процентный 5 2 120 7" xfId="35200" xr:uid="{00000000-0005-0000-0000-000058AC0000}"/>
    <cellStyle name="Процентный 5 2 120 8" xfId="40540" xr:uid="{00000000-0005-0000-0000-000059AC0000}"/>
    <cellStyle name="Процентный 5 2 120 9" xfId="45880" xr:uid="{00000000-0005-0000-0000-00005AAC0000}"/>
    <cellStyle name="Процентный 5 2 121" xfId="3189" xr:uid="{00000000-0005-0000-0000-00005BAC0000}"/>
    <cellStyle name="Процентный 5 2 121 10" xfId="51252" xr:uid="{00000000-0005-0000-0000-00005CAC0000}"/>
    <cellStyle name="Процентный 5 2 121 2" xfId="8532" xr:uid="{00000000-0005-0000-0000-00005DAC0000}"/>
    <cellStyle name="Процентный 5 2 121 2 2" xfId="56593" xr:uid="{00000000-0005-0000-0000-00005EAC0000}"/>
    <cellStyle name="Процентный 5 2 121 3" xfId="13872" xr:uid="{00000000-0005-0000-0000-00005FAC0000}"/>
    <cellStyle name="Процентный 5 2 121 4" xfId="19212" xr:uid="{00000000-0005-0000-0000-000060AC0000}"/>
    <cellStyle name="Процентный 5 2 121 5" xfId="24552" xr:uid="{00000000-0005-0000-0000-000061AC0000}"/>
    <cellStyle name="Процентный 5 2 121 6" xfId="29892" xr:uid="{00000000-0005-0000-0000-000062AC0000}"/>
    <cellStyle name="Процентный 5 2 121 7" xfId="35232" xr:uid="{00000000-0005-0000-0000-000063AC0000}"/>
    <cellStyle name="Процентный 5 2 121 8" xfId="40572" xr:uid="{00000000-0005-0000-0000-000064AC0000}"/>
    <cellStyle name="Процентный 5 2 121 9" xfId="45912" xr:uid="{00000000-0005-0000-0000-000065AC0000}"/>
    <cellStyle name="Процентный 5 2 122" xfId="3221" xr:uid="{00000000-0005-0000-0000-000066AC0000}"/>
    <cellStyle name="Процентный 5 2 122 10" xfId="51284" xr:uid="{00000000-0005-0000-0000-000067AC0000}"/>
    <cellStyle name="Процентный 5 2 122 2" xfId="8564" xr:uid="{00000000-0005-0000-0000-000068AC0000}"/>
    <cellStyle name="Процентный 5 2 122 2 2" xfId="56625" xr:uid="{00000000-0005-0000-0000-000069AC0000}"/>
    <cellStyle name="Процентный 5 2 122 3" xfId="13904" xr:uid="{00000000-0005-0000-0000-00006AAC0000}"/>
    <cellStyle name="Процентный 5 2 122 4" xfId="19244" xr:uid="{00000000-0005-0000-0000-00006BAC0000}"/>
    <cellStyle name="Процентный 5 2 122 5" xfId="24584" xr:uid="{00000000-0005-0000-0000-00006CAC0000}"/>
    <cellStyle name="Процентный 5 2 122 6" xfId="29924" xr:uid="{00000000-0005-0000-0000-00006DAC0000}"/>
    <cellStyle name="Процентный 5 2 122 7" xfId="35264" xr:uid="{00000000-0005-0000-0000-00006EAC0000}"/>
    <cellStyle name="Процентный 5 2 122 8" xfId="40604" xr:uid="{00000000-0005-0000-0000-00006FAC0000}"/>
    <cellStyle name="Процентный 5 2 122 9" xfId="45944" xr:uid="{00000000-0005-0000-0000-000070AC0000}"/>
    <cellStyle name="Процентный 5 2 123" xfId="3253" xr:uid="{00000000-0005-0000-0000-000071AC0000}"/>
    <cellStyle name="Процентный 5 2 123 10" xfId="51316" xr:uid="{00000000-0005-0000-0000-000072AC0000}"/>
    <cellStyle name="Процентный 5 2 123 2" xfId="8596" xr:uid="{00000000-0005-0000-0000-000073AC0000}"/>
    <cellStyle name="Процентный 5 2 123 2 2" xfId="56657" xr:uid="{00000000-0005-0000-0000-000074AC0000}"/>
    <cellStyle name="Процентный 5 2 123 3" xfId="13936" xr:uid="{00000000-0005-0000-0000-000075AC0000}"/>
    <cellStyle name="Процентный 5 2 123 4" xfId="19276" xr:uid="{00000000-0005-0000-0000-000076AC0000}"/>
    <cellStyle name="Процентный 5 2 123 5" xfId="24616" xr:uid="{00000000-0005-0000-0000-000077AC0000}"/>
    <cellStyle name="Процентный 5 2 123 6" xfId="29956" xr:uid="{00000000-0005-0000-0000-000078AC0000}"/>
    <cellStyle name="Процентный 5 2 123 7" xfId="35296" xr:uid="{00000000-0005-0000-0000-000079AC0000}"/>
    <cellStyle name="Процентный 5 2 123 8" xfId="40636" xr:uid="{00000000-0005-0000-0000-00007AAC0000}"/>
    <cellStyle name="Процентный 5 2 123 9" xfId="45976" xr:uid="{00000000-0005-0000-0000-00007BAC0000}"/>
    <cellStyle name="Процентный 5 2 124" xfId="3285" xr:uid="{00000000-0005-0000-0000-00007CAC0000}"/>
    <cellStyle name="Процентный 5 2 124 10" xfId="51348" xr:uid="{00000000-0005-0000-0000-00007DAC0000}"/>
    <cellStyle name="Процентный 5 2 124 2" xfId="8628" xr:uid="{00000000-0005-0000-0000-00007EAC0000}"/>
    <cellStyle name="Процентный 5 2 124 2 2" xfId="56689" xr:uid="{00000000-0005-0000-0000-00007FAC0000}"/>
    <cellStyle name="Процентный 5 2 124 3" xfId="13968" xr:uid="{00000000-0005-0000-0000-000080AC0000}"/>
    <cellStyle name="Процентный 5 2 124 4" xfId="19308" xr:uid="{00000000-0005-0000-0000-000081AC0000}"/>
    <cellStyle name="Процентный 5 2 124 5" xfId="24648" xr:uid="{00000000-0005-0000-0000-000082AC0000}"/>
    <cellStyle name="Процентный 5 2 124 6" xfId="29988" xr:uid="{00000000-0005-0000-0000-000083AC0000}"/>
    <cellStyle name="Процентный 5 2 124 7" xfId="35328" xr:uid="{00000000-0005-0000-0000-000084AC0000}"/>
    <cellStyle name="Процентный 5 2 124 8" xfId="40668" xr:uid="{00000000-0005-0000-0000-000085AC0000}"/>
    <cellStyle name="Процентный 5 2 124 9" xfId="46008" xr:uid="{00000000-0005-0000-0000-000086AC0000}"/>
    <cellStyle name="Процентный 5 2 125" xfId="3317" xr:uid="{00000000-0005-0000-0000-000087AC0000}"/>
    <cellStyle name="Процентный 5 2 125 10" xfId="51380" xr:uid="{00000000-0005-0000-0000-000088AC0000}"/>
    <cellStyle name="Процентный 5 2 125 2" xfId="8660" xr:uid="{00000000-0005-0000-0000-000089AC0000}"/>
    <cellStyle name="Процентный 5 2 125 2 2" xfId="56721" xr:uid="{00000000-0005-0000-0000-00008AAC0000}"/>
    <cellStyle name="Процентный 5 2 125 3" xfId="14000" xr:uid="{00000000-0005-0000-0000-00008BAC0000}"/>
    <cellStyle name="Процентный 5 2 125 4" xfId="19340" xr:uid="{00000000-0005-0000-0000-00008CAC0000}"/>
    <cellStyle name="Процентный 5 2 125 5" xfId="24680" xr:uid="{00000000-0005-0000-0000-00008DAC0000}"/>
    <cellStyle name="Процентный 5 2 125 6" xfId="30020" xr:uid="{00000000-0005-0000-0000-00008EAC0000}"/>
    <cellStyle name="Процентный 5 2 125 7" xfId="35360" xr:uid="{00000000-0005-0000-0000-00008FAC0000}"/>
    <cellStyle name="Процентный 5 2 125 8" xfId="40700" xr:uid="{00000000-0005-0000-0000-000090AC0000}"/>
    <cellStyle name="Процентный 5 2 125 9" xfId="46040" xr:uid="{00000000-0005-0000-0000-000091AC0000}"/>
    <cellStyle name="Процентный 5 2 126" xfId="3349" xr:uid="{00000000-0005-0000-0000-000092AC0000}"/>
    <cellStyle name="Процентный 5 2 126 10" xfId="51412" xr:uid="{00000000-0005-0000-0000-000093AC0000}"/>
    <cellStyle name="Процентный 5 2 126 2" xfId="8692" xr:uid="{00000000-0005-0000-0000-000094AC0000}"/>
    <cellStyle name="Процентный 5 2 126 2 2" xfId="56753" xr:uid="{00000000-0005-0000-0000-000095AC0000}"/>
    <cellStyle name="Процентный 5 2 126 3" xfId="14032" xr:uid="{00000000-0005-0000-0000-000096AC0000}"/>
    <cellStyle name="Процентный 5 2 126 4" xfId="19372" xr:uid="{00000000-0005-0000-0000-000097AC0000}"/>
    <cellStyle name="Процентный 5 2 126 5" xfId="24712" xr:uid="{00000000-0005-0000-0000-000098AC0000}"/>
    <cellStyle name="Процентный 5 2 126 6" xfId="30052" xr:uid="{00000000-0005-0000-0000-000099AC0000}"/>
    <cellStyle name="Процентный 5 2 126 7" xfId="35392" xr:uid="{00000000-0005-0000-0000-00009AAC0000}"/>
    <cellStyle name="Процентный 5 2 126 8" xfId="40732" xr:uid="{00000000-0005-0000-0000-00009BAC0000}"/>
    <cellStyle name="Процентный 5 2 126 9" xfId="46072" xr:uid="{00000000-0005-0000-0000-00009CAC0000}"/>
    <cellStyle name="Процентный 5 2 127" xfId="3381" xr:uid="{00000000-0005-0000-0000-00009DAC0000}"/>
    <cellStyle name="Процентный 5 2 127 10" xfId="51444" xr:uid="{00000000-0005-0000-0000-00009EAC0000}"/>
    <cellStyle name="Процентный 5 2 127 2" xfId="8724" xr:uid="{00000000-0005-0000-0000-00009FAC0000}"/>
    <cellStyle name="Процентный 5 2 127 2 2" xfId="56785" xr:uid="{00000000-0005-0000-0000-0000A0AC0000}"/>
    <cellStyle name="Процентный 5 2 127 3" xfId="14064" xr:uid="{00000000-0005-0000-0000-0000A1AC0000}"/>
    <cellStyle name="Процентный 5 2 127 4" xfId="19404" xr:uid="{00000000-0005-0000-0000-0000A2AC0000}"/>
    <cellStyle name="Процентный 5 2 127 5" xfId="24744" xr:uid="{00000000-0005-0000-0000-0000A3AC0000}"/>
    <cellStyle name="Процентный 5 2 127 6" xfId="30084" xr:uid="{00000000-0005-0000-0000-0000A4AC0000}"/>
    <cellStyle name="Процентный 5 2 127 7" xfId="35424" xr:uid="{00000000-0005-0000-0000-0000A5AC0000}"/>
    <cellStyle name="Процентный 5 2 127 8" xfId="40764" xr:uid="{00000000-0005-0000-0000-0000A6AC0000}"/>
    <cellStyle name="Процентный 5 2 127 9" xfId="46104" xr:uid="{00000000-0005-0000-0000-0000A7AC0000}"/>
    <cellStyle name="Процентный 5 2 128" xfId="3413" xr:uid="{00000000-0005-0000-0000-0000A8AC0000}"/>
    <cellStyle name="Процентный 5 2 128 10" xfId="51476" xr:uid="{00000000-0005-0000-0000-0000A9AC0000}"/>
    <cellStyle name="Процентный 5 2 128 2" xfId="8756" xr:uid="{00000000-0005-0000-0000-0000AAAC0000}"/>
    <cellStyle name="Процентный 5 2 128 2 2" xfId="56817" xr:uid="{00000000-0005-0000-0000-0000ABAC0000}"/>
    <cellStyle name="Процентный 5 2 128 3" xfId="14096" xr:uid="{00000000-0005-0000-0000-0000ACAC0000}"/>
    <cellStyle name="Процентный 5 2 128 4" xfId="19436" xr:uid="{00000000-0005-0000-0000-0000ADAC0000}"/>
    <cellStyle name="Процентный 5 2 128 5" xfId="24776" xr:uid="{00000000-0005-0000-0000-0000AEAC0000}"/>
    <cellStyle name="Процентный 5 2 128 6" xfId="30116" xr:uid="{00000000-0005-0000-0000-0000AFAC0000}"/>
    <cellStyle name="Процентный 5 2 128 7" xfId="35456" xr:uid="{00000000-0005-0000-0000-0000B0AC0000}"/>
    <cellStyle name="Процентный 5 2 128 8" xfId="40796" xr:uid="{00000000-0005-0000-0000-0000B1AC0000}"/>
    <cellStyle name="Процентный 5 2 128 9" xfId="46136" xr:uid="{00000000-0005-0000-0000-0000B2AC0000}"/>
    <cellStyle name="Процентный 5 2 129" xfId="3445" xr:uid="{00000000-0005-0000-0000-0000B3AC0000}"/>
    <cellStyle name="Процентный 5 2 129 10" xfId="51508" xr:uid="{00000000-0005-0000-0000-0000B4AC0000}"/>
    <cellStyle name="Процентный 5 2 129 2" xfId="8788" xr:uid="{00000000-0005-0000-0000-0000B5AC0000}"/>
    <cellStyle name="Процентный 5 2 129 2 2" xfId="56849" xr:uid="{00000000-0005-0000-0000-0000B6AC0000}"/>
    <cellStyle name="Процентный 5 2 129 3" xfId="14128" xr:uid="{00000000-0005-0000-0000-0000B7AC0000}"/>
    <cellStyle name="Процентный 5 2 129 4" xfId="19468" xr:uid="{00000000-0005-0000-0000-0000B8AC0000}"/>
    <cellStyle name="Процентный 5 2 129 5" xfId="24808" xr:uid="{00000000-0005-0000-0000-0000B9AC0000}"/>
    <cellStyle name="Процентный 5 2 129 6" xfId="30148" xr:uid="{00000000-0005-0000-0000-0000BAAC0000}"/>
    <cellStyle name="Процентный 5 2 129 7" xfId="35488" xr:uid="{00000000-0005-0000-0000-0000BBAC0000}"/>
    <cellStyle name="Процентный 5 2 129 8" xfId="40828" xr:uid="{00000000-0005-0000-0000-0000BCAC0000}"/>
    <cellStyle name="Процентный 5 2 129 9" xfId="46168" xr:uid="{00000000-0005-0000-0000-0000BDAC0000}"/>
    <cellStyle name="Процентный 5 2 13" xfId="209" xr:uid="{00000000-0005-0000-0000-0000BEAC0000}"/>
    <cellStyle name="Процентный 5 2 13 10" xfId="42931" xr:uid="{00000000-0005-0000-0000-0000BFAC0000}"/>
    <cellStyle name="Процентный 5 2 13 11" xfId="48271" xr:uid="{00000000-0005-0000-0000-0000C0AC0000}"/>
    <cellStyle name="Процентный 5 2 13 2" xfId="676" xr:uid="{00000000-0005-0000-0000-0000C1AC0000}"/>
    <cellStyle name="Процентный 5 2 13 2 10" xfId="48738" xr:uid="{00000000-0005-0000-0000-0000C2AC0000}"/>
    <cellStyle name="Процентный 5 2 13 2 2" xfId="6017" xr:uid="{00000000-0005-0000-0000-0000C3AC0000}"/>
    <cellStyle name="Процентный 5 2 13 2 2 2" xfId="54079" xr:uid="{00000000-0005-0000-0000-0000C4AC0000}"/>
    <cellStyle name="Процентный 5 2 13 2 3" xfId="11358" xr:uid="{00000000-0005-0000-0000-0000C5AC0000}"/>
    <cellStyle name="Процентный 5 2 13 2 4" xfId="16698" xr:uid="{00000000-0005-0000-0000-0000C6AC0000}"/>
    <cellStyle name="Процентный 5 2 13 2 5" xfId="22038" xr:uid="{00000000-0005-0000-0000-0000C7AC0000}"/>
    <cellStyle name="Процентный 5 2 13 2 6" xfId="27378" xr:uid="{00000000-0005-0000-0000-0000C8AC0000}"/>
    <cellStyle name="Процентный 5 2 13 2 7" xfId="32718" xr:uid="{00000000-0005-0000-0000-0000C9AC0000}"/>
    <cellStyle name="Процентный 5 2 13 2 8" xfId="38058" xr:uid="{00000000-0005-0000-0000-0000CAAC0000}"/>
    <cellStyle name="Процентный 5 2 13 2 9" xfId="43398" xr:uid="{00000000-0005-0000-0000-0000CBAC0000}"/>
    <cellStyle name="Процентный 5 2 13 3" xfId="5550" xr:uid="{00000000-0005-0000-0000-0000CCAC0000}"/>
    <cellStyle name="Процентный 5 2 13 3 2" xfId="53612" xr:uid="{00000000-0005-0000-0000-0000CDAC0000}"/>
    <cellStyle name="Процентный 5 2 13 4" xfId="10891" xr:uid="{00000000-0005-0000-0000-0000CEAC0000}"/>
    <cellStyle name="Процентный 5 2 13 5" xfId="16231" xr:uid="{00000000-0005-0000-0000-0000CFAC0000}"/>
    <cellStyle name="Процентный 5 2 13 6" xfId="21571" xr:uid="{00000000-0005-0000-0000-0000D0AC0000}"/>
    <cellStyle name="Процентный 5 2 13 7" xfId="26911" xr:uid="{00000000-0005-0000-0000-0000D1AC0000}"/>
    <cellStyle name="Процентный 5 2 13 8" xfId="32251" xr:uid="{00000000-0005-0000-0000-0000D2AC0000}"/>
    <cellStyle name="Процентный 5 2 13 9" xfId="37591" xr:uid="{00000000-0005-0000-0000-0000D3AC0000}"/>
    <cellStyle name="Процентный 5 2 130" xfId="3477" xr:uid="{00000000-0005-0000-0000-0000D4AC0000}"/>
    <cellStyle name="Процентный 5 2 130 10" xfId="51540" xr:uid="{00000000-0005-0000-0000-0000D5AC0000}"/>
    <cellStyle name="Процентный 5 2 130 2" xfId="8820" xr:uid="{00000000-0005-0000-0000-0000D6AC0000}"/>
    <cellStyle name="Процентный 5 2 130 2 2" xfId="56881" xr:uid="{00000000-0005-0000-0000-0000D7AC0000}"/>
    <cellStyle name="Процентный 5 2 130 3" xfId="14160" xr:uid="{00000000-0005-0000-0000-0000D8AC0000}"/>
    <cellStyle name="Процентный 5 2 130 4" xfId="19500" xr:uid="{00000000-0005-0000-0000-0000D9AC0000}"/>
    <cellStyle name="Процентный 5 2 130 5" xfId="24840" xr:uid="{00000000-0005-0000-0000-0000DAAC0000}"/>
    <cellStyle name="Процентный 5 2 130 6" xfId="30180" xr:uid="{00000000-0005-0000-0000-0000DBAC0000}"/>
    <cellStyle name="Процентный 5 2 130 7" xfId="35520" xr:uid="{00000000-0005-0000-0000-0000DCAC0000}"/>
    <cellStyle name="Процентный 5 2 130 8" xfId="40860" xr:uid="{00000000-0005-0000-0000-0000DDAC0000}"/>
    <cellStyle name="Процентный 5 2 130 9" xfId="46200" xr:uid="{00000000-0005-0000-0000-0000DEAC0000}"/>
    <cellStyle name="Процентный 5 2 131" xfId="3509" xr:uid="{00000000-0005-0000-0000-0000DFAC0000}"/>
    <cellStyle name="Процентный 5 2 131 10" xfId="51572" xr:uid="{00000000-0005-0000-0000-0000E0AC0000}"/>
    <cellStyle name="Процентный 5 2 131 2" xfId="8852" xr:uid="{00000000-0005-0000-0000-0000E1AC0000}"/>
    <cellStyle name="Процентный 5 2 131 2 2" xfId="56913" xr:uid="{00000000-0005-0000-0000-0000E2AC0000}"/>
    <cellStyle name="Процентный 5 2 131 3" xfId="14192" xr:uid="{00000000-0005-0000-0000-0000E3AC0000}"/>
    <cellStyle name="Процентный 5 2 131 4" xfId="19532" xr:uid="{00000000-0005-0000-0000-0000E4AC0000}"/>
    <cellStyle name="Процентный 5 2 131 5" xfId="24872" xr:uid="{00000000-0005-0000-0000-0000E5AC0000}"/>
    <cellStyle name="Процентный 5 2 131 6" xfId="30212" xr:uid="{00000000-0005-0000-0000-0000E6AC0000}"/>
    <cellStyle name="Процентный 5 2 131 7" xfId="35552" xr:uid="{00000000-0005-0000-0000-0000E7AC0000}"/>
    <cellStyle name="Процентный 5 2 131 8" xfId="40892" xr:uid="{00000000-0005-0000-0000-0000E8AC0000}"/>
    <cellStyle name="Процентный 5 2 131 9" xfId="46232" xr:uid="{00000000-0005-0000-0000-0000E9AC0000}"/>
    <cellStyle name="Процентный 5 2 132" xfId="3541" xr:uid="{00000000-0005-0000-0000-0000EAAC0000}"/>
    <cellStyle name="Процентный 5 2 132 10" xfId="51604" xr:uid="{00000000-0005-0000-0000-0000EBAC0000}"/>
    <cellStyle name="Процентный 5 2 132 2" xfId="8884" xr:uid="{00000000-0005-0000-0000-0000ECAC0000}"/>
    <cellStyle name="Процентный 5 2 132 2 2" xfId="56945" xr:uid="{00000000-0005-0000-0000-0000EDAC0000}"/>
    <cellStyle name="Процентный 5 2 132 3" xfId="14224" xr:uid="{00000000-0005-0000-0000-0000EEAC0000}"/>
    <cellStyle name="Процентный 5 2 132 4" xfId="19564" xr:uid="{00000000-0005-0000-0000-0000EFAC0000}"/>
    <cellStyle name="Процентный 5 2 132 5" xfId="24904" xr:uid="{00000000-0005-0000-0000-0000F0AC0000}"/>
    <cellStyle name="Процентный 5 2 132 6" xfId="30244" xr:uid="{00000000-0005-0000-0000-0000F1AC0000}"/>
    <cellStyle name="Процентный 5 2 132 7" xfId="35584" xr:uid="{00000000-0005-0000-0000-0000F2AC0000}"/>
    <cellStyle name="Процентный 5 2 132 8" xfId="40924" xr:uid="{00000000-0005-0000-0000-0000F3AC0000}"/>
    <cellStyle name="Процентный 5 2 132 9" xfId="46264" xr:uid="{00000000-0005-0000-0000-0000F4AC0000}"/>
    <cellStyle name="Процентный 5 2 133" xfId="3573" xr:uid="{00000000-0005-0000-0000-0000F5AC0000}"/>
    <cellStyle name="Процентный 5 2 133 10" xfId="51636" xr:uid="{00000000-0005-0000-0000-0000F6AC0000}"/>
    <cellStyle name="Процентный 5 2 133 2" xfId="8916" xr:uid="{00000000-0005-0000-0000-0000F7AC0000}"/>
    <cellStyle name="Процентный 5 2 133 2 2" xfId="56977" xr:uid="{00000000-0005-0000-0000-0000F8AC0000}"/>
    <cellStyle name="Процентный 5 2 133 3" xfId="14256" xr:uid="{00000000-0005-0000-0000-0000F9AC0000}"/>
    <cellStyle name="Процентный 5 2 133 4" xfId="19596" xr:uid="{00000000-0005-0000-0000-0000FAAC0000}"/>
    <cellStyle name="Процентный 5 2 133 5" xfId="24936" xr:uid="{00000000-0005-0000-0000-0000FBAC0000}"/>
    <cellStyle name="Процентный 5 2 133 6" xfId="30276" xr:uid="{00000000-0005-0000-0000-0000FCAC0000}"/>
    <cellStyle name="Процентный 5 2 133 7" xfId="35616" xr:uid="{00000000-0005-0000-0000-0000FDAC0000}"/>
    <cellStyle name="Процентный 5 2 133 8" xfId="40956" xr:uid="{00000000-0005-0000-0000-0000FEAC0000}"/>
    <cellStyle name="Процентный 5 2 133 9" xfId="46296" xr:uid="{00000000-0005-0000-0000-0000FFAC0000}"/>
    <cellStyle name="Процентный 5 2 134" xfId="3605" xr:uid="{00000000-0005-0000-0000-000000AD0000}"/>
    <cellStyle name="Процентный 5 2 134 10" xfId="51668" xr:uid="{00000000-0005-0000-0000-000001AD0000}"/>
    <cellStyle name="Процентный 5 2 134 2" xfId="8948" xr:uid="{00000000-0005-0000-0000-000002AD0000}"/>
    <cellStyle name="Процентный 5 2 134 2 2" xfId="57009" xr:uid="{00000000-0005-0000-0000-000003AD0000}"/>
    <cellStyle name="Процентный 5 2 134 3" xfId="14288" xr:uid="{00000000-0005-0000-0000-000004AD0000}"/>
    <cellStyle name="Процентный 5 2 134 4" xfId="19628" xr:uid="{00000000-0005-0000-0000-000005AD0000}"/>
    <cellStyle name="Процентный 5 2 134 5" xfId="24968" xr:uid="{00000000-0005-0000-0000-000006AD0000}"/>
    <cellStyle name="Процентный 5 2 134 6" xfId="30308" xr:uid="{00000000-0005-0000-0000-000007AD0000}"/>
    <cellStyle name="Процентный 5 2 134 7" xfId="35648" xr:uid="{00000000-0005-0000-0000-000008AD0000}"/>
    <cellStyle name="Процентный 5 2 134 8" xfId="40988" xr:uid="{00000000-0005-0000-0000-000009AD0000}"/>
    <cellStyle name="Процентный 5 2 134 9" xfId="46328" xr:uid="{00000000-0005-0000-0000-00000AAD0000}"/>
    <cellStyle name="Процентный 5 2 135" xfId="3637" xr:uid="{00000000-0005-0000-0000-00000BAD0000}"/>
    <cellStyle name="Процентный 5 2 135 10" xfId="51700" xr:uid="{00000000-0005-0000-0000-00000CAD0000}"/>
    <cellStyle name="Процентный 5 2 135 2" xfId="8980" xr:uid="{00000000-0005-0000-0000-00000DAD0000}"/>
    <cellStyle name="Процентный 5 2 135 2 2" xfId="57041" xr:uid="{00000000-0005-0000-0000-00000EAD0000}"/>
    <cellStyle name="Процентный 5 2 135 3" xfId="14320" xr:uid="{00000000-0005-0000-0000-00000FAD0000}"/>
    <cellStyle name="Процентный 5 2 135 4" xfId="19660" xr:uid="{00000000-0005-0000-0000-000010AD0000}"/>
    <cellStyle name="Процентный 5 2 135 5" xfId="25000" xr:uid="{00000000-0005-0000-0000-000011AD0000}"/>
    <cellStyle name="Процентный 5 2 135 6" xfId="30340" xr:uid="{00000000-0005-0000-0000-000012AD0000}"/>
    <cellStyle name="Процентный 5 2 135 7" xfId="35680" xr:uid="{00000000-0005-0000-0000-000013AD0000}"/>
    <cellStyle name="Процентный 5 2 135 8" xfId="41020" xr:uid="{00000000-0005-0000-0000-000014AD0000}"/>
    <cellStyle name="Процентный 5 2 135 9" xfId="46360" xr:uid="{00000000-0005-0000-0000-000015AD0000}"/>
    <cellStyle name="Процентный 5 2 136" xfId="3669" xr:uid="{00000000-0005-0000-0000-000016AD0000}"/>
    <cellStyle name="Процентный 5 2 136 10" xfId="51732" xr:uid="{00000000-0005-0000-0000-000017AD0000}"/>
    <cellStyle name="Процентный 5 2 136 2" xfId="9012" xr:uid="{00000000-0005-0000-0000-000018AD0000}"/>
    <cellStyle name="Процентный 5 2 136 2 2" xfId="57073" xr:uid="{00000000-0005-0000-0000-000019AD0000}"/>
    <cellStyle name="Процентный 5 2 136 3" xfId="14352" xr:uid="{00000000-0005-0000-0000-00001AAD0000}"/>
    <cellStyle name="Процентный 5 2 136 4" xfId="19692" xr:uid="{00000000-0005-0000-0000-00001BAD0000}"/>
    <cellStyle name="Процентный 5 2 136 5" xfId="25032" xr:uid="{00000000-0005-0000-0000-00001CAD0000}"/>
    <cellStyle name="Процентный 5 2 136 6" xfId="30372" xr:uid="{00000000-0005-0000-0000-00001DAD0000}"/>
    <cellStyle name="Процентный 5 2 136 7" xfId="35712" xr:uid="{00000000-0005-0000-0000-00001EAD0000}"/>
    <cellStyle name="Процентный 5 2 136 8" xfId="41052" xr:uid="{00000000-0005-0000-0000-00001FAD0000}"/>
    <cellStyle name="Процентный 5 2 136 9" xfId="46392" xr:uid="{00000000-0005-0000-0000-000020AD0000}"/>
    <cellStyle name="Процентный 5 2 137" xfId="3701" xr:uid="{00000000-0005-0000-0000-000021AD0000}"/>
    <cellStyle name="Процентный 5 2 137 10" xfId="51764" xr:uid="{00000000-0005-0000-0000-000022AD0000}"/>
    <cellStyle name="Процентный 5 2 137 2" xfId="9044" xr:uid="{00000000-0005-0000-0000-000023AD0000}"/>
    <cellStyle name="Процентный 5 2 137 2 2" xfId="57105" xr:uid="{00000000-0005-0000-0000-000024AD0000}"/>
    <cellStyle name="Процентный 5 2 137 3" xfId="14384" xr:uid="{00000000-0005-0000-0000-000025AD0000}"/>
    <cellStyle name="Процентный 5 2 137 4" xfId="19724" xr:uid="{00000000-0005-0000-0000-000026AD0000}"/>
    <cellStyle name="Процентный 5 2 137 5" xfId="25064" xr:uid="{00000000-0005-0000-0000-000027AD0000}"/>
    <cellStyle name="Процентный 5 2 137 6" xfId="30404" xr:uid="{00000000-0005-0000-0000-000028AD0000}"/>
    <cellStyle name="Процентный 5 2 137 7" xfId="35744" xr:uid="{00000000-0005-0000-0000-000029AD0000}"/>
    <cellStyle name="Процентный 5 2 137 8" xfId="41084" xr:uid="{00000000-0005-0000-0000-00002AAD0000}"/>
    <cellStyle name="Процентный 5 2 137 9" xfId="46424" xr:uid="{00000000-0005-0000-0000-00002BAD0000}"/>
    <cellStyle name="Процентный 5 2 138" xfId="3733" xr:uid="{00000000-0005-0000-0000-00002CAD0000}"/>
    <cellStyle name="Процентный 5 2 138 10" xfId="51796" xr:uid="{00000000-0005-0000-0000-00002DAD0000}"/>
    <cellStyle name="Процентный 5 2 138 2" xfId="9076" xr:uid="{00000000-0005-0000-0000-00002EAD0000}"/>
    <cellStyle name="Процентный 5 2 138 2 2" xfId="57137" xr:uid="{00000000-0005-0000-0000-00002FAD0000}"/>
    <cellStyle name="Процентный 5 2 138 3" xfId="14416" xr:uid="{00000000-0005-0000-0000-000030AD0000}"/>
    <cellStyle name="Процентный 5 2 138 4" xfId="19756" xr:uid="{00000000-0005-0000-0000-000031AD0000}"/>
    <cellStyle name="Процентный 5 2 138 5" xfId="25096" xr:uid="{00000000-0005-0000-0000-000032AD0000}"/>
    <cellStyle name="Процентный 5 2 138 6" xfId="30436" xr:uid="{00000000-0005-0000-0000-000033AD0000}"/>
    <cellStyle name="Процентный 5 2 138 7" xfId="35776" xr:uid="{00000000-0005-0000-0000-000034AD0000}"/>
    <cellStyle name="Процентный 5 2 138 8" xfId="41116" xr:uid="{00000000-0005-0000-0000-000035AD0000}"/>
    <cellStyle name="Процентный 5 2 138 9" xfId="46456" xr:uid="{00000000-0005-0000-0000-000036AD0000}"/>
    <cellStyle name="Процентный 5 2 139" xfId="3765" xr:uid="{00000000-0005-0000-0000-000037AD0000}"/>
    <cellStyle name="Процентный 5 2 139 10" xfId="51828" xr:uid="{00000000-0005-0000-0000-000038AD0000}"/>
    <cellStyle name="Процентный 5 2 139 2" xfId="9108" xr:uid="{00000000-0005-0000-0000-000039AD0000}"/>
    <cellStyle name="Процентный 5 2 139 2 2" xfId="57169" xr:uid="{00000000-0005-0000-0000-00003AAD0000}"/>
    <cellStyle name="Процентный 5 2 139 3" xfId="14448" xr:uid="{00000000-0005-0000-0000-00003BAD0000}"/>
    <cellStyle name="Процентный 5 2 139 4" xfId="19788" xr:uid="{00000000-0005-0000-0000-00003CAD0000}"/>
    <cellStyle name="Процентный 5 2 139 5" xfId="25128" xr:uid="{00000000-0005-0000-0000-00003DAD0000}"/>
    <cellStyle name="Процентный 5 2 139 6" xfId="30468" xr:uid="{00000000-0005-0000-0000-00003EAD0000}"/>
    <cellStyle name="Процентный 5 2 139 7" xfId="35808" xr:uid="{00000000-0005-0000-0000-00003FAD0000}"/>
    <cellStyle name="Процентный 5 2 139 8" xfId="41148" xr:uid="{00000000-0005-0000-0000-000040AD0000}"/>
    <cellStyle name="Процентный 5 2 139 9" xfId="46488" xr:uid="{00000000-0005-0000-0000-000041AD0000}"/>
    <cellStyle name="Процентный 5 2 14" xfId="219" xr:uid="{00000000-0005-0000-0000-000042AD0000}"/>
    <cellStyle name="Процентный 5 2 14 10" xfId="42941" xr:uid="{00000000-0005-0000-0000-000043AD0000}"/>
    <cellStyle name="Процентный 5 2 14 11" xfId="48281" xr:uid="{00000000-0005-0000-0000-000044AD0000}"/>
    <cellStyle name="Процентный 5 2 14 2" xfId="686" xr:uid="{00000000-0005-0000-0000-000045AD0000}"/>
    <cellStyle name="Процентный 5 2 14 2 10" xfId="48748" xr:uid="{00000000-0005-0000-0000-000046AD0000}"/>
    <cellStyle name="Процентный 5 2 14 2 2" xfId="6027" xr:uid="{00000000-0005-0000-0000-000047AD0000}"/>
    <cellStyle name="Процентный 5 2 14 2 2 2" xfId="54089" xr:uid="{00000000-0005-0000-0000-000048AD0000}"/>
    <cellStyle name="Процентный 5 2 14 2 3" xfId="11368" xr:uid="{00000000-0005-0000-0000-000049AD0000}"/>
    <cellStyle name="Процентный 5 2 14 2 4" xfId="16708" xr:uid="{00000000-0005-0000-0000-00004AAD0000}"/>
    <cellStyle name="Процентный 5 2 14 2 5" xfId="22048" xr:uid="{00000000-0005-0000-0000-00004BAD0000}"/>
    <cellStyle name="Процентный 5 2 14 2 6" xfId="27388" xr:uid="{00000000-0005-0000-0000-00004CAD0000}"/>
    <cellStyle name="Процентный 5 2 14 2 7" xfId="32728" xr:uid="{00000000-0005-0000-0000-00004DAD0000}"/>
    <cellStyle name="Процентный 5 2 14 2 8" xfId="38068" xr:uid="{00000000-0005-0000-0000-00004EAD0000}"/>
    <cellStyle name="Процентный 5 2 14 2 9" xfId="43408" xr:uid="{00000000-0005-0000-0000-00004FAD0000}"/>
    <cellStyle name="Процентный 5 2 14 3" xfId="5560" xr:uid="{00000000-0005-0000-0000-000050AD0000}"/>
    <cellStyle name="Процентный 5 2 14 3 2" xfId="53622" xr:uid="{00000000-0005-0000-0000-000051AD0000}"/>
    <cellStyle name="Процентный 5 2 14 4" xfId="10901" xr:uid="{00000000-0005-0000-0000-000052AD0000}"/>
    <cellStyle name="Процентный 5 2 14 5" xfId="16241" xr:uid="{00000000-0005-0000-0000-000053AD0000}"/>
    <cellStyle name="Процентный 5 2 14 6" xfId="21581" xr:uid="{00000000-0005-0000-0000-000054AD0000}"/>
    <cellStyle name="Процентный 5 2 14 7" xfId="26921" xr:uid="{00000000-0005-0000-0000-000055AD0000}"/>
    <cellStyle name="Процентный 5 2 14 8" xfId="32261" xr:uid="{00000000-0005-0000-0000-000056AD0000}"/>
    <cellStyle name="Процентный 5 2 14 9" xfId="37601" xr:uid="{00000000-0005-0000-0000-000057AD0000}"/>
    <cellStyle name="Процентный 5 2 140" xfId="3797" xr:uid="{00000000-0005-0000-0000-000058AD0000}"/>
    <cellStyle name="Процентный 5 2 140 10" xfId="51860" xr:uid="{00000000-0005-0000-0000-000059AD0000}"/>
    <cellStyle name="Процентный 5 2 140 2" xfId="9140" xr:uid="{00000000-0005-0000-0000-00005AAD0000}"/>
    <cellStyle name="Процентный 5 2 140 2 2" xfId="57201" xr:uid="{00000000-0005-0000-0000-00005BAD0000}"/>
    <cellStyle name="Процентный 5 2 140 3" xfId="14480" xr:uid="{00000000-0005-0000-0000-00005CAD0000}"/>
    <cellStyle name="Процентный 5 2 140 4" xfId="19820" xr:uid="{00000000-0005-0000-0000-00005DAD0000}"/>
    <cellStyle name="Процентный 5 2 140 5" xfId="25160" xr:uid="{00000000-0005-0000-0000-00005EAD0000}"/>
    <cellStyle name="Процентный 5 2 140 6" xfId="30500" xr:uid="{00000000-0005-0000-0000-00005FAD0000}"/>
    <cellStyle name="Процентный 5 2 140 7" xfId="35840" xr:uid="{00000000-0005-0000-0000-000060AD0000}"/>
    <cellStyle name="Процентный 5 2 140 8" xfId="41180" xr:uid="{00000000-0005-0000-0000-000061AD0000}"/>
    <cellStyle name="Процентный 5 2 140 9" xfId="46520" xr:uid="{00000000-0005-0000-0000-000062AD0000}"/>
    <cellStyle name="Процентный 5 2 141" xfId="3829" xr:uid="{00000000-0005-0000-0000-000063AD0000}"/>
    <cellStyle name="Процентный 5 2 141 10" xfId="51892" xr:uid="{00000000-0005-0000-0000-000064AD0000}"/>
    <cellStyle name="Процентный 5 2 141 2" xfId="9172" xr:uid="{00000000-0005-0000-0000-000065AD0000}"/>
    <cellStyle name="Процентный 5 2 141 2 2" xfId="57233" xr:uid="{00000000-0005-0000-0000-000066AD0000}"/>
    <cellStyle name="Процентный 5 2 141 3" xfId="14512" xr:uid="{00000000-0005-0000-0000-000067AD0000}"/>
    <cellStyle name="Процентный 5 2 141 4" xfId="19852" xr:uid="{00000000-0005-0000-0000-000068AD0000}"/>
    <cellStyle name="Процентный 5 2 141 5" xfId="25192" xr:uid="{00000000-0005-0000-0000-000069AD0000}"/>
    <cellStyle name="Процентный 5 2 141 6" xfId="30532" xr:uid="{00000000-0005-0000-0000-00006AAD0000}"/>
    <cellStyle name="Процентный 5 2 141 7" xfId="35872" xr:uid="{00000000-0005-0000-0000-00006BAD0000}"/>
    <cellStyle name="Процентный 5 2 141 8" xfId="41212" xr:uid="{00000000-0005-0000-0000-00006CAD0000}"/>
    <cellStyle name="Процентный 5 2 141 9" xfId="46552" xr:uid="{00000000-0005-0000-0000-00006DAD0000}"/>
    <cellStyle name="Процентный 5 2 142" xfId="3861" xr:uid="{00000000-0005-0000-0000-00006EAD0000}"/>
    <cellStyle name="Процентный 5 2 142 10" xfId="51924" xr:uid="{00000000-0005-0000-0000-00006FAD0000}"/>
    <cellStyle name="Процентный 5 2 142 2" xfId="9204" xr:uid="{00000000-0005-0000-0000-000070AD0000}"/>
    <cellStyle name="Процентный 5 2 142 2 2" xfId="57265" xr:uid="{00000000-0005-0000-0000-000071AD0000}"/>
    <cellStyle name="Процентный 5 2 142 3" xfId="14544" xr:uid="{00000000-0005-0000-0000-000072AD0000}"/>
    <cellStyle name="Процентный 5 2 142 4" xfId="19884" xr:uid="{00000000-0005-0000-0000-000073AD0000}"/>
    <cellStyle name="Процентный 5 2 142 5" xfId="25224" xr:uid="{00000000-0005-0000-0000-000074AD0000}"/>
    <cellStyle name="Процентный 5 2 142 6" xfId="30564" xr:uid="{00000000-0005-0000-0000-000075AD0000}"/>
    <cellStyle name="Процентный 5 2 142 7" xfId="35904" xr:uid="{00000000-0005-0000-0000-000076AD0000}"/>
    <cellStyle name="Процентный 5 2 142 8" xfId="41244" xr:uid="{00000000-0005-0000-0000-000077AD0000}"/>
    <cellStyle name="Процентный 5 2 142 9" xfId="46584" xr:uid="{00000000-0005-0000-0000-000078AD0000}"/>
    <cellStyle name="Процентный 5 2 143" xfId="3893" xr:uid="{00000000-0005-0000-0000-000079AD0000}"/>
    <cellStyle name="Процентный 5 2 143 10" xfId="51956" xr:uid="{00000000-0005-0000-0000-00007AAD0000}"/>
    <cellStyle name="Процентный 5 2 143 2" xfId="9236" xr:uid="{00000000-0005-0000-0000-00007BAD0000}"/>
    <cellStyle name="Процентный 5 2 143 2 2" xfId="57297" xr:uid="{00000000-0005-0000-0000-00007CAD0000}"/>
    <cellStyle name="Процентный 5 2 143 3" xfId="14576" xr:uid="{00000000-0005-0000-0000-00007DAD0000}"/>
    <cellStyle name="Процентный 5 2 143 4" xfId="19916" xr:uid="{00000000-0005-0000-0000-00007EAD0000}"/>
    <cellStyle name="Процентный 5 2 143 5" xfId="25256" xr:uid="{00000000-0005-0000-0000-00007FAD0000}"/>
    <cellStyle name="Процентный 5 2 143 6" xfId="30596" xr:uid="{00000000-0005-0000-0000-000080AD0000}"/>
    <cellStyle name="Процентный 5 2 143 7" xfId="35936" xr:uid="{00000000-0005-0000-0000-000081AD0000}"/>
    <cellStyle name="Процентный 5 2 143 8" xfId="41276" xr:uid="{00000000-0005-0000-0000-000082AD0000}"/>
    <cellStyle name="Процентный 5 2 143 9" xfId="46616" xr:uid="{00000000-0005-0000-0000-000083AD0000}"/>
    <cellStyle name="Процентный 5 2 144" xfId="3925" xr:uid="{00000000-0005-0000-0000-000084AD0000}"/>
    <cellStyle name="Процентный 5 2 144 10" xfId="51988" xr:uid="{00000000-0005-0000-0000-000085AD0000}"/>
    <cellStyle name="Процентный 5 2 144 2" xfId="9268" xr:uid="{00000000-0005-0000-0000-000086AD0000}"/>
    <cellStyle name="Процентный 5 2 144 2 2" xfId="57329" xr:uid="{00000000-0005-0000-0000-000087AD0000}"/>
    <cellStyle name="Процентный 5 2 144 3" xfId="14608" xr:uid="{00000000-0005-0000-0000-000088AD0000}"/>
    <cellStyle name="Процентный 5 2 144 4" xfId="19948" xr:uid="{00000000-0005-0000-0000-000089AD0000}"/>
    <cellStyle name="Процентный 5 2 144 5" xfId="25288" xr:uid="{00000000-0005-0000-0000-00008AAD0000}"/>
    <cellStyle name="Процентный 5 2 144 6" xfId="30628" xr:uid="{00000000-0005-0000-0000-00008BAD0000}"/>
    <cellStyle name="Процентный 5 2 144 7" xfId="35968" xr:uid="{00000000-0005-0000-0000-00008CAD0000}"/>
    <cellStyle name="Процентный 5 2 144 8" xfId="41308" xr:uid="{00000000-0005-0000-0000-00008DAD0000}"/>
    <cellStyle name="Процентный 5 2 144 9" xfId="46648" xr:uid="{00000000-0005-0000-0000-00008EAD0000}"/>
    <cellStyle name="Процентный 5 2 145" xfId="3957" xr:uid="{00000000-0005-0000-0000-00008FAD0000}"/>
    <cellStyle name="Процентный 5 2 145 10" xfId="52020" xr:uid="{00000000-0005-0000-0000-000090AD0000}"/>
    <cellStyle name="Процентный 5 2 145 2" xfId="9300" xr:uid="{00000000-0005-0000-0000-000091AD0000}"/>
    <cellStyle name="Процентный 5 2 145 2 2" xfId="57361" xr:uid="{00000000-0005-0000-0000-000092AD0000}"/>
    <cellStyle name="Процентный 5 2 145 3" xfId="14640" xr:uid="{00000000-0005-0000-0000-000093AD0000}"/>
    <cellStyle name="Процентный 5 2 145 4" xfId="19980" xr:uid="{00000000-0005-0000-0000-000094AD0000}"/>
    <cellStyle name="Процентный 5 2 145 5" xfId="25320" xr:uid="{00000000-0005-0000-0000-000095AD0000}"/>
    <cellStyle name="Процентный 5 2 145 6" xfId="30660" xr:uid="{00000000-0005-0000-0000-000096AD0000}"/>
    <cellStyle name="Процентный 5 2 145 7" xfId="36000" xr:uid="{00000000-0005-0000-0000-000097AD0000}"/>
    <cellStyle name="Процентный 5 2 145 8" xfId="41340" xr:uid="{00000000-0005-0000-0000-000098AD0000}"/>
    <cellStyle name="Процентный 5 2 145 9" xfId="46680" xr:uid="{00000000-0005-0000-0000-000099AD0000}"/>
    <cellStyle name="Процентный 5 2 146" xfId="3989" xr:uid="{00000000-0005-0000-0000-00009AAD0000}"/>
    <cellStyle name="Процентный 5 2 146 10" xfId="52052" xr:uid="{00000000-0005-0000-0000-00009BAD0000}"/>
    <cellStyle name="Процентный 5 2 146 2" xfId="9332" xr:uid="{00000000-0005-0000-0000-00009CAD0000}"/>
    <cellStyle name="Процентный 5 2 146 2 2" xfId="57393" xr:uid="{00000000-0005-0000-0000-00009DAD0000}"/>
    <cellStyle name="Процентный 5 2 146 3" xfId="14672" xr:uid="{00000000-0005-0000-0000-00009EAD0000}"/>
    <cellStyle name="Процентный 5 2 146 4" xfId="20012" xr:uid="{00000000-0005-0000-0000-00009FAD0000}"/>
    <cellStyle name="Процентный 5 2 146 5" xfId="25352" xr:uid="{00000000-0005-0000-0000-0000A0AD0000}"/>
    <cellStyle name="Процентный 5 2 146 6" xfId="30692" xr:uid="{00000000-0005-0000-0000-0000A1AD0000}"/>
    <cellStyle name="Процентный 5 2 146 7" xfId="36032" xr:uid="{00000000-0005-0000-0000-0000A2AD0000}"/>
    <cellStyle name="Процентный 5 2 146 8" xfId="41372" xr:uid="{00000000-0005-0000-0000-0000A3AD0000}"/>
    <cellStyle name="Процентный 5 2 146 9" xfId="46712" xr:uid="{00000000-0005-0000-0000-0000A4AD0000}"/>
    <cellStyle name="Процентный 5 2 147" xfId="4021" xr:uid="{00000000-0005-0000-0000-0000A5AD0000}"/>
    <cellStyle name="Процентный 5 2 147 10" xfId="52084" xr:uid="{00000000-0005-0000-0000-0000A6AD0000}"/>
    <cellStyle name="Процентный 5 2 147 2" xfId="9364" xr:uid="{00000000-0005-0000-0000-0000A7AD0000}"/>
    <cellStyle name="Процентный 5 2 147 2 2" xfId="57425" xr:uid="{00000000-0005-0000-0000-0000A8AD0000}"/>
    <cellStyle name="Процентный 5 2 147 3" xfId="14704" xr:uid="{00000000-0005-0000-0000-0000A9AD0000}"/>
    <cellStyle name="Процентный 5 2 147 4" xfId="20044" xr:uid="{00000000-0005-0000-0000-0000AAAD0000}"/>
    <cellStyle name="Процентный 5 2 147 5" xfId="25384" xr:uid="{00000000-0005-0000-0000-0000ABAD0000}"/>
    <cellStyle name="Процентный 5 2 147 6" xfId="30724" xr:uid="{00000000-0005-0000-0000-0000ACAD0000}"/>
    <cellStyle name="Процентный 5 2 147 7" xfId="36064" xr:uid="{00000000-0005-0000-0000-0000ADAD0000}"/>
    <cellStyle name="Процентный 5 2 147 8" xfId="41404" xr:uid="{00000000-0005-0000-0000-0000AEAD0000}"/>
    <cellStyle name="Процентный 5 2 147 9" xfId="46744" xr:uid="{00000000-0005-0000-0000-0000AFAD0000}"/>
    <cellStyle name="Процентный 5 2 148" xfId="4053" xr:uid="{00000000-0005-0000-0000-0000B0AD0000}"/>
    <cellStyle name="Процентный 5 2 148 10" xfId="52116" xr:uid="{00000000-0005-0000-0000-0000B1AD0000}"/>
    <cellStyle name="Процентный 5 2 148 2" xfId="9396" xr:uid="{00000000-0005-0000-0000-0000B2AD0000}"/>
    <cellStyle name="Процентный 5 2 148 2 2" xfId="57457" xr:uid="{00000000-0005-0000-0000-0000B3AD0000}"/>
    <cellStyle name="Процентный 5 2 148 3" xfId="14736" xr:uid="{00000000-0005-0000-0000-0000B4AD0000}"/>
    <cellStyle name="Процентный 5 2 148 4" xfId="20076" xr:uid="{00000000-0005-0000-0000-0000B5AD0000}"/>
    <cellStyle name="Процентный 5 2 148 5" xfId="25416" xr:uid="{00000000-0005-0000-0000-0000B6AD0000}"/>
    <cellStyle name="Процентный 5 2 148 6" xfId="30756" xr:uid="{00000000-0005-0000-0000-0000B7AD0000}"/>
    <cellStyle name="Процентный 5 2 148 7" xfId="36096" xr:uid="{00000000-0005-0000-0000-0000B8AD0000}"/>
    <cellStyle name="Процентный 5 2 148 8" xfId="41436" xr:uid="{00000000-0005-0000-0000-0000B9AD0000}"/>
    <cellStyle name="Процентный 5 2 148 9" xfId="46776" xr:uid="{00000000-0005-0000-0000-0000BAAD0000}"/>
    <cellStyle name="Процентный 5 2 149" xfId="4085" xr:uid="{00000000-0005-0000-0000-0000BBAD0000}"/>
    <cellStyle name="Процентный 5 2 149 10" xfId="52148" xr:uid="{00000000-0005-0000-0000-0000BCAD0000}"/>
    <cellStyle name="Процентный 5 2 149 2" xfId="9428" xr:uid="{00000000-0005-0000-0000-0000BDAD0000}"/>
    <cellStyle name="Процентный 5 2 149 2 2" xfId="57489" xr:uid="{00000000-0005-0000-0000-0000BEAD0000}"/>
    <cellStyle name="Процентный 5 2 149 3" xfId="14768" xr:uid="{00000000-0005-0000-0000-0000BFAD0000}"/>
    <cellStyle name="Процентный 5 2 149 4" xfId="20108" xr:uid="{00000000-0005-0000-0000-0000C0AD0000}"/>
    <cellStyle name="Процентный 5 2 149 5" xfId="25448" xr:uid="{00000000-0005-0000-0000-0000C1AD0000}"/>
    <cellStyle name="Процентный 5 2 149 6" xfId="30788" xr:uid="{00000000-0005-0000-0000-0000C2AD0000}"/>
    <cellStyle name="Процентный 5 2 149 7" xfId="36128" xr:uid="{00000000-0005-0000-0000-0000C3AD0000}"/>
    <cellStyle name="Процентный 5 2 149 8" xfId="41468" xr:uid="{00000000-0005-0000-0000-0000C4AD0000}"/>
    <cellStyle name="Процентный 5 2 149 9" xfId="46808" xr:uid="{00000000-0005-0000-0000-0000C5AD0000}"/>
    <cellStyle name="Процентный 5 2 15" xfId="229" xr:uid="{00000000-0005-0000-0000-0000C6AD0000}"/>
    <cellStyle name="Процентный 5 2 15 10" xfId="42951" xr:uid="{00000000-0005-0000-0000-0000C7AD0000}"/>
    <cellStyle name="Процентный 5 2 15 11" xfId="48291" xr:uid="{00000000-0005-0000-0000-0000C8AD0000}"/>
    <cellStyle name="Процентный 5 2 15 2" xfId="696" xr:uid="{00000000-0005-0000-0000-0000C9AD0000}"/>
    <cellStyle name="Процентный 5 2 15 2 10" xfId="48758" xr:uid="{00000000-0005-0000-0000-0000CAAD0000}"/>
    <cellStyle name="Процентный 5 2 15 2 2" xfId="6037" xr:uid="{00000000-0005-0000-0000-0000CBAD0000}"/>
    <cellStyle name="Процентный 5 2 15 2 2 2" xfId="54099" xr:uid="{00000000-0005-0000-0000-0000CCAD0000}"/>
    <cellStyle name="Процентный 5 2 15 2 3" xfId="11378" xr:uid="{00000000-0005-0000-0000-0000CDAD0000}"/>
    <cellStyle name="Процентный 5 2 15 2 4" xfId="16718" xr:uid="{00000000-0005-0000-0000-0000CEAD0000}"/>
    <cellStyle name="Процентный 5 2 15 2 5" xfId="22058" xr:uid="{00000000-0005-0000-0000-0000CFAD0000}"/>
    <cellStyle name="Процентный 5 2 15 2 6" xfId="27398" xr:uid="{00000000-0005-0000-0000-0000D0AD0000}"/>
    <cellStyle name="Процентный 5 2 15 2 7" xfId="32738" xr:uid="{00000000-0005-0000-0000-0000D1AD0000}"/>
    <cellStyle name="Процентный 5 2 15 2 8" xfId="38078" xr:uid="{00000000-0005-0000-0000-0000D2AD0000}"/>
    <cellStyle name="Процентный 5 2 15 2 9" xfId="43418" xr:uid="{00000000-0005-0000-0000-0000D3AD0000}"/>
    <cellStyle name="Процентный 5 2 15 3" xfId="5570" xr:uid="{00000000-0005-0000-0000-0000D4AD0000}"/>
    <cellStyle name="Процентный 5 2 15 3 2" xfId="53632" xr:uid="{00000000-0005-0000-0000-0000D5AD0000}"/>
    <cellStyle name="Процентный 5 2 15 4" xfId="10911" xr:uid="{00000000-0005-0000-0000-0000D6AD0000}"/>
    <cellStyle name="Процентный 5 2 15 5" xfId="16251" xr:uid="{00000000-0005-0000-0000-0000D7AD0000}"/>
    <cellStyle name="Процентный 5 2 15 6" xfId="21591" xr:uid="{00000000-0005-0000-0000-0000D8AD0000}"/>
    <cellStyle name="Процентный 5 2 15 7" xfId="26931" xr:uid="{00000000-0005-0000-0000-0000D9AD0000}"/>
    <cellStyle name="Процентный 5 2 15 8" xfId="32271" xr:uid="{00000000-0005-0000-0000-0000DAAD0000}"/>
    <cellStyle name="Процентный 5 2 15 9" xfId="37611" xr:uid="{00000000-0005-0000-0000-0000DBAD0000}"/>
    <cellStyle name="Процентный 5 2 150" xfId="4117" xr:uid="{00000000-0005-0000-0000-0000DCAD0000}"/>
    <cellStyle name="Процентный 5 2 150 10" xfId="52180" xr:uid="{00000000-0005-0000-0000-0000DDAD0000}"/>
    <cellStyle name="Процентный 5 2 150 2" xfId="9460" xr:uid="{00000000-0005-0000-0000-0000DEAD0000}"/>
    <cellStyle name="Процентный 5 2 150 2 2" xfId="57521" xr:uid="{00000000-0005-0000-0000-0000DFAD0000}"/>
    <cellStyle name="Процентный 5 2 150 3" xfId="14800" xr:uid="{00000000-0005-0000-0000-0000E0AD0000}"/>
    <cellStyle name="Процентный 5 2 150 4" xfId="20140" xr:uid="{00000000-0005-0000-0000-0000E1AD0000}"/>
    <cellStyle name="Процентный 5 2 150 5" xfId="25480" xr:uid="{00000000-0005-0000-0000-0000E2AD0000}"/>
    <cellStyle name="Процентный 5 2 150 6" xfId="30820" xr:uid="{00000000-0005-0000-0000-0000E3AD0000}"/>
    <cellStyle name="Процентный 5 2 150 7" xfId="36160" xr:uid="{00000000-0005-0000-0000-0000E4AD0000}"/>
    <cellStyle name="Процентный 5 2 150 8" xfId="41500" xr:uid="{00000000-0005-0000-0000-0000E5AD0000}"/>
    <cellStyle name="Процентный 5 2 150 9" xfId="46840" xr:uid="{00000000-0005-0000-0000-0000E6AD0000}"/>
    <cellStyle name="Процентный 5 2 151" xfId="4149" xr:uid="{00000000-0005-0000-0000-0000E7AD0000}"/>
    <cellStyle name="Процентный 5 2 151 10" xfId="52212" xr:uid="{00000000-0005-0000-0000-0000E8AD0000}"/>
    <cellStyle name="Процентный 5 2 151 2" xfId="9492" xr:uid="{00000000-0005-0000-0000-0000E9AD0000}"/>
    <cellStyle name="Процентный 5 2 151 2 2" xfId="57553" xr:uid="{00000000-0005-0000-0000-0000EAAD0000}"/>
    <cellStyle name="Процентный 5 2 151 3" xfId="14832" xr:uid="{00000000-0005-0000-0000-0000EBAD0000}"/>
    <cellStyle name="Процентный 5 2 151 4" xfId="20172" xr:uid="{00000000-0005-0000-0000-0000ECAD0000}"/>
    <cellStyle name="Процентный 5 2 151 5" xfId="25512" xr:uid="{00000000-0005-0000-0000-0000EDAD0000}"/>
    <cellStyle name="Процентный 5 2 151 6" xfId="30852" xr:uid="{00000000-0005-0000-0000-0000EEAD0000}"/>
    <cellStyle name="Процентный 5 2 151 7" xfId="36192" xr:uid="{00000000-0005-0000-0000-0000EFAD0000}"/>
    <cellStyle name="Процентный 5 2 151 8" xfId="41532" xr:uid="{00000000-0005-0000-0000-0000F0AD0000}"/>
    <cellStyle name="Процентный 5 2 151 9" xfId="46872" xr:uid="{00000000-0005-0000-0000-0000F1AD0000}"/>
    <cellStyle name="Процентный 5 2 152" xfId="4181" xr:uid="{00000000-0005-0000-0000-0000F2AD0000}"/>
    <cellStyle name="Процентный 5 2 152 10" xfId="52244" xr:uid="{00000000-0005-0000-0000-0000F3AD0000}"/>
    <cellStyle name="Процентный 5 2 152 2" xfId="9524" xr:uid="{00000000-0005-0000-0000-0000F4AD0000}"/>
    <cellStyle name="Процентный 5 2 152 2 2" xfId="57585" xr:uid="{00000000-0005-0000-0000-0000F5AD0000}"/>
    <cellStyle name="Процентный 5 2 152 3" xfId="14864" xr:uid="{00000000-0005-0000-0000-0000F6AD0000}"/>
    <cellStyle name="Процентный 5 2 152 4" xfId="20204" xr:uid="{00000000-0005-0000-0000-0000F7AD0000}"/>
    <cellStyle name="Процентный 5 2 152 5" xfId="25544" xr:uid="{00000000-0005-0000-0000-0000F8AD0000}"/>
    <cellStyle name="Процентный 5 2 152 6" xfId="30884" xr:uid="{00000000-0005-0000-0000-0000F9AD0000}"/>
    <cellStyle name="Процентный 5 2 152 7" xfId="36224" xr:uid="{00000000-0005-0000-0000-0000FAAD0000}"/>
    <cellStyle name="Процентный 5 2 152 8" xfId="41564" xr:uid="{00000000-0005-0000-0000-0000FBAD0000}"/>
    <cellStyle name="Процентный 5 2 152 9" xfId="46904" xr:uid="{00000000-0005-0000-0000-0000FCAD0000}"/>
    <cellStyle name="Процентный 5 2 153" xfId="4213" xr:uid="{00000000-0005-0000-0000-0000FDAD0000}"/>
    <cellStyle name="Процентный 5 2 153 10" xfId="52276" xr:uid="{00000000-0005-0000-0000-0000FEAD0000}"/>
    <cellStyle name="Процентный 5 2 153 2" xfId="9556" xr:uid="{00000000-0005-0000-0000-0000FFAD0000}"/>
    <cellStyle name="Процентный 5 2 153 2 2" xfId="57617" xr:uid="{00000000-0005-0000-0000-000000AE0000}"/>
    <cellStyle name="Процентный 5 2 153 3" xfId="14896" xr:uid="{00000000-0005-0000-0000-000001AE0000}"/>
    <cellStyle name="Процентный 5 2 153 4" xfId="20236" xr:uid="{00000000-0005-0000-0000-000002AE0000}"/>
    <cellStyle name="Процентный 5 2 153 5" xfId="25576" xr:uid="{00000000-0005-0000-0000-000003AE0000}"/>
    <cellStyle name="Процентный 5 2 153 6" xfId="30916" xr:uid="{00000000-0005-0000-0000-000004AE0000}"/>
    <cellStyle name="Процентный 5 2 153 7" xfId="36256" xr:uid="{00000000-0005-0000-0000-000005AE0000}"/>
    <cellStyle name="Процентный 5 2 153 8" xfId="41596" xr:uid="{00000000-0005-0000-0000-000006AE0000}"/>
    <cellStyle name="Процентный 5 2 153 9" xfId="46936" xr:uid="{00000000-0005-0000-0000-000007AE0000}"/>
    <cellStyle name="Процентный 5 2 154" xfId="4245" xr:uid="{00000000-0005-0000-0000-000008AE0000}"/>
    <cellStyle name="Процентный 5 2 154 10" xfId="52308" xr:uid="{00000000-0005-0000-0000-000009AE0000}"/>
    <cellStyle name="Процентный 5 2 154 2" xfId="9588" xr:uid="{00000000-0005-0000-0000-00000AAE0000}"/>
    <cellStyle name="Процентный 5 2 154 2 2" xfId="57649" xr:uid="{00000000-0005-0000-0000-00000BAE0000}"/>
    <cellStyle name="Процентный 5 2 154 3" xfId="14928" xr:uid="{00000000-0005-0000-0000-00000CAE0000}"/>
    <cellStyle name="Процентный 5 2 154 4" xfId="20268" xr:uid="{00000000-0005-0000-0000-00000DAE0000}"/>
    <cellStyle name="Процентный 5 2 154 5" xfId="25608" xr:uid="{00000000-0005-0000-0000-00000EAE0000}"/>
    <cellStyle name="Процентный 5 2 154 6" xfId="30948" xr:uid="{00000000-0005-0000-0000-00000FAE0000}"/>
    <cellStyle name="Процентный 5 2 154 7" xfId="36288" xr:uid="{00000000-0005-0000-0000-000010AE0000}"/>
    <cellStyle name="Процентный 5 2 154 8" xfId="41628" xr:uid="{00000000-0005-0000-0000-000011AE0000}"/>
    <cellStyle name="Процентный 5 2 154 9" xfId="46968" xr:uid="{00000000-0005-0000-0000-000012AE0000}"/>
    <cellStyle name="Процентный 5 2 155" xfId="4277" xr:uid="{00000000-0005-0000-0000-000013AE0000}"/>
    <cellStyle name="Процентный 5 2 155 10" xfId="52340" xr:uid="{00000000-0005-0000-0000-000014AE0000}"/>
    <cellStyle name="Процентный 5 2 155 2" xfId="9620" xr:uid="{00000000-0005-0000-0000-000015AE0000}"/>
    <cellStyle name="Процентный 5 2 155 2 2" xfId="57681" xr:uid="{00000000-0005-0000-0000-000016AE0000}"/>
    <cellStyle name="Процентный 5 2 155 3" xfId="14960" xr:uid="{00000000-0005-0000-0000-000017AE0000}"/>
    <cellStyle name="Процентный 5 2 155 4" xfId="20300" xr:uid="{00000000-0005-0000-0000-000018AE0000}"/>
    <cellStyle name="Процентный 5 2 155 5" xfId="25640" xr:uid="{00000000-0005-0000-0000-000019AE0000}"/>
    <cellStyle name="Процентный 5 2 155 6" xfId="30980" xr:uid="{00000000-0005-0000-0000-00001AAE0000}"/>
    <cellStyle name="Процентный 5 2 155 7" xfId="36320" xr:uid="{00000000-0005-0000-0000-00001BAE0000}"/>
    <cellStyle name="Процентный 5 2 155 8" xfId="41660" xr:uid="{00000000-0005-0000-0000-00001CAE0000}"/>
    <cellStyle name="Процентный 5 2 155 9" xfId="47000" xr:uid="{00000000-0005-0000-0000-00001DAE0000}"/>
    <cellStyle name="Процентный 5 2 156" xfId="4309" xr:uid="{00000000-0005-0000-0000-00001EAE0000}"/>
    <cellStyle name="Процентный 5 2 156 10" xfId="52372" xr:uid="{00000000-0005-0000-0000-00001FAE0000}"/>
    <cellStyle name="Процентный 5 2 156 2" xfId="9652" xr:uid="{00000000-0005-0000-0000-000020AE0000}"/>
    <cellStyle name="Процентный 5 2 156 2 2" xfId="57713" xr:uid="{00000000-0005-0000-0000-000021AE0000}"/>
    <cellStyle name="Процентный 5 2 156 3" xfId="14992" xr:uid="{00000000-0005-0000-0000-000022AE0000}"/>
    <cellStyle name="Процентный 5 2 156 4" xfId="20332" xr:uid="{00000000-0005-0000-0000-000023AE0000}"/>
    <cellStyle name="Процентный 5 2 156 5" xfId="25672" xr:uid="{00000000-0005-0000-0000-000024AE0000}"/>
    <cellStyle name="Процентный 5 2 156 6" xfId="31012" xr:uid="{00000000-0005-0000-0000-000025AE0000}"/>
    <cellStyle name="Процентный 5 2 156 7" xfId="36352" xr:uid="{00000000-0005-0000-0000-000026AE0000}"/>
    <cellStyle name="Процентный 5 2 156 8" xfId="41692" xr:uid="{00000000-0005-0000-0000-000027AE0000}"/>
    <cellStyle name="Процентный 5 2 156 9" xfId="47032" xr:uid="{00000000-0005-0000-0000-000028AE0000}"/>
    <cellStyle name="Процентный 5 2 157" xfId="4341" xr:uid="{00000000-0005-0000-0000-000029AE0000}"/>
    <cellStyle name="Процентный 5 2 157 10" xfId="52404" xr:uid="{00000000-0005-0000-0000-00002AAE0000}"/>
    <cellStyle name="Процентный 5 2 157 2" xfId="9684" xr:uid="{00000000-0005-0000-0000-00002BAE0000}"/>
    <cellStyle name="Процентный 5 2 157 2 2" xfId="57745" xr:uid="{00000000-0005-0000-0000-00002CAE0000}"/>
    <cellStyle name="Процентный 5 2 157 3" xfId="15024" xr:uid="{00000000-0005-0000-0000-00002DAE0000}"/>
    <cellStyle name="Процентный 5 2 157 4" xfId="20364" xr:uid="{00000000-0005-0000-0000-00002EAE0000}"/>
    <cellStyle name="Процентный 5 2 157 5" xfId="25704" xr:uid="{00000000-0005-0000-0000-00002FAE0000}"/>
    <cellStyle name="Процентный 5 2 157 6" xfId="31044" xr:uid="{00000000-0005-0000-0000-000030AE0000}"/>
    <cellStyle name="Процентный 5 2 157 7" xfId="36384" xr:uid="{00000000-0005-0000-0000-000031AE0000}"/>
    <cellStyle name="Процентный 5 2 157 8" xfId="41724" xr:uid="{00000000-0005-0000-0000-000032AE0000}"/>
    <cellStyle name="Процентный 5 2 157 9" xfId="47064" xr:uid="{00000000-0005-0000-0000-000033AE0000}"/>
    <cellStyle name="Процентный 5 2 158" xfId="4373" xr:uid="{00000000-0005-0000-0000-000034AE0000}"/>
    <cellStyle name="Процентный 5 2 158 10" xfId="52436" xr:uid="{00000000-0005-0000-0000-000035AE0000}"/>
    <cellStyle name="Процентный 5 2 158 2" xfId="9716" xr:uid="{00000000-0005-0000-0000-000036AE0000}"/>
    <cellStyle name="Процентный 5 2 158 2 2" xfId="57777" xr:uid="{00000000-0005-0000-0000-000037AE0000}"/>
    <cellStyle name="Процентный 5 2 158 3" xfId="15056" xr:uid="{00000000-0005-0000-0000-000038AE0000}"/>
    <cellStyle name="Процентный 5 2 158 4" xfId="20396" xr:uid="{00000000-0005-0000-0000-000039AE0000}"/>
    <cellStyle name="Процентный 5 2 158 5" xfId="25736" xr:uid="{00000000-0005-0000-0000-00003AAE0000}"/>
    <cellStyle name="Процентный 5 2 158 6" xfId="31076" xr:uid="{00000000-0005-0000-0000-00003BAE0000}"/>
    <cellStyle name="Процентный 5 2 158 7" xfId="36416" xr:uid="{00000000-0005-0000-0000-00003CAE0000}"/>
    <cellStyle name="Процентный 5 2 158 8" xfId="41756" xr:uid="{00000000-0005-0000-0000-00003DAE0000}"/>
    <cellStyle name="Процентный 5 2 158 9" xfId="47096" xr:uid="{00000000-0005-0000-0000-00003EAE0000}"/>
    <cellStyle name="Процентный 5 2 159" xfId="4405" xr:uid="{00000000-0005-0000-0000-00003FAE0000}"/>
    <cellStyle name="Процентный 5 2 159 10" xfId="52468" xr:uid="{00000000-0005-0000-0000-000040AE0000}"/>
    <cellStyle name="Процентный 5 2 159 2" xfId="9748" xr:uid="{00000000-0005-0000-0000-000041AE0000}"/>
    <cellStyle name="Процентный 5 2 159 2 2" xfId="57809" xr:uid="{00000000-0005-0000-0000-000042AE0000}"/>
    <cellStyle name="Процентный 5 2 159 3" xfId="15088" xr:uid="{00000000-0005-0000-0000-000043AE0000}"/>
    <cellStyle name="Процентный 5 2 159 4" xfId="20428" xr:uid="{00000000-0005-0000-0000-000044AE0000}"/>
    <cellStyle name="Процентный 5 2 159 5" xfId="25768" xr:uid="{00000000-0005-0000-0000-000045AE0000}"/>
    <cellStyle name="Процентный 5 2 159 6" xfId="31108" xr:uid="{00000000-0005-0000-0000-000046AE0000}"/>
    <cellStyle name="Процентный 5 2 159 7" xfId="36448" xr:uid="{00000000-0005-0000-0000-000047AE0000}"/>
    <cellStyle name="Процентный 5 2 159 8" xfId="41788" xr:uid="{00000000-0005-0000-0000-000048AE0000}"/>
    <cellStyle name="Процентный 5 2 159 9" xfId="47128" xr:uid="{00000000-0005-0000-0000-000049AE0000}"/>
    <cellStyle name="Процентный 5 2 16" xfId="239" xr:uid="{00000000-0005-0000-0000-00004AAE0000}"/>
    <cellStyle name="Процентный 5 2 16 10" xfId="42961" xr:uid="{00000000-0005-0000-0000-00004BAE0000}"/>
    <cellStyle name="Процентный 5 2 16 11" xfId="48301" xr:uid="{00000000-0005-0000-0000-00004CAE0000}"/>
    <cellStyle name="Процентный 5 2 16 2" xfId="706" xr:uid="{00000000-0005-0000-0000-00004DAE0000}"/>
    <cellStyle name="Процентный 5 2 16 2 10" xfId="48768" xr:uid="{00000000-0005-0000-0000-00004EAE0000}"/>
    <cellStyle name="Процентный 5 2 16 2 2" xfId="6047" xr:uid="{00000000-0005-0000-0000-00004FAE0000}"/>
    <cellStyle name="Процентный 5 2 16 2 2 2" xfId="54109" xr:uid="{00000000-0005-0000-0000-000050AE0000}"/>
    <cellStyle name="Процентный 5 2 16 2 3" xfId="11388" xr:uid="{00000000-0005-0000-0000-000051AE0000}"/>
    <cellStyle name="Процентный 5 2 16 2 4" xfId="16728" xr:uid="{00000000-0005-0000-0000-000052AE0000}"/>
    <cellStyle name="Процентный 5 2 16 2 5" xfId="22068" xr:uid="{00000000-0005-0000-0000-000053AE0000}"/>
    <cellStyle name="Процентный 5 2 16 2 6" xfId="27408" xr:uid="{00000000-0005-0000-0000-000054AE0000}"/>
    <cellStyle name="Процентный 5 2 16 2 7" xfId="32748" xr:uid="{00000000-0005-0000-0000-000055AE0000}"/>
    <cellStyle name="Процентный 5 2 16 2 8" xfId="38088" xr:uid="{00000000-0005-0000-0000-000056AE0000}"/>
    <cellStyle name="Процентный 5 2 16 2 9" xfId="43428" xr:uid="{00000000-0005-0000-0000-000057AE0000}"/>
    <cellStyle name="Процентный 5 2 16 3" xfId="5580" xr:uid="{00000000-0005-0000-0000-000058AE0000}"/>
    <cellStyle name="Процентный 5 2 16 3 2" xfId="53642" xr:uid="{00000000-0005-0000-0000-000059AE0000}"/>
    <cellStyle name="Процентный 5 2 16 4" xfId="10921" xr:uid="{00000000-0005-0000-0000-00005AAE0000}"/>
    <cellStyle name="Процентный 5 2 16 5" xfId="16261" xr:uid="{00000000-0005-0000-0000-00005BAE0000}"/>
    <cellStyle name="Процентный 5 2 16 6" xfId="21601" xr:uid="{00000000-0005-0000-0000-00005CAE0000}"/>
    <cellStyle name="Процентный 5 2 16 7" xfId="26941" xr:uid="{00000000-0005-0000-0000-00005DAE0000}"/>
    <cellStyle name="Процентный 5 2 16 8" xfId="32281" xr:uid="{00000000-0005-0000-0000-00005EAE0000}"/>
    <cellStyle name="Процентный 5 2 16 9" xfId="37621" xr:uid="{00000000-0005-0000-0000-00005FAE0000}"/>
    <cellStyle name="Процентный 5 2 160" xfId="4437" xr:uid="{00000000-0005-0000-0000-000060AE0000}"/>
    <cellStyle name="Процентный 5 2 160 10" xfId="52500" xr:uid="{00000000-0005-0000-0000-000061AE0000}"/>
    <cellStyle name="Процентный 5 2 160 2" xfId="9780" xr:uid="{00000000-0005-0000-0000-000062AE0000}"/>
    <cellStyle name="Процентный 5 2 160 2 2" xfId="57841" xr:uid="{00000000-0005-0000-0000-000063AE0000}"/>
    <cellStyle name="Процентный 5 2 160 3" xfId="15120" xr:uid="{00000000-0005-0000-0000-000064AE0000}"/>
    <cellStyle name="Процентный 5 2 160 4" xfId="20460" xr:uid="{00000000-0005-0000-0000-000065AE0000}"/>
    <cellStyle name="Процентный 5 2 160 5" xfId="25800" xr:uid="{00000000-0005-0000-0000-000066AE0000}"/>
    <cellStyle name="Процентный 5 2 160 6" xfId="31140" xr:uid="{00000000-0005-0000-0000-000067AE0000}"/>
    <cellStyle name="Процентный 5 2 160 7" xfId="36480" xr:uid="{00000000-0005-0000-0000-000068AE0000}"/>
    <cellStyle name="Процентный 5 2 160 8" xfId="41820" xr:uid="{00000000-0005-0000-0000-000069AE0000}"/>
    <cellStyle name="Процентный 5 2 160 9" xfId="47160" xr:uid="{00000000-0005-0000-0000-00006AAE0000}"/>
    <cellStyle name="Процентный 5 2 161" xfId="4469" xr:uid="{00000000-0005-0000-0000-00006BAE0000}"/>
    <cellStyle name="Процентный 5 2 161 10" xfId="52532" xr:uid="{00000000-0005-0000-0000-00006CAE0000}"/>
    <cellStyle name="Процентный 5 2 161 2" xfId="9812" xr:uid="{00000000-0005-0000-0000-00006DAE0000}"/>
    <cellStyle name="Процентный 5 2 161 2 2" xfId="57873" xr:uid="{00000000-0005-0000-0000-00006EAE0000}"/>
    <cellStyle name="Процентный 5 2 161 3" xfId="15152" xr:uid="{00000000-0005-0000-0000-00006FAE0000}"/>
    <cellStyle name="Процентный 5 2 161 4" xfId="20492" xr:uid="{00000000-0005-0000-0000-000070AE0000}"/>
    <cellStyle name="Процентный 5 2 161 5" xfId="25832" xr:uid="{00000000-0005-0000-0000-000071AE0000}"/>
    <cellStyle name="Процентный 5 2 161 6" xfId="31172" xr:uid="{00000000-0005-0000-0000-000072AE0000}"/>
    <cellStyle name="Процентный 5 2 161 7" xfId="36512" xr:uid="{00000000-0005-0000-0000-000073AE0000}"/>
    <cellStyle name="Процентный 5 2 161 8" xfId="41852" xr:uid="{00000000-0005-0000-0000-000074AE0000}"/>
    <cellStyle name="Процентный 5 2 161 9" xfId="47192" xr:uid="{00000000-0005-0000-0000-000075AE0000}"/>
    <cellStyle name="Процентный 5 2 162" xfId="4501" xr:uid="{00000000-0005-0000-0000-000076AE0000}"/>
    <cellStyle name="Процентный 5 2 162 10" xfId="52564" xr:uid="{00000000-0005-0000-0000-000077AE0000}"/>
    <cellStyle name="Процентный 5 2 162 2" xfId="9844" xr:uid="{00000000-0005-0000-0000-000078AE0000}"/>
    <cellStyle name="Процентный 5 2 162 2 2" xfId="57905" xr:uid="{00000000-0005-0000-0000-000079AE0000}"/>
    <cellStyle name="Процентный 5 2 162 3" xfId="15184" xr:uid="{00000000-0005-0000-0000-00007AAE0000}"/>
    <cellStyle name="Процентный 5 2 162 4" xfId="20524" xr:uid="{00000000-0005-0000-0000-00007BAE0000}"/>
    <cellStyle name="Процентный 5 2 162 5" xfId="25864" xr:uid="{00000000-0005-0000-0000-00007CAE0000}"/>
    <cellStyle name="Процентный 5 2 162 6" xfId="31204" xr:uid="{00000000-0005-0000-0000-00007DAE0000}"/>
    <cellStyle name="Процентный 5 2 162 7" xfId="36544" xr:uid="{00000000-0005-0000-0000-00007EAE0000}"/>
    <cellStyle name="Процентный 5 2 162 8" xfId="41884" xr:uid="{00000000-0005-0000-0000-00007FAE0000}"/>
    <cellStyle name="Процентный 5 2 162 9" xfId="47224" xr:uid="{00000000-0005-0000-0000-000080AE0000}"/>
    <cellStyle name="Процентный 5 2 163" xfId="4533" xr:uid="{00000000-0005-0000-0000-000081AE0000}"/>
    <cellStyle name="Процентный 5 2 163 10" xfId="52596" xr:uid="{00000000-0005-0000-0000-000082AE0000}"/>
    <cellStyle name="Процентный 5 2 163 2" xfId="9876" xr:uid="{00000000-0005-0000-0000-000083AE0000}"/>
    <cellStyle name="Процентный 5 2 163 2 2" xfId="57937" xr:uid="{00000000-0005-0000-0000-000084AE0000}"/>
    <cellStyle name="Процентный 5 2 163 3" xfId="15216" xr:uid="{00000000-0005-0000-0000-000085AE0000}"/>
    <cellStyle name="Процентный 5 2 163 4" xfId="20556" xr:uid="{00000000-0005-0000-0000-000086AE0000}"/>
    <cellStyle name="Процентный 5 2 163 5" xfId="25896" xr:uid="{00000000-0005-0000-0000-000087AE0000}"/>
    <cellStyle name="Процентный 5 2 163 6" xfId="31236" xr:uid="{00000000-0005-0000-0000-000088AE0000}"/>
    <cellStyle name="Процентный 5 2 163 7" xfId="36576" xr:uid="{00000000-0005-0000-0000-000089AE0000}"/>
    <cellStyle name="Процентный 5 2 163 8" xfId="41916" xr:uid="{00000000-0005-0000-0000-00008AAE0000}"/>
    <cellStyle name="Процентный 5 2 163 9" xfId="47256" xr:uid="{00000000-0005-0000-0000-00008BAE0000}"/>
    <cellStyle name="Процентный 5 2 164" xfId="4565" xr:uid="{00000000-0005-0000-0000-00008CAE0000}"/>
    <cellStyle name="Процентный 5 2 164 10" xfId="52628" xr:uid="{00000000-0005-0000-0000-00008DAE0000}"/>
    <cellStyle name="Процентный 5 2 164 2" xfId="9908" xr:uid="{00000000-0005-0000-0000-00008EAE0000}"/>
    <cellStyle name="Процентный 5 2 164 2 2" xfId="57969" xr:uid="{00000000-0005-0000-0000-00008FAE0000}"/>
    <cellStyle name="Процентный 5 2 164 3" xfId="15248" xr:uid="{00000000-0005-0000-0000-000090AE0000}"/>
    <cellStyle name="Процентный 5 2 164 4" xfId="20588" xr:uid="{00000000-0005-0000-0000-000091AE0000}"/>
    <cellStyle name="Процентный 5 2 164 5" xfId="25928" xr:uid="{00000000-0005-0000-0000-000092AE0000}"/>
    <cellStyle name="Процентный 5 2 164 6" xfId="31268" xr:uid="{00000000-0005-0000-0000-000093AE0000}"/>
    <cellStyle name="Процентный 5 2 164 7" xfId="36608" xr:uid="{00000000-0005-0000-0000-000094AE0000}"/>
    <cellStyle name="Процентный 5 2 164 8" xfId="41948" xr:uid="{00000000-0005-0000-0000-000095AE0000}"/>
    <cellStyle name="Процентный 5 2 164 9" xfId="47288" xr:uid="{00000000-0005-0000-0000-000096AE0000}"/>
    <cellStyle name="Процентный 5 2 165" xfId="4597" xr:uid="{00000000-0005-0000-0000-000097AE0000}"/>
    <cellStyle name="Процентный 5 2 165 10" xfId="52660" xr:uid="{00000000-0005-0000-0000-000098AE0000}"/>
    <cellStyle name="Процентный 5 2 165 2" xfId="9940" xr:uid="{00000000-0005-0000-0000-000099AE0000}"/>
    <cellStyle name="Процентный 5 2 165 2 2" xfId="58001" xr:uid="{00000000-0005-0000-0000-00009AAE0000}"/>
    <cellStyle name="Процентный 5 2 165 3" xfId="15280" xr:uid="{00000000-0005-0000-0000-00009BAE0000}"/>
    <cellStyle name="Процентный 5 2 165 4" xfId="20620" xr:uid="{00000000-0005-0000-0000-00009CAE0000}"/>
    <cellStyle name="Процентный 5 2 165 5" xfId="25960" xr:uid="{00000000-0005-0000-0000-00009DAE0000}"/>
    <cellStyle name="Процентный 5 2 165 6" xfId="31300" xr:uid="{00000000-0005-0000-0000-00009EAE0000}"/>
    <cellStyle name="Процентный 5 2 165 7" xfId="36640" xr:uid="{00000000-0005-0000-0000-00009FAE0000}"/>
    <cellStyle name="Процентный 5 2 165 8" xfId="41980" xr:uid="{00000000-0005-0000-0000-0000A0AE0000}"/>
    <cellStyle name="Процентный 5 2 165 9" xfId="47320" xr:uid="{00000000-0005-0000-0000-0000A1AE0000}"/>
    <cellStyle name="Процентный 5 2 166" xfId="4629" xr:uid="{00000000-0005-0000-0000-0000A2AE0000}"/>
    <cellStyle name="Процентный 5 2 166 10" xfId="52692" xr:uid="{00000000-0005-0000-0000-0000A3AE0000}"/>
    <cellStyle name="Процентный 5 2 166 2" xfId="9972" xr:uid="{00000000-0005-0000-0000-0000A4AE0000}"/>
    <cellStyle name="Процентный 5 2 166 2 2" xfId="58033" xr:uid="{00000000-0005-0000-0000-0000A5AE0000}"/>
    <cellStyle name="Процентный 5 2 166 3" xfId="15312" xr:uid="{00000000-0005-0000-0000-0000A6AE0000}"/>
    <cellStyle name="Процентный 5 2 166 4" xfId="20652" xr:uid="{00000000-0005-0000-0000-0000A7AE0000}"/>
    <cellStyle name="Процентный 5 2 166 5" xfId="25992" xr:uid="{00000000-0005-0000-0000-0000A8AE0000}"/>
    <cellStyle name="Процентный 5 2 166 6" xfId="31332" xr:uid="{00000000-0005-0000-0000-0000A9AE0000}"/>
    <cellStyle name="Процентный 5 2 166 7" xfId="36672" xr:uid="{00000000-0005-0000-0000-0000AAAE0000}"/>
    <cellStyle name="Процентный 5 2 166 8" xfId="42012" xr:uid="{00000000-0005-0000-0000-0000ABAE0000}"/>
    <cellStyle name="Процентный 5 2 166 9" xfId="47352" xr:uid="{00000000-0005-0000-0000-0000ACAE0000}"/>
    <cellStyle name="Процентный 5 2 167" xfId="4661" xr:uid="{00000000-0005-0000-0000-0000ADAE0000}"/>
    <cellStyle name="Процентный 5 2 167 10" xfId="52724" xr:uid="{00000000-0005-0000-0000-0000AEAE0000}"/>
    <cellStyle name="Процентный 5 2 167 2" xfId="10004" xr:uid="{00000000-0005-0000-0000-0000AFAE0000}"/>
    <cellStyle name="Процентный 5 2 167 2 2" xfId="58065" xr:uid="{00000000-0005-0000-0000-0000B0AE0000}"/>
    <cellStyle name="Процентный 5 2 167 3" xfId="15344" xr:uid="{00000000-0005-0000-0000-0000B1AE0000}"/>
    <cellStyle name="Процентный 5 2 167 4" xfId="20684" xr:uid="{00000000-0005-0000-0000-0000B2AE0000}"/>
    <cellStyle name="Процентный 5 2 167 5" xfId="26024" xr:uid="{00000000-0005-0000-0000-0000B3AE0000}"/>
    <cellStyle name="Процентный 5 2 167 6" xfId="31364" xr:uid="{00000000-0005-0000-0000-0000B4AE0000}"/>
    <cellStyle name="Процентный 5 2 167 7" xfId="36704" xr:uid="{00000000-0005-0000-0000-0000B5AE0000}"/>
    <cellStyle name="Процентный 5 2 167 8" xfId="42044" xr:uid="{00000000-0005-0000-0000-0000B6AE0000}"/>
    <cellStyle name="Процентный 5 2 167 9" xfId="47384" xr:uid="{00000000-0005-0000-0000-0000B7AE0000}"/>
    <cellStyle name="Процентный 5 2 168" xfId="4693" xr:uid="{00000000-0005-0000-0000-0000B8AE0000}"/>
    <cellStyle name="Процентный 5 2 168 10" xfId="52756" xr:uid="{00000000-0005-0000-0000-0000B9AE0000}"/>
    <cellStyle name="Процентный 5 2 168 2" xfId="10036" xr:uid="{00000000-0005-0000-0000-0000BAAE0000}"/>
    <cellStyle name="Процентный 5 2 168 2 2" xfId="58097" xr:uid="{00000000-0005-0000-0000-0000BBAE0000}"/>
    <cellStyle name="Процентный 5 2 168 3" xfId="15376" xr:uid="{00000000-0005-0000-0000-0000BCAE0000}"/>
    <cellStyle name="Процентный 5 2 168 4" xfId="20716" xr:uid="{00000000-0005-0000-0000-0000BDAE0000}"/>
    <cellStyle name="Процентный 5 2 168 5" xfId="26056" xr:uid="{00000000-0005-0000-0000-0000BEAE0000}"/>
    <cellStyle name="Процентный 5 2 168 6" xfId="31396" xr:uid="{00000000-0005-0000-0000-0000BFAE0000}"/>
    <cellStyle name="Процентный 5 2 168 7" xfId="36736" xr:uid="{00000000-0005-0000-0000-0000C0AE0000}"/>
    <cellStyle name="Процентный 5 2 168 8" xfId="42076" xr:uid="{00000000-0005-0000-0000-0000C1AE0000}"/>
    <cellStyle name="Процентный 5 2 168 9" xfId="47416" xr:uid="{00000000-0005-0000-0000-0000C2AE0000}"/>
    <cellStyle name="Процентный 5 2 169" xfId="4727" xr:uid="{00000000-0005-0000-0000-0000C3AE0000}"/>
    <cellStyle name="Процентный 5 2 169 10" xfId="52790" xr:uid="{00000000-0005-0000-0000-0000C4AE0000}"/>
    <cellStyle name="Процентный 5 2 169 2" xfId="10070" xr:uid="{00000000-0005-0000-0000-0000C5AE0000}"/>
    <cellStyle name="Процентный 5 2 169 2 2" xfId="58131" xr:uid="{00000000-0005-0000-0000-0000C6AE0000}"/>
    <cellStyle name="Процентный 5 2 169 3" xfId="15410" xr:uid="{00000000-0005-0000-0000-0000C7AE0000}"/>
    <cellStyle name="Процентный 5 2 169 4" xfId="20750" xr:uid="{00000000-0005-0000-0000-0000C8AE0000}"/>
    <cellStyle name="Процентный 5 2 169 5" xfId="26090" xr:uid="{00000000-0005-0000-0000-0000C9AE0000}"/>
    <cellStyle name="Процентный 5 2 169 6" xfId="31430" xr:uid="{00000000-0005-0000-0000-0000CAAE0000}"/>
    <cellStyle name="Процентный 5 2 169 7" xfId="36770" xr:uid="{00000000-0005-0000-0000-0000CBAE0000}"/>
    <cellStyle name="Процентный 5 2 169 8" xfId="42110" xr:uid="{00000000-0005-0000-0000-0000CCAE0000}"/>
    <cellStyle name="Процентный 5 2 169 9" xfId="47450" xr:uid="{00000000-0005-0000-0000-0000CDAE0000}"/>
    <cellStyle name="Процентный 5 2 17" xfId="249" xr:uid="{00000000-0005-0000-0000-0000CEAE0000}"/>
    <cellStyle name="Процентный 5 2 17 10" xfId="42971" xr:uid="{00000000-0005-0000-0000-0000CFAE0000}"/>
    <cellStyle name="Процентный 5 2 17 11" xfId="48311" xr:uid="{00000000-0005-0000-0000-0000D0AE0000}"/>
    <cellStyle name="Процентный 5 2 17 2" xfId="716" xr:uid="{00000000-0005-0000-0000-0000D1AE0000}"/>
    <cellStyle name="Процентный 5 2 17 2 10" xfId="48778" xr:uid="{00000000-0005-0000-0000-0000D2AE0000}"/>
    <cellStyle name="Процентный 5 2 17 2 2" xfId="6057" xr:uid="{00000000-0005-0000-0000-0000D3AE0000}"/>
    <cellStyle name="Процентный 5 2 17 2 2 2" xfId="54119" xr:uid="{00000000-0005-0000-0000-0000D4AE0000}"/>
    <cellStyle name="Процентный 5 2 17 2 3" xfId="11398" xr:uid="{00000000-0005-0000-0000-0000D5AE0000}"/>
    <cellStyle name="Процентный 5 2 17 2 4" xfId="16738" xr:uid="{00000000-0005-0000-0000-0000D6AE0000}"/>
    <cellStyle name="Процентный 5 2 17 2 5" xfId="22078" xr:uid="{00000000-0005-0000-0000-0000D7AE0000}"/>
    <cellStyle name="Процентный 5 2 17 2 6" xfId="27418" xr:uid="{00000000-0005-0000-0000-0000D8AE0000}"/>
    <cellStyle name="Процентный 5 2 17 2 7" xfId="32758" xr:uid="{00000000-0005-0000-0000-0000D9AE0000}"/>
    <cellStyle name="Процентный 5 2 17 2 8" xfId="38098" xr:uid="{00000000-0005-0000-0000-0000DAAE0000}"/>
    <cellStyle name="Процентный 5 2 17 2 9" xfId="43438" xr:uid="{00000000-0005-0000-0000-0000DBAE0000}"/>
    <cellStyle name="Процентный 5 2 17 3" xfId="5590" xr:uid="{00000000-0005-0000-0000-0000DCAE0000}"/>
    <cellStyle name="Процентный 5 2 17 3 2" xfId="53652" xr:uid="{00000000-0005-0000-0000-0000DDAE0000}"/>
    <cellStyle name="Процентный 5 2 17 4" xfId="10931" xr:uid="{00000000-0005-0000-0000-0000DEAE0000}"/>
    <cellStyle name="Процентный 5 2 17 5" xfId="16271" xr:uid="{00000000-0005-0000-0000-0000DFAE0000}"/>
    <cellStyle name="Процентный 5 2 17 6" xfId="21611" xr:uid="{00000000-0005-0000-0000-0000E0AE0000}"/>
    <cellStyle name="Процентный 5 2 17 7" xfId="26951" xr:uid="{00000000-0005-0000-0000-0000E1AE0000}"/>
    <cellStyle name="Процентный 5 2 17 8" xfId="32291" xr:uid="{00000000-0005-0000-0000-0000E2AE0000}"/>
    <cellStyle name="Процентный 5 2 17 9" xfId="37631" xr:uid="{00000000-0005-0000-0000-0000E3AE0000}"/>
    <cellStyle name="Процентный 5 2 170" xfId="4759" xr:uid="{00000000-0005-0000-0000-0000E4AE0000}"/>
    <cellStyle name="Процентный 5 2 170 10" xfId="52822" xr:uid="{00000000-0005-0000-0000-0000E5AE0000}"/>
    <cellStyle name="Процентный 5 2 170 2" xfId="10102" xr:uid="{00000000-0005-0000-0000-0000E6AE0000}"/>
    <cellStyle name="Процентный 5 2 170 2 2" xfId="58163" xr:uid="{00000000-0005-0000-0000-0000E7AE0000}"/>
    <cellStyle name="Процентный 5 2 170 3" xfId="15442" xr:uid="{00000000-0005-0000-0000-0000E8AE0000}"/>
    <cellStyle name="Процентный 5 2 170 4" xfId="20782" xr:uid="{00000000-0005-0000-0000-0000E9AE0000}"/>
    <cellStyle name="Процентный 5 2 170 5" xfId="26122" xr:uid="{00000000-0005-0000-0000-0000EAAE0000}"/>
    <cellStyle name="Процентный 5 2 170 6" xfId="31462" xr:uid="{00000000-0005-0000-0000-0000EBAE0000}"/>
    <cellStyle name="Процентный 5 2 170 7" xfId="36802" xr:uid="{00000000-0005-0000-0000-0000ECAE0000}"/>
    <cellStyle name="Процентный 5 2 170 8" xfId="42142" xr:uid="{00000000-0005-0000-0000-0000EDAE0000}"/>
    <cellStyle name="Процентный 5 2 170 9" xfId="47482" xr:uid="{00000000-0005-0000-0000-0000EEAE0000}"/>
    <cellStyle name="Процентный 5 2 171" xfId="4791" xr:uid="{00000000-0005-0000-0000-0000EFAE0000}"/>
    <cellStyle name="Процентный 5 2 171 10" xfId="52854" xr:uid="{00000000-0005-0000-0000-0000F0AE0000}"/>
    <cellStyle name="Процентный 5 2 171 2" xfId="10134" xr:uid="{00000000-0005-0000-0000-0000F1AE0000}"/>
    <cellStyle name="Процентный 5 2 171 2 2" xfId="58195" xr:uid="{00000000-0005-0000-0000-0000F2AE0000}"/>
    <cellStyle name="Процентный 5 2 171 3" xfId="15474" xr:uid="{00000000-0005-0000-0000-0000F3AE0000}"/>
    <cellStyle name="Процентный 5 2 171 4" xfId="20814" xr:uid="{00000000-0005-0000-0000-0000F4AE0000}"/>
    <cellStyle name="Процентный 5 2 171 5" xfId="26154" xr:uid="{00000000-0005-0000-0000-0000F5AE0000}"/>
    <cellStyle name="Процентный 5 2 171 6" xfId="31494" xr:uid="{00000000-0005-0000-0000-0000F6AE0000}"/>
    <cellStyle name="Процентный 5 2 171 7" xfId="36834" xr:uid="{00000000-0005-0000-0000-0000F7AE0000}"/>
    <cellStyle name="Процентный 5 2 171 8" xfId="42174" xr:uid="{00000000-0005-0000-0000-0000F8AE0000}"/>
    <cellStyle name="Процентный 5 2 171 9" xfId="47514" xr:uid="{00000000-0005-0000-0000-0000F9AE0000}"/>
    <cellStyle name="Процентный 5 2 172" xfId="4823" xr:uid="{00000000-0005-0000-0000-0000FAAE0000}"/>
    <cellStyle name="Процентный 5 2 172 10" xfId="52886" xr:uid="{00000000-0005-0000-0000-0000FBAE0000}"/>
    <cellStyle name="Процентный 5 2 172 2" xfId="10166" xr:uid="{00000000-0005-0000-0000-0000FCAE0000}"/>
    <cellStyle name="Процентный 5 2 172 2 2" xfId="58227" xr:uid="{00000000-0005-0000-0000-0000FDAE0000}"/>
    <cellStyle name="Процентный 5 2 172 3" xfId="15506" xr:uid="{00000000-0005-0000-0000-0000FEAE0000}"/>
    <cellStyle name="Процентный 5 2 172 4" xfId="20846" xr:uid="{00000000-0005-0000-0000-0000FFAE0000}"/>
    <cellStyle name="Процентный 5 2 172 5" xfId="26186" xr:uid="{00000000-0005-0000-0000-000000AF0000}"/>
    <cellStyle name="Процентный 5 2 172 6" xfId="31526" xr:uid="{00000000-0005-0000-0000-000001AF0000}"/>
    <cellStyle name="Процентный 5 2 172 7" xfId="36866" xr:uid="{00000000-0005-0000-0000-000002AF0000}"/>
    <cellStyle name="Процентный 5 2 172 8" xfId="42206" xr:uid="{00000000-0005-0000-0000-000003AF0000}"/>
    <cellStyle name="Процентный 5 2 172 9" xfId="47546" xr:uid="{00000000-0005-0000-0000-000004AF0000}"/>
    <cellStyle name="Процентный 5 2 173" xfId="4855" xr:uid="{00000000-0005-0000-0000-000005AF0000}"/>
    <cellStyle name="Процентный 5 2 173 10" xfId="52918" xr:uid="{00000000-0005-0000-0000-000006AF0000}"/>
    <cellStyle name="Процентный 5 2 173 2" xfId="10198" xr:uid="{00000000-0005-0000-0000-000007AF0000}"/>
    <cellStyle name="Процентный 5 2 173 2 2" xfId="58259" xr:uid="{00000000-0005-0000-0000-000008AF0000}"/>
    <cellStyle name="Процентный 5 2 173 3" xfId="15538" xr:uid="{00000000-0005-0000-0000-000009AF0000}"/>
    <cellStyle name="Процентный 5 2 173 4" xfId="20878" xr:uid="{00000000-0005-0000-0000-00000AAF0000}"/>
    <cellStyle name="Процентный 5 2 173 5" xfId="26218" xr:uid="{00000000-0005-0000-0000-00000BAF0000}"/>
    <cellStyle name="Процентный 5 2 173 6" xfId="31558" xr:uid="{00000000-0005-0000-0000-00000CAF0000}"/>
    <cellStyle name="Процентный 5 2 173 7" xfId="36898" xr:uid="{00000000-0005-0000-0000-00000DAF0000}"/>
    <cellStyle name="Процентный 5 2 173 8" xfId="42238" xr:uid="{00000000-0005-0000-0000-00000EAF0000}"/>
    <cellStyle name="Процентный 5 2 173 9" xfId="47578" xr:uid="{00000000-0005-0000-0000-00000FAF0000}"/>
    <cellStyle name="Процентный 5 2 174" xfId="4887" xr:uid="{00000000-0005-0000-0000-000010AF0000}"/>
    <cellStyle name="Процентный 5 2 174 10" xfId="52950" xr:uid="{00000000-0005-0000-0000-000011AF0000}"/>
    <cellStyle name="Процентный 5 2 174 2" xfId="10230" xr:uid="{00000000-0005-0000-0000-000012AF0000}"/>
    <cellStyle name="Процентный 5 2 174 2 2" xfId="58291" xr:uid="{00000000-0005-0000-0000-000013AF0000}"/>
    <cellStyle name="Процентный 5 2 174 3" xfId="15570" xr:uid="{00000000-0005-0000-0000-000014AF0000}"/>
    <cellStyle name="Процентный 5 2 174 4" xfId="20910" xr:uid="{00000000-0005-0000-0000-000015AF0000}"/>
    <cellStyle name="Процентный 5 2 174 5" xfId="26250" xr:uid="{00000000-0005-0000-0000-000016AF0000}"/>
    <cellStyle name="Процентный 5 2 174 6" xfId="31590" xr:uid="{00000000-0005-0000-0000-000017AF0000}"/>
    <cellStyle name="Процентный 5 2 174 7" xfId="36930" xr:uid="{00000000-0005-0000-0000-000018AF0000}"/>
    <cellStyle name="Процентный 5 2 174 8" xfId="42270" xr:uid="{00000000-0005-0000-0000-000019AF0000}"/>
    <cellStyle name="Процентный 5 2 174 9" xfId="47610" xr:uid="{00000000-0005-0000-0000-00001AAF0000}"/>
    <cellStyle name="Процентный 5 2 175" xfId="4919" xr:uid="{00000000-0005-0000-0000-00001BAF0000}"/>
    <cellStyle name="Процентный 5 2 175 10" xfId="52982" xr:uid="{00000000-0005-0000-0000-00001CAF0000}"/>
    <cellStyle name="Процентный 5 2 175 2" xfId="10262" xr:uid="{00000000-0005-0000-0000-00001DAF0000}"/>
    <cellStyle name="Процентный 5 2 175 2 2" xfId="58323" xr:uid="{00000000-0005-0000-0000-00001EAF0000}"/>
    <cellStyle name="Процентный 5 2 175 3" xfId="15602" xr:uid="{00000000-0005-0000-0000-00001FAF0000}"/>
    <cellStyle name="Процентный 5 2 175 4" xfId="20942" xr:uid="{00000000-0005-0000-0000-000020AF0000}"/>
    <cellStyle name="Процентный 5 2 175 5" xfId="26282" xr:uid="{00000000-0005-0000-0000-000021AF0000}"/>
    <cellStyle name="Процентный 5 2 175 6" xfId="31622" xr:uid="{00000000-0005-0000-0000-000022AF0000}"/>
    <cellStyle name="Процентный 5 2 175 7" xfId="36962" xr:uid="{00000000-0005-0000-0000-000023AF0000}"/>
    <cellStyle name="Процентный 5 2 175 8" xfId="42302" xr:uid="{00000000-0005-0000-0000-000024AF0000}"/>
    <cellStyle name="Процентный 5 2 175 9" xfId="47642" xr:uid="{00000000-0005-0000-0000-000025AF0000}"/>
    <cellStyle name="Процентный 5 2 176" xfId="4951" xr:uid="{00000000-0005-0000-0000-000026AF0000}"/>
    <cellStyle name="Процентный 5 2 176 10" xfId="53014" xr:uid="{00000000-0005-0000-0000-000027AF0000}"/>
    <cellStyle name="Процентный 5 2 176 2" xfId="10294" xr:uid="{00000000-0005-0000-0000-000028AF0000}"/>
    <cellStyle name="Процентный 5 2 176 2 2" xfId="58355" xr:uid="{00000000-0005-0000-0000-000029AF0000}"/>
    <cellStyle name="Процентный 5 2 176 3" xfId="15634" xr:uid="{00000000-0005-0000-0000-00002AAF0000}"/>
    <cellStyle name="Процентный 5 2 176 4" xfId="20974" xr:uid="{00000000-0005-0000-0000-00002BAF0000}"/>
    <cellStyle name="Процентный 5 2 176 5" xfId="26314" xr:uid="{00000000-0005-0000-0000-00002CAF0000}"/>
    <cellStyle name="Процентный 5 2 176 6" xfId="31654" xr:uid="{00000000-0005-0000-0000-00002DAF0000}"/>
    <cellStyle name="Процентный 5 2 176 7" xfId="36994" xr:uid="{00000000-0005-0000-0000-00002EAF0000}"/>
    <cellStyle name="Процентный 5 2 176 8" xfId="42334" xr:uid="{00000000-0005-0000-0000-00002FAF0000}"/>
    <cellStyle name="Процентный 5 2 176 9" xfId="47674" xr:uid="{00000000-0005-0000-0000-000030AF0000}"/>
    <cellStyle name="Процентный 5 2 177" xfId="4983" xr:uid="{00000000-0005-0000-0000-000031AF0000}"/>
    <cellStyle name="Процентный 5 2 177 10" xfId="53046" xr:uid="{00000000-0005-0000-0000-000032AF0000}"/>
    <cellStyle name="Процентный 5 2 177 2" xfId="10326" xr:uid="{00000000-0005-0000-0000-000033AF0000}"/>
    <cellStyle name="Процентный 5 2 177 2 2" xfId="58387" xr:uid="{00000000-0005-0000-0000-000034AF0000}"/>
    <cellStyle name="Процентный 5 2 177 3" xfId="15666" xr:uid="{00000000-0005-0000-0000-000035AF0000}"/>
    <cellStyle name="Процентный 5 2 177 4" xfId="21006" xr:uid="{00000000-0005-0000-0000-000036AF0000}"/>
    <cellStyle name="Процентный 5 2 177 5" xfId="26346" xr:uid="{00000000-0005-0000-0000-000037AF0000}"/>
    <cellStyle name="Процентный 5 2 177 6" xfId="31686" xr:uid="{00000000-0005-0000-0000-000038AF0000}"/>
    <cellStyle name="Процентный 5 2 177 7" xfId="37026" xr:uid="{00000000-0005-0000-0000-000039AF0000}"/>
    <cellStyle name="Процентный 5 2 177 8" xfId="42366" xr:uid="{00000000-0005-0000-0000-00003AAF0000}"/>
    <cellStyle name="Процентный 5 2 177 9" xfId="47706" xr:uid="{00000000-0005-0000-0000-00003BAF0000}"/>
    <cellStyle name="Процентный 5 2 178" xfId="5015" xr:uid="{00000000-0005-0000-0000-00003CAF0000}"/>
    <cellStyle name="Процентный 5 2 178 10" xfId="53078" xr:uid="{00000000-0005-0000-0000-00003DAF0000}"/>
    <cellStyle name="Процентный 5 2 178 2" xfId="10358" xr:uid="{00000000-0005-0000-0000-00003EAF0000}"/>
    <cellStyle name="Процентный 5 2 178 2 2" xfId="58419" xr:uid="{00000000-0005-0000-0000-00003FAF0000}"/>
    <cellStyle name="Процентный 5 2 178 3" xfId="15698" xr:uid="{00000000-0005-0000-0000-000040AF0000}"/>
    <cellStyle name="Процентный 5 2 178 4" xfId="21038" xr:uid="{00000000-0005-0000-0000-000041AF0000}"/>
    <cellStyle name="Процентный 5 2 178 5" xfId="26378" xr:uid="{00000000-0005-0000-0000-000042AF0000}"/>
    <cellStyle name="Процентный 5 2 178 6" xfId="31718" xr:uid="{00000000-0005-0000-0000-000043AF0000}"/>
    <cellStyle name="Процентный 5 2 178 7" xfId="37058" xr:uid="{00000000-0005-0000-0000-000044AF0000}"/>
    <cellStyle name="Процентный 5 2 178 8" xfId="42398" xr:uid="{00000000-0005-0000-0000-000045AF0000}"/>
    <cellStyle name="Процентный 5 2 178 9" xfId="47738" xr:uid="{00000000-0005-0000-0000-000046AF0000}"/>
    <cellStyle name="Процентный 5 2 179" xfId="5047" xr:uid="{00000000-0005-0000-0000-000047AF0000}"/>
    <cellStyle name="Процентный 5 2 179 10" xfId="53110" xr:uid="{00000000-0005-0000-0000-000048AF0000}"/>
    <cellStyle name="Процентный 5 2 179 2" xfId="10390" xr:uid="{00000000-0005-0000-0000-000049AF0000}"/>
    <cellStyle name="Процентный 5 2 179 2 2" xfId="58451" xr:uid="{00000000-0005-0000-0000-00004AAF0000}"/>
    <cellStyle name="Процентный 5 2 179 3" xfId="15730" xr:uid="{00000000-0005-0000-0000-00004BAF0000}"/>
    <cellStyle name="Процентный 5 2 179 4" xfId="21070" xr:uid="{00000000-0005-0000-0000-00004CAF0000}"/>
    <cellStyle name="Процентный 5 2 179 5" xfId="26410" xr:uid="{00000000-0005-0000-0000-00004DAF0000}"/>
    <cellStyle name="Процентный 5 2 179 6" xfId="31750" xr:uid="{00000000-0005-0000-0000-00004EAF0000}"/>
    <cellStyle name="Процентный 5 2 179 7" xfId="37090" xr:uid="{00000000-0005-0000-0000-00004FAF0000}"/>
    <cellStyle name="Процентный 5 2 179 8" xfId="42430" xr:uid="{00000000-0005-0000-0000-000050AF0000}"/>
    <cellStyle name="Процентный 5 2 179 9" xfId="47770" xr:uid="{00000000-0005-0000-0000-000051AF0000}"/>
    <cellStyle name="Процентный 5 2 18" xfId="259" xr:uid="{00000000-0005-0000-0000-000052AF0000}"/>
    <cellStyle name="Процентный 5 2 18 10" xfId="42981" xr:uid="{00000000-0005-0000-0000-000053AF0000}"/>
    <cellStyle name="Процентный 5 2 18 11" xfId="48321" xr:uid="{00000000-0005-0000-0000-000054AF0000}"/>
    <cellStyle name="Процентный 5 2 18 2" xfId="726" xr:uid="{00000000-0005-0000-0000-000055AF0000}"/>
    <cellStyle name="Процентный 5 2 18 2 10" xfId="48788" xr:uid="{00000000-0005-0000-0000-000056AF0000}"/>
    <cellStyle name="Процентный 5 2 18 2 2" xfId="6067" xr:uid="{00000000-0005-0000-0000-000057AF0000}"/>
    <cellStyle name="Процентный 5 2 18 2 2 2" xfId="54129" xr:uid="{00000000-0005-0000-0000-000058AF0000}"/>
    <cellStyle name="Процентный 5 2 18 2 3" xfId="11408" xr:uid="{00000000-0005-0000-0000-000059AF0000}"/>
    <cellStyle name="Процентный 5 2 18 2 4" xfId="16748" xr:uid="{00000000-0005-0000-0000-00005AAF0000}"/>
    <cellStyle name="Процентный 5 2 18 2 5" xfId="22088" xr:uid="{00000000-0005-0000-0000-00005BAF0000}"/>
    <cellStyle name="Процентный 5 2 18 2 6" xfId="27428" xr:uid="{00000000-0005-0000-0000-00005CAF0000}"/>
    <cellStyle name="Процентный 5 2 18 2 7" xfId="32768" xr:uid="{00000000-0005-0000-0000-00005DAF0000}"/>
    <cellStyle name="Процентный 5 2 18 2 8" xfId="38108" xr:uid="{00000000-0005-0000-0000-00005EAF0000}"/>
    <cellStyle name="Процентный 5 2 18 2 9" xfId="43448" xr:uid="{00000000-0005-0000-0000-00005FAF0000}"/>
    <cellStyle name="Процентный 5 2 18 3" xfId="5600" xr:uid="{00000000-0005-0000-0000-000060AF0000}"/>
    <cellStyle name="Процентный 5 2 18 3 2" xfId="53662" xr:uid="{00000000-0005-0000-0000-000061AF0000}"/>
    <cellStyle name="Процентный 5 2 18 4" xfId="10941" xr:uid="{00000000-0005-0000-0000-000062AF0000}"/>
    <cellStyle name="Процентный 5 2 18 5" xfId="16281" xr:uid="{00000000-0005-0000-0000-000063AF0000}"/>
    <cellStyle name="Процентный 5 2 18 6" xfId="21621" xr:uid="{00000000-0005-0000-0000-000064AF0000}"/>
    <cellStyle name="Процентный 5 2 18 7" xfId="26961" xr:uid="{00000000-0005-0000-0000-000065AF0000}"/>
    <cellStyle name="Процентный 5 2 18 8" xfId="32301" xr:uid="{00000000-0005-0000-0000-000066AF0000}"/>
    <cellStyle name="Процентный 5 2 18 9" xfId="37641" xr:uid="{00000000-0005-0000-0000-000067AF0000}"/>
    <cellStyle name="Процентный 5 2 180" xfId="5079" xr:uid="{00000000-0005-0000-0000-000068AF0000}"/>
    <cellStyle name="Процентный 5 2 180 10" xfId="53142" xr:uid="{00000000-0005-0000-0000-000069AF0000}"/>
    <cellStyle name="Процентный 5 2 180 2" xfId="10422" xr:uid="{00000000-0005-0000-0000-00006AAF0000}"/>
    <cellStyle name="Процентный 5 2 180 2 2" xfId="58483" xr:uid="{00000000-0005-0000-0000-00006BAF0000}"/>
    <cellStyle name="Процентный 5 2 180 3" xfId="15762" xr:uid="{00000000-0005-0000-0000-00006CAF0000}"/>
    <cellStyle name="Процентный 5 2 180 4" xfId="21102" xr:uid="{00000000-0005-0000-0000-00006DAF0000}"/>
    <cellStyle name="Процентный 5 2 180 5" xfId="26442" xr:uid="{00000000-0005-0000-0000-00006EAF0000}"/>
    <cellStyle name="Процентный 5 2 180 6" xfId="31782" xr:uid="{00000000-0005-0000-0000-00006FAF0000}"/>
    <cellStyle name="Процентный 5 2 180 7" xfId="37122" xr:uid="{00000000-0005-0000-0000-000070AF0000}"/>
    <cellStyle name="Процентный 5 2 180 8" xfId="42462" xr:uid="{00000000-0005-0000-0000-000071AF0000}"/>
    <cellStyle name="Процентный 5 2 180 9" xfId="47802" xr:uid="{00000000-0005-0000-0000-000072AF0000}"/>
    <cellStyle name="Процентный 5 2 181" xfId="5111" xr:uid="{00000000-0005-0000-0000-000073AF0000}"/>
    <cellStyle name="Процентный 5 2 181 10" xfId="53174" xr:uid="{00000000-0005-0000-0000-000074AF0000}"/>
    <cellStyle name="Процентный 5 2 181 2" xfId="10454" xr:uid="{00000000-0005-0000-0000-000075AF0000}"/>
    <cellStyle name="Процентный 5 2 181 2 2" xfId="58515" xr:uid="{00000000-0005-0000-0000-000076AF0000}"/>
    <cellStyle name="Процентный 5 2 181 3" xfId="15794" xr:uid="{00000000-0005-0000-0000-000077AF0000}"/>
    <cellStyle name="Процентный 5 2 181 4" xfId="21134" xr:uid="{00000000-0005-0000-0000-000078AF0000}"/>
    <cellStyle name="Процентный 5 2 181 5" xfId="26474" xr:uid="{00000000-0005-0000-0000-000079AF0000}"/>
    <cellStyle name="Процентный 5 2 181 6" xfId="31814" xr:uid="{00000000-0005-0000-0000-00007AAF0000}"/>
    <cellStyle name="Процентный 5 2 181 7" xfId="37154" xr:uid="{00000000-0005-0000-0000-00007BAF0000}"/>
    <cellStyle name="Процентный 5 2 181 8" xfId="42494" xr:uid="{00000000-0005-0000-0000-00007CAF0000}"/>
    <cellStyle name="Процентный 5 2 181 9" xfId="47834" xr:uid="{00000000-0005-0000-0000-00007DAF0000}"/>
    <cellStyle name="Процентный 5 2 182" xfId="5143" xr:uid="{00000000-0005-0000-0000-00007EAF0000}"/>
    <cellStyle name="Процентный 5 2 182 10" xfId="53206" xr:uid="{00000000-0005-0000-0000-00007FAF0000}"/>
    <cellStyle name="Процентный 5 2 182 2" xfId="10486" xr:uid="{00000000-0005-0000-0000-000080AF0000}"/>
    <cellStyle name="Процентный 5 2 182 2 2" xfId="58547" xr:uid="{00000000-0005-0000-0000-000081AF0000}"/>
    <cellStyle name="Процентный 5 2 182 3" xfId="15826" xr:uid="{00000000-0005-0000-0000-000082AF0000}"/>
    <cellStyle name="Процентный 5 2 182 4" xfId="21166" xr:uid="{00000000-0005-0000-0000-000083AF0000}"/>
    <cellStyle name="Процентный 5 2 182 5" xfId="26506" xr:uid="{00000000-0005-0000-0000-000084AF0000}"/>
    <cellStyle name="Процентный 5 2 182 6" xfId="31846" xr:uid="{00000000-0005-0000-0000-000085AF0000}"/>
    <cellStyle name="Процентный 5 2 182 7" xfId="37186" xr:uid="{00000000-0005-0000-0000-000086AF0000}"/>
    <cellStyle name="Процентный 5 2 182 8" xfId="42526" xr:uid="{00000000-0005-0000-0000-000087AF0000}"/>
    <cellStyle name="Процентный 5 2 182 9" xfId="47866" xr:uid="{00000000-0005-0000-0000-000088AF0000}"/>
    <cellStyle name="Процентный 5 2 183" xfId="5175" xr:uid="{00000000-0005-0000-0000-000089AF0000}"/>
    <cellStyle name="Процентный 5 2 183 10" xfId="53238" xr:uid="{00000000-0005-0000-0000-00008AAF0000}"/>
    <cellStyle name="Процентный 5 2 183 2" xfId="10518" xr:uid="{00000000-0005-0000-0000-00008BAF0000}"/>
    <cellStyle name="Процентный 5 2 183 2 2" xfId="58579" xr:uid="{00000000-0005-0000-0000-00008CAF0000}"/>
    <cellStyle name="Процентный 5 2 183 3" xfId="15858" xr:uid="{00000000-0005-0000-0000-00008DAF0000}"/>
    <cellStyle name="Процентный 5 2 183 4" xfId="21198" xr:uid="{00000000-0005-0000-0000-00008EAF0000}"/>
    <cellStyle name="Процентный 5 2 183 5" xfId="26538" xr:uid="{00000000-0005-0000-0000-00008FAF0000}"/>
    <cellStyle name="Процентный 5 2 183 6" xfId="31878" xr:uid="{00000000-0005-0000-0000-000090AF0000}"/>
    <cellStyle name="Процентный 5 2 183 7" xfId="37218" xr:uid="{00000000-0005-0000-0000-000091AF0000}"/>
    <cellStyle name="Процентный 5 2 183 8" xfId="42558" xr:uid="{00000000-0005-0000-0000-000092AF0000}"/>
    <cellStyle name="Процентный 5 2 183 9" xfId="47898" xr:uid="{00000000-0005-0000-0000-000093AF0000}"/>
    <cellStyle name="Процентный 5 2 184" xfId="5207" xr:uid="{00000000-0005-0000-0000-000094AF0000}"/>
    <cellStyle name="Процентный 5 2 184 10" xfId="53270" xr:uid="{00000000-0005-0000-0000-000095AF0000}"/>
    <cellStyle name="Процентный 5 2 184 2" xfId="10550" xr:uid="{00000000-0005-0000-0000-000096AF0000}"/>
    <cellStyle name="Процентный 5 2 184 2 2" xfId="58611" xr:uid="{00000000-0005-0000-0000-000097AF0000}"/>
    <cellStyle name="Процентный 5 2 184 3" xfId="15890" xr:uid="{00000000-0005-0000-0000-000098AF0000}"/>
    <cellStyle name="Процентный 5 2 184 4" xfId="21230" xr:uid="{00000000-0005-0000-0000-000099AF0000}"/>
    <cellStyle name="Процентный 5 2 184 5" xfId="26570" xr:uid="{00000000-0005-0000-0000-00009AAF0000}"/>
    <cellStyle name="Процентный 5 2 184 6" xfId="31910" xr:uid="{00000000-0005-0000-0000-00009BAF0000}"/>
    <cellStyle name="Процентный 5 2 184 7" xfId="37250" xr:uid="{00000000-0005-0000-0000-00009CAF0000}"/>
    <cellStyle name="Процентный 5 2 184 8" xfId="42590" xr:uid="{00000000-0005-0000-0000-00009DAF0000}"/>
    <cellStyle name="Процентный 5 2 184 9" xfId="47930" xr:uid="{00000000-0005-0000-0000-00009EAF0000}"/>
    <cellStyle name="Процентный 5 2 185" xfId="5239" xr:uid="{00000000-0005-0000-0000-00009FAF0000}"/>
    <cellStyle name="Процентный 5 2 185 10" xfId="53302" xr:uid="{00000000-0005-0000-0000-0000A0AF0000}"/>
    <cellStyle name="Процентный 5 2 185 2" xfId="10582" xr:uid="{00000000-0005-0000-0000-0000A1AF0000}"/>
    <cellStyle name="Процентный 5 2 185 2 2" xfId="58643" xr:uid="{00000000-0005-0000-0000-0000A2AF0000}"/>
    <cellStyle name="Процентный 5 2 185 3" xfId="15922" xr:uid="{00000000-0005-0000-0000-0000A3AF0000}"/>
    <cellStyle name="Процентный 5 2 185 4" xfId="21262" xr:uid="{00000000-0005-0000-0000-0000A4AF0000}"/>
    <cellStyle name="Процентный 5 2 185 5" xfId="26602" xr:uid="{00000000-0005-0000-0000-0000A5AF0000}"/>
    <cellStyle name="Процентный 5 2 185 6" xfId="31942" xr:uid="{00000000-0005-0000-0000-0000A6AF0000}"/>
    <cellStyle name="Процентный 5 2 185 7" xfId="37282" xr:uid="{00000000-0005-0000-0000-0000A7AF0000}"/>
    <cellStyle name="Процентный 5 2 185 8" xfId="42622" xr:uid="{00000000-0005-0000-0000-0000A8AF0000}"/>
    <cellStyle name="Процентный 5 2 185 9" xfId="47962" xr:uid="{00000000-0005-0000-0000-0000A9AF0000}"/>
    <cellStyle name="Процентный 5 2 186" xfId="5271" xr:uid="{00000000-0005-0000-0000-0000AAAF0000}"/>
    <cellStyle name="Процентный 5 2 186 10" xfId="53334" xr:uid="{00000000-0005-0000-0000-0000ABAF0000}"/>
    <cellStyle name="Процентный 5 2 186 2" xfId="10614" xr:uid="{00000000-0005-0000-0000-0000ACAF0000}"/>
    <cellStyle name="Процентный 5 2 186 2 2" xfId="58675" xr:uid="{00000000-0005-0000-0000-0000ADAF0000}"/>
    <cellStyle name="Процентный 5 2 186 3" xfId="15954" xr:uid="{00000000-0005-0000-0000-0000AEAF0000}"/>
    <cellStyle name="Процентный 5 2 186 4" xfId="21294" xr:uid="{00000000-0005-0000-0000-0000AFAF0000}"/>
    <cellStyle name="Процентный 5 2 186 5" xfId="26634" xr:uid="{00000000-0005-0000-0000-0000B0AF0000}"/>
    <cellStyle name="Процентный 5 2 186 6" xfId="31974" xr:uid="{00000000-0005-0000-0000-0000B1AF0000}"/>
    <cellStyle name="Процентный 5 2 186 7" xfId="37314" xr:uid="{00000000-0005-0000-0000-0000B2AF0000}"/>
    <cellStyle name="Процентный 5 2 186 8" xfId="42654" xr:uid="{00000000-0005-0000-0000-0000B3AF0000}"/>
    <cellStyle name="Процентный 5 2 186 9" xfId="47994" xr:uid="{00000000-0005-0000-0000-0000B4AF0000}"/>
    <cellStyle name="Процентный 5 2 187" xfId="5303" xr:uid="{00000000-0005-0000-0000-0000B5AF0000}"/>
    <cellStyle name="Процентный 5 2 187 10" xfId="53366" xr:uid="{00000000-0005-0000-0000-0000B6AF0000}"/>
    <cellStyle name="Процентный 5 2 187 2" xfId="10646" xr:uid="{00000000-0005-0000-0000-0000B7AF0000}"/>
    <cellStyle name="Процентный 5 2 187 2 2" xfId="58707" xr:uid="{00000000-0005-0000-0000-0000B8AF0000}"/>
    <cellStyle name="Процентный 5 2 187 3" xfId="15986" xr:uid="{00000000-0005-0000-0000-0000B9AF0000}"/>
    <cellStyle name="Процентный 5 2 187 4" xfId="21326" xr:uid="{00000000-0005-0000-0000-0000BAAF0000}"/>
    <cellStyle name="Процентный 5 2 187 5" xfId="26666" xr:uid="{00000000-0005-0000-0000-0000BBAF0000}"/>
    <cellStyle name="Процентный 5 2 187 6" xfId="32006" xr:uid="{00000000-0005-0000-0000-0000BCAF0000}"/>
    <cellStyle name="Процентный 5 2 187 7" xfId="37346" xr:uid="{00000000-0005-0000-0000-0000BDAF0000}"/>
    <cellStyle name="Процентный 5 2 187 8" xfId="42686" xr:uid="{00000000-0005-0000-0000-0000BEAF0000}"/>
    <cellStyle name="Процентный 5 2 187 9" xfId="48026" xr:uid="{00000000-0005-0000-0000-0000BFAF0000}"/>
    <cellStyle name="Процентный 5 2 188" xfId="5335" xr:uid="{00000000-0005-0000-0000-0000C0AF0000}"/>
    <cellStyle name="Процентный 5 2 188 10" xfId="53398" xr:uid="{00000000-0005-0000-0000-0000C1AF0000}"/>
    <cellStyle name="Процентный 5 2 188 2" xfId="10678" xr:uid="{00000000-0005-0000-0000-0000C2AF0000}"/>
    <cellStyle name="Процентный 5 2 188 2 2" xfId="58739" xr:uid="{00000000-0005-0000-0000-0000C3AF0000}"/>
    <cellStyle name="Процентный 5 2 188 3" xfId="16018" xr:uid="{00000000-0005-0000-0000-0000C4AF0000}"/>
    <cellStyle name="Процентный 5 2 188 4" xfId="21358" xr:uid="{00000000-0005-0000-0000-0000C5AF0000}"/>
    <cellStyle name="Процентный 5 2 188 5" xfId="26698" xr:uid="{00000000-0005-0000-0000-0000C6AF0000}"/>
    <cellStyle name="Процентный 5 2 188 6" xfId="32038" xr:uid="{00000000-0005-0000-0000-0000C7AF0000}"/>
    <cellStyle name="Процентный 5 2 188 7" xfId="37378" xr:uid="{00000000-0005-0000-0000-0000C8AF0000}"/>
    <cellStyle name="Процентный 5 2 188 8" xfId="42718" xr:uid="{00000000-0005-0000-0000-0000C9AF0000}"/>
    <cellStyle name="Процентный 5 2 188 9" xfId="48058" xr:uid="{00000000-0005-0000-0000-0000CAAF0000}"/>
    <cellStyle name="Процентный 5 2 189" xfId="5367" xr:uid="{00000000-0005-0000-0000-0000CBAF0000}"/>
    <cellStyle name="Процентный 5 2 189 10" xfId="53430" xr:uid="{00000000-0005-0000-0000-0000CCAF0000}"/>
    <cellStyle name="Процентный 5 2 189 2" xfId="10710" xr:uid="{00000000-0005-0000-0000-0000CDAF0000}"/>
    <cellStyle name="Процентный 5 2 189 2 2" xfId="58771" xr:uid="{00000000-0005-0000-0000-0000CEAF0000}"/>
    <cellStyle name="Процентный 5 2 189 3" xfId="16050" xr:uid="{00000000-0005-0000-0000-0000CFAF0000}"/>
    <cellStyle name="Процентный 5 2 189 4" xfId="21390" xr:uid="{00000000-0005-0000-0000-0000D0AF0000}"/>
    <cellStyle name="Процентный 5 2 189 5" xfId="26730" xr:uid="{00000000-0005-0000-0000-0000D1AF0000}"/>
    <cellStyle name="Процентный 5 2 189 6" xfId="32070" xr:uid="{00000000-0005-0000-0000-0000D2AF0000}"/>
    <cellStyle name="Процентный 5 2 189 7" xfId="37410" xr:uid="{00000000-0005-0000-0000-0000D3AF0000}"/>
    <cellStyle name="Процентный 5 2 189 8" xfId="42750" xr:uid="{00000000-0005-0000-0000-0000D4AF0000}"/>
    <cellStyle name="Процентный 5 2 189 9" xfId="48090" xr:uid="{00000000-0005-0000-0000-0000D5AF0000}"/>
    <cellStyle name="Процентный 5 2 19" xfId="269" xr:uid="{00000000-0005-0000-0000-0000D6AF0000}"/>
    <cellStyle name="Процентный 5 2 19 10" xfId="42991" xr:uid="{00000000-0005-0000-0000-0000D7AF0000}"/>
    <cellStyle name="Процентный 5 2 19 11" xfId="48331" xr:uid="{00000000-0005-0000-0000-0000D8AF0000}"/>
    <cellStyle name="Процентный 5 2 19 2" xfId="736" xr:uid="{00000000-0005-0000-0000-0000D9AF0000}"/>
    <cellStyle name="Процентный 5 2 19 2 10" xfId="48798" xr:uid="{00000000-0005-0000-0000-0000DAAF0000}"/>
    <cellStyle name="Процентный 5 2 19 2 2" xfId="6077" xr:uid="{00000000-0005-0000-0000-0000DBAF0000}"/>
    <cellStyle name="Процентный 5 2 19 2 2 2" xfId="54139" xr:uid="{00000000-0005-0000-0000-0000DCAF0000}"/>
    <cellStyle name="Процентный 5 2 19 2 3" xfId="11418" xr:uid="{00000000-0005-0000-0000-0000DDAF0000}"/>
    <cellStyle name="Процентный 5 2 19 2 4" xfId="16758" xr:uid="{00000000-0005-0000-0000-0000DEAF0000}"/>
    <cellStyle name="Процентный 5 2 19 2 5" xfId="22098" xr:uid="{00000000-0005-0000-0000-0000DFAF0000}"/>
    <cellStyle name="Процентный 5 2 19 2 6" xfId="27438" xr:uid="{00000000-0005-0000-0000-0000E0AF0000}"/>
    <cellStyle name="Процентный 5 2 19 2 7" xfId="32778" xr:uid="{00000000-0005-0000-0000-0000E1AF0000}"/>
    <cellStyle name="Процентный 5 2 19 2 8" xfId="38118" xr:uid="{00000000-0005-0000-0000-0000E2AF0000}"/>
    <cellStyle name="Процентный 5 2 19 2 9" xfId="43458" xr:uid="{00000000-0005-0000-0000-0000E3AF0000}"/>
    <cellStyle name="Процентный 5 2 19 3" xfId="5610" xr:uid="{00000000-0005-0000-0000-0000E4AF0000}"/>
    <cellStyle name="Процентный 5 2 19 3 2" xfId="53672" xr:uid="{00000000-0005-0000-0000-0000E5AF0000}"/>
    <cellStyle name="Процентный 5 2 19 4" xfId="10951" xr:uid="{00000000-0005-0000-0000-0000E6AF0000}"/>
    <cellStyle name="Процентный 5 2 19 5" xfId="16291" xr:uid="{00000000-0005-0000-0000-0000E7AF0000}"/>
    <cellStyle name="Процентный 5 2 19 6" xfId="21631" xr:uid="{00000000-0005-0000-0000-0000E8AF0000}"/>
    <cellStyle name="Процентный 5 2 19 7" xfId="26971" xr:uid="{00000000-0005-0000-0000-0000E9AF0000}"/>
    <cellStyle name="Процентный 5 2 19 8" xfId="32311" xr:uid="{00000000-0005-0000-0000-0000EAAF0000}"/>
    <cellStyle name="Процентный 5 2 19 9" xfId="37651" xr:uid="{00000000-0005-0000-0000-0000EBAF0000}"/>
    <cellStyle name="Процентный 5 2 190" xfId="5416" xr:uid="{00000000-0005-0000-0000-0000ECAF0000}"/>
    <cellStyle name="Процентный 5 2 190 2" xfId="53478" xr:uid="{00000000-0005-0000-0000-0000EDAF0000}"/>
    <cellStyle name="Процентный 5 2 191" xfId="10757" xr:uid="{00000000-0005-0000-0000-0000EEAF0000}"/>
    <cellStyle name="Процентный 5 2 192" xfId="16097" xr:uid="{00000000-0005-0000-0000-0000EFAF0000}"/>
    <cellStyle name="Процентный 5 2 193" xfId="21437" xr:uid="{00000000-0005-0000-0000-0000F0AF0000}"/>
    <cellStyle name="Процентный 5 2 194" xfId="26777" xr:uid="{00000000-0005-0000-0000-0000F1AF0000}"/>
    <cellStyle name="Процентный 5 2 195" xfId="32117" xr:uid="{00000000-0005-0000-0000-0000F2AF0000}"/>
    <cellStyle name="Процентный 5 2 196" xfId="37457" xr:uid="{00000000-0005-0000-0000-0000F3AF0000}"/>
    <cellStyle name="Процентный 5 2 197" xfId="42797" xr:uid="{00000000-0005-0000-0000-0000F4AF0000}"/>
    <cellStyle name="Процентный 5 2 198" xfId="48137" xr:uid="{00000000-0005-0000-0000-0000F5AF0000}"/>
    <cellStyle name="Процентный 5 2 2" xfId="103" xr:uid="{00000000-0005-0000-0000-0000F6AF0000}"/>
    <cellStyle name="Процентный 5 2 2 10" xfId="1183" xr:uid="{00000000-0005-0000-0000-0000F7AF0000}"/>
    <cellStyle name="Процентный 5 2 2 10 10" xfId="49246" xr:uid="{00000000-0005-0000-0000-0000F8AF0000}"/>
    <cellStyle name="Процентный 5 2 2 10 2" xfId="6525" xr:uid="{00000000-0005-0000-0000-0000F9AF0000}"/>
    <cellStyle name="Процентный 5 2 2 10 2 2" xfId="54587" xr:uid="{00000000-0005-0000-0000-0000FAAF0000}"/>
    <cellStyle name="Процентный 5 2 2 10 3" xfId="11866" xr:uid="{00000000-0005-0000-0000-0000FBAF0000}"/>
    <cellStyle name="Процентный 5 2 2 10 4" xfId="17206" xr:uid="{00000000-0005-0000-0000-0000FCAF0000}"/>
    <cellStyle name="Процентный 5 2 2 10 5" xfId="22546" xr:uid="{00000000-0005-0000-0000-0000FDAF0000}"/>
    <cellStyle name="Процентный 5 2 2 10 6" xfId="27886" xr:uid="{00000000-0005-0000-0000-0000FEAF0000}"/>
    <cellStyle name="Процентный 5 2 2 10 7" xfId="33226" xr:uid="{00000000-0005-0000-0000-0000FFAF0000}"/>
    <cellStyle name="Процентный 5 2 2 10 8" xfId="38566" xr:uid="{00000000-0005-0000-0000-000000B00000}"/>
    <cellStyle name="Процентный 5 2 2 10 9" xfId="43906" xr:uid="{00000000-0005-0000-0000-000001B00000}"/>
    <cellStyle name="Процентный 5 2 2 100" xfId="3841" xr:uid="{00000000-0005-0000-0000-000002B00000}"/>
    <cellStyle name="Процентный 5 2 2 100 10" xfId="51904" xr:uid="{00000000-0005-0000-0000-000003B00000}"/>
    <cellStyle name="Процентный 5 2 2 100 2" xfId="9184" xr:uid="{00000000-0005-0000-0000-000004B00000}"/>
    <cellStyle name="Процентный 5 2 2 100 2 2" xfId="57245" xr:uid="{00000000-0005-0000-0000-000005B00000}"/>
    <cellStyle name="Процентный 5 2 2 100 3" xfId="14524" xr:uid="{00000000-0005-0000-0000-000006B00000}"/>
    <cellStyle name="Процентный 5 2 2 100 4" xfId="19864" xr:uid="{00000000-0005-0000-0000-000007B00000}"/>
    <cellStyle name="Процентный 5 2 2 100 5" xfId="25204" xr:uid="{00000000-0005-0000-0000-000008B00000}"/>
    <cellStyle name="Процентный 5 2 2 100 6" xfId="30544" xr:uid="{00000000-0005-0000-0000-000009B00000}"/>
    <cellStyle name="Процентный 5 2 2 100 7" xfId="35884" xr:uid="{00000000-0005-0000-0000-00000AB00000}"/>
    <cellStyle name="Процентный 5 2 2 100 8" xfId="41224" xr:uid="{00000000-0005-0000-0000-00000BB00000}"/>
    <cellStyle name="Процентный 5 2 2 100 9" xfId="46564" xr:uid="{00000000-0005-0000-0000-00000CB00000}"/>
    <cellStyle name="Процентный 5 2 2 101" xfId="3873" xr:uid="{00000000-0005-0000-0000-00000DB00000}"/>
    <cellStyle name="Процентный 5 2 2 101 10" xfId="51936" xr:uid="{00000000-0005-0000-0000-00000EB00000}"/>
    <cellStyle name="Процентный 5 2 2 101 2" xfId="9216" xr:uid="{00000000-0005-0000-0000-00000FB00000}"/>
    <cellStyle name="Процентный 5 2 2 101 2 2" xfId="57277" xr:uid="{00000000-0005-0000-0000-000010B00000}"/>
    <cellStyle name="Процентный 5 2 2 101 3" xfId="14556" xr:uid="{00000000-0005-0000-0000-000011B00000}"/>
    <cellStyle name="Процентный 5 2 2 101 4" xfId="19896" xr:uid="{00000000-0005-0000-0000-000012B00000}"/>
    <cellStyle name="Процентный 5 2 2 101 5" xfId="25236" xr:uid="{00000000-0005-0000-0000-000013B00000}"/>
    <cellStyle name="Процентный 5 2 2 101 6" xfId="30576" xr:uid="{00000000-0005-0000-0000-000014B00000}"/>
    <cellStyle name="Процентный 5 2 2 101 7" xfId="35916" xr:uid="{00000000-0005-0000-0000-000015B00000}"/>
    <cellStyle name="Процентный 5 2 2 101 8" xfId="41256" xr:uid="{00000000-0005-0000-0000-000016B00000}"/>
    <cellStyle name="Процентный 5 2 2 101 9" xfId="46596" xr:uid="{00000000-0005-0000-0000-000017B00000}"/>
    <cellStyle name="Процентный 5 2 2 102" xfId="3905" xr:uid="{00000000-0005-0000-0000-000018B00000}"/>
    <cellStyle name="Процентный 5 2 2 102 10" xfId="51968" xr:uid="{00000000-0005-0000-0000-000019B00000}"/>
    <cellStyle name="Процентный 5 2 2 102 2" xfId="9248" xr:uid="{00000000-0005-0000-0000-00001AB00000}"/>
    <cellStyle name="Процентный 5 2 2 102 2 2" xfId="57309" xr:uid="{00000000-0005-0000-0000-00001BB00000}"/>
    <cellStyle name="Процентный 5 2 2 102 3" xfId="14588" xr:uid="{00000000-0005-0000-0000-00001CB00000}"/>
    <cellStyle name="Процентный 5 2 2 102 4" xfId="19928" xr:uid="{00000000-0005-0000-0000-00001DB00000}"/>
    <cellStyle name="Процентный 5 2 2 102 5" xfId="25268" xr:uid="{00000000-0005-0000-0000-00001EB00000}"/>
    <cellStyle name="Процентный 5 2 2 102 6" xfId="30608" xr:uid="{00000000-0005-0000-0000-00001FB00000}"/>
    <cellStyle name="Процентный 5 2 2 102 7" xfId="35948" xr:uid="{00000000-0005-0000-0000-000020B00000}"/>
    <cellStyle name="Процентный 5 2 2 102 8" xfId="41288" xr:uid="{00000000-0005-0000-0000-000021B00000}"/>
    <cellStyle name="Процентный 5 2 2 102 9" xfId="46628" xr:uid="{00000000-0005-0000-0000-000022B00000}"/>
    <cellStyle name="Процентный 5 2 2 103" xfId="3937" xr:uid="{00000000-0005-0000-0000-000023B00000}"/>
    <cellStyle name="Процентный 5 2 2 103 10" xfId="52000" xr:uid="{00000000-0005-0000-0000-000024B00000}"/>
    <cellStyle name="Процентный 5 2 2 103 2" xfId="9280" xr:uid="{00000000-0005-0000-0000-000025B00000}"/>
    <cellStyle name="Процентный 5 2 2 103 2 2" xfId="57341" xr:uid="{00000000-0005-0000-0000-000026B00000}"/>
    <cellStyle name="Процентный 5 2 2 103 3" xfId="14620" xr:uid="{00000000-0005-0000-0000-000027B00000}"/>
    <cellStyle name="Процентный 5 2 2 103 4" xfId="19960" xr:uid="{00000000-0005-0000-0000-000028B00000}"/>
    <cellStyle name="Процентный 5 2 2 103 5" xfId="25300" xr:uid="{00000000-0005-0000-0000-000029B00000}"/>
    <cellStyle name="Процентный 5 2 2 103 6" xfId="30640" xr:uid="{00000000-0005-0000-0000-00002AB00000}"/>
    <cellStyle name="Процентный 5 2 2 103 7" xfId="35980" xr:uid="{00000000-0005-0000-0000-00002BB00000}"/>
    <cellStyle name="Процентный 5 2 2 103 8" xfId="41320" xr:uid="{00000000-0005-0000-0000-00002CB00000}"/>
    <cellStyle name="Процентный 5 2 2 103 9" xfId="46660" xr:uid="{00000000-0005-0000-0000-00002DB00000}"/>
    <cellStyle name="Процентный 5 2 2 104" xfId="3969" xr:uid="{00000000-0005-0000-0000-00002EB00000}"/>
    <cellStyle name="Процентный 5 2 2 104 10" xfId="52032" xr:uid="{00000000-0005-0000-0000-00002FB00000}"/>
    <cellStyle name="Процентный 5 2 2 104 2" xfId="9312" xr:uid="{00000000-0005-0000-0000-000030B00000}"/>
    <cellStyle name="Процентный 5 2 2 104 2 2" xfId="57373" xr:uid="{00000000-0005-0000-0000-000031B00000}"/>
    <cellStyle name="Процентный 5 2 2 104 3" xfId="14652" xr:uid="{00000000-0005-0000-0000-000032B00000}"/>
    <cellStyle name="Процентный 5 2 2 104 4" xfId="19992" xr:uid="{00000000-0005-0000-0000-000033B00000}"/>
    <cellStyle name="Процентный 5 2 2 104 5" xfId="25332" xr:uid="{00000000-0005-0000-0000-000034B00000}"/>
    <cellStyle name="Процентный 5 2 2 104 6" xfId="30672" xr:uid="{00000000-0005-0000-0000-000035B00000}"/>
    <cellStyle name="Процентный 5 2 2 104 7" xfId="36012" xr:uid="{00000000-0005-0000-0000-000036B00000}"/>
    <cellStyle name="Процентный 5 2 2 104 8" xfId="41352" xr:uid="{00000000-0005-0000-0000-000037B00000}"/>
    <cellStyle name="Процентный 5 2 2 104 9" xfId="46692" xr:uid="{00000000-0005-0000-0000-000038B00000}"/>
    <cellStyle name="Процентный 5 2 2 105" xfId="4001" xr:uid="{00000000-0005-0000-0000-000039B00000}"/>
    <cellStyle name="Процентный 5 2 2 105 10" xfId="52064" xr:uid="{00000000-0005-0000-0000-00003AB00000}"/>
    <cellStyle name="Процентный 5 2 2 105 2" xfId="9344" xr:uid="{00000000-0005-0000-0000-00003BB00000}"/>
    <cellStyle name="Процентный 5 2 2 105 2 2" xfId="57405" xr:uid="{00000000-0005-0000-0000-00003CB00000}"/>
    <cellStyle name="Процентный 5 2 2 105 3" xfId="14684" xr:uid="{00000000-0005-0000-0000-00003DB00000}"/>
    <cellStyle name="Процентный 5 2 2 105 4" xfId="20024" xr:uid="{00000000-0005-0000-0000-00003EB00000}"/>
    <cellStyle name="Процентный 5 2 2 105 5" xfId="25364" xr:uid="{00000000-0005-0000-0000-00003FB00000}"/>
    <cellStyle name="Процентный 5 2 2 105 6" xfId="30704" xr:uid="{00000000-0005-0000-0000-000040B00000}"/>
    <cellStyle name="Процентный 5 2 2 105 7" xfId="36044" xr:uid="{00000000-0005-0000-0000-000041B00000}"/>
    <cellStyle name="Процентный 5 2 2 105 8" xfId="41384" xr:uid="{00000000-0005-0000-0000-000042B00000}"/>
    <cellStyle name="Процентный 5 2 2 105 9" xfId="46724" xr:uid="{00000000-0005-0000-0000-000043B00000}"/>
    <cellStyle name="Процентный 5 2 2 106" xfId="4033" xr:uid="{00000000-0005-0000-0000-000044B00000}"/>
    <cellStyle name="Процентный 5 2 2 106 10" xfId="52096" xr:uid="{00000000-0005-0000-0000-000045B00000}"/>
    <cellStyle name="Процентный 5 2 2 106 2" xfId="9376" xr:uid="{00000000-0005-0000-0000-000046B00000}"/>
    <cellStyle name="Процентный 5 2 2 106 2 2" xfId="57437" xr:uid="{00000000-0005-0000-0000-000047B00000}"/>
    <cellStyle name="Процентный 5 2 2 106 3" xfId="14716" xr:uid="{00000000-0005-0000-0000-000048B00000}"/>
    <cellStyle name="Процентный 5 2 2 106 4" xfId="20056" xr:uid="{00000000-0005-0000-0000-000049B00000}"/>
    <cellStyle name="Процентный 5 2 2 106 5" xfId="25396" xr:uid="{00000000-0005-0000-0000-00004AB00000}"/>
    <cellStyle name="Процентный 5 2 2 106 6" xfId="30736" xr:uid="{00000000-0005-0000-0000-00004BB00000}"/>
    <cellStyle name="Процентный 5 2 2 106 7" xfId="36076" xr:uid="{00000000-0005-0000-0000-00004CB00000}"/>
    <cellStyle name="Процентный 5 2 2 106 8" xfId="41416" xr:uid="{00000000-0005-0000-0000-00004DB00000}"/>
    <cellStyle name="Процентный 5 2 2 106 9" xfId="46756" xr:uid="{00000000-0005-0000-0000-00004EB00000}"/>
    <cellStyle name="Процентный 5 2 2 107" xfId="4065" xr:uid="{00000000-0005-0000-0000-00004FB00000}"/>
    <cellStyle name="Процентный 5 2 2 107 10" xfId="52128" xr:uid="{00000000-0005-0000-0000-000050B00000}"/>
    <cellStyle name="Процентный 5 2 2 107 2" xfId="9408" xr:uid="{00000000-0005-0000-0000-000051B00000}"/>
    <cellStyle name="Процентный 5 2 2 107 2 2" xfId="57469" xr:uid="{00000000-0005-0000-0000-000052B00000}"/>
    <cellStyle name="Процентный 5 2 2 107 3" xfId="14748" xr:uid="{00000000-0005-0000-0000-000053B00000}"/>
    <cellStyle name="Процентный 5 2 2 107 4" xfId="20088" xr:uid="{00000000-0005-0000-0000-000054B00000}"/>
    <cellStyle name="Процентный 5 2 2 107 5" xfId="25428" xr:uid="{00000000-0005-0000-0000-000055B00000}"/>
    <cellStyle name="Процентный 5 2 2 107 6" xfId="30768" xr:uid="{00000000-0005-0000-0000-000056B00000}"/>
    <cellStyle name="Процентный 5 2 2 107 7" xfId="36108" xr:uid="{00000000-0005-0000-0000-000057B00000}"/>
    <cellStyle name="Процентный 5 2 2 107 8" xfId="41448" xr:uid="{00000000-0005-0000-0000-000058B00000}"/>
    <cellStyle name="Процентный 5 2 2 107 9" xfId="46788" xr:uid="{00000000-0005-0000-0000-000059B00000}"/>
    <cellStyle name="Процентный 5 2 2 108" xfId="4097" xr:uid="{00000000-0005-0000-0000-00005AB00000}"/>
    <cellStyle name="Процентный 5 2 2 108 10" xfId="52160" xr:uid="{00000000-0005-0000-0000-00005BB00000}"/>
    <cellStyle name="Процентный 5 2 2 108 2" xfId="9440" xr:uid="{00000000-0005-0000-0000-00005CB00000}"/>
    <cellStyle name="Процентный 5 2 2 108 2 2" xfId="57501" xr:uid="{00000000-0005-0000-0000-00005DB00000}"/>
    <cellStyle name="Процентный 5 2 2 108 3" xfId="14780" xr:uid="{00000000-0005-0000-0000-00005EB00000}"/>
    <cellStyle name="Процентный 5 2 2 108 4" xfId="20120" xr:uid="{00000000-0005-0000-0000-00005FB00000}"/>
    <cellStyle name="Процентный 5 2 2 108 5" xfId="25460" xr:uid="{00000000-0005-0000-0000-000060B00000}"/>
    <cellStyle name="Процентный 5 2 2 108 6" xfId="30800" xr:uid="{00000000-0005-0000-0000-000061B00000}"/>
    <cellStyle name="Процентный 5 2 2 108 7" xfId="36140" xr:uid="{00000000-0005-0000-0000-000062B00000}"/>
    <cellStyle name="Процентный 5 2 2 108 8" xfId="41480" xr:uid="{00000000-0005-0000-0000-000063B00000}"/>
    <cellStyle name="Процентный 5 2 2 108 9" xfId="46820" xr:uid="{00000000-0005-0000-0000-000064B00000}"/>
    <cellStyle name="Процентный 5 2 2 109" xfId="4129" xr:uid="{00000000-0005-0000-0000-000065B00000}"/>
    <cellStyle name="Процентный 5 2 2 109 10" xfId="52192" xr:uid="{00000000-0005-0000-0000-000066B00000}"/>
    <cellStyle name="Процентный 5 2 2 109 2" xfId="9472" xr:uid="{00000000-0005-0000-0000-000067B00000}"/>
    <cellStyle name="Процентный 5 2 2 109 2 2" xfId="57533" xr:uid="{00000000-0005-0000-0000-000068B00000}"/>
    <cellStyle name="Процентный 5 2 2 109 3" xfId="14812" xr:uid="{00000000-0005-0000-0000-000069B00000}"/>
    <cellStyle name="Процентный 5 2 2 109 4" xfId="20152" xr:uid="{00000000-0005-0000-0000-00006AB00000}"/>
    <cellStyle name="Процентный 5 2 2 109 5" xfId="25492" xr:uid="{00000000-0005-0000-0000-00006BB00000}"/>
    <cellStyle name="Процентный 5 2 2 109 6" xfId="30832" xr:uid="{00000000-0005-0000-0000-00006CB00000}"/>
    <cellStyle name="Процентный 5 2 2 109 7" xfId="36172" xr:uid="{00000000-0005-0000-0000-00006DB00000}"/>
    <cellStyle name="Процентный 5 2 2 109 8" xfId="41512" xr:uid="{00000000-0005-0000-0000-00006EB00000}"/>
    <cellStyle name="Процентный 5 2 2 109 9" xfId="46852" xr:uid="{00000000-0005-0000-0000-00006FB00000}"/>
    <cellStyle name="Процентный 5 2 2 11" xfId="1209" xr:uid="{00000000-0005-0000-0000-000070B00000}"/>
    <cellStyle name="Процентный 5 2 2 11 10" xfId="49272" xr:uid="{00000000-0005-0000-0000-000071B00000}"/>
    <cellStyle name="Процентный 5 2 2 11 2" xfId="6551" xr:uid="{00000000-0005-0000-0000-000072B00000}"/>
    <cellStyle name="Процентный 5 2 2 11 2 2" xfId="54613" xr:uid="{00000000-0005-0000-0000-000073B00000}"/>
    <cellStyle name="Процентный 5 2 2 11 3" xfId="11892" xr:uid="{00000000-0005-0000-0000-000074B00000}"/>
    <cellStyle name="Процентный 5 2 2 11 4" xfId="17232" xr:uid="{00000000-0005-0000-0000-000075B00000}"/>
    <cellStyle name="Процентный 5 2 2 11 5" xfId="22572" xr:uid="{00000000-0005-0000-0000-000076B00000}"/>
    <cellStyle name="Процентный 5 2 2 11 6" xfId="27912" xr:uid="{00000000-0005-0000-0000-000077B00000}"/>
    <cellStyle name="Процентный 5 2 2 11 7" xfId="33252" xr:uid="{00000000-0005-0000-0000-000078B00000}"/>
    <cellStyle name="Процентный 5 2 2 11 8" xfId="38592" xr:uid="{00000000-0005-0000-0000-000079B00000}"/>
    <cellStyle name="Процентный 5 2 2 11 9" xfId="43932" xr:uid="{00000000-0005-0000-0000-00007AB00000}"/>
    <cellStyle name="Процентный 5 2 2 110" xfId="4161" xr:uid="{00000000-0005-0000-0000-00007BB00000}"/>
    <cellStyle name="Процентный 5 2 2 110 10" xfId="52224" xr:uid="{00000000-0005-0000-0000-00007CB00000}"/>
    <cellStyle name="Процентный 5 2 2 110 2" xfId="9504" xr:uid="{00000000-0005-0000-0000-00007DB00000}"/>
    <cellStyle name="Процентный 5 2 2 110 2 2" xfId="57565" xr:uid="{00000000-0005-0000-0000-00007EB00000}"/>
    <cellStyle name="Процентный 5 2 2 110 3" xfId="14844" xr:uid="{00000000-0005-0000-0000-00007FB00000}"/>
    <cellStyle name="Процентный 5 2 2 110 4" xfId="20184" xr:uid="{00000000-0005-0000-0000-000080B00000}"/>
    <cellStyle name="Процентный 5 2 2 110 5" xfId="25524" xr:uid="{00000000-0005-0000-0000-000081B00000}"/>
    <cellStyle name="Процентный 5 2 2 110 6" xfId="30864" xr:uid="{00000000-0005-0000-0000-000082B00000}"/>
    <cellStyle name="Процентный 5 2 2 110 7" xfId="36204" xr:uid="{00000000-0005-0000-0000-000083B00000}"/>
    <cellStyle name="Процентный 5 2 2 110 8" xfId="41544" xr:uid="{00000000-0005-0000-0000-000084B00000}"/>
    <cellStyle name="Процентный 5 2 2 110 9" xfId="46884" xr:uid="{00000000-0005-0000-0000-000085B00000}"/>
    <cellStyle name="Процентный 5 2 2 111" xfId="4193" xr:uid="{00000000-0005-0000-0000-000086B00000}"/>
    <cellStyle name="Процентный 5 2 2 111 10" xfId="52256" xr:uid="{00000000-0005-0000-0000-000087B00000}"/>
    <cellStyle name="Процентный 5 2 2 111 2" xfId="9536" xr:uid="{00000000-0005-0000-0000-000088B00000}"/>
    <cellStyle name="Процентный 5 2 2 111 2 2" xfId="57597" xr:uid="{00000000-0005-0000-0000-000089B00000}"/>
    <cellStyle name="Процентный 5 2 2 111 3" xfId="14876" xr:uid="{00000000-0005-0000-0000-00008AB00000}"/>
    <cellStyle name="Процентный 5 2 2 111 4" xfId="20216" xr:uid="{00000000-0005-0000-0000-00008BB00000}"/>
    <cellStyle name="Процентный 5 2 2 111 5" xfId="25556" xr:uid="{00000000-0005-0000-0000-00008CB00000}"/>
    <cellStyle name="Процентный 5 2 2 111 6" xfId="30896" xr:uid="{00000000-0005-0000-0000-00008DB00000}"/>
    <cellStyle name="Процентный 5 2 2 111 7" xfId="36236" xr:uid="{00000000-0005-0000-0000-00008EB00000}"/>
    <cellStyle name="Процентный 5 2 2 111 8" xfId="41576" xr:uid="{00000000-0005-0000-0000-00008FB00000}"/>
    <cellStyle name="Процентный 5 2 2 111 9" xfId="46916" xr:uid="{00000000-0005-0000-0000-000090B00000}"/>
    <cellStyle name="Процентный 5 2 2 112" xfId="4225" xr:uid="{00000000-0005-0000-0000-000091B00000}"/>
    <cellStyle name="Процентный 5 2 2 112 10" xfId="52288" xr:uid="{00000000-0005-0000-0000-000092B00000}"/>
    <cellStyle name="Процентный 5 2 2 112 2" xfId="9568" xr:uid="{00000000-0005-0000-0000-000093B00000}"/>
    <cellStyle name="Процентный 5 2 2 112 2 2" xfId="57629" xr:uid="{00000000-0005-0000-0000-000094B00000}"/>
    <cellStyle name="Процентный 5 2 2 112 3" xfId="14908" xr:uid="{00000000-0005-0000-0000-000095B00000}"/>
    <cellStyle name="Процентный 5 2 2 112 4" xfId="20248" xr:uid="{00000000-0005-0000-0000-000096B00000}"/>
    <cellStyle name="Процентный 5 2 2 112 5" xfId="25588" xr:uid="{00000000-0005-0000-0000-000097B00000}"/>
    <cellStyle name="Процентный 5 2 2 112 6" xfId="30928" xr:uid="{00000000-0005-0000-0000-000098B00000}"/>
    <cellStyle name="Процентный 5 2 2 112 7" xfId="36268" xr:uid="{00000000-0005-0000-0000-000099B00000}"/>
    <cellStyle name="Процентный 5 2 2 112 8" xfId="41608" xr:uid="{00000000-0005-0000-0000-00009AB00000}"/>
    <cellStyle name="Процентный 5 2 2 112 9" xfId="46948" xr:uid="{00000000-0005-0000-0000-00009BB00000}"/>
    <cellStyle name="Процентный 5 2 2 113" xfId="4257" xr:uid="{00000000-0005-0000-0000-00009CB00000}"/>
    <cellStyle name="Процентный 5 2 2 113 10" xfId="52320" xr:uid="{00000000-0005-0000-0000-00009DB00000}"/>
    <cellStyle name="Процентный 5 2 2 113 2" xfId="9600" xr:uid="{00000000-0005-0000-0000-00009EB00000}"/>
    <cellStyle name="Процентный 5 2 2 113 2 2" xfId="57661" xr:uid="{00000000-0005-0000-0000-00009FB00000}"/>
    <cellStyle name="Процентный 5 2 2 113 3" xfId="14940" xr:uid="{00000000-0005-0000-0000-0000A0B00000}"/>
    <cellStyle name="Процентный 5 2 2 113 4" xfId="20280" xr:uid="{00000000-0005-0000-0000-0000A1B00000}"/>
    <cellStyle name="Процентный 5 2 2 113 5" xfId="25620" xr:uid="{00000000-0005-0000-0000-0000A2B00000}"/>
    <cellStyle name="Процентный 5 2 2 113 6" xfId="30960" xr:uid="{00000000-0005-0000-0000-0000A3B00000}"/>
    <cellStyle name="Процентный 5 2 2 113 7" xfId="36300" xr:uid="{00000000-0005-0000-0000-0000A4B00000}"/>
    <cellStyle name="Процентный 5 2 2 113 8" xfId="41640" xr:uid="{00000000-0005-0000-0000-0000A5B00000}"/>
    <cellStyle name="Процентный 5 2 2 113 9" xfId="46980" xr:uid="{00000000-0005-0000-0000-0000A6B00000}"/>
    <cellStyle name="Процентный 5 2 2 114" xfId="4289" xr:uid="{00000000-0005-0000-0000-0000A7B00000}"/>
    <cellStyle name="Процентный 5 2 2 114 10" xfId="52352" xr:uid="{00000000-0005-0000-0000-0000A8B00000}"/>
    <cellStyle name="Процентный 5 2 2 114 2" xfId="9632" xr:uid="{00000000-0005-0000-0000-0000A9B00000}"/>
    <cellStyle name="Процентный 5 2 2 114 2 2" xfId="57693" xr:uid="{00000000-0005-0000-0000-0000AAB00000}"/>
    <cellStyle name="Процентный 5 2 2 114 3" xfId="14972" xr:uid="{00000000-0005-0000-0000-0000ABB00000}"/>
    <cellStyle name="Процентный 5 2 2 114 4" xfId="20312" xr:uid="{00000000-0005-0000-0000-0000ACB00000}"/>
    <cellStyle name="Процентный 5 2 2 114 5" xfId="25652" xr:uid="{00000000-0005-0000-0000-0000ADB00000}"/>
    <cellStyle name="Процентный 5 2 2 114 6" xfId="30992" xr:uid="{00000000-0005-0000-0000-0000AEB00000}"/>
    <cellStyle name="Процентный 5 2 2 114 7" xfId="36332" xr:uid="{00000000-0005-0000-0000-0000AFB00000}"/>
    <cellStyle name="Процентный 5 2 2 114 8" xfId="41672" xr:uid="{00000000-0005-0000-0000-0000B0B00000}"/>
    <cellStyle name="Процентный 5 2 2 114 9" xfId="47012" xr:uid="{00000000-0005-0000-0000-0000B1B00000}"/>
    <cellStyle name="Процентный 5 2 2 115" xfId="4321" xr:uid="{00000000-0005-0000-0000-0000B2B00000}"/>
    <cellStyle name="Процентный 5 2 2 115 10" xfId="52384" xr:uid="{00000000-0005-0000-0000-0000B3B00000}"/>
    <cellStyle name="Процентный 5 2 2 115 2" xfId="9664" xr:uid="{00000000-0005-0000-0000-0000B4B00000}"/>
    <cellStyle name="Процентный 5 2 2 115 2 2" xfId="57725" xr:uid="{00000000-0005-0000-0000-0000B5B00000}"/>
    <cellStyle name="Процентный 5 2 2 115 3" xfId="15004" xr:uid="{00000000-0005-0000-0000-0000B6B00000}"/>
    <cellStyle name="Процентный 5 2 2 115 4" xfId="20344" xr:uid="{00000000-0005-0000-0000-0000B7B00000}"/>
    <cellStyle name="Процентный 5 2 2 115 5" xfId="25684" xr:uid="{00000000-0005-0000-0000-0000B8B00000}"/>
    <cellStyle name="Процентный 5 2 2 115 6" xfId="31024" xr:uid="{00000000-0005-0000-0000-0000B9B00000}"/>
    <cellStyle name="Процентный 5 2 2 115 7" xfId="36364" xr:uid="{00000000-0005-0000-0000-0000BAB00000}"/>
    <cellStyle name="Процентный 5 2 2 115 8" xfId="41704" xr:uid="{00000000-0005-0000-0000-0000BBB00000}"/>
    <cellStyle name="Процентный 5 2 2 115 9" xfId="47044" xr:uid="{00000000-0005-0000-0000-0000BCB00000}"/>
    <cellStyle name="Процентный 5 2 2 116" xfId="4353" xr:uid="{00000000-0005-0000-0000-0000BDB00000}"/>
    <cellStyle name="Процентный 5 2 2 116 10" xfId="52416" xr:uid="{00000000-0005-0000-0000-0000BEB00000}"/>
    <cellStyle name="Процентный 5 2 2 116 2" xfId="9696" xr:uid="{00000000-0005-0000-0000-0000BFB00000}"/>
    <cellStyle name="Процентный 5 2 2 116 2 2" xfId="57757" xr:uid="{00000000-0005-0000-0000-0000C0B00000}"/>
    <cellStyle name="Процентный 5 2 2 116 3" xfId="15036" xr:uid="{00000000-0005-0000-0000-0000C1B00000}"/>
    <cellStyle name="Процентный 5 2 2 116 4" xfId="20376" xr:uid="{00000000-0005-0000-0000-0000C2B00000}"/>
    <cellStyle name="Процентный 5 2 2 116 5" xfId="25716" xr:uid="{00000000-0005-0000-0000-0000C3B00000}"/>
    <cellStyle name="Процентный 5 2 2 116 6" xfId="31056" xr:uid="{00000000-0005-0000-0000-0000C4B00000}"/>
    <cellStyle name="Процентный 5 2 2 116 7" xfId="36396" xr:uid="{00000000-0005-0000-0000-0000C5B00000}"/>
    <cellStyle name="Процентный 5 2 2 116 8" xfId="41736" xr:uid="{00000000-0005-0000-0000-0000C6B00000}"/>
    <cellStyle name="Процентный 5 2 2 116 9" xfId="47076" xr:uid="{00000000-0005-0000-0000-0000C7B00000}"/>
    <cellStyle name="Процентный 5 2 2 117" xfId="4385" xr:uid="{00000000-0005-0000-0000-0000C8B00000}"/>
    <cellStyle name="Процентный 5 2 2 117 10" xfId="52448" xr:uid="{00000000-0005-0000-0000-0000C9B00000}"/>
    <cellStyle name="Процентный 5 2 2 117 2" xfId="9728" xr:uid="{00000000-0005-0000-0000-0000CAB00000}"/>
    <cellStyle name="Процентный 5 2 2 117 2 2" xfId="57789" xr:uid="{00000000-0005-0000-0000-0000CBB00000}"/>
    <cellStyle name="Процентный 5 2 2 117 3" xfId="15068" xr:uid="{00000000-0005-0000-0000-0000CCB00000}"/>
    <cellStyle name="Процентный 5 2 2 117 4" xfId="20408" xr:uid="{00000000-0005-0000-0000-0000CDB00000}"/>
    <cellStyle name="Процентный 5 2 2 117 5" xfId="25748" xr:uid="{00000000-0005-0000-0000-0000CEB00000}"/>
    <cellStyle name="Процентный 5 2 2 117 6" xfId="31088" xr:uid="{00000000-0005-0000-0000-0000CFB00000}"/>
    <cellStyle name="Процентный 5 2 2 117 7" xfId="36428" xr:uid="{00000000-0005-0000-0000-0000D0B00000}"/>
    <cellStyle name="Процентный 5 2 2 117 8" xfId="41768" xr:uid="{00000000-0005-0000-0000-0000D1B00000}"/>
    <cellStyle name="Процентный 5 2 2 117 9" xfId="47108" xr:uid="{00000000-0005-0000-0000-0000D2B00000}"/>
    <cellStyle name="Процентный 5 2 2 118" xfId="4417" xr:uid="{00000000-0005-0000-0000-0000D3B00000}"/>
    <cellStyle name="Процентный 5 2 2 118 10" xfId="52480" xr:uid="{00000000-0005-0000-0000-0000D4B00000}"/>
    <cellStyle name="Процентный 5 2 2 118 2" xfId="9760" xr:uid="{00000000-0005-0000-0000-0000D5B00000}"/>
    <cellStyle name="Процентный 5 2 2 118 2 2" xfId="57821" xr:uid="{00000000-0005-0000-0000-0000D6B00000}"/>
    <cellStyle name="Процентный 5 2 2 118 3" xfId="15100" xr:uid="{00000000-0005-0000-0000-0000D7B00000}"/>
    <cellStyle name="Процентный 5 2 2 118 4" xfId="20440" xr:uid="{00000000-0005-0000-0000-0000D8B00000}"/>
    <cellStyle name="Процентный 5 2 2 118 5" xfId="25780" xr:uid="{00000000-0005-0000-0000-0000D9B00000}"/>
    <cellStyle name="Процентный 5 2 2 118 6" xfId="31120" xr:uid="{00000000-0005-0000-0000-0000DAB00000}"/>
    <cellStyle name="Процентный 5 2 2 118 7" xfId="36460" xr:uid="{00000000-0005-0000-0000-0000DBB00000}"/>
    <cellStyle name="Процентный 5 2 2 118 8" xfId="41800" xr:uid="{00000000-0005-0000-0000-0000DCB00000}"/>
    <cellStyle name="Процентный 5 2 2 118 9" xfId="47140" xr:uid="{00000000-0005-0000-0000-0000DDB00000}"/>
    <cellStyle name="Процентный 5 2 2 119" xfId="4449" xr:uid="{00000000-0005-0000-0000-0000DEB00000}"/>
    <cellStyle name="Процентный 5 2 2 119 10" xfId="52512" xr:uid="{00000000-0005-0000-0000-0000DFB00000}"/>
    <cellStyle name="Процентный 5 2 2 119 2" xfId="9792" xr:uid="{00000000-0005-0000-0000-0000E0B00000}"/>
    <cellStyle name="Процентный 5 2 2 119 2 2" xfId="57853" xr:uid="{00000000-0005-0000-0000-0000E1B00000}"/>
    <cellStyle name="Процентный 5 2 2 119 3" xfId="15132" xr:uid="{00000000-0005-0000-0000-0000E2B00000}"/>
    <cellStyle name="Процентный 5 2 2 119 4" xfId="20472" xr:uid="{00000000-0005-0000-0000-0000E3B00000}"/>
    <cellStyle name="Процентный 5 2 2 119 5" xfId="25812" xr:uid="{00000000-0005-0000-0000-0000E4B00000}"/>
    <cellStyle name="Процентный 5 2 2 119 6" xfId="31152" xr:uid="{00000000-0005-0000-0000-0000E5B00000}"/>
    <cellStyle name="Процентный 5 2 2 119 7" xfId="36492" xr:uid="{00000000-0005-0000-0000-0000E6B00000}"/>
    <cellStyle name="Процентный 5 2 2 119 8" xfId="41832" xr:uid="{00000000-0005-0000-0000-0000E7B00000}"/>
    <cellStyle name="Процентный 5 2 2 119 9" xfId="47172" xr:uid="{00000000-0005-0000-0000-0000E8B00000}"/>
    <cellStyle name="Процентный 5 2 2 12" xfId="1235" xr:uid="{00000000-0005-0000-0000-0000E9B00000}"/>
    <cellStyle name="Процентный 5 2 2 12 10" xfId="49298" xr:uid="{00000000-0005-0000-0000-0000EAB00000}"/>
    <cellStyle name="Процентный 5 2 2 12 2" xfId="6577" xr:uid="{00000000-0005-0000-0000-0000EBB00000}"/>
    <cellStyle name="Процентный 5 2 2 12 2 2" xfId="54639" xr:uid="{00000000-0005-0000-0000-0000ECB00000}"/>
    <cellStyle name="Процентный 5 2 2 12 3" xfId="11918" xr:uid="{00000000-0005-0000-0000-0000EDB00000}"/>
    <cellStyle name="Процентный 5 2 2 12 4" xfId="17258" xr:uid="{00000000-0005-0000-0000-0000EEB00000}"/>
    <cellStyle name="Процентный 5 2 2 12 5" xfId="22598" xr:uid="{00000000-0005-0000-0000-0000EFB00000}"/>
    <cellStyle name="Процентный 5 2 2 12 6" xfId="27938" xr:uid="{00000000-0005-0000-0000-0000F0B00000}"/>
    <cellStyle name="Процентный 5 2 2 12 7" xfId="33278" xr:uid="{00000000-0005-0000-0000-0000F1B00000}"/>
    <cellStyle name="Процентный 5 2 2 12 8" xfId="38618" xr:uid="{00000000-0005-0000-0000-0000F2B00000}"/>
    <cellStyle name="Процентный 5 2 2 12 9" xfId="43958" xr:uid="{00000000-0005-0000-0000-0000F3B00000}"/>
    <cellStyle name="Процентный 5 2 2 120" xfId="4481" xr:uid="{00000000-0005-0000-0000-0000F4B00000}"/>
    <cellStyle name="Процентный 5 2 2 120 10" xfId="52544" xr:uid="{00000000-0005-0000-0000-0000F5B00000}"/>
    <cellStyle name="Процентный 5 2 2 120 2" xfId="9824" xr:uid="{00000000-0005-0000-0000-0000F6B00000}"/>
    <cellStyle name="Процентный 5 2 2 120 2 2" xfId="57885" xr:uid="{00000000-0005-0000-0000-0000F7B00000}"/>
    <cellStyle name="Процентный 5 2 2 120 3" xfId="15164" xr:uid="{00000000-0005-0000-0000-0000F8B00000}"/>
    <cellStyle name="Процентный 5 2 2 120 4" xfId="20504" xr:uid="{00000000-0005-0000-0000-0000F9B00000}"/>
    <cellStyle name="Процентный 5 2 2 120 5" xfId="25844" xr:uid="{00000000-0005-0000-0000-0000FAB00000}"/>
    <cellStyle name="Процентный 5 2 2 120 6" xfId="31184" xr:uid="{00000000-0005-0000-0000-0000FBB00000}"/>
    <cellStyle name="Процентный 5 2 2 120 7" xfId="36524" xr:uid="{00000000-0005-0000-0000-0000FCB00000}"/>
    <cellStyle name="Процентный 5 2 2 120 8" xfId="41864" xr:uid="{00000000-0005-0000-0000-0000FDB00000}"/>
    <cellStyle name="Процентный 5 2 2 120 9" xfId="47204" xr:uid="{00000000-0005-0000-0000-0000FEB00000}"/>
    <cellStyle name="Процентный 5 2 2 121" xfId="4513" xr:uid="{00000000-0005-0000-0000-0000FFB00000}"/>
    <cellStyle name="Процентный 5 2 2 121 10" xfId="52576" xr:uid="{00000000-0005-0000-0000-000000B10000}"/>
    <cellStyle name="Процентный 5 2 2 121 2" xfId="9856" xr:uid="{00000000-0005-0000-0000-000001B10000}"/>
    <cellStyle name="Процентный 5 2 2 121 2 2" xfId="57917" xr:uid="{00000000-0005-0000-0000-000002B10000}"/>
    <cellStyle name="Процентный 5 2 2 121 3" xfId="15196" xr:uid="{00000000-0005-0000-0000-000003B10000}"/>
    <cellStyle name="Процентный 5 2 2 121 4" xfId="20536" xr:uid="{00000000-0005-0000-0000-000004B10000}"/>
    <cellStyle name="Процентный 5 2 2 121 5" xfId="25876" xr:uid="{00000000-0005-0000-0000-000005B10000}"/>
    <cellStyle name="Процентный 5 2 2 121 6" xfId="31216" xr:uid="{00000000-0005-0000-0000-000006B10000}"/>
    <cellStyle name="Процентный 5 2 2 121 7" xfId="36556" xr:uid="{00000000-0005-0000-0000-000007B10000}"/>
    <cellStyle name="Процентный 5 2 2 121 8" xfId="41896" xr:uid="{00000000-0005-0000-0000-000008B10000}"/>
    <cellStyle name="Процентный 5 2 2 121 9" xfId="47236" xr:uid="{00000000-0005-0000-0000-000009B10000}"/>
    <cellStyle name="Процентный 5 2 2 122" xfId="4545" xr:uid="{00000000-0005-0000-0000-00000AB10000}"/>
    <cellStyle name="Процентный 5 2 2 122 10" xfId="52608" xr:uid="{00000000-0005-0000-0000-00000BB10000}"/>
    <cellStyle name="Процентный 5 2 2 122 2" xfId="9888" xr:uid="{00000000-0005-0000-0000-00000CB10000}"/>
    <cellStyle name="Процентный 5 2 2 122 2 2" xfId="57949" xr:uid="{00000000-0005-0000-0000-00000DB10000}"/>
    <cellStyle name="Процентный 5 2 2 122 3" xfId="15228" xr:uid="{00000000-0005-0000-0000-00000EB10000}"/>
    <cellStyle name="Процентный 5 2 2 122 4" xfId="20568" xr:uid="{00000000-0005-0000-0000-00000FB10000}"/>
    <cellStyle name="Процентный 5 2 2 122 5" xfId="25908" xr:uid="{00000000-0005-0000-0000-000010B10000}"/>
    <cellStyle name="Процентный 5 2 2 122 6" xfId="31248" xr:uid="{00000000-0005-0000-0000-000011B10000}"/>
    <cellStyle name="Процентный 5 2 2 122 7" xfId="36588" xr:uid="{00000000-0005-0000-0000-000012B10000}"/>
    <cellStyle name="Процентный 5 2 2 122 8" xfId="41928" xr:uid="{00000000-0005-0000-0000-000013B10000}"/>
    <cellStyle name="Процентный 5 2 2 122 9" xfId="47268" xr:uid="{00000000-0005-0000-0000-000014B10000}"/>
    <cellStyle name="Процентный 5 2 2 123" xfId="4577" xr:uid="{00000000-0005-0000-0000-000015B10000}"/>
    <cellStyle name="Процентный 5 2 2 123 10" xfId="52640" xr:uid="{00000000-0005-0000-0000-000016B10000}"/>
    <cellStyle name="Процентный 5 2 2 123 2" xfId="9920" xr:uid="{00000000-0005-0000-0000-000017B10000}"/>
    <cellStyle name="Процентный 5 2 2 123 2 2" xfId="57981" xr:uid="{00000000-0005-0000-0000-000018B10000}"/>
    <cellStyle name="Процентный 5 2 2 123 3" xfId="15260" xr:uid="{00000000-0005-0000-0000-000019B10000}"/>
    <cellStyle name="Процентный 5 2 2 123 4" xfId="20600" xr:uid="{00000000-0005-0000-0000-00001AB10000}"/>
    <cellStyle name="Процентный 5 2 2 123 5" xfId="25940" xr:uid="{00000000-0005-0000-0000-00001BB10000}"/>
    <cellStyle name="Процентный 5 2 2 123 6" xfId="31280" xr:uid="{00000000-0005-0000-0000-00001CB10000}"/>
    <cellStyle name="Процентный 5 2 2 123 7" xfId="36620" xr:uid="{00000000-0005-0000-0000-00001DB10000}"/>
    <cellStyle name="Процентный 5 2 2 123 8" xfId="41960" xr:uid="{00000000-0005-0000-0000-00001EB10000}"/>
    <cellStyle name="Процентный 5 2 2 123 9" xfId="47300" xr:uid="{00000000-0005-0000-0000-00001FB10000}"/>
    <cellStyle name="Процентный 5 2 2 124" xfId="4609" xr:uid="{00000000-0005-0000-0000-000020B10000}"/>
    <cellStyle name="Процентный 5 2 2 124 10" xfId="52672" xr:uid="{00000000-0005-0000-0000-000021B10000}"/>
    <cellStyle name="Процентный 5 2 2 124 2" xfId="9952" xr:uid="{00000000-0005-0000-0000-000022B10000}"/>
    <cellStyle name="Процентный 5 2 2 124 2 2" xfId="58013" xr:uid="{00000000-0005-0000-0000-000023B10000}"/>
    <cellStyle name="Процентный 5 2 2 124 3" xfId="15292" xr:uid="{00000000-0005-0000-0000-000024B10000}"/>
    <cellStyle name="Процентный 5 2 2 124 4" xfId="20632" xr:uid="{00000000-0005-0000-0000-000025B10000}"/>
    <cellStyle name="Процентный 5 2 2 124 5" xfId="25972" xr:uid="{00000000-0005-0000-0000-000026B10000}"/>
    <cellStyle name="Процентный 5 2 2 124 6" xfId="31312" xr:uid="{00000000-0005-0000-0000-000027B10000}"/>
    <cellStyle name="Процентный 5 2 2 124 7" xfId="36652" xr:uid="{00000000-0005-0000-0000-000028B10000}"/>
    <cellStyle name="Процентный 5 2 2 124 8" xfId="41992" xr:uid="{00000000-0005-0000-0000-000029B10000}"/>
    <cellStyle name="Процентный 5 2 2 124 9" xfId="47332" xr:uid="{00000000-0005-0000-0000-00002AB10000}"/>
    <cellStyle name="Процентный 5 2 2 125" xfId="4641" xr:uid="{00000000-0005-0000-0000-00002BB10000}"/>
    <cellStyle name="Процентный 5 2 2 125 10" xfId="52704" xr:uid="{00000000-0005-0000-0000-00002CB10000}"/>
    <cellStyle name="Процентный 5 2 2 125 2" xfId="9984" xr:uid="{00000000-0005-0000-0000-00002DB10000}"/>
    <cellStyle name="Процентный 5 2 2 125 2 2" xfId="58045" xr:uid="{00000000-0005-0000-0000-00002EB10000}"/>
    <cellStyle name="Процентный 5 2 2 125 3" xfId="15324" xr:uid="{00000000-0005-0000-0000-00002FB10000}"/>
    <cellStyle name="Процентный 5 2 2 125 4" xfId="20664" xr:uid="{00000000-0005-0000-0000-000030B10000}"/>
    <cellStyle name="Процентный 5 2 2 125 5" xfId="26004" xr:uid="{00000000-0005-0000-0000-000031B10000}"/>
    <cellStyle name="Процентный 5 2 2 125 6" xfId="31344" xr:uid="{00000000-0005-0000-0000-000032B10000}"/>
    <cellStyle name="Процентный 5 2 2 125 7" xfId="36684" xr:uid="{00000000-0005-0000-0000-000033B10000}"/>
    <cellStyle name="Процентный 5 2 2 125 8" xfId="42024" xr:uid="{00000000-0005-0000-0000-000034B10000}"/>
    <cellStyle name="Процентный 5 2 2 125 9" xfId="47364" xr:uid="{00000000-0005-0000-0000-000035B10000}"/>
    <cellStyle name="Процентный 5 2 2 126" xfId="4673" xr:uid="{00000000-0005-0000-0000-000036B10000}"/>
    <cellStyle name="Процентный 5 2 2 126 10" xfId="52736" xr:uid="{00000000-0005-0000-0000-000037B10000}"/>
    <cellStyle name="Процентный 5 2 2 126 2" xfId="10016" xr:uid="{00000000-0005-0000-0000-000038B10000}"/>
    <cellStyle name="Процентный 5 2 2 126 2 2" xfId="58077" xr:uid="{00000000-0005-0000-0000-000039B10000}"/>
    <cellStyle name="Процентный 5 2 2 126 3" xfId="15356" xr:uid="{00000000-0005-0000-0000-00003AB10000}"/>
    <cellStyle name="Процентный 5 2 2 126 4" xfId="20696" xr:uid="{00000000-0005-0000-0000-00003BB10000}"/>
    <cellStyle name="Процентный 5 2 2 126 5" xfId="26036" xr:uid="{00000000-0005-0000-0000-00003CB10000}"/>
    <cellStyle name="Процентный 5 2 2 126 6" xfId="31376" xr:uid="{00000000-0005-0000-0000-00003DB10000}"/>
    <cellStyle name="Процентный 5 2 2 126 7" xfId="36716" xr:uid="{00000000-0005-0000-0000-00003EB10000}"/>
    <cellStyle name="Процентный 5 2 2 126 8" xfId="42056" xr:uid="{00000000-0005-0000-0000-00003FB10000}"/>
    <cellStyle name="Процентный 5 2 2 126 9" xfId="47396" xr:uid="{00000000-0005-0000-0000-000040B10000}"/>
    <cellStyle name="Процентный 5 2 2 127" xfId="4705" xr:uid="{00000000-0005-0000-0000-000041B10000}"/>
    <cellStyle name="Процентный 5 2 2 127 10" xfId="52768" xr:uid="{00000000-0005-0000-0000-000042B10000}"/>
    <cellStyle name="Процентный 5 2 2 127 2" xfId="10048" xr:uid="{00000000-0005-0000-0000-000043B10000}"/>
    <cellStyle name="Процентный 5 2 2 127 2 2" xfId="58109" xr:uid="{00000000-0005-0000-0000-000044B10000}"/>
    <cellStyle name="Процентный 5 2 2 127 3" xfId="15388" xr:uid="{00000000-0005-0000-0000-000045B10000}"/>
    <cellStyle name="Процентный 5 2 2 127 4" xfId="20728" xr:uid="{00000000-0005-0000-0000-000046B10000}"/>
    <cellStyle name="Процентный 5 2 2 127 5" xfId="26068" xr:uid="{00000000-0005-0000-0000-000047B10000}"/>
    <cellStyle name="Процентный 5 2 2 127 6" xfId="31408" xr:uid="{00000000-0005-0000-0000-000048B10000}"/>
    <cellStyle name="Процентный 5 2 2 127 7" xfId="36748" xr:uid="{00000000-0005-0000-0000-000049B10000}"/>
    <cellStyle name="Процентный 5 2 2 127 8" xfId="42088" xr:uid="{00000000-0005-0000-0000-00004AB10000}"/>
    <cellStyle name="Процентный 5 2 2 127 9" xfId="47428" xr:uid="{00000000-0005-0000-0000-00004BB10000}"/>
    <cellStyle name="Процентный 5 2 2 128" xfId="4739" xr:uid="{00000000-0005-0000-0000-00004CB10000}"/>
    <cellStyle name="Процентный 5 2 2 128 10" xfId="52802" xr:uid="{00000000-0005-0000-0000-00004DB10000}"/>
    <cellStyle name="Процентный 5 2 2 128 2" xfId="10082" xr:uid="{00000000-0005-0000-0000-00004EB10000}"/>
    <cellStyle name="Процентный 5 2 2 128 2 2" xfId="58143" xr:uid="{00000000-0005-0000-0000-00004FB10000}"/>
    <cellStyle name="Процентный 5 2 2 128 3" xfId="15422" xr:uid="{00000000-0005-0000-0000-000050B10000}"/>
    <cellStyle name="Процентный 5 2 2 128 4" xfId="20762" xr:uid="{00000000-0005-0000-0000-000051B10000}"/>
    <cellStyle name="Процентный 5 2 2 128 5" xfId="26102" xr:uid="{00000000-0005-0000-0000-000052B10000}"/>
    <cellStyle name="Процентный 5 2 2 128 6" xfId="31442" xr:uid="{00000000-0005-0000-0000-000053B10000}"/>
    <cellStyle name="Процентный 5 2 2 128 7" xfId="36782" xr:uid="{00000000-0005-0000-0000-000054B10000}"/>
    <cellStyle name="Процентный 5 2 2 128 8" xfId="42122" xr:uid="{00000000-0005-0000-0000-000055B10000}"/>
    <cellStyle name="Процентный 5 2 2 128 9" xfId="47462" xr:uid="{00000000-0005-0000-0000-000056B10000}"/>
    <cellStyle name="Процентный 5 2 2 129" xfId="4771" xr:uid="{00000000-0005-0000-0000-000057B10000}"/>
    <cellStyle name="Процентный 5 2 2 129 10" xfId="52834" xr:uid="{00000000-0005-0000-0000-000058B10000}"/>
    <cellStyle name="Процентный 5 2 2 129 2" xfId="10114" xr:uid="{00000000-0005-0000-0000-000059B10000}"/>
    <cellStyle name="Процентный 5 2 2 129 2 2" xfId="58175" xr:uid="{00000000-0005-0000-0000-00005AB10000}"/>
    <cellStyle name="Процентный 5 2 2 129 3" xfId="15454" xr:uid="{00000000-0005-0000-0000-00005BB10000}"/>
    <cellStyle name="Процентный 5 2 2 129 4" xfId="20794" xr:uid="{00000000-0005-0000-0000-00005CB10000}"/>
    <cellStyle name="Процентный 5 2 2 129 5" xfId="26134" xr:uid="{00000000-0005-0000-0000-00005DB10000}"/>
    <cellStyle name="Процентный 5 2 2 129 6" xfId="31474" xr:uid="{00000000-0005-0000-0000-00005EB10000}"/>
    <cellStyle name="Процентный 5 2 2 129 7" xfId="36814" xr:uid="{00000000-0005-0000-0000-00005FB10000}"/>
    <cellStyle name="Процентный 5 2 2 129 8" xfId="42154" xr:uid="{00000000-0005-0000-0000-000060B10000}"/>
    <cellStyle name="Процентный 5 2 2 129 9" xfId="47494" xr:uid="{00000000-0005-0000-0000-000061B10000}"/>
    <cellStyle name="Процентный 5 2 2 13" xfId="1261" xr:uid="{00000000-0005-0000-0000-000062B10000}"/>
    <cellStyle name="Процентный 5 2 2 13 10" xfId="49324" xr:uid="{00000000-0005-0000-0000-000063B10000}"/>
    <cellStyle name="Процентный 5 2 2 13 2" xfId="6603" xr:uid="{00000000-0005-0000-0000-000064B10000}"/>
    <cellStyle name="Процентный 5 2 2 13 2 2" xfId="54665" xr:uid="{00000000-0005-0000-0000-000065B10000}"/>
    <cellStyle name="Процентный 5 2 2 13 3" xfId="11944" xr:uid="{00000000-0005-0000-0000-000066B10000}"/>
    <cellStyle name="Процентный 5 2 2 13 4" xfId="17284" xr:uid="{00000000-0005-0000-0000-000067B10000}"/>
    <cellStyle name="Процентный 5 2 2 13 5" xfId="22624" xr:uid="{00000000-0005-0000-0000-000068B10000}"/>
    <cellStyle name="Процентный 5 2 2 13 6" xfId="27964" xr:uid="{00000000-0005-0000-0000-000069B10000}"/>
    <cellStyle name="Процентный 5 2 2 13 7" xfId="33304" xr:uid="{00000000-0005-0000-0000-00006AB10000}"/>
    <cellStyle name="Процентный 5 2 2 13 8" xfId="38644" xr:uid="{00000000-0005-0000-0000-00006BB10000}"/>
    <cellStyle name="Процентный 5 2 2 13 9" xfId="43984" xr:uid="{00000000-0005-0000-0000-00006CB10000}"/>
    <cellStyle name="Процентный 5 2 2 130" xfId="4803" xr:uid="{00000000-0005-0000-0000-00006DB10000}"/>
    <cellStyle name="Процентный 5 2 2 130 10" xfId="52866" xr:uid="{00000000-0005-0000-0000-00006EB10000}"/>
    <cellStyle name="Процентный 5 2 2 130 2" xfId="10146" xr:uid="{00000000-0005-0000-0000-00006FB10000}"/>
    <cellStyle name="Процентный 5 2 2 130 2 2" xfId="58207" xr:uid="{00000000-0005-0000-0000-000070B10000}"/>
    <cellStyle name="Процентный 5 2 2 130 3" xfId="15486" xr:uid="{00000000-0005-0000-0000-000071B10000}"/>
    <cellStyle name="Процентный 5 2 2 130 4" xfId="20826" xr:uid="{00000000-0005-0000-0000-000072B10000}"/>
    <cellStyle name="Процентный 5 2 2 130 5" xfId="26166" xr:uid="{00000000-0005-0000-0000-000073B10000}"/>
    <cellStyle name="Процентный 5 2 2 130 6" xfId="31506" xr:uid="{00000000-0005-0000-0000-000074B10000}"/>
    <cellStyle name="Процентный 5 2 2 130 7" xfId="36846" xr:uid="{00000000-0005-0000-0000-000075B10000}"/>
    <cellStyle name="Процентный 5 2 2 130 8" xfId="42186" xr:uid="{00000000-0005-0000-0000-000076B10000}"/>
    <cellStyle name="Процентный 5 2 2 130 9" xfId="47526" xr:uid="{00000000-0005-0000-0000-000077B10000}"/>
    <cellStyle name="Процентный 5 2 2 131" xfId="4835" xr:uid="{00000000-0005-0000-0000-000078B10000}"/>
    <cellStyle name="Процентный 5 2 2 131 10" xfId="52898" xr:uid="{00000000-0005-0000-0000-000079B10000}"/>
    <cellStyle name="Процентный 5 2 2 131 2" xfId="10178" xr:uid="{00000000-0005-0000-0000-00007AB10000}"/>
    <cellStyle name="Процентный 5 2 2 131 2 2" xfId="58239" xr:uid="{00000000-0005-0000-0000-00007BB10000}"/>
    <cellStyle name="Процентный 5 2 2 131 3" xfId="15518" xr:uid="{00000000-0005-0000-0000-00007CB10000}"/>
    <cellStyle name="Процентный 5 2 2 131 4" xfId="20858" xr:uid="{00000000-0005-0000-0000-00007DB10000}"/>
    <cellStyle name="Процентный 5 2 2 131 5" xfId="26198" xr:uid="{00000000-0005-0000-0000-00007EB10000}"/>
    <cellStyle name="Процентный 5 2 2 131 6" xfId="31538" xr:uid="{00000000-0005-0000-0000-00007FB10000}"/>
    <cellStyle name="Процентный 5 2 2 131 7" xfId="36878" xr:uid="{00000000-0005-0000-0000-000080B10000}"/>
    <cellStyle name="Процентный 5 2 2 131 8" xfId="42218" xr:uid="{00000000-0005-0000-0000-000081B10000}"/>
    <cellStyle name="Процентный 5 2 2 131 9" xfId="47558" xr:uid="{00000000-0005-0000-0000-000082B10000}"/>
    <cellStyle name="Процентный 5 2 2 132" xfId="4867" xr:uid="{00000000-0005-0000-0000-000083B10000}"/>
    <cellStyle name="Процентный 5 2 2 132 10" xfId="52930" xr:uid="{00000000-0005-0000-0000-000084B10000}"/>
    <cellStyle name="Процентный 5 2 2 132 2" xfId="10210" xr:uid="{00000000-0005-0000-0000-000085B10000}"/>
    <cellStyle name="Процентный 5 2 2 132 2 2" xfId="58271" xr:uid="{00000000-0005-0000-0000-000086B10000}"/>
    <cellStyle name="Процентный 5 2 2 132 3" xfId="15550" xr:uid="{00000000-0005-0000-0000-000087B10000}"/>
    <cellStyle name="Процентный 5 2 2 132 4" xfId="20890" xr:uid="{00000000-0005-0000-0000-000088B10000}"/>
    <cellStyle name="Процентный 5 2 2 132 5" xfId="26230" xr:uid="{00000000-0005-0000-0000-000089B10000}"/>
    <cellStyle name="Процентный 5 2 2 132 6" xfId="31570" xr:uid="{00000000-0005-0000-0000-00008AB10000}"/>
    <cellStyle name="Процентный 5 2 2 132 7" xfId="36910" xr:uid="{00000000-0005-0000-0000-00008BB10000}"/>
    <cellStyle name="Процентный 5 2 2 132 8" xfId="42250" xr:uid="{00000000-0005-0000-0000-00008CB10000}"/>
    <cellStyle name="Процентный 5 2 2 132 9" xfId="47590" xr:uid="{00000000-0005-0000-0000-00008DB10000}"/>
    <cellStyle name="Процентный 5 2 2 133" xfId="4899" xr:uid="{00000000-0005-0000-0000-00008EB10000}"/>
    <cellStyle name="Процентный 5 2 2 133 10" xfId="52962" xr:uid="{00000000-0005-0000-0000-00008FB10000}"/>
    <cellStyle name="Процентный 5 2 2 133 2" xfId="10242" xr:uid="{00000000-0005-0000-0000-000090B10000}"/>
    <cellStyle name="Процентный 5 2 2 133 2 2" xfId="58303" xr:uid="{00000000-0005-0000-0000-000091B10000}"/>
    <cellStyle name="Процентный 5 2 2 133 3" xfId="15582" xr:uid="{00000000-0005-0000-0000-000092B10000}"/>
    <cellStyle name="Процентный 5 2 2 133 4" xfId="20922" xr:uid="{00000000-0005-0000-0000-000093B10000}"/>
    <cellStyle name="Процентный 5 2 2 133 5" xfId="26262" xr:uid="{00000000-0005-0000-0000-000094B10000}"/>
    <cellStyle name="Процентный 5 2 2 133 6" xfId="31602" xr:uid="{00000000-0005-0000-0000-000095B10000}"/>
    <cellStyle name="Процентный 5 2 2 133 7" xfId="36942" xr:uid="{00000000-0005-0000-0000-000096B10000}"/>
    <cellStyle name="Процентный 5 2 2 133 8" xfId="42282" xr:uid="{00000000-0005-0000-0000-000097B10000}"/>
    <cellStyle name="Процентный 5 2 2 133 9" xfId="47622" xr:uid="{00000000-0005-0000-0000-000098B10000}"/>
    <cellStyle name="Процентный 5 2 2 134" xfId="4931" xr:uid="{00000000-0005-0000-0000-000099B10000}"/>
    <cellStyle name="Процентный 5 2 2 134 10" xfId="52994" xr:uid="{00000000-0005-0000-0000-00009AB10000}"/>
    <cellStyle name="Процентный 5 2 2 134 2" xfId="10274" xr:uid="{00000000-0005-0000-0000-00009BB10000}"/>
    <cellStyle name="Процентный 5 2 2 134 2 2" xfId="58335" xr:uid="{00000000-0005-0000-0000-00009CB10000}"/>
    <cellStyle name="Процентный 5 2 2 134 3" xfId="15614" xr:uid="{00000000-0005-0000-0000-00009DB10000}"/>
    <cellStyle name="Процентный 5 2 2 134 4" xfId="20954" xr:uid="{00000000-0005-0000-0000-00009EB10000}"/>
    <cellStyle name="Процентный 5 2 2 134 5" xfId="26294" xr:uid="{00000000-0005-0000-0000-00009FB10000}"/>
    <cellStyle name="Процентный 5 2 2 134 6" xfId="31634" xr:uid="{00000000-0005-0000-0000-0000A0B10000}"/>
    <cellStyle name="Процентный 5 2 2 134 7" xfId="36974" xr:uid="{00000000-0005-0000-0000-0000A1B10000}"/>
    <cellStyle name="Процентный 5 2 2 134 8" xfId="42314" xr:uid="{00000000-0005-0000-0000-0000A2B10000}"/>
    <cellStyle name="Процентный 5 2 2 134 9" xfId="47654" xr:uid="{00000000-0005-0000-0000-0000A3B10000}"/>
    <cellStyle name="Процентный 5 2 2 135" xfId="4963" xr:uid="{00000000-0005-0000-0000-0000A4B10000}"/>
    <cellStyle name="Процентный 5 2 2 135 10" xfId="53026" xr:uid="{00000000-0005-0000-0000-0000A5B10000}"/>
    <cellStyle name="Процентный 5 2 2 135 2" xfId="10306" xr:uid="{00000000-0005-0000-0000-0000A6B10000}"/>
    <cellStyle name="Процентный 5 2 2 135 2 2" xfId="58367" xr:uid="{00000000-0005-0000-0000-0000A7B10000}"/>
    <cellStyle name="Процентный 5 2 2 135 3" xfId="15646" xr:uid="{00000000-0005-0000-0000-0000A8B10000}"/>
    <cellStyle name="Процентный 5 2 2 135 4" xfId="20986" xr:uid="{00000000-0005-0000-0000-0000A9B10000}"/>
    <cellStyle name="Процентный 5 2 2 135 5" xfId="26326" xr:uid="{00000000-0005-0000-0000-0000AAB10000}"/>
    <cellStyle name="Процентный 5 2 2 135 6" xfId="31666" xr:uid="{00000000-0005-0000-0000-0000ABB10000}"/>
    <cellStyle name="Процентный 5 2 2 135 7" xfId="37006" xr:uid="{00000000-0005-0000-0000-0000ACB10000}"/>
    <cellStyle name="Процентный 5 2 2 135 8" xfId="42346" xr:uid="{00000000-0005-0000-0000-0000ADB10000}"/>
    <cellStyle name="Процентный 5 2 2 135 9" xfId="47686" xr:uid="{00000000-0005-0000-0000-0000AEB10000}"/>
    <cellStyle name="Процентный 5 2 2 136" xfId="4995" xr:uid="{00000000-0005-0000-0000-0000AFB10000}"/>
    <cellStyle name="Процентный 5 2 2 136 10" xfId="53058" xr:uid="{00000000-0005-0000-0000-0000B0B10000}"/>
    <cellStyle name="Процентный 5 2 2 136 2" xfId="10338" xr:uid="{00000000-0005-0000-0000-0000B1B10000}"/>
    <cellStyle name="Процентный 5 2 2 136 2 2" xfId="58399" xr:uid="{00000000-0005-0000-0000-0000B2B10000}"/>
    <cellStyle name="Процентный 5 2 2 136 3" xfId="15678" xr:uid="{00000000-0005-0000-0000-0000B3B10000}"/>
    <cellStyle name="Процентный 5 2 2 136 4" xfId="21018" xr:uid="{00000000-0005-0000-0000-0000B4B10000}"/>
    <cellStyle name="Процентный 5 2 2 136 5" xfId="26358" xr:uid="{00000000-0005-0000-0000-0000B5B10000}"/>
    <cellStyle name="Процентный 5 2 2 136 6" xfId="31698" xr:uid="{00000000-0005-0000-0000-0000B6B10000}"/>
    <cellStyle name="Процентный 5 2 2 136 7" xfId="37038" xr:uid="{00000000-0005-0000-0000-0000B7B10000}"/>
    <cellStyle name="Процентный 5 2 2 136 8" xfId="42378" xr:uid="{00000000-0005-0000-0000-0000B8B10000}"/>
    <cellStyle name="Процентный 5 2 2 136 9" xfId="47718" xr:uid="{00000000-0005-0000-0000-0000B9B10000}"/>
    <cellStyle name="Процентный 5 2 2 137" xfId="5027" xr:uid="{00000000-0005-0000-0000-0000BAB10000}"/>
    <cellStyle name="Процентный 5 2 2 137 10" xfId="53090" xr:uid="{00000000-0005-0000-0000-0000BBB10000}"/>
    <cellStyle name="Процентный 5 2 2 137 2" xfId="10370" xr:uid="{00000000-0005-0000-0000-0000BCB10000}"/>
    <cellStyle name="Процентный 5 2 2 137 2 2" xfId="58431" xr:uid="{00000000-0005-0000-0000-0000BDB10000}"/>
    <cellStyle name="Процентный 5 2 2 137 3" xfId="15710" xr:uid="{00000000-0005-0000-0000-0000BEB10000}"/>
    <cellStyle name="Процентный 5 2 2 137 4" xfId="21050" xr:uid="{00000000-0005-0000-0000-0000BFB10000}"/>
    <cellStyle name="Процентный 5 2 2 137 5" xfId="26390" xr:uid="{00000000-0005-0000-0000-0000C0B10000}"/>
    <cellStyle name="Процентный 5 2 2 137 6" xfId="31730" xr:uid="{00000000-0005-0000-0000-0000C1B10000}"/>
    <cellStyle name="Процентный 5 2 2 137 7" xfId="37070" xr:uid="{00000000-0005-0000-0000-0000C2B10000}"/>
    <cellStyle name="Процентный 5 2 2 137 8" xfId="42410" xr:uid="{00000000-0005-0000-0000-0000C3B10000}"/>
    <cellStyle name="Процентный 5 2 2 137 9" xfId="47750" xr:uid="{00000000-0005-0000-0000-0000C4B10000}"/>
    <cellStyle name="Процентный 5 2 2 138" xfId="5059" xr:uid="{00000000-0005-0000-0000-0000C5B10000}"/>
    <cellStyle name="Процентный 5 2 2 138 10" xfId="53122" xr:uid="{00000000-0005-0000-0000-0000C6B10000}"/>
    <cellStyle name="Процентный 5 2 2 138 2" xfId="10402" xr:uid="{00000000-0005-0000-0000-0000C7B10000}"/>
    <cellStyle name="Процентный 5 2 2 138 2 2" xfId="58463" xr:uid="{00000000-0005-0000-0000-0000C8B10000}"/>
    <cellStyle name="Процентный 5 2 2 138 3" xfId="15742" xr:uid="{00000000-0005-0000-0000-0000C9B10000}"/>
    <cellStyle name="Процентный 5 2 2 138 4" xfId="21082" xr:uid="{00000000-0005-0000-0000-0000CAB10000}"/>
    <cellStyle name="Процентный 5 2 2 138 5" xfId="26422" xr:uid="{00000000-0005-0000-0000-0000CBB10000}"/>
    <cellStyle name="Процентный 5 2 2 138 6" xfId="31762" xr:uid="{00000000-0005-0000-0000-0000CCB10000}"/>
    <cellStyle name="Процентный 5 2 2 138 7" xfId="37102" xr:uid="{00000000-0005-0000-0000-0000CDB10000}"/>
    <cellStyle name="Процентный 5 2 2 138 8" xfId="42442" xr:uid="{00000000-0005-0000-0000-0000CEB10000}"/>
    <cellStyle name="Процентный 5 2 2 138 9" xfId="47782" xr:uid="{00000000-0005-0000-0000-0000CFB10000}"/>
    <cellStyle name="Процентный 5 2 2 139" xfId="5091" xr:uid="{00000000-0005-0000-0000-0000D0B10000}"/>
    <cellStyle name="Процентный 5 2 2 139 10" xfId="53154" xr:uid="{00000000-0005-0000-0000-0000D1B10000}"/>
    <cellStyle name="Процентный 5 2 2 139 2" xfId="10434" xr:uid="{00000000-0005-0000-0000-0000D2B10000}"/>
    <cellStyle name="Процентный 5 2 2 139 2 2" xfId="58495" xr:uid="{00000000-0005-0000-0000-0000D3B10000}"/>
    <cellStyle name="Процентный 5 2 2 139 3" xfId="15774" xr:uid="{00000000-0005-0000-0000-0000D4B10000}"/>
    <cellStyle name="Процентный 5 2 2 139 4" xfId="21114" xr:uid="{00000000-0005-0000-0000-0000D5B10000}"/>
    <cellStyle name="Процентный 5 2 2 139 5" xfId="26454" xr:uid="{00000000-0005-0000-0000-0000D6B10000}"/>
    <cellStyle name="Процентный 5 2 2 139 6" xfId="31794" xr:uid="{00000000-0005-0000-0000-0000D7B10000}"/>
    <cellStyle name="Процентный 5 2 2 139 7" xfId="37134" xr:uid="{00000000-0005-0000-0000-0000D8B10000}"/>
    <cellStyle name="Процентный 5 2 2 139 8" xfId="42474" xr:uid="{00000000-0005-0000-0000-0000D9B10000}"/>
    <cellStyle name="Процентный 5 2 2 139 9" xfId="47814" xr:uid="{00000000-0005-0000-0000-0000DAB10000}"/>
    <cellStyle name="Процентный 5 2 2 14" xfId="1287" xr:uid="{00000000-0005-0000-0000-0000DBB10000}"/>
    <cellStyle name="Процентный 5 2 2 14 10" xfId="49350" xr:uid="{00000000-0005-0000-0000-0000DCB10000}"/>
    <cellStyle name="Процентный 5 2 2 14 2" xfId="6629" xr:uid="{00000000-0005-0000-0000-0000DDB10000}"/>
    <cellStyle name="Процентный 5 2 2 14 2 2" xfId="54691" xr:uid="{00000000-0005-0000-0000-0000DEB10000}"/>
    <cellStyle name="Процентный 5 2 2 14 3" xfId="11970" xr:uid="{00000000-0005-0000-0000-0000DFB10000}"/>
    <cellStyle name="Процентный 5 2 2 14 4" xfId="17310" xr:uid="{00000000-0005-0000-0000-0000E0B10000}"/>
    <cellStyle name="Процентный 5 2 2 14 5" xfId="22650" xr:uid="{00000000-0005-0000-0000-0000E1B10000}"/>
    <cellStyle name="Процентный 5 2 2 14 6" xfId="27990" xr:uid="{00000000-0005-0000-0000-0000E2B10000}"/>
    <cellStyle name="Процентный 5 2 2 14 7" xfId="33330" xr:uid="{00000000-0005-0000-0000-0000E3B10000}"/>
    <cellStyle name="Процентный 5 2 2 14 8" xfId="38670" xr:uid="{00000000-0005-0000-0000-0000E4B10000}"/>
    <cellStyle name="Процентный 5 2 2 14 9" xfId="44010" xr:uid="{00000000-0005-0000-0000-0000E5B10000}"/>
    <cellStyle name="Процентный 5 2 2 140" xfId="5123" xr:uid="{00000000-0005-0000-0000-0000E6B10000}"/>
    <cellStyle name="Процентный 5 2 2 140 10" xfId="53186" xr:uid="{00000000-0005-0000-0000-0000E7B10000}"/>
    <cellStyle name="Процентный 5 2 2 140 2" xfId="10466" xr:uid="{00000000-0005-0000-0000-0000E8B10000}"/>
    <cellStyle name="Процентный 5 2 2 140 2 2" xfId="58527" xr:uid="{00000000-0005-0000-0000-0000E9B10000}"/>
    <cellStyle name="Процентный 5 2 2 140 3" xfId="15806" xr:uid="{00000000-0005-0000-0000-0000EAB10000}"/>
    <cellStyle name="Процентный 5 2 2 140 4" xfId="21146" xr:uid="{00000000-0005-0000-0000-0000EBB10000}"/>
    <cellStyle name="Процентный 5 2 2 140 5" xfId="26486" xr:uid="{00000000-0005-0000-0000-0000ECB10000}"/>
    <cellStyle name="Процентный 5 2 2 140 6" xfId="31826" xr:uid="{00000000-0005-0000-0000-0000EDB10000}"/>
    <cellStyle name="Процентный 5 2 2 140 7" xfId="37166" xr:uid="{00000000-0005-0000-0000-0000EEB10000}"/>
    <cellStyle name="Процентный 5 2 2 140 8" xfId="42506" xr:uid="{00000000-0005-0000-0000-0000EFB10000}"/>
    <cellStyle name="Процентный 5 2 2 140 9" xfId="47846" xr:uid="{00000000-0005-0000-0000-0000F0B10000}"/>
    <cellStyle name="Процентный 5 2 2 141" xfId="5155" xr:uid="{00000000-0005-0000-0000-0000F1B10000}"/>
    <cellStyle name="Процентный 5 2 2 141 10" xfId="53218" xr:uid="{00000000-0005-0000-0000-0000F2B10000}"/>
    <cellStyle name="Процентный 5 2 2 141 2" xfId="10498" xr:uid="{00000000-0005-0000-0000-0000F3B10000}"/>
    <cellStyle name="Процентный 5 2 2 141 2 2" xfId="58559" xr:uid="{00000000-0005-0000-0000-0000F4B10000}"/>
    <cellStyle name="Процентный 5 2 2 141 3" xfId="15838" xr:uid="{00000000-0005-0000-0000-0000F5B10000}"/>
    <cellStyle name="Процентный 5 2 2 141 4" xfId="21178" xr:uid="{00000000-0005-0000-0000-0000F6B10000}"/>
    <cellStyle name="Процентный 5 2 2 141 5" xfId="26518" xr:uid="{00000000-0005-0000-0000-0000F7B10000}"/>
    <cellStyle name="Процентный 5 2 2 141 6" xfId="31858" xr:uid="{00000000-0005-0000-0000-0000F8B10000}"/>
    <cellStyle name="Процентный 5 2 2 141 7" xfId="37198" xr:uid="{00000000-0005-0000-0000-0000F9B10000}"/>
    <cellStyle name="Процентный 5 2 2 141 8" xfId="42538" xr:uid="{00000000-0005-0000-0000-0000FAB10000}"/>
    <cellStyle name="Процентный 5 2 2 141 9" xfId="47878" xr:uid="{00000000-0005-0000-0000-0000FBB10000}"/>
    <cellStyle name="Процентный 5 2 2 142" xfId="5187" xr:uid="{00000000-0005-0000-0000-0000FCB10000}"/>
    <cellStyle name="Процентный 5 2 2 142 10" xfId="53250" xr:uid="{00000000-0005-0000-0000-0000FDB10000}"/>
    <cellStyle name="Процентный 5 2 2 142 2" xfId="10530" xr:uid="{00000000-0005-0000-0000-0000FEB10000}"/>
    <cellStyle name="Процентный 5 2 2 142 2 2" xfId="58591" xr:uid="{00000000-0005-0000-0000-0000FFB10000}"/>
    <cellStyle name="Процентный 5 2 2 142 3" xfId="15870" xr:uid="{00000000-0005-0000-0000-000000B20000}"/>
    <cellStyle name="Процентный 5 2 2 142 4" xfId="21210" xr:uid="{00000000-0005-0000-0000-000001B20000}"/>
    <cellStyle name="Процентный 5 2 2 142 5" xfId="26550" xr:uid="{00000000-0005-0000-0000-000002B20000}"/>
    <cellStyle name="Процентный 5 2 2 142 6" xfId="31890" xr:uid="{00000000-0005-0000-0000-000003B20000}"/>
    <cellStyle name="Процентный 5 2 2 142 7" xfId="37230" xr:uid="{00000000-0005-0000-0000-000004B20000}"/>
    <cellStyle name="Процентный 5 2 2 142 8" xfId="42570" xr:uid="{00000000-0005-0000-0000-000005B20000}"/>
    <cellStyle name="Процентный 5 2 2 142 9" xfId="47910" xr:uid="{00000000-0005-0000-0000-000006B20000}"/>
    <cellStyle name="Процентный 5 2 2 143" xfId="5219" xr:uid="{00000000-0005-0000-0000-000007B20000}"/>
    <cellStyle name="Процентный 5 2 2 143 10" xfId="53282" xr:uid="{00000000-0005-0000-0000-000008B20000}"/>
    <cellStyle name="Процентный 5 2 2 143 2" xfId="10562" xr:uid="{00000000-0005-0000-0000-000009B20000}"/>
    <cellStyle name="Процентный 5 2 2 143 2 2" xfId="58623" xr:uid="{00000000-0005-0000-0000-00000AB20000}"/>
    <cellStyle name="Процентный 5 2 2 143 3" xfId="15902" xr:uid="{00000000-0005-0000-0000-00000BB20000}"/>
    <cellStyle name="Процентный 5 2 2 143 4" xfId="21242" xr:uid="{00000000-0005-0000-0000-00000CB20000}"/>
    <cellStyle name="Процентный 5 2 2 143 5" xfId="26582" xr:uid="{00000000-0005-0000-0000-00000DB20000}"/>
    <cellStyle name="Процентный 5 2 2 143 6" xfId="31922" xr:uid="{00000000-0005-0000-0000-00000EB20000}"/>
    <cellStyle name="Процентный 5 2 2 143 7" xfId="37262" xr:uid="{00000000-0005-0000-0000-00000FB20000}"/>
    <cellStyle name="Процентный 5 2 2 143 8" xfId="42602" xr:uid="{00000000-0005-0000-0000-000010B20000}"/>
    <cellStyle name="Процентный 5 2 2 143 9" xfId="47942" xr:uid="{00000000-0005-0000-0000-000011B20000}"/>
    <cellStyle name="Процентный 5 2 2 144" xfId="5251" xr:uid="{00000000-0005-0000-0000-000012B20000}"/>
    <cellStyle name="Процентный 5 2 2 144 10" xfId="53314" xr:uid="{00000000-0005-0000-0000-000013B20000}"/>
    <cellStyle name="Процентный 5 2 2 144 2" xfId="10594" xr:uid="{00000000-0005-0000-0000-000014B20000}"/>
    <cellStyle name="Процентный 5 2 2 144 2 2" xfId="58655" xr:uid="{00000000-0005-0000-0000-000015B20000}"/>
    <cellStyle name="Процентный 5 2 2 144 3" xfId="15934" xr:uid="{00000000-0005-0000-0000-000016B20000}"/>
    <cellStyle name="Процентный 5 2 2 144 4" xfId="21274" xr:uid="{00000000-0005-0000-0000-000017B20000}"/>
    <cellStyle name="Процентный 5 2 2 144 5" xfId="26614" xr:uid="{00000000-0005-0000-0000-000018B20000}"/>
    <cellStyle name="Процентный 5 2 2 144 6" xfId="31954" xr:uid="{00000000-0005-0000-0000-000019B20000}"/>
    <cellStyle name="Процентный 5 2 2 144 7" xfId="37294" xr:uid="{00000000-0005-0000-0000-00001AB20000}"/>
    <cellStyle name="Процентный 5 2 2 144 8" xfId="42634" xr:uid="{00000000-0005-0000-0000-00001BB20000}"/>
    <cellStyle name="Процентный 5 2 2 144 9" xfId="47974" xr:uid="{00000000-0005-0000-0000-00001CB20000}"/>
    <cellStyle name="Процентный 5 2 2 145" xfId="5283" xr:uid="{00000000-0005-0000-0000-00001DB20000}"/>
    <cellStyle name="Процентный 5 2 2 145 10" xfId="53346" xr:uid="{00000000-0005-0000-0000-00001EB20000}"/>
    <cellStyle name="Процентный 5 2 2 145 2" xfId="10626" xr:uid="{00000000-0005-0000-0000-00001FB20000}"/>
    <cellStyle name="Процентный 5 2 2 145 2 2" xfId="58687" xr:uid="{00000000-0005-0000-0000-000020B20000}"/>
    <cellStyle name="Процентный 5 2 2 145 3" xfId="15966" xr:uid="{00000000-0005-0000-0000-000021B20000}"/>
    <cellStyle name="Процентный 5 2 2 145 4" xfId="21306" xr:uid="{00000000-0005-0000-0000-000022B20000}"/>
    <cellStyle name="Процентный 5 2 2 145 5" xfId="26646" xr:uid="{00000000-0005-0000-0000-000023B20000}"/>
    <cellStyle name="Процентный 5 2 2 145 6" xfId="31986" xr:uid="{00000000-0005-0000-0000-000024B20000}"/>
    <cellStyle name="Процентный 5 2 2 145 7" xfId="37326" xr:uid="{00000000-0005-0000-0000-000025B20000}"/>
    <cellStyle name="Процентный 5 2 2 145 8" xfId="42666" xr:uid="{00000000-0005-0000-0000-000026B20000}"/>
    <cellStyle name="Процентный 5 2 2 145 9" xfId="48006" xr:uid="{00000000-0005-0000-0000-000027B20000}"/>
    <cellStyle name="Процентный 5 2 2 146" xfId="5315" xr:uid="{00000000-0005-0000-0000-000028B20000}"/>
    <cellStyle name="Процентный 5 2 2 146 10" xfId="53378" xr:uid="{00000000-0005-0000-0000-000029B20000}"/>
    <cellStyle name="Процентный 5 2 2 146 2" xfId="10658" xr:uid="{00000000-0005-0000-0000-00002AB20000}"/>
    <cellStyle name="Процентный 5 2 2 146 2 2" xfId="58719" xr:uid="{00000000-0005-0000-0000-00002BB20000}"/>
    <cellStyle name="Процентный 5 2 2 146 3" xfId="15998" xr:uid="{00000000-0005-0000-0000-00002CB20000}"/>
    <cellStyle name="Процентный 5 2 2 146 4" xfId="21338" xr:uid="{00000000-0005-0000-0000-00002DB20000}"/>
    <cellStyle name="Процентный 5 2 2 146 5" xfId="26678" xr:uid="{00000000-0005-0000-0000-00002EB20000}"/>
    <cellStyle name="Процентный 5 2 2 146 6" xfId="32018" xr:uid="{00000000-0005-0000-0000-00002FB20000}"/>
    <cellStyle name="Процентный 5 2 2 146 7" xfId="37358" xr:uid="{00000000-0005-0000-0000-000030B20000}"/>
    <cellStyle name="Процентный 5 2 2 146 8" xfId="42698" xr:uid="{00000000-0005-0000-0000-000031B20000}"/>
    <cellStyle name="Процентный 5 2 2 146 9" xfId="48038" xr:uid="{00000000-0005-0000-0000-000032B20000}"/>
    <cellStyle name="Процентный 5 2 2 147" xfId="5347" xr:uid="{00000000-0005-0000-0000-000033B20000}"/>
    <cellStyle name="Процентный 5 2 2 147 10" xfId="53410" xr:uid="{00000000-0005-0000-0000-000034B20000}"/>
    <cellStyle name="Процентный 5 2 2 147 2" xfId="10690" xr:uid="{00000000-0005-0000-0000-000035B20000}"/>
    <cellStyle name="Процентный 5 2 2 147 2 2" xfId="58751" xr:uid="{00000000-0005-0000-0000-000036B20000}"/>
    <cellStyle name="Процентный 5 2 2 147 3" xfId="16030" xr:uid="{00000000-0005-0000-0000-000037B20000}"/>
    <cellStyle name="Процентный 5 2 2 147 4" xfId="21370" xr:uid="{00000000-0005-0000-0000-000038B20000}"/>
    <cellStyle name="Процентный 5 2 2 147 5" xfId="26710" xr:uid="{00000000-0005-0000-0000-000039B20000}"/>
    <cellStyle name="Процентный 5 2 2 147 6" xfId="32050" xr:uid="{00000000-0005-0000-0000-00003AB20000}"/>
    <cellStyle name="Процентный 5 2 2 147 7" xfId="37390" xr:uid="{00000000-0005-0000-0000-00003BB20000}"/>
    <cellStyle name="Процентный 5 2 2 147 8" xfId="42730" xr:uid="{00000000-0005-0000-0000-00003CB20000}"/>
    <cellStyle name="Процентный 5 2 2 147 9" xfId="48070" xr:uid="{00000000-0005-0000-0000-00003DB20000}"/>
    <cellStyle name="Процентный 5 2 2 148" xfId="5379" xr:uid="{00000000-0005-0000-0000-00003EB20000}"/>
    <cellStyle name="Процентный 5 2 2 148 10" xfId="53442" xr:uid="{00000000-0005-0000-0000-00003FB20000}"/>
    <cellStyle name="Процентный 5 2 2 148 2" xfId="10722" xr:uid="{00000000-0005-0000-0000-000040B20000}"/>
    <cellStyle name="Процентный 5 2 2 148 2 2" xfId="58783" xr:uid="{00000000-0005-0000-0000-000041B20000}"/>
    <cellStyle name="Процентный 5 2 2 148 3" xfId="16062" xr:uid="{00000000-0005-0000-0000-000042B20000}"/>
    <cellStyle name="Процентный 5 2 2 148 4" xfId="21402" xr:uid="{00000000-0005-0000-0000-000043B20000}"/>
    <cellStyle name="Процентный 5 2 2 148 5" xfId="26742" xr:uid="{00000000-0005-0000-0000-000044B20000}"/>
    <cellStyle name="Процентный 5 2 2 148 6" xfId="32082" xr:uid="{00000000-0005-0000-0000-000045B20000}"/>
    <cellStyle name="Процентный 5 2 2 148 7" xfId="37422" xr:uid="{00000000-0005-0000-0000-000046B20000}"/>
    <cellStyle name="Процентный 5 2 2 148 8" xfId="42762" xr:uid="{00000000-0005-0000-0000-000047B20000}"/>
    <cellStyle name="Процентный 5 2 2 148 9" xfId="48102" xr:uid="{00000000-0005-0000-0000-000048B20000}"/>
    <cellStyle name="Процентный 5 2 2 149" xfId="5444" xr:uid="{00000000-0005-0000-0000-000049B20000}"/>
    <cellStyle name="Процентный 5 2 2 149 2" xfId="53506" xr:uid="{00000000-0005-0000-0000-00004AB20000}"/>
    <cellStyle name="Процентный 5 2 2 15" xfId="1313" xr:uid="{00000000-0005-0000-0000-00004BB20000}"/>
    <cellStyle name="Процентный 5 2 2 15 10" xfId="49376" xr:uid="{00000000-0005-0000-0000-00004CB20000}"/>
    <cellStyle name="Процентный 5 2 2 15 2" xfId="6655" xr:uid="{00000000-0005-0000-0000-00004DB20000}"/>
    <cellStyle name="Процентный 5 2 2 15 2 2" xfId="54717" xr:uid="{00000000-0005-0000-0000-00004EB20000}"/>
    <cellStyle name="Процентный 5 2 2 15 3" xfId="11996" xr:uid="{00000000-0005-0000-0000-00004FB20000}"/>
    <cellStyle name="Процентный 5 2 2 15 4" xfId="17336" xr:uid="{00000000-0005-0000-0000-000050B20000}"/>
    <cellStyle name="Процентный 5 2 2 15 5" xfId="22676" xr:uid="{00000000-0005-0000-0000-000051B20000}"/>
    <cellStyle name="Процентный 5 2 2 15 6" xfId="28016" xr:uid="{00000000-0005-0000-0000-000052B20000}"/>
    <cellStyle name="Процентный 5 2 2 15 7" xfId="33356" xr:uid="{00000000-0005-0000-0000-000053B20000}"/>
    <cellStyle name="Процентный 5 2 2 15 8" xfId="38696" xr:uid="{00000000-0005-0000-0000-000054B20000}"/>
    <cellStyle name="Процентный 5 2 2 15 9" xfId="44036" xr:uid="{00000000-0005-0000-0000-000055B20000}"/>
    <cellStyle name="Процентный 5 2 2 150" xfId="10785" xr:uid="{00000000-0005-0000-0000-000056B20000}"/>
    <cellStyle name="Процентный 5 2 2 151" xfId="16125" xr:uid="{00000000-0005-0000-0000-000057B20000}"/>
    <cellStyle name="Процентный 5 2 2 152" xfId="21465" xr:uid="{00000000-0005-0000-0000-000058B20000}"/>
    <cellStyle name="Процентный 5 2 2 153" xfId="26805" xr:uid="{00000000-0005-0000-0000-000059B20000}"/>
    <cellStyle name="Процентный 5 2 2 154" xfId="32145" xr:uid="{00000000-0005-0000-0000-00005AB20000}"/>
    <cellStyle name="Процентный 5 2 2 155" xfId="37485" xr:uid="{00000000-0005-0000-0000-00005BB20000}"/>
    <cellStyle name="Процентный 5 2 2 156" xfId="42825" xr:uid="{00000000-0005-0000-0000-00005CB20000}"/>
    <cellStyle name="Процентный 5 2 2 157" xfId="48165" xr:uid="{00000000-0005-0000-0000-00005DB20000}"/>
    <cellStyle name="Процентный 5 2 2 16" xfId="1339" xr:uid="{00000000-0005-0000-0000-00005EB20000}"/>
    <cellStyle name="Процентный 5 2 2 16 10" xfId="49402" xr:uid="{00000000-0005-0000-0000-00005FB20000}"/>
    <cellStyle name="Процентный 5 2 2 16 2" xfId="6681" xr:uid="{00000000-0005-0000-0000-000060B20000}"/>
    <cellStyle name="Процентный 5 2 2 16 2 2" xfId="54743" xr:uid="{00000000-0005-0000-0000-000061B20000}"/>
    <cellStyle name="Процентный 5 2 2 16 3" xfId="12022" xr:uid="{00000000-0005-0000-0000-000062B20000}"/>
    <cellStyle name="Процентный 5 2 2 16 4" xfId="17362" xr:uid="{00000000-0005-0000-0000-000063B20000}"/>
    <cellStyle name="Процентный 5 2 2 16 5" xfId="22702" xr:uid="{00000000-0005-0000-0000-000064B20000}"/>
    <cellStyle name="Процентный 5 2 2 16 6" xfId="28042" xr:uid="{00000000-0005-0000-0000-000065B20000}"/>
    <cellStyle name="Процентный 5 2 2 16 7" xfId="33382" xr:uid="{00000000-0005-0000-0000-000066B20000}"/>
    <cellStyle name="Процентный 5 2 2 16 8" xfId="38722" xr:uid="{00000000-0005-0000-0000-000067B20000}"/>
    <cellStyle name="Процентный 5 2 2 16 9" xfId="44062" xr:uid="{00000000-0005-0000-0000-000068B20000}"/>
    <cellStyle name="Процентный 5 2 2 17" xfId="1365" xr:uid="{00000000-0005-0000-0000-000069B20000}"/>
    <cellStyle name="Процентный 5 2 2 17 10" xfId="49428" xr:uid="{00000000-0005-0000-0000-00006AB20000}"/>
    <cellStyle name="Процентный 5 2 2 17 2" xfId="6707" xr:uid="{00000000-0005-0000-0000-00006BB20000}"/>
    <cellStyle name="Процентный 5 2 2 17 2 2" xfId="54769" xr:uid="{00000000-0005-0000-0000-00006CB20000}"/>
    <cellStyle name="Процентный 5 2 2 17 3" xfId="12048" xr:uid="{00000000-0005-0000-0000-00006DB20000}"/>
    <cellStyle name="Процентный 5 2 2 17 4" xfId="17388" xr:uid="{00000000-0005-0000-0000-00006EB20000}"/>
    <cellStyle name="Процентный 5 2 2 17 5" xfId="22728" xr:uid="{00000000-0005-0000-0000-00006FB20000}"/>
    <cellStyle name="Процентный 5 2 2 17 6" xfId="28068" xr:uid="{00000000-0005-0000-0000-000070B20000}"/>
    <cellStyle name="Процентный 5 2 2 17 7" xfId="33408" xr:uid="{00000000-0005-0000-0000-000071B20000}"/>
    <cellStyle name="Процентный 5 2 2 17 8" xfId="38748" xr:uid="{00000000-0005-0000-0000-000072B20000}"/>
    <cellStyle name="Процентный 5 2 2 17 9" xfId="44088" xr:uid="{00000000-0005-0000-0000-000073B20000}"/>
    <cellStyle name="Процентный 5 2 2 18" xfId="1391" xr:uid="{00000000-0005-0000-0000-000074B20000}"/>
    <cellStyle name="Процентный 5 2 2 18 10" xfId="49454" xr:uid="{00000000-0005-0000-0000-000075B20000}"/>
    <cellStyle name="Процентный 5 2 2 18 2" xfId="6733" xr:uid="{00000000-0005-0000-0000-000076B20000}"/>
    <cellStyle name="Процентный 5 2 2 18 2 2" xfId="54795" xr:uid="{00000000-0005-0000-0000-000077B20000}"/>
    <cellStyle name="Процентный 5 2 2 18 3" xfId="12074" xr:uid="{00000000-0005-0000-0000-000078B20000}"/>
    <cellStyle name="Процентный 5 2 2 18 4" xfId="17414" xr:uid="{00000000-0005-0000-0000-000079B20000}"/>
    <cellStyle name="Процентный 5 2 2 18 5" xfId="22754" xr:uid="{00000000-0005-0000-0000-00007AB20000}"/>
    <cellStyle name="Процентный 5 2 2 18 6" xfId="28094" xr:uid="{00000000-0005-0000-0000-00007BB20000}"/>
    <cellStyle name="Процентный 5 2 2 18 7" xfId="33434" xr:uid="{00000000-0005-0000-0000-00007CB20000}"/>
    <cellStyle name="Процентный 5 2 2 18 8" xfId="38774" xr:uid="{00000000-0005-0000-0000-00007DB20000}"/>
    <cellStyle name="Процентный 5 2 2 18 9" xfId="44114" xr:uid="{00000000-0005-0000-0000-00007EB20000}"/>
    <cellStyle name="Процентный 5 2 2 19" xfId="1417" xr:uid="{00000000-0005-0000-0000-00007FB20000}"/>
    <cellStyle name="Процентный 5 2 2 19 10" xfId="49480" xr:uid="{00000000-0005-0000-0000-000080B20000}"/>
    <cellStyle name="Процентный 5 2 2 19 2" xfId="6759" xr:uid="{00000000-0005-0000-0000-000081B20000}"/>
    <cellStyle name="Процентный 5 2 2 19 2 2" xfId="54821" xr:uid="{00000000-0005-0000-0000-000082B20000}"/>
    <cellStyle name="Процентный 5 2 2 19 3" xfId="12100" xr:uid="{00000000-0005-0000-0000-000083B20000}"/>
    <cellStyle name="Процентный 5 2 2 19 4" xfId="17440" xr:uid="{00000000-0005-0000-0000-000084B20000}"/>
    <cellStyle name="Процентный 5 2 2 19 5" xfId="22780" xr:uid="{00000000-0005-0000-0000-000085B20000}"/>
    <cellStyle name="Процентный 5 2 2 19 6" xfId="28120" xr:uid="{00000000-0005-0000-0000-000086B20000}"/>
    <cellStyle name="Процентный 5 2 2 19 7" xfId="33460" xr:uid="{00000000-0005-0000-0000-000087B20000}"/>
    <cellStyle name="Процентный 5 2 2 19 8" xfId="38800" xr:uid="{00000000-0005-0000-0000-000088B20000}"/>
    <cellStyle name="Процентный 5 2 2 19 9" xfId="44140" xr:uid="{00000000-0005-0000-0000-000089B20000}"/>
    <cellStyle name="Процентный 5 2 2 2" xfId="570" xr:uid="{00000000-0005-0000-0000-00008AB20000}"/>
    <cellStyle name="Процентный 5 2 2 2 10" xfId="48632" xr:uid="{00000000-0005-0000-0000-00008BB20000}"/>
    <cellStyle name="Процентный 5 2 2 2 2" xfId="5911" xr:uid="{00000000-0005-0000-0000-00008CB20000}"/>
    <cellStyle name="Процентный 5 2 2 2 2 2" xfId="53973" xr:uid="{00000000-0005-0000-0000-00008DB20000}"/>
    <cellStyle name="Процентный 5 2 2 2 3" xfId="11252" xr:uid="{00000000-0005-0000-0000-00008EB20000}"/>
    <cellStyle name="Процентный 5 2 2 2 4" xfId="16592" xr:uid="{00000000-0005-0000-0000-00008FB20000}"/>
    <cellStyle name="Процентный 5 2 2 2 5" xfId="21932" xr:uid="{00000000-0005-0000-0000-000090B20000}"/>
    <cellStyle name="Процентный 5 2 2 2 6" xfId="27272" xr:uid="{00000000-0005-0000-0000-000091B20000}"/>
    <cellStyle name="Процентный 5 2 2 2 7" xfId="32612" xr:uid="{00000000-0005-0000-0000-000092B20000}"/>
    <cellStyle name="Процентный 5 2 2 2 8" xfId="37952" xr:uid="{00000000-0005-0000-0000-000093B20000}"/>
    <cellStyle name="Процентный 5 2 2 2 9" xfId="43292" xr:uid="{00000000-0005-0000-0000-000094B20000}"/>
    <cellStyle name="Процентный 5 2 2 20" xfId="1443" xr:uid="{00000000-0005-0000-0000-000095B20000}"/>
    <cellStyle name="Процентный 5 2 2 20 10" xfId="49506" xr:uid="{00000000-0005-0000-0000-000096B20000}"/>
    <cellStyle name="Процентный 5 2 2 20 2" xfId="6785" xr:uid="{00000000-0005-0000-0000-000097B20000}"/>
    <cellStyle name="Процентный 5 2 2 20 2 2" xfId="54847" xr:uid="{00000000-0005-0000-0000-000098B20000}"/>
    <cellStyle name="Процентный 5 2 2 20 3" xfId="12126" xr:uid="{00000000-0005-0000-0000-000099B20000}"/>
    <cellStyle name="Процентный 5 2 2 20 4" xfId="17466" xr:uid="{00000000-0005-0000-0000-00009AB20000}"/>
    <cellStyle name="Процентный 5 2 2 20 5" xfId="22806" xr:uid="{00000000-0005-0000-0000-00009BB20000}"/>
    <cellStyle name="Процентный 5 2 2 20 6" xfId="28146" xr:uid="{00000000-0005-0000-0000-00009CB20000}"/>
    <cellStyle name="Процентный 5 2 2 20 7" xfId="33486" xr:uid="{00000000-0005-0000-0000-00009DB20000}"/>
    <cellStyle name="Процентный 5 2 2 20 8" xfId="38826" xr:uid="{00000000-0005-0000-0000-00009EB20000}"/>
    <cellStyle name="Процентный 5 2 2 20 9" xfId="44166" xr:uid="{00000000-0005-0000-0000-00009FB20000}"/>
    <cellStyle name="Процентный 5 2 2 21" xfId="1469" xr:uid="{00000000-0005-0000-0000-0000A0B20000}"/>
    <cellStyle name="Процентный 5 2 2 21 10" xfId="49532" xr:uid="{00000000-0005-0000-0000-0000A1B20000}"/>
    <cellStyle name="Процентный 5 2 2 21 2" xfId="6811" xr:uid="{00000000-0005-0000-0000-0000A2B20000}"/>
    <cellStyle name="Процентный 5 2 2 21 2 2" xfId="54873" xr:uid="{00000000-0005-0000-0000-0000A3B20000}"/>
    <cellStyle name="Процентный 5 2 2 21 3" xfId="12152" xr:uid="{00000000-0005-0000-0000-0000A4B20000}"/>
    <cellStyle name="Процентный 5 2 2 21 4" xfId="17492" xr:uid="{00000000-0005-0000-0000-0000A5B20000}"/>
    <cellStyle name="Процентный 5 2 2 21 5" xfId="22832" xr:uid="{00000000-0005-0000-0000-0000A6B20000}"/>
    <cellStyle name="Процентный 5 2 2 21 6" xfId="28172" xr:uid="{00000000-0005-0000-0000-0000A7B20000}"/>
    <cellStyle name="Процентный 5 2 2 21 7" xfId="33512" xr:uid="{00000000-0005-0000-0000-0000A8B20000}"/>
    <cellStyle name="Процентный 5 2 2 21 8" xfId="38852" xr:uid="{00000000-0005-0000-0000-0000A9B20000}"/>
    <cellStyle name="Процентный 5 2 2 21 9" xfId="44192" xr:uid="{00000000-0005-0000-0000-0000AAB20000}"/>
    <cellStyle name="Процентный 5 2 2 22" xfId="1495" xr:uid="{00000000-0005-0000-0000-0000ABB20000}"/>
    <cellStyle name="Процентный 5 2 2 22 10" xfId="49558" xr:uid="{00000000-0005-0000-0000-0000ACB20000}"/>
    <cellStyle name="Процентный 5 2 2 22 2" xfId="6837" xr:uid="{00000000-0005-0000-0000-0000ADB20000}"/>
    <cellStyle name="Процентный 5 2 2 22 2 2" xfId="54899" xr:uid="{00000000-0005-0000-0000-0000AEB20000}"/>
    <cellStyle name="Процентный 5 2 2 22 3" xfId="12178" xr:uid="{00000000-0005-0000-0000-0000AFB20000}"/>
    <cellStyle name="Процентный 5 2 2 22 4" xfId="17518" xr:uid="{00000000-0005-0000-0000-0000B0B20000}"/>
    <cellStyle name="Процентный 5 2 2 22 5" xfId="22858" xr:uid="{00000000-0005-0000-0000-0000B1B20000}"/>
    <cellStyle name="Процентный 5 2 2 22 6" xfId="28198" xr:uid="{00000000-0005-0000-0000-0000B2B20000}"/>
    <cellStyle name="Процентный 5 2 2 22 7" xfId="33538" xr:uid="{00000000-0005-0000-0000-0000B3B20000}"/>
    <cellStyle name="Процентный 5 2 2 22 8" xfId="38878" xr:uid="{00000000-0005-0000-0000-0000B4B20000}"/>
    <cellStyle name="Процентный 5 2 2 22 9" xfId="44218" xr:uid="{00000000-0005-0000-0000-0000B5B20000}"/>
    <cellStyle name="Процентный 5 2 2 23" xfId="1521" xr:uid="{00000000-0005-0000-0000-0000B6B20000}"/>
    <cellStyle name="Процентный 5 2 2 23 10" xfId="49584" xr:uid="{00000000-0005-0000-0000-0000B7B20000}"/>
    <cellStyle name="Процентный 5 2 2 23 2" xfId="6863" xr:uid="{00000000-0005-0000-0000-0000B8B20000}"/>
    <cellStyle name="Процентный 5 2 2 23 2 2" xfId="54925" xr:uid="{00000000-0005-0000-0000-0000B9B20000}"/>
    <cellStyle name="Процентный 5 2 2 23 3" xfId="12204" xr:uid="{00000000-0005-0000-0000-0000BAB20000}"/>
    <cellStyle name="Процентный 5 2 2 23 4" xfId="17544" xr:uid="{00000000-0005-0000-0000-0000BBB20000}"/>
    <cellStyle name="Процентный 5 2 2 23 5" xfId="22884" xr:uid="{00000000-0005-0000-0000-0000BCB20000}"/>
    <cellStyle name="Процентный 5 2 2 23 6" xfId="28224" xr:uid="{00000000-0005-0000-0000-0000BDB20000}"/>
    <cellStyle name="Процентный 5 2 2 23 7" xfId="33564" xr:uid="{00000000-0005-0000-0000-0000BEB20000}"/>
    <cellStyle name="Процентный 5 2 2 23 8" xfId="38904" xr:uid="{00000000-0005-0000-0000-0000BFB20000}"/>
    <cellStyle name="Процентный 5 2 2 23 9" xfId="44244" xr:uid="{00000000-0005-0000-0000-0000C0B20000}"/>
    <cellStyle name="Процентный 5 2 2 24" xfId="1547" xr:uid="{00000000-0005-0000-0000-0000C1B20000}"/>
    <cellStyle name="Процентный 5 2 2 24 10" xfId="49610" xr:uid="{00000000-0005-0000-0000-0000C2B20000}"/>
    <cellStyle name="Процентный 5 2 2 24 2" xfId="6889" xr:uid="{00000000-0005-0000-0000-0000C3B20000}"/>
    <cellStyle name="Процентный 5 2 2 24 2 2" xfId="54951" xr:uid="{00000000-0005-0000-0000-0000C4B20000}"/>
    <cellStyle name="Процентный 5 2 2 24 3" xfId="12230" xr:uid="{00000000-0005-0000-0000-0000C5B20000}"/>
    <cellStyle name="Процентный 5 2 2 24 4" xfId="17570" xr:uid="{00000000-0005-0000-0000-0000C6B20000}"/>
    <cellStyle name="Процентный 5 2 2 24 5" xfId="22910" xr:uid="{00000000-0005-0000-0000-0000C7B20000}"/>
    <cellStyle name="Процентный 5 2 2 24 6" xfId="28250" xr:uid="{00000000-0005-0000-0000-0000C8B20000}"/>
    <cellStyle name="Процентный 5 2 2 24 7" xfId="33590" xr:uid="{00000000-0005-0000-0000-0000C9B20000}"/>
    <cellStyle name="Процентный 5 2 2 24 8" xfId="38930" xr:uid="{00000000-0005-0000-0000-0000CAB20000}"/>
    <cellStyle name="Процентный 5 2 2 24 9" xfId="44270" xr:uid="{00000000-0005-0000-0000-0000CBB20000}"/>
    <cellStyle name="Процентный 5 2 2 25" xfId="1573" xr:uid="{00000000-0005-0000-0000-0000CCB20000}"/>
    <cellStyle name="Процентный 5 2 2 25 10" xfId="49636" xr:uid="{00000000-0005-0000-0000-0000CDB20000}"/>
    <cellStyle name="Процентный 5 2 2 25 2" xfId="6915" xr:uid="{00000000-0005-0000-0000-0000CEB20000}"/>
    <cellStyle name="Процентный 5 2 2 25 2 2" xfId="54977" xr:uid="{00000000-0005-0000-0000-0000CFB20000}"/>
    <cellStyle name="Процентный 5 2 2 25 3" xfId="12256" xr:uid="{00000000-0005-0000-0000-0000D0B20000}"/>
    <cellStyle name="Процентный 5 2 2 25 4" xfId="17596" xr:uid="{00000000-0005-0000-0000-0000D1B20000}"/>
    <cellStyle name="Процентный 5 2 2 25 5" xfId="22936" xr:uid="{00000000-0005-0000-0000-0000D2B20000}"/>
    <cellStyle name="Процентный 5 2 2 25 6" xfId="28276" xr:uid="{00000000-0005-0000-0000-0000D3B20000}"/>
    <cellStyle name="Процентный 5 2 2 25 7" xfId="33616" xr:uid="{00000000-0005-0000-0000-0000D4B20000}"/>
    <cellStyle name="Процентный 5 2 2 25 8" xfId="38956" xr:uid="{00000000-0005-0000-0000-0000D5B20000}"/>
    <cellStyle name="Процентный 5 2 2 25 9" xfId="44296" xr:uid="{00000000-0005-0000-0000-0000D6B20000}"/>
    <cellStyle name="Процентный 5 2 2 26" xfId="1599" xr:uid="{00000000-0005-0000-0000-0000D7B20000}"/>
    <cellStyle name="Процентный 5 2 2 26 10" xfId="49662" xr:uid="{00000000-0005-0000-0000-0000D8B20000}"/>
    <cellStyle name="Процентный 5 2 2 26 2" xfId="6941" xr:uid="{00000000-0005-0000-0000-0000D9B20000}"/>
    <cellStyle name="Процентный 5 2 2 26 2 2" xfId="55003" xr:uid="{00000000-0005-0000-0000-0000DAB20000}"/>
    <cellStyle name="Процентный 5 2 2 26 3" xfId="12282" xr:uid="{00000000-0005-0000-0000-0000DBB20000}"/>
    <cellStyle name="Процентный 5 2 2 26 4" xfId="17622" xr:uid="{00000000-0005-0000-0000-0000DCB20000}"/>
    <cellStyle name="Процентный 5 2 2 26 5" xfId="22962" xr:uid="{00000000-0005-0000-0000-0000DDB20000}"/>
    <cellStyle name="Процентный 5 2 2 26 6" xfId="28302" xr:uid="{00000000-0005-0000-0000-0000DEB20000}"/>
    <cellStyle name="Процентный 5 2 2 26 7" xfId="33642" xr:uid="{00000000-0005-0000-0000-0000DFB20000}"/>
    <cellStyle name="Процентный 5 2 2 26 8" xfId="38982" xr:uid="{00000000-0005-0000-0000-0000E0B20000}"/>
    <cellStyle name="Процентный 5 2 2 26 9" xfId="44322" xr:uid="{00000000-0005-0000-0000-0000E1B20000}"/>
    <cellStyle name="Процентный 5 2 2 27" xfId="1625" xr:uid="{00000000-0005-0000-0000-0000E2B20000}"/>
    <cellStyle name="Процентный 5 2 2 27 10" xfId="49688" xr:uid="{00000000-0005-0000-0000-0000E3B20000}"/>
    <cellStyle name="Процентный 5 2 2 27 2" xfId="6967" xr:uid="{00000000-0005-0000-0000-0000E4B20000}"/>
    <cellStyle name="Процентный 5 2 2 27 2 2" xfId="55029" xr:uid="{00000000-0005-0000-0000-0000E5B20000}"/>
    <cellStyle name="Процентный 5 2 2 27 3" xfId="12308" xr:uid="{00000000-0005-0000-0000-0000E6B20000}"/>
    <cellStyle name="Процентный 5 2 2 27 4" xfId="17648" xr:uid="{00000000-0005-0000-0000-0000E7B20000}"/>
    <cellStyle name="Процентный 5 2 2 27 5" xfId="22988" xr:uid="{00000000-0005-0000-0000-0000E8B20000}"/>
    <cellStyle name="Процентный 5 2 2 27 6" xfId="28328" xr:uid="{00000000-0005-0000-0000-0000E9B20000}"/>
    <cellStyle name="Процентный 5 2 2 27 7" xfId="33668" xr:uid="{00000000-0005-0000-0000-0000EAB20000}"/>
    <cellStyle name="Процентный 5 2 2 27 8" xfId="39008" xr:uid="{00000000-0005-0000-0000-0000EBB20000}"/>
    <cellStyle name="Процентный 5 2 2 27 9" xfId="44348" xr:uid="{00000000-0005-0000-0000-0000ECB20000}"/>
    <cellStyle name="Процентный 5 2 2 28" xfId="1651" xr:uid="{00000000-0005-0000-0000-0000EDB20000}"/>
    <cellStyle name="Процентный 5 2 2 28 10" xfId="49714" xr:uid="{00000000-0005-0000-0000-0000EEB20000}"/>
    <cellStyle name="Процентный 5 2 2 28 2" xfId="6993" xr:uid="{00000000-0005-0000-0000-0000EFB20000}"/>
    <cellStyle name="Процентный 5 2 2 28 2 2" xfId="55055" xr:uid="{00000000-0005-0000-0000-0000F0B20000}"/>
    <cellStyle name="Процентный 5 2 2 28 3" xfId="12334" xr:uid="{00000000-0005-0000-0000-0000F1B20000}"/>
    <cellStyle name="Процентный 5 2 2 28 4" xfId="17674" xr:uid="{00000000-0005-0000-0000-0000F2B20000}"/>
    <cellStyle name="Процентный 5 2 2 28 5" xfId="23014" xr:uid="{00000000-0005-0000-0000-0000F3B20000}"/>
    <cellStyle name="Процентный 5 2 2 28 6" xfId="28354" xr:uid="{00000000-0005-0000-0000-0000F4B20000}"/>
    <cellStyle name="Процентный 5 2 2 28 7" xfId="33694" xr:uid="{00000000-0005-0000-0000-0000F5B20000}"/>
    <cellStyle name="Процентный 5 2 2 28 8" xfId="39034" xr:uid="{00000000-0005-0000-0000-0000F6B20000}"/>
    <cellStyle name="Процентный 5 2 2 28 9" xfId="44374" xr:uid="{00000000-0005-0000-0000-0000F7B20000}"/>
    <cellStyle name="Процентный 5 2 2 29" xfId="1677" xr:uid="{00000000-0005-0000-0000-0000F8B20000}"/>
    <cellStyle name="Процентный 5 2 2 29 10" xfId="49740" xr:uid="{00000000-0005-0000-0000-0000F9B20000}"/>
    <cellStyle name="Процентный 5 2 2 29 2" xfId="7019" xr:uid="{00000000-0005-0000-0000-0000FAB20000}"/>
    <cellStyle name="Процентный 5 2 2 29 2 2" xfId="55081" xr:uid="{00000000-0005-0000-0000-0000FBB20000}"/>
    <cellStyle name="Процентный 5 2 2 29 3" xfId="12360" xr:uid="{00000000-0005-0000-0000-0000FCB20000}"/>
    <cellStyle name="Процентный 5 2 2 29 4" xfId="17700" xr:uid="{00000000-0005-0000-0000-0000FDB20000}"/>
    <cellStyle name="Процентный 5 2 2 29 5" xfId="23040" xr:uid="{00000000-0005-0000-0000-0000FEB20000}"/>
    <cellStyle name="Процентный 5 2 2 29 6" xfId="28380" xr:uid="{00000000-0005-0000-0000-0000FFB20000}"/>
    <cellStyle name="Процентный 5 2 2 29 7" xfId="33720" xr:uid="{00000000-0005-0000-0000-000000B30000}"/>
    <cellStyle name="Процентный 5 2 2 29 8" xfId="39060" xr:uid="{00000000-0005-0000-0000-000001B30000}"/>
    <cellStyle name="Процентный 5 2 2 29 9" xfId="44400" xr:uid="{00000000-0005-0000-0000-000002B30000}"/>
    <cellStyle name="Процентный 5 2 2 3" xfId="1006" xr:uid="{00000000-0005-0000-0000-000003B30000}"/>
    <cellStyle name="Процентный 5 2 2 3 10" xfId="49068" xr:uid="{00000000-0005-0000-0000-000004B30000}"/>
    <cellStyle name="Процентный 5 2 2 3 2" xfId="6347" xr:uid="{00000000-0005-0000-0000-000005B30000}"/>
    <cellStyle name="Процентный 5 2 2 3 2 2" xfId="54409" xr:uid="{00000000-0005-0000-0000-000006B30000}"/>
    <cellStyle name="Процентный 5 2 2 3 3" xfId="11688" xr:uid="{00000000-0005-0000-0000-000007B30000}"/>
    <cellStyle name="Процентный 5 2 2 3 4" xfId="17028" xr:uid="{00000000-0005-0000-0000-000008B30000}"/>
    <cellStyle name="Процентный 5 2 2 3 5" xfId="22368" xr:uid="{00000000-0005-0000-0000-000009B30000}"/>
    <cellStyle name="Процентный 5 2 2 3 6" xfId="27708" xr:uid="{00000000-0005-0000-0000-00000AB30000}"/>
    <cellStyle name="Процентный 5 2 2 3 7" xfId="33048" xr:uid="{00000000-0005-0000-0000-00000BB30000}"/>
    <cellStyle name="Процентный 5 2 2 3 8" xfId="38388" xr:uid="{00000000-0005-0000-0000-00000CB30000}"/>
    <cellStyle name="Процентный 5 2 2 3 9" xfId="43728" xr:uid="{00000000-0005-0000-0000-00000DB30000}"/>
    <cellStyle name="Процентный 5 2 2 30" xfId="1703" xr:uid="{00000000-0005-0000-0000-00000EB30000}"/>
    <cellStyle name="Процентный 5 2 2 30 10" xfId="49766" xr:uid="{00000000-0005-0000-0000-00000FB30000}"/>
    <cellStyle name="Процентный 5 2 2 30 2" xfId="7045" xr:uid="{00000000-0005-0000-0000-000010B30000}"/>
    <cellStyle name="Процентный 5 2 2 30 2 2" xfId="55107" xr:uid="{00000000-0005-0000-0000-000011B30000}"/>
    <cellStyle name="Процентный 5 2 2 30 3" xfId="12386" xr:uid="{00000000-0005-0000-0000-000012B30000}"/>
    <cellStyle name="Процентный 5 2 2 30 4" xfId="17726" xr:uid="{00000000-0005-0000-0000-000013B30000}"/>
    <cellStyle name="Процентный 5 2 2 30 5" xfId="23066" xr:uid="{00000000-0005-0000-0000-000014B30000}"/>
    <cellStyle name="Процентный 5 2 2 30 6" xfId="28406" xr:uid="{00000000-0005-0000-0000-000015B30000}"/>
    <cellStyle name="Процентный 5 2 2 30 7" xfId="33746" xr:uid="{00000000-0005-0000-0000-000016B30000}"/>
    <cellStyle name="Процентный 5 2 2 30 8" xfId="39086" xr:uid="{00000000-0005-0000-0000-000017B30000}"/>
    <cellStyle name="Процентный 5 2 2 30 9" xfId="44426" xr:uid="{00000000-0005-0000-0000-000018B30000}"/>
    <cellStyle name="Процентный 5 2 2 31" xfId="1729" xr:uid="{00000000-0005-0000-0000-000019B30000}"/>
    <cellStyle name="Процентный 5 2 2 31 10" xfId="49792" xr:uid="{00000000-0005-0000-0000-00001AB30000}"/>
    <cellStyle name="Процентный 5 2 2 31 2" xfId="7071" xr:uid="{00000000-0005-0000-0000-00001BB30000}"/>
    <cellStyle name="Процентный 5 2 2 31 2 2" xfId="55133" xr:uid="{00000000-0005-0000-0000-00001CB30000}"/>
    <cellStyle name="Процентный 5 2 2 31 3" xfId="12412" xr:uid="{00000000-0005-0000-0000-00001DB30000}"/>
    <cellStyle name="Процентный 5 2 2 31 4" xfId="17752" xr:uid="{00000000-0005-0000-0000-00001EB30000}"/>
    <cellStyle name="Процентный 5 2 2 31 5" xfId="23092" xr:uid="{00000000-0005-0000-0000-00001FB30000}"/>
    <cellStyle name="Процентный 5 2 2 31 6" xfId="28432" xr:uid="{00000000-0005-0000-0000-000020B30000}"/>
    <cellStyle name="Процентный 5 2 2 31 7" xfId="33772" xr:uid="{00000000-0005-0000-0000-000021B30000}"/>
    <cellStyle name="Процентный 5 2 2 31 8" xfId="39112" xr:uid="{00000000-0005-0000-0000-000022B30000}"/>
    <cellStyle name="Процентный 5 2 2 31 9" xfId="44452" xr:uid="{00000000-0005-0000-0000-000023B30000}"/>
    <cellStyle name="Процентный 5 2 2 32" xfId="1755" xr:uid="{00000000-0005-0000-0000-000024B30000}"/>
    <cellStyle name="Процентный 5 2 2 32 10" xfId="49818" xr:uid="{00000000-0005-0000-0000-000025B30000}"/>
    <cellStyle name="Процентный 5 2 2 32 2" xfId="7097" xr:uid="{00000000-0005-0000-0000-000026B30000}"/>
    <cellStyle name="Процентный 5 2 2 32 2 2" xfId="55159" xr:uid="{00000000-0005-0000-0000-000027B30000}"/>
    <cellStyle name="Процентный 5 2 2 32 3" xfId="12438" xr:uid="{00000000-0005-0000-0000-000028B30000}"/>
    <cellStyle name="Процентный 5 2 2 32 4" xfId="17778" xr:uid="{00000000-0005-0000-0000-000029B30000}"/>
    <cellStyle name="Процентный 5 2 2 32 5" xfId="23118" xr:uid="{00000000-0005-0000-0000-00002AB30000}"/>
    <cellStyle name="Процентный 5 2 2 32 6" xfId="28458" xr:uid="{00000000-0005-0000-0000-00002BB30000}"/>
    <cellStyle name="Процентный 5 2 2 32 7" xfId="33798" xr:uid="{00000000-0005-0000-0000-00002CB30000}"/>
    <cellStyle name="Процентный 5 2 2 32 8" xfId="39138" xr:uid="{00000000-0005-0000-0000-00002DB30000}"/>
    <cellStyle name="Процентный 5 2 2 32 9" xfId="44478" xr:uid="{00000000-0005-0000-0000-00002EB30000}"/>
    <cellStyle name="Процентный 5 2 2 33" xfId="1781" xr:uid="{00000000-0005-0000-0000-00002FB30000}"/>
    <cellStyle name="Процентный 5 2 2 33 10" xfId="49844" xr:uid="{00000000-0005-0000-0000-000030B30000}"/>
    <cellStyle name="Процентный 5 2 2 33 2" xfId="7123" xr:uid="{00000000-0005-0000-0000-000031B30000}"/>
    <cellStyle name="Процентный 5 2 2 33 2 2" xfId="55185" xr:uid="{00000000-0005-0000-0000-000032B30000}"/>
    <cellStyle name="Процентный 5 2 2 33 3" xfId="12464" xr:uid="{00000000-0005-0000-0000-000033B30000}"/>
    <cellStyle name="Процентный 5 2 2 33 4" xfId="17804" xr:uid="{00000000-0005-0000-0000-000034B30000}"/>
    <cellStyle name="Процентный 5 2 2 33 5" xfId="23144" xr:uid="{00000000-0005-0000-0000-000035B30000}"/>
    <cellStyle name="Процентный 5 2 2 33 6" xfId="28484" xr:uid="{00000000-0005-0000-0000-000036B30000}"/>
    <cellStyle name="Процентный 5 2 2 33 7" xfId="33824" xr:uid="{00000000-0005-0000-0000-000037B30000}"/>
    <cellStyle name="Процентный 5 2 2 33 8" xfId="39164" xr:uid="{00000000-0005-0000-0000-000038B30000}"/>
    <cellStyle name="Процентный 5 2 2 33 9" xfId="44504" xr:uid="{00000000-0005-0000-0000-000039B30000}"/>
    <cellStyle name="Процентный 5 2 2 34" xfId="1807" xr:uid="{00000000-0005-0000-0000-00003AB30000}"/>
    <cellStyle name="Процентный 5 2 2 34 10" xfId="49870" xr:uid="{00000000-0005-0000-0000-00003BB30000}"/>
    <cellStyle name="Процентный 5 2 2 34 2" xfId="7149" xr:uid="{00000000-0005-0000-0000-00003CB30000}"/>
    <cellStyle name="Процентный 5 2 2 34 2 2" xfId="55211" xr:uid="{00000000-0005-0000-0000-00003DB30000}"/>
    <cellStyle name="Процентный 5 2 2 34 3" xfId="12490" xr:uid="{00000000-0005-0000-0000-00003EB30000}"/>
    <cellStyle name="Процентный 5 2 2 34 4" xfId="17830" xr:uid="{00000000-0005-0000-0000-00003FB30000}"/>
    <cellStyle name="Процентный 5 2 2 34 5" xfId="23170" xr:uid="{00000000-0005-0000-0000-000040B30000}"/>
    <cellStyle name="Процентный 5 2 2 34 6" xfId="28510" xr:uid="{00000000-0005-0000-0000-000041B30000}"/>
    <cellStyle name="Процентный 5 2 2 34 7" xfId="33850" xr:uid="{00000000-0005-0000-0000-000042B30000}"/>
    <cellStyle name="Процентный 5 2 2 34 8" xfId="39190" xr:uid="{00000000-0005-0000-0000-000043B30000}"/>
    <cellStyle name="Процентный 5 2 2 34 9" xfId="44530" xr:uid="{00000000-0005-0000-0000-000044B30000}"/>
    <cellStyle name="Процентный 5 2 2 35" xfId="1833" xr:uid="{00000000-0005-0000-0000-000045B30000}"/>
    <cellStyle name="Процентный 5 2 2 35 10" xfId="49896" xr:uid="{00000000-0005-0000-0000-000046B30000}"/>
    <cellStyle name="Процентный 5 2 2 35 2" xfId="7175" xr:uid="{00000000-0005-0000-0000-000047B30000}"/>
    <cellStyle name="Процентный 5 2 2 35 2 2" xfId="55237" xr:uid="{00000000-0005-0000-0000-000048B30000}"/>
    <cellStyle name="Процентный 5 2 2 35 3" xfId="12516" xr:uid="{00000000-0005-0000-0000-000049B30000}"/>
    <cellStyle name="Процентный 5 2 2 35 4" xfId="17856" xr:uid="{00000000-0005-0000-0000-00004AB30000}"/>
    <cellStyle name="Процентный 5 2 2 35 5" xfId="23196" xr:uid="{00000000-0005-0000-0000-00004BB30000}"/>
    <cellStyle name="Процентный 5 2 2 35 6" xfId="28536" xr:uid="{00000000-0005-0000-0000-00004CB30000}"/>
    <cellStyle name="Процентный 5 2 2 35 7" xfId="33876" xr:uid="{00000000-0005-0000-0000-00004DB30000}"/>
    <cellStyle name="Процентный 5 2 2 35 8" xfId="39216" xr:uid="{00000000-0005-0000-0000-00004EB30000}"/>
    <cellStyle name="Процентный 5 2 2 35 9" xfId="44556" xr:uid="{00000000-0005-0000-0000-00004FB30000}"/>
    <cellStyle name="Процентный 5 2 2 36" xfId="1859" xr:uid="{00000000-0005-0000-0000-000050B30000}"/>
    <cellStyle name="Процентный 5 2 2 36 10" xfId="49922" xr:uid="{00000000-0005-0000-0000-000051B30000}"/>
    <cellStyle name="Процентный 5 2 2 36 2" xfId="7201" xr:uid="{00000000-0005-0000-0000-000052B30000}"/>
    <cellStyle name="Процентный 5 2 2 36 2 2" xfId="55263" xr:uid="{00000000-0005-0000-0000-000053B30000}"/>
    <cellStyle name="Процентный 5 2 2 36 3" xfId="12542" xr:uid="{00000000-0005-0000-0000-000054B30000}"/>
    <cellStyle name="Процентный 5 2 2 36 4" xfId="17882" xr:uid="{00000000-0005-0000-0000-000055B30000}"/>
    <cellStyle name="Процентный 5 2 2 36 5" xfId="23222" xr:uid="{00000000-0005-0000-0000-000056B30000}"/>
    <cellStyle name="Процентный 5 2 2 36 6" xfId="28562" xr:uid="{00000000-0005-0000-0000-000057B30000}"/>
    <cellStyle name="Процентный 5 2 2 36 7" xfId="33902" xr:uid="{00000000-0005-0000-0000-000058B30000}"/>
    <cellStyle name="Процентный 5 2 2 36 8" xfId="39242" xr:uid="{00000000-0005-0000-0000-000059B30000}"/>
    <cellStyle name="Процентный 5 2 2 36 9" xfId="44582" xr:uid="{00000000-0005-0000-0000-00005AB30000}"/>
    <cellStyle name="Процентный 5 2 2 37" xfId="1885" xr:uid="{00000000-0005-0000-0000-00005BB30000}"/>
    <cellStyle name="Процентный 5 2 2 37 10" xfId="49948" xr:uid="{00000000-0005-0000-0000-00005CB30000}"/>
    <cellStyle name="Процентный 5 2 2 37 2" xfId="7227" xr:uid="{00000000-0005-0000-0000-00005DB30000}"/>
    <cellStyle name="Процентный 5 2 2 37 2 2" xfId="55289" xr:uid="{00000000-0005-0000-0000-00005EB30000}"/>
    <cellStyle name="Процентный 5 2 2 37 3" xfId="12568" xr:uid="{00000000-0005-0000-0000-00005FB30000}"/>
    <cellStyle name="Процентный 5 2 2 37 4" xfId="17908" xr:uid="{00000000-0005-0000-0000-000060B30000}"/>
    <cellStyle name="Процентный 5 2 2 37 5" xfId="23248" xr:uid="{00000000-0005-0000-0000-000061B30000}"/>
    <cellStyle name="Процентный 5 2 2 37 6" xfId="28588" xr:uid="{00000000-0005-0000-0000-000062B30000}"/>
    <cellStyle name="Процентный 5 2 2 37 7" xfId="33928" xr:uid="{00000000-0005-0000-0000-000063B30000}"/>
    <cellStyle name="Процентный 5 2 2 37 8" xfId="39268" xr:uid="{00000000-0005-0000-0000-000064B30000}"/>
    <cellStyle name="Процентный 5 2 2 37 9" xfId="44608" xr:uid="{00000000-0005-0000-0000-000065B30000}"/>
    <cellStyle name="Процентный 5 2 2 38" xfId="1911" xr:uid="{00000000-0005-0000-0000-000066B30000}"/>
    <cellStyle name="Процентный 5 2 2 38 10" xfId="49974" xr:uid="{00000000-0005-0000-0000-000067B30000}"/>
    <cellStyle name="Процентный 5 2 2 38 2" xfId="7253" xr:uid="{00000000-0005-0000-0000-000068B30000}"/>
    <cellStyle name="Процентный 5 2 2 38 2 2" xfId="55315" xr:uid="{00000000-0005-0000-0000-000069B30000}"/>
    <cellStyle name="Процентный 5 2 2 38 3" xfId="12594" xr:uid="{00000000-0005-0000-0000-00006AB30000}"/>
    <cellStyle name="Процентный 5 2 2 38 4" xfId="17934" xr:uid="{00000000-0005-0000-0000-00006BB30000}"/>
    <cellStyle name="Процентный 5 2 2 38 5" xfId="23274" xr:uid="{00000000-0005-0000-0000-00006CB30000}"/>
    <cellStyle name="Процентный 5 2 2 38 6" xfId="28614" xr:uid="{00000000-0005-0000-0000-00006DB30000}"/>
    <cellStyle name="Процентный 5 2 2 38 7" xfId="33954" xr:uid="{00000000-0005-0000-0000-00006EB30000}"/>
    <cellStyle name="Процентный 5 2 2 38 8" xfId="39294" xr:uid="{00000000-0005-0000-0000-00006FB30000}"/>
    <cellStyle name="Процентный 5 2 2 38 9" xfId="44634" xr:uid="{00000000-0005-0000-0000-000070B30000}"/>
    <cellStyle name="Процентный 5 2 2 39" xfId="1937" xr:uid="{00000000-0005-0000-0000-000071B30000}"/>
    <cellStyle name="Процентный 5 2 2 39 10" xfId="50000" xr:uid="{00000000-0005-0000-0000-000072B30000}"/>
    <cellStyle name="Процентный 5 2 2 39 2" xfId="7279" xr:uid="{00000000-0005-0000-0000-000073B30000}"/>
    <cellStyle name="Процентный 5 2 2 39 2 2" xfId="55341" xr:uid="{00000000-0005-0000-0000-000074B30000}"/>
    <cellStyle name="Процентный 5 2 2 39 3" xfId="12620" xr:uid="{00000000-0005-0000-0000-000075B30000}"/>
    <cellStyle name="Процентный 5 2 2 39 4" xfId="17960" xr:uid="{00000000-0005-0000-0000-000076B30000}"/>
    <cellStyle name="Процентный 5 2 2 39 5" xfId="23300" xr:uid="{00000000-0005-0000-0000-000077B30000}"/>
    <cellStyle name="Процентный 5 2 2 39 6" xfId="28640" xr:uid="{00000000-0005-0000-0000-000078B30000}"/>
    <cellStyle name="Процентный 5 2 2 39 7" xfId="33980" xr:uid="{00000000-0005-0000-0000-000079B30000}"/>
    <cellStyle name="Процентный 5 2 2 39 8" xfId="39320" xr:uid="{00000000-0005-0000-0000-00007AB30000}"/>
    <cellStyle name="Процентный 5 2 2 39 9" xfId="44660" xr:uid="{00000000-0005-0000-0000-00007BB30000}"/>
    <cellStyle name="Процентный 5 2 2 4" xfId="1030" xr:uid="{00000000-0005-0000-0000-00007CB30000}"/>
    <cellStyle name="Процентный 5 2 2 4 10" xfId="49092" xr:uid="{00000000-0005-0000-0000-00007DB30000}"/>
    <cellStyle name="Процентный 5 2 2 4 2" xfId="6371" xr:uid="{00000000-0005-0000-0000-00007EB30000}"/>
    <cellStyle name="Процентный 5 2 2 4 2 2" xfId="54433" xr:uid="{00000000-0005-0000-0000-00007FB30000}"/>
    <cellStyle name="Процентный 5 2 2 4 3" xfId="11712" xr:uid="{00000000-0005-0000-0000-000080B30000}"/>
    <cellStyle name="Процентный 5 2 2 4 4" xfId="17052" xr:uid="{00000000-0005-0000-0000-000081B30000}"/>
    <cellStyle name="Процентный 5 2 2 4 5" xfId="22392" xr:uid="{00000000-0005-0000-0000-000082B30000}"/>
    <cellStyle name="Процентный 5 2 2 4 6" xfId="27732" xr:uid="{00000000-0005-0000-0000-000083B30000}"/>
    <cellStyle name="Процентный 5 2 2 4 7" xfId="33072" xr:uid="{00000000-0005-0000-0000-000084B30000}"/>
    <cellStyle name="Процентный 5 2 2 4 8" xfId="38412" xr:uid="{00000000-0005-0000-0000-000085B30000}"/>
    <cellStyle name="Процентный 5 2 2 4 9" xfId="43752" xr:uid="{00000000-0005-0000-0000-000086B30000}"/>
    <cellStyle name="Процентный 5 2 2 40" xfId="1965" xr:uid="{00000000-0005-0000-0000-000087B30000}"/>
    <cellStyle name="Процентный 5 2 2 40 10" xfId="50028" xr:uid="{00000000-0005-0000-0000-000088B30000}"/>
    <cellStyle name="Процентный 5 2 2 40 2" xfId="7307" xr:uid="{00000000-0005-0000-0000-000089B30000}"/>
    <cellStyle name="Процентный 5 2 2 40 2 2" xfId="55369" xr:uid="{00000000-0005-0000-0000-00008AB30000}"/>
    <cellStyle name="Процентный 5 2 2 40 3" xfId="12648" xr:uid="{00000000-0005-0000-0000-00008BB30000}"/>
    <cellStyle name="Процентный 5 2 2 40 4" xfId="17988" xr:uid="{00000000-0005-0000-0000-00008CB30000}"/>
    <cellStyle name="Процентный 5 2 2 40 5" xfId="23328" xr:uid="{00000000-0005-0000-0000-00008DB30000}"/>
    <cellStyle name="Процентный 5 2 2 40 6" xfId="28668" xr:uid="{00000000-0005-0000-0000-00008EB30000}"/>
    <cellStyle name="Процентный 5 2 2 40 7" xfId="34008" xr:uid="{00000000-0005-0000-0000-00008FB30000}"/>
    <cellStyle name="Процентный 5 2 2 40 8" xfId="39348" xr:uid="{00000000-0005-0000-0000-000090B30000}"/>
    <cellStyle name="Процентный 5 2 2 40 9" xfId="44688" xr:uid="{00000000-0005-0000-0000-000091B30000}"/>
    <cellStyle name="Процентный 5 2 2 41" xfId="1992" xr:uid="{00000000-0005-0000-0000-000092B30000}"/>
    <cellStyle name="Процентный 5 2 2 41 10" xfId="50056" xr:uid="{00000000-0005-0000-0000-000093B30000}"/>
    <cellStyle name="Процентный 5 2 2 41 2" xfId="7335" xr:uid="{00000000-0005-0000-0000-000094B30000}"/>
    <cellStyle name="Процентный 5 2 2 41 2 2" xfId="55397" xr:uid="{00000000-0005-0000-0000-000095B30000}"/>
    <cellStyle name="Процентный 5 2 2 41 3" xfId="12676" xr:uid="{00000000-0005-0000-0000-000096B30000}"/>
    <cellStyle name="Процентный 5 2 2 41 4" xfId="18016" xr:uid="{00000000-0005-0000-0000-000097B30000}"/>
    <cellStyle name="Процентный 5 2 2 41 5" xfId="23356" xr:uid="{00000000-0005-0000-0000-000098B30000}"/>
    <cellStyle name="Процентный 5 2 2 41 6" xfId="28696" xr:uid="{00000000-0005-0000-0000-000099B30000}"/>
    <cellStyle name="Процентный 5 2 2 41 7" xfId="34036" xr:uid="{00000000-0005-0000-0000-00009AB30000}"/>
    <cellStyle name="Процентный 5 2 2 41 8" xfId="39376" xr:uid="{00000000-0005-0000-0000-00009BB30000}"/>
    <cellStyle name="Процентный 5 2 2 41 9" xfId="44716" xr:uid="{00000000-0005-0000-0000-00009CB30000}"/>
    <cellStyle name="Процентный 5 2 2 42" xfId="2020" xr:uid="{00000000-0005-0000-0000-00009DB30000}"/>
    <cellStyle name="Процентный 5 2 2 42 10" xfId="50084" xr:uid="{00000000-0005-0000-0000-00009EB30000}"/>
    <cellStyle name="Процентный 5 2 2 42 2" xfId="7363" xr:uid="{00000000-0005-0000-0000-00009FB30000}"/>
    <cellStyle name="Процентный 5 2 2 42 2 2" xfId="55425" xr:uid="{00000000-0005-0000-0000-0000A0B30000}"/>
    <cellStyle name="Процентный 5 2 2 42 3" xfId="12704" xr:uid="{00000000-0005-0000-0000-0000A1B30000}"/>
    <cellStyle name="Процентный 5 2 2 42 4" xfId="18044" xr:uid="{00000000-0005-0000-0000-0000A2B30000}"/>
    <cellStyle name="Процентный 5 2 2 42 5" xfId="23384" xr:uid="{00000000-0005-0000-0000-0000A3B30000}"/>
    <cellStyle name="Процентный 5 2 2 42 6" xfId="28724" xr:uid="{00000000-0005-0000-0000-0000A4B30000}"/>
    <cellStyle name="Процентный 5 2 2 42 7" xfId="34064" xr:uid="{00000000-0005-0000-0000-0000A5B30000}"/>
    <cellStyle name="Процентный 5 2 2 42 8" xfId="39404" xr:uid="{00000000-0005-0000-0000-0000A6B30000}"/>
    <cellStyle name="Процентный 5 2 2 42 9" xfId="44744" xr:uid="{00000000-0005-0000-0000-0000A7B30000}"/>
    <cellStyle name="Процентный 5 2 2 43" xfId="2048" xr:uid="{00000000-0005-0000-0000-0000A8B30000}"/>
    <cellStyle name="Процентный 5 2 2 43 10" xfId="50112" xr:uid="{00000000-0005-0000-0000-0000A9B30000}"/>
    <cellStyle name="Процентный 5 2 2 43 2" xfId="7391" xr:uid="{00000000-0005-0000-0000-0000AAB30000}"/>
    <cellStyle name="Процентный 5 2 2 43 2 2" xfId="55453" xr:uid="{00000000-0005-0000-0000-0000ABB30000}"/>
    <cellStyle name="Процентный 5 2 2 43 3" xfId="12732" xr:uid="{00000000-0005-0000-0000-0000ACB30000}"/>
    <cellStyle name="Процентный 5 2 2 43 4" xfId="18072" xr:uid="{00000000-0005-0000-0000-0000ADB30000}"/>
    <cellStyle name="Процентный 5 2 2 43 5" xfId="23412" xr:uid="{00000000-0005-0000-0000-0000AEB30000}"/>
    <cellStyle name="Процентный 5 2 2 43 6" xfId="28752" xr:uid="{00000000-0005-0000-0000-0000AFB30000}"/>
    <cellStyle name="Процентный 5 2 2 43 7" xfId="34092" xr:uid="{00000000-0005-0000-0000-0000B0B30000}"/>
    <cellStyle name="Процентный 5 2 2 43 8" xfId="39432" xr:uid="{00000000-0005-0000-0000-0000B1B30000}"/>
    <cellStyle name="Процентный 5 2 2 43 9" xfId="44772" xr:uid="{00000000-0005-0000-0000-0000B2B30000}"/>
    <cellStyle name="Процентный 5 2 2 44" xfId="2076" xr:uid="{00000000-0005-0000-0000-0000B3B30000}"/>
    <cellStyle name="Процентный 5 2 2 44 10" xfId="50140" xr:uid="{00000000-0005-0000-0000-0000B4B30000}"/>
    <cellStyle name="Процентный 5 2 2 44 2" xfId="7419" xr:uid="{00000000-0005-0000-0000-0000B5B30000}"/>
    <cellStyle name="Процентный 5 2 2 44 2 2" xfId="55481" xr:uid="{00000000-0005-0000-0000-0000B6B30000}"/>
    <cellStyle name="Процентный 5 2 2 44 3" xfId="12760" xr:uid="{00000000-0005-0000-0000-0000B7B30000}"/>
    <cellStyle name="Процентный 5 2 2 44 4" xfId="18100" xr:uid="{00000000-0005-0000-0000-0000B8B30000}"/>
    <cellStyle name="Процентный 5 2 2 44 5" xfId="23440" xr:uid="{00000000-0005-0000-0000-0000B9B30000}"/>
    <cellStyle name="Процентный 5 2 2 44 6" xfId="28780" xr:uid="{00000000-0005-0000-0000-0000BAB30000}"/>
    <cellStyle name="Процентный 5 2 2 44 7" xfId="34120" xr:uid="{00000000-0005-0000-0000-0000BBB30000}"/>
    <cellStyle name="Процентный 5 2 2 44 8" xfId="39460" xr:uid="{00000000-0005-0000-0000-0000BCB30000}"/>
    <cellStyle name="Процентный 5 2 2 44 9" xfId="44800" xr:uid="{00000000-0005-0000-0000-0000BDB30000}"/>
    <cellStyle name="Процентный 5 2 2 45" xfId="2104" xr:uid="{00000000-0005-0000-0000-0000BEB30000}"/>
    <cellStyle name="Процентный 5 2 2 45 10" xfId="50168" xr:uid="{00000000-0005-0000-0000-0000BFB30000}"/>
    <cellStyle name="Процентный 5 2 2 45 2" xfId="7447" xr:uid="{00000000-0005-0000-0000-0000C0B30000}"/>
    <cellStyle name="Процентный 5 2 2 45 2 2" xfId="55509" xr:uid="{00000000-0005-0000-0000-0000C1B30000}"/>
    <cellStyle name="Процентный 5 2 2 45 3" xfId="12788" xr:uid="{00000000-0005-0000-0000-0000C2B30000}"/>
    <cellStyle name="Процентный 5 2 2 45 4" xfId="18128" xr:uid="{00000000-0005-0000-0000-0000C3B30000}"/>
    <cellStyle name="Процентный 5 2 2 45 5" xfId="23468" xr:uid="{00000000-0005-0000-0000-0000C4B30000}"/>
    <cellStyle name="Процентный 5 2 2 45 6" xfId="28808" xr:uid="{00000000-0005-0000-0000-0000C5B30000}"/>
    <cellStyle name="Процентный 5 2 2 45 7" xfId="34148" xr:uid="{00000000-0005-0000-0000-0000C6B30000}"/>
    <cellStyle name="Процентный 5 2 2 45 8" xfId="39488" xr:uid="{00000000-0005-0000-0000-0000C7B30000}"/>
    <cellStyle name="Процентный 5 2 2 45 9" xfId="44828" xr:uid="{00000000-0005-0000-0000-0000C8B30000}"/>
    <cellStyle name="Процентный 5 2 2 46" xfId="2132" xr:uid="{00000000-0005-0000-0000-0000C9B30000}"/>
    <cellStyle name="Процентный 5 2 2 46 10" xfId="50196" xr:uid="{00000000-0005-0000-0000-0000CAB30000}"/>
    <cellStyle name="Процентный 5 2 2 46 2" xfId="7475" xr:uid="{00000000-0005-0000-0000-0000CBB30000}"/>
    <cellStyle name="Процентный 5 2 2 46 2 2" xfId="55537" xr:uid="{00000000-0005-0000-0000-0000CCB30000}"/>
    <cellStyle name="Процентный 5 2 2 46 3" xfId="12816" xr:uid="{00000000-0005-0000-0000-0000CDB30000}"/>
    <cellStyle name="Процентный 5 2 2 46 4" xfId="18156" xr:uid="{00000000-0005-0000-0000-0000CEB30000}"/>
    <cellStyle name="Процентный 5 2 2 46 5" xfId="23496" xr:uid="{00000000-0005-0000-0000-0000CFB30000}"/>
    <cellStyle name="Процентный 5 2 2 46 6" xfId="28836" xr:uid="{00000000-0005-0000-0000-0000D0B30000}"/>
    <cellStyle name="Процентный 5 2 2 46 7" xfId="34176" xr:uid="{00000000-0005-0000-0000-0000D1B30000}"/>
    <cellStyle name="Процентный 5 2 2 46 8" xfId="39516" xr:uid="{00000000-0005-0000-0000-0000D2B30000}"/>
    <cellStyle name="Процентный 5 2 2 46 9" xfId="44856" xr:uid="{00000000-0005-0000-0000-0000D3B30000}"/>
    <cellStyle name="Процентный 5 2 2 47" xfId="2162" xr:uid="{00000000-0005-0000-0000-0000D4B30000}"/>
    <cellStyle name="Процентный 5 2 2 47 10" xfId="50226" xr:uid="{00000000-0005-0000-0000-0000D5B30000}"/>
    <cellStyle name="Процентный 5 2 2 47 2" xfId="7505" xr:uid="{00000000-0005-0000-0000-0000D6B30000}"/>
    <cellStyle name="Процентный 5 2 2 47 2 2" xfId="55567" xr:uid="{00000000-0005-0000-0000-0000D7B30000}"/>
    <cellStyle name="Процентный 5 2 2 47 3" xfId="12846" xr:uid="{00000000-0005-0000-0000-0000D8B30000}"/>
    <cellStyle name="Процентный 5 2 2 47 4" xfId="18186" xr:uid="{00000000-0005-0000-0000-0000D9B30000}"/>
    <cellStyle name="Процентный 5 2 2 47 5" xfId="23526" xr:uid="{00000000-0005-0000-0000-0000DAB30000}"/>
    <cellStyle name="Процентный 5 2 2 47 6" xfId="28866" xr:uid="{00000000-0005-0000-0000-0000DBB30000}"/>
    <cellStyle name="Процентный 5 2 2 47 7" xfId="34206" xr:uid="{00000000-0005-0000-0000-0000DCB30000}"/>
    <cellStyle name="Процентный 5 2 2 47 8" xfId="39546" xr:uid="{00000000-0005-0000-0000-0000DDB30000}"/>
    <cellStyle name="Процентный 5 2 2 47 9" xfId="44886" xr:uid="{00000000-0005-0000-0000-0000DEB30000}"/>
    <cellStyle name="Процентный 5 2 2 48" xfId="2192" xr:uid="{00000000-0005-0000-0000-0000DFB30000}"/>
    <cellStyle name="Процентный 5 2 2 48 10" xfId="50256" xr:uid="{00000000-0005-0000-0000-0000E0B30000}"/>
    <cellStyle name="Процентный 5 2 2 48 2" xfId="7535" xr:uid="{00000000-0005-0000-0000-0000E1B30000}"/>
    <cellStyle name="Процентный 5 2 2 48 2 2" xfId="55597" xr:uid="{00000000-0005-0000-0000-0000E2B30000}"/>
    <cellStyle name="Процентный 5 2 2 48 3" xfId="12876" xr:uid="{00000000-0005-0000-0000-0000E3B30000}"/>
    <cellStyle name="Процентный 5 2 2 48 4" xfId="18216" xr:uid="{00000000-0005-0000-0000-0000E4B30000}"/>
    <cellStyle name="Процентный 5 2 2 48 5" xfId="23556" xr:uid="{00000000-0005-0000-0000-0000E5B30000}"/>
    <cellStyle name="Процентный 5 2 2 48 6" xfId="28896" xr:uid="{00000000-0005-0000-0000-0000E6B30000}"/>
    <cellStyle name="Процентный 5 2 2 48 7" xfId="34236" xr:uid="{00000000-0005-0000-0000-0000E7B30000}"/>
    <cellStyle name="Процентный 5 2 2 48 8" xfId="39576" xr:uid="{00000000-0005-0000-0000-0000E8B30000}"/>
    <cellStyle name="Процентный 5 2 2 48 9" xfId="44916" xr:uid="{00000000-0005-0000-0000-0000E9B30000}"/>
    <cellStyle name="Процентный 5 2 2 49" xfId="2222" xr:uid="{00000000-0005-0000-0000-0000EAB30000}"/>
    <cellStyle name="Процентный 5 2 2 49 10" xfId="50286" xr:uid="{00000000-0005-0000-0000-0000EBB30000}"/>
    <cellStyle name="Процентный 5 2 2 49 2" xfId="7565" xr:uid="{00000000-0005-0000-0000-0000ECB30000}"/>
    <cellStyle name="Процентный 5 2 2 49 2 2" xfId="55627" xr:uid="{00000000-0005-0000-0000-0000EDB30000}"/>
    <cellStyle name="Процентный 5 2 2 49 3" xfId="12906" xr:uid="{00000000-0005-0000-0000-0000EEB30000}"/>
    <cellStyle name="Процентный 5 2 2 49 4" xfId="18246" xr:uid="{00000000-0005-0000-0000-0000EFB30000}"/>
    <cellStyle name="Процентный 5 2 2 49 5" xfId="23586" xr:uid="{00000000-0005-0000-0000-0000F0B30000}"/>
    <cellStyle name="Процентный 5 2 2 49 6" xfId="28926" xr:uid="{00000000-0005-0000-0000-0000F1B30000}"/>
    <cellStyle name="Процентный 5 2 2 49 7" xfId="34266" xr:uid="{00000000-0005-0000-0000-0000F2B30000}"/>
    <cellStyle name="Процентный 5 2 2 49 8" xfId="39606" xr:uid="{00000000-0005-0000-0000-0000F3B30000}"/>
    <cellStyle name="Процентный 5 2 2 49 9" xfId="44946" xr:uid="{00000000-0005-0000-0000-0000F4B30000}"/>
    <cellStyle name="Процентный 5 2 2 5" xfId="1054" xr:uid="{00000000-0005-0000-0000-0000F5B30000}"/>
    <cellStyle name="Процентный 5 2 2 5 10" xfId="49116" xr:uid="{00000000-0005-0000-0000-0000F6B30000}"/>
    <cellStyle name="Процентный 5 2 2 5 2" xfId="6395" xr:uid="{00000000-0005-0000-0000-0000F7B30000}"/>
    <cellStyle name="Процентный 5 2 2 5 2 2" xfId="54457" xr:uid="{00000000-0005-0000-0000-0000F8B30000}"/>
    <cellStyle name="Процентный 5 2 2 5 3" xfId="11736" xr:uid="{00000000-0005-0000-0000-0000F9B30000}"/>
    <cellStyle name="Процентный 5 2 2 5 4" xfId="17076" xr:uid="{00000000-0005-0000-0000-0000FAB30000}"/>
    <cellStyle name="Процентный 5 2 2 5 5" xfId="22416" xr:uid="{00000000-0005-0000-0000-0000FBB30000}"/>
    <cellStyle name="Процентный 5 2 2 5 6" xfId="27756" xr:uid="{00000000-0005-0000-0000-0000FCB30000}"/>
    <cellStyle name="Процентный 5 2 2 5 7" xfId="33096" xr:uid="{00000000-0005-0000-0000-0000FDB30000}"/>
    <cellStyle name="Процентный 5 2 2 5 8" xfId="38436" xr:uid="{00000000-0005-0000-0000-0000FEB30000}"/>
    <cellStyle name="Процентный 5 2 2 5 9" xfId="43776" xr:uid="{00000000-0005-0000-0000-0000FFB30000}"/>
    <cellStyle name="Процентный 5 2 2 50" xfId="2252" xr:uid="{00000000-0005-0000-0000-000000B40000}"/>
    <cellStyle name="Процентный 5 2 2 50 10" xfId="50316" xr:uid="{00000000-0005-0000-0000-000001B40000}"/>
    <cellStyle name="Процентный 5 2 2 50 2" xfId="7595" xr:uid="{00000000-0005-0000-0000-000002B40000}"/>
    <cellStyle name="Процентный 5 2 2 50 2 2" xfId="55657" xr:uid="{00000000-0005-0000-0000-000003B40000}"/>
    <cellStyle name="Процентный 5 2 2 50 3" xfId="12936" xr:uid="{00000000-0005-0000-0000-000004B40000}"/>
    <cellStyle name="Процентный 5 2 2 50 4" xfId="18276" xr:uid="{00000000-0005-0000-0000-000005B40000}"/>
    <cellStyle name="Процентный 5 2 2 50 5" xfId="23616" xr:uid="{00000000-0005-0000-0000-000006B40000}"/>
    <cellStyle name="Процентный 5 2 2 50 6" xfId="28956" xr:uid="{00000000-0005-0000-0000-000007B40000}"/>
    <cellStyle name="Процентный 5 2 2 50 7" xfId="34296" xr:uid="{00000000-0005-0000-0000-000008B40000}"/>
    <cellStyle name="Процентный 5 2 2 50 8" xfId="39636" xr:uid="{00000000-0005-0000-0000-000009B40000}"/>
    <cellStyle name="Процентный 5 2 2 50 9" xfId="44976" xr:uid="{00000000-0005-0000-0000-00000AB40000}"/>
    <cellStyle name="Процентный 5 2 2 51" xfId="2282" xr:uid="{00000000-0005-0000-0000-00000BB40000}"/>
    <cellStyle name="Процентный 5 2 2 51 10" xfId="50346" xr:uid="{00000000-0005-0000-0000-00000CB40000}"/>
    <cellStyle name="Процентный 5 2 2 51 2" xfId="7625" xr:uid="{00000000-0005-0000-0000-00000DB40000}"/>
    <cellStyle name="Процентный 5 2 2 51 2 2" xfId="55687" xr:uid="{00000000-0005-0000-0000-00000EB40000}"/>
    <cellStyle name="Процентный 5 2 2 51 3" xfId="12966" xr:uid="{00000000-0005-0000-0000-00000FB40000}"/>
    <cellStyle name="Процентный 5 2 2 51 4" xfId="18306" xr:uid="{00000000-0005-0000-0000-000010B40000}"/>
    <cellStyle name="Процентный 5 2 2 51 5" xfId="23646" xr:uid="{00000000-0005-0000-0000-000011B40000}"/>
    <cellStyle name="Процентный 5 2 2 51 6" xfId="28986" xr:uid="{00000000-0005-0000-0000-000012B40000}"/>
    <cellStyle name="Процентный 5 2 2 51 7" xfId="34326" xr:uid="{00000000-0005-0000-0000-000013B40000}"/>
    <cellStyle name="Процентный 5 2 2 51 8" xfId="39666" xr:uid="{00000000-0005-0000-0000-000014B40000}"/>
    <cellStyle name="Процентный 5 2 2 51 9" xfId="45006" xr:uid="{00000000-0005-0000-0000-000015B40000}"/>
    <cellStyle name="Процентный 5 2 2 52" xfId="2312" xr:uid="{00000000-0005-0000-0000-000016B40000}"/>
    <cellStyle name="Процентный 5 2 2 52 10" xfId="50376" xr:uid="{00000000-0005-0000-0000-000017B40000}"/>
    <cellStyle name="Процентный 5 2 2 52 2" xfId="7655" xr:uid="{00000000-0005-0000-0000-000018B40000}"/>
    <cellStyle name="Процентный 5 2 2 52 2 2" xfId="55717" xr:uid="{00000000-0005-0000-0000-000019B40000}"/>
    <cellStyle name="Процентный 5 2 2 52 3" xfId="12996" xr:uid="{00000000-0005-0000-0000-00001AB40000}"/>
    <cellStyle name="Процентный 5 2 2 52 4" xfId="18336" xr:uid="{00000000-0005-0000-0000-00001BB40000}"/>
    <cellStyle name="Процентный 5 2 2 52 5" xfId="23676" xr:uid="{00000000-0005-0000-0000-00001CB40000}"/>
    <cellStyle name="Процентный 5 2 2 52 6" xfId="29016" xr:uid="{00000000-0005-0000-0000-00001DB40000}"/>
    <cellStyle name="Процентный 5 2 2 52 7" xfId="34356" xr:uid="{00000000-0005-0000-0000-00001EB40000}"/>
    <cellStyle name="Процентный 5 2 2 52 8" xfId="39696" xr:uid="{00000000-0005-0000-0000-00001FB40000}"/>
    <cellStyle name="Процентный 5 2 2 52 9" xfId="45036" xr:uid="{00000000-0005-0000-0000-000020B40000}"/>
    <cellStyle name="Процентный 5 2 2 53" xfId="2342" xr:uid="{00000000-0005-0000-0000-000021B40000}"/>
    <cellStyle name="Процентный 5 2 2 53 10" xfId="50406" xr:uid="{00000000-0005-0000-0000-000022B40000}"/>
    <cellStyle name="Процентный 5 2 2 53 2" xfId="7685" xr:uid="{00000000-0005-0000-0000-000023B40000}"/>
    <cellStyle name="Процентный 5 2 2 53 2 2" xfId="55747" xr:uid="{00000000-0005-0000-0000-000024B40000}"/>
    <cellStyle name="Процентный 5 2 2 53 3" xfId="13026" xr:uid="{00000000-0005-0000-0000-000025B40000}"/>
    <cellStyle name="Процентный 5 2 2 53 4" xfId="18366" xr:uid="{00000000-0005-0000-0000-000026B40000}"/>
    <cellStyle name="Процентный 5 2 2 53 5" xfId="23706" xr:uid="{00000000-0005-0000-0000-000027B40000}"/>
    <cellStyle name="Процентный 5 2 2 53 6" xfId="29046" xr:uid="{00000000-0005-0000-0000-000028B40000}"/>
    <cellStyle name="Процентный 5 2 2 53 7" xfId="34386" xr:uid="{00000000-0005-0000-0000-000029B40000}"/>
    <cellStyle name="Процентный 5 2 2 53 8" xfId="39726" xr:uid="{00000000-0005-0000-0000-00002AB40000}"/>
    <cellStyle name="Процентный 5 2 2 53 9" xfId="45066" xr:uid="{00000000-0005-0000-0000-00002BB40000}"/>
    <cellStyle name="Процентный 5 2 2 54" xfId="2372" xr:uid="{00000000-0005-0000-0000-00002CB40000}"/>
    <cellStyle name="Процентный 5 2 2 54 10" xfId="50436" xr:uid="{00000000-0005-0000-0000-00002DB40000}"/>
    <cellStyle name="Процентный 5 2 2 54 2" xfId="7715" xr:uid="{00000000-0005-0000-0000-00002EB40000}"/>
    <cellStyle name="Процентный 5 2 2 54 2 2" xfId="55777" xr:uid="{00000000-0005-0000-0000-00002FB40000}"/>
    <cellStyle name="Процентный 5 2 2 54 3" xfId="13056" xr:uid="{00000000-0005-0000-0000-000030B40000}"/>
    <cellStyle name="Процентный 5 2 2 54 4" xfId="18396" xr:uid="{00000000-0005-0000-0000-000031B40000}"/>
    <cellStyle name="Процентный 5 2 2 54 5" xfId="23736" xr:uid="{00000000-0005-0000-0000-000032B40000}"/>
    <cellStyle name="Процентный 5 2 2 54 6" xfId="29076" xr:uid="{00000000-0005-0000-0000-000033B40000}"/>
    <cellStyle name="Процентный 5 2 2 54 7" xfId="34416" xr:uid="{00000000-0005-0000-0000-000034B40000}"/>
    <cellStyle name="Процентный 5 2 2 54 8" xfId="39756" xr:uid="{00000000-0005-0000-0000-000035B40000}"/>
    <cellStyle name="Процентный 5 2 2 54 9" xfId="45096" xr:uid="{00000000-0005-0000-0000-000036B40000}"/>
    <cellStyle name="Процентный 5 2 2 55" xfId="2402" xr:uid="{00000000-0005-0000-0000-000037B40000}"/>
    <cellStyle name="Процентный 5 2 2 55 10" xfId="50466" xr:uid="{00000000-0005-0000-0000-000038B40000}"/>
    <cellStyle name="Процентный 5 2 2 55 2" xfId="7745" xr:uid="{00000000-0005-0000-0000-000039B40000}"/>
    <cellStyle name="Процентный 5 2 2 55 2 2" xfId="55807" xr:uid="{00000000-0005-0000-0000-00003AB40000}"/>
    <cellStyle name="Процентный 5 2 2 55 3" xfId="13086" xr:uid="{00000000-0005-0000-0000-00003BB40000}"/>
    <cellStyle name="Процентный 5 2 2 55 4" xfId="18426" xr:uid="{00000000-0005-0000-0000-00003CB40000}"/>
    <cellStyle name="Процентный 5 2 2 55 5" xfId="23766" xr:uid="{00000000-0005-0000-0000-00003DB40000}"/>
    <cellStyle name="Процентный 5 2 2 55 6" xfId="29106" xr:uid="{00000000-0005-0000-0000-00003EB40000}"/>
    <cellStyle name="Процентный 5 2 2 55 7" xfId="34446" xr:uid="{00000000-0005-0000-0000-00003FB40000}"/>
    <cellStyle name="Процентный 5 2 2 55 8" xfId="39786" xr:uid="{00000000-0005-0000-0000-000040B40000}"/>
    <cellStyle name="Процентный 5 2 2 55 9" xfId="45126" xr:uid="{00000000-0005-0000-0000-000041B40000}"/>
    <cellStyle name="Процентный 5 2 2 56" xfId="2432" xr:uid="{00000000-0005-0000-0000-000042B40000}"/>
    <cellStyle name="Процентный 5 2 2 56 10" xfId="50496" xr:uid="{00000000-0005-0000-0000-000043B40000}"/>
    <cellStyle name="Процентный 5 2 2 56 2" xfId="7775" xr:uid="{00000000-0005-0000-0000-000044B40000}"/>
    <cellStyle name="Процентный 5 2 2 56 2 2" xfId="55837" xr:uid="{00000000-0005-0000-0000-000045B40000}"/>
    <cellStyle name="Процентный 5 2 2 56 3" xfId="13116" xr:uid="{00000000-0005-0000-0000-000046B40000}"/>
    <cellStyle name="Процентный 5 2 2 56 4" xfId="18456" xr:uid="{00000000-0005-0000-0000-000047B40000}"/>
    <cellStyle name="Процентный 5 2 2 56 5" xfId="23796" xr:uid="{00000000-0005-0000-0000-000048B40000}"/>
    <cellStyle name="Процентный 5 2 2 56 6" xfId="29136" xr:uid="{00000000-0005-0000-0000-000049B40000}"/>
    <cellStyle name="Процентный 5 2 2 56 7" xfId="34476" xr:uid="{00000000-0005-0000-0000-00004AB40000}"/>
    <cellStyle name="Процентный 5 2 2 56 8" xfId="39816" xr:uid="{00000000-0005-0000-0000-00004BB40000}"/>
    <cellStyle name="Процентный 5 2 2 56 9" xfId="45156" xr:uid="{00000000-0005-0000-0000-00004CB40000}"/>
    <cellStyle name="Процентный 5 2 2 57" xfId="2462" xr:uid="{00000000-0005-0000-0000-00004DB40000}"/>
    <cellStyle name="Процентный 5 2 2 57 10" xfId="50526" xr:uid="{00000000-0005-0000-0000-00004EB40000}"/>
    <cellStyle name="Процентный 5 2 2 57 2" xfId="7805" xr:uid="{00000000-0005-0000-0000-00004FB40000}"/>
    <cellStyle name="Процентный 5 2 2 57 2 2" xfId="55867" xr:uid="{00000000-0005-0000-0000-000050B40000}"/>
    <cellStyle name="Процентный 5 2 2 57 3" xfId="13146" xr:uid="{00000000-0005-0000-0000-000051B40000}"/>
    <cellStyle name="Процентный 5 2 2 57 4" xfId="18486" xr:uid="{00000000-0005-0000-0000-000052B40000}"/>
    <cellStyle name="Процентный 5 2 2 57 5" xfId="23826" xr:uid="{00000000-0005-0000-0000-000053B40000}"/>
    <cellStyle name="Процентный 5 2 2 57 6" xfId="29166" xr:uid="{00000000-0005-0000-0000-000054B40000}"/>
    <cellStyle name="Процентный 5 2 2 57 7" xfId="34506" xr:uid="{00000000-0005-0000-0000-000055B40000}"/>
    <cellStyle name="Процентный 5 2 2 57 8" xfId="39846" xr:uid="{00000000-0005-0000-0000-000056B40000}"/>
    <cellStyle name="Процентный 5 2 2 57 9" xfId="45186" xr:uid="{00000000-0005-0000-0000-000057B40000}"/>
    <cellStyle name="Процентный 5 2 2 58" xfId="2492" xr:uid="{00000000-0005-0000-0000-000058B40000}"/>
    <cellStyle name="Процентный 5 2 2 58 10" xfId="50556" xr:uid="{00000000-0005-0000-0000-000059B40000}"/>
    <cellStyle name="Процентный 5 2 2 58 2" xfId="7835" xr:uid="{00000000-0005-0000-0000-00005AB40000}"/>
    <cellStyle name="Процентный 5 2 2 58 2 2" xfId="55897" xr:uid="{00000000-0005-0000-0000-00005BB40000}"/>
    <cellStyle name="Процентный 5 2 2 58 3" xfId="13176" xr:uid="{00000000-0005-0000-0000-00005CB40000}"/>
    <cellStyle name="Процентный 5 2 2 58 4" xfId="18516" xr:uid="{00000000-0005-0000-0000-00005DB40000}"/>
    <cellStyle name="Процентный 5 2 2 58 5" xfId="23856" xr:uid="{00000000-0005-0000-0000-00005EB40000}"/>
    <cellStyle name="Процентный 5 2 2 58 6" xfId="29196" xr:uid="{00000000-0005-0000-0000-00005FB40000}"/>
    <cellStyle name="Процентный 5 2 2 58 7" xfId="34536" xr:uid="{00000000-0005-0000-0000-000060B40000}"/>
    <cellStyle name="Процентный 5 2 2 58 8" xfId="39876" xr:uid="{00000000-0005-0000-0000-000061B40000}"/>
    <cellStyle name="Процентный 5 2 2 58 9" xfId="45216" xr:uid="{00000000-0005-0000-0000-000062B40000}"/>
    <cellStyle name="Процентный 5 2 2 59" xfId="2524" xr:uid="{00000000-0005-0000-0000-000063B40000}"/>
    <cellStyle name="Процентный 5 2 2 59 10" xfId="50588" xr:uid="{00000000-0005-0000-0000-000064B40000}"/>
    <cellStyle name="Процентный 5 2 2 59 2" xfId="7867" xr:uid="{00000000-0005-0000-0000-000065B40000}"/>
    <cellStyle name="Процентный 5 2 2 59 2 2" xfId="55929" xr:uid="{00000000-0005-0000-0000-000066B40000}"/>
    <cellStyle name="Процентный 5 2 2 59 3" xfId="13208" xr:uid="{00000000-0005-0000-0000-000067B40000}"/>
    <cellStyle name="Процентный 5 2 2 59 4" xfId="18548" xr:uid="{00000000-0005-0000-0000-000068B40000}"/>
    <cellStyle name="Процентный 5 2 2 59 5" xfId="23888" xr:uid="{00000000-0005-0000-0000-000069B40000}"/>
    <cellStyle name="Процентный 5 2 2 59 6" xfId="29228" xr:uid="{00000000-0005-0000-0000-00006AB40000}"/>
    <cellStyle name="Процентный 5 2 2 59 7" xfId="34568" xr:uid="{00000000-0005-0000-0000-00006BB40000}"/>
    <cellStyle name="Процентный 5 2 2 59 8" xfId="39908" xr:uid="{00000000-0005-0000-0000-00006CB40000}"/>
    <cellStyle name="Процентный 5 2 2 59 9" xfId="45248" xr:uid="{00000000-0005-0000-0000-00006DB40000}"/>
    <cellStyle name="Процентный 5 2 2 6" xfId="1079" xr:uid="{00000000-0005-0000-0000-00006EB40000}"/>
    <cellStyle name="Процентный 5 2 2 6 10" xfId="49142" xr:uid="{00000000-0005-0000-0000-00006FB40000}"/>
    <cellStyle name="Процентный 5 2 2 6 2" xfId="6421" xr:uid="{00000000-0005-0000-0000-000070B40000}"/>
    <cellStyle name="Процентный 5 2 2 6 2 2" xfId="54483" xr:uid="{00000000-0005-0000-0000-000071B40000}"/>
    <cellStyle name="Процентный 5 2 2 6 3" xfId="11762" xr:uid="{00000000-0005-0000-0000-000072B40000}"/>
    <cellStyle name="Процентный 5 2 2 6 4" xfId="17102" xr:uid="{00000000-0005-0000-0000-000073B40000}"/>
    <cellStyle name="Процентный 5 2 2 6 5" xfId="22442" xr:uid="{00000000-0005-0000-0000-000074B40000}"/>
    <cellStyle name="Процентный 5 2 2 6 6" xfId="27782" xr:uid="{00000000-0005-0000-0000-000075B40000}"/>
    <cellStyle name="Процентный 5 2 2 6 7" xfId="33122" xr:uid="{00000000-0005-0000-0000-000076B40000}"/>
    <cellStyle name="Процентный 5 2 2 6 8" xfId="38462" xr:uid="{00000000-0005-0000-0000-000077B40000}"/>
    <cellStyle name="Процентный 5 2 2 6 9" xfId="43802" xr:uid="{00000000-0005-0000-0000-000078B40000}"/>
    <cellStyle name="Процентный 5 2 2 60" xfId="2558" xr:uid="{00000000-0005-0000-0000-000079B40000}"/>
    <cellStyle name="Процентный 5 2 2 60 10" xfId="50622" xr:uid="{00000000-0005-0000-0000-00007AB40000}"/>
    <cellStyle name="Процентный 5 2 2 60 2" xfId="7901" xr:uid="{00000000-0005-0000-0000-00007BB40000}"/>
    <cellStyle name="Процентный 5 2 2 60 2 2" xfId="55963" xr:uid="{00000000-0005-0000-0000-00007CB40000}"/>
    <cellStyle name="Процентный 5 2 2 60 3" xfId="13242" xr:uid="{00000000-0005-0000-0000-00007DB40000}"/>
    <cellStyle name="Процентный 5 2 2 60 4" xfId="18582" xr:uid="{00000000-0005-0000-0000-00007EB40000}"/>
    <cellStyle name="Процентный 5 2 2 60 5" xfId="23922" xr:uid="{00000000-0005-0000-0000-00007FB40000}"/>
    <cellStyle name="Процентный 5 2 2 60 6" xfId="29262" xr:uid="{00000000-0005-0000-0000-000080B40000}"/>
    <cellStyle name="Процентный 5 2 2 60 7" xfId="34602" xr:uid="{00000000-0005-0000-0000-000081B40000}"/>
    <cellStyle name="Процентный 5 2 2 60 8" xfId="39942" xr:uid="{00000000-0005-0000-0000-000082B40000}"/>
    <cellStyle name="Процентный 5 2 2 60 9" xfId="45282" xr:uid="{00000000-0005-0000-0000-000083B40000}"/>
    <cellStyle name="Процентный 5 2 2 61" xfId="2590" xr:uid="{00000000-0005-0000-0000-000084B40000}"/>
    <cellStyle name="Процентный 5 2 2 61 10" xfId="50654" xr:uid="{00000000-0005-0000-0000-000085B40000}"/>
    <cellStyle name="Процентный 5 2 2 61 2" xfId="7933" xr:uid="{00000000-0005-0000-0000-000086B40000}"/>
    <cellStyle name="Процентный 5 2 2 61 2 2" xfId="55995" xr:uid="{00000000-0005-0000-0000-000087B40000}"/>
    <cellStyle name="Процентный 5 2 2 61 3" xfId="13274" xr:uid="{00000000-0005-0000-0000-000088B40000}"/>
    <cellStyle name="Процентный 5 2 2 61 4" xfId="18614" xr:uid="{00000000-0005-0000-0000-000089B40000}"/>
    <cellStyle name="Процентный 5 2 2 61 5" xfId="23954" xr:uid="{00000000-0005-0000-0000-00008AB40000}"/>
    <cellStyle name="Процентный 5 2 2 61 6" xfId="29294" xr:uid="{00000000-0005-0000-0000-00008BB40000}"/>
    <cellStyle name="Процентный 5 2 2 61 7" xfId="34634" xr:uid="{00000000-0005-0000-0000-00008CB40000}"/>
    <cellStyle name="Процентный 5 2 2 61 8" xfId="39974" xr:uid="{00000000-0005-0000-0000-00008DB40000}"/>
    <cellStyle name="Процентный 5 2 2 61 9" xfId="45314" xr:uid="{00000000-0005-0000-0000-00008EB40000}"/>
    <cellStyle name="Процентный 5 2 2 62" xfId="2622" xr:uid="{00000000-0005-0000-0000-00008FB40000}"/>
    <cellStyle name="Процентный 5 2 2 62 10" xfId="50686" xr:uid="{00000000-0005-0000-0000-000090B40000}"/>
    <cellStyle name="Процентный 5 2 2 62 2" xfId="7965" xr:uid="{00000000-0005-0000-0000-000091B40000}"/>
    <cellStyle name="Процентный 5 2 2 62 2 2" xfId="56027" xr:uid="{00000000-0005-0000-0000-000092B40000}"/>
    <cellStyle name="Процентный 5 2 2 62 3" xfId="13306" xr:uid="{00000000-0005-0000-0000-000093B40000}"/>
    <cellStyle name="Процентный 5 2 2 62 4" xfId="18646" xr:uid="{00000000-0005-0000-0000-000094B40000}"/>
    <cellStyle name="Процентный 5 2 2 62 5" xfId="23986" xr:uid="{00000000-0005-0000-0000-000095B40000}"/>
    <cellStyle name="Процентный 5 2 2 62 6" xfId="29326" xr:uid="{00000000-0005-0000-0000-000096B40000}"/>
    <cellStyle name="Процентный 5 2 2 62 7" xfId="34666" xr:uid="{00000000-0005-0000-0000-000097B40000}"/>
    <cellStyle name="Процентный 5 2 2 62 8" xfId="40006" xr:uid="{00000000-0005-0000-0000-000098B40000}"/>
    <cellStyle name="Процентный 5 2 2 62 9" xfId="45346" xr:uid="{00000000-0005-0000-0000-000099B40000}"/>
    <cellStyle name="Процентный 5 2 2 63" xfId="2654" xr:uid="{00000000-0005-0000-0000-00009AB40000}"/>
    <cellStyle name="Процентный 5 2 2 63 10" xfId="50718" xr:uid="{00000000-0005-0000-0000-00009BB40000}"/>
    <cellStyle name="Процентный 5 2 2 63 2" xfId="7997" xr:uid="{00000000-0005-0000-0000-00009CB40000}"/>
    <cellStyle name="Процентный 5 2 2 63 2 2" xfId="56059" xr:uid="{00000000-0005-0000-0000-00009DB40000}"/>
    <cellStyle name="Процентный 5 2 2 63 3" xfId="13338" xr:uid="{00000000-0005-0000-0000-00009EB40000}"/>
    <cellStyle name="Процентный 5 2 2 63 4" xfId="18678" xr:uid="{00000000-0005-0000-0000-00009FB40000}"/>
    <cellStyle name="Процентный 5 2 2 63 5" xfId="24018" xr:uid="{00000000-0005-0000-0000-0000A0B40000}"/>
    <cellStyle name="Процентный 5 2 2 63 6" xfId="29358" xr:uid="{00000000-0005-0000-0000-0000A1B40000}"/>
    <cellStyle name="Процентный 5 2 2 63 7" xfId="34698" xr:uid="{00000000-0005-0000-0000-0000A2B40000}"/>
    <cellStyle name="Процентный 5 2 2 63 8" xfId="40038" xr:uid="{00000000-0005-0000-0000-0000A3B40000}"/>
    <cellStyle name="Процентный 5 2 2 63 9" xfId="45378" xr:uid="{00000000-0005-0000-0000-0000A4B40000}"/>
    <cellStyle name="Процентный 5 2 2 64" xfId="2686" xr:uid="{00000000-0005-0000-0000-0000A5B40000}"/>
    <cellStyle name="Процентный 5 2 2 64 10" xfId="50750" xr:uid="{00000000-0005-0000-0000-0000A6B40000}"/>
    <cellStyle name="Процентный 5 2 2 64 2" xfId="8029" xr:uid="{00000000-0005-0000-0000-0000A7B40000}"/>
    <cellStyle name="Процентный 5 2 2 64 2 2" xfId="56091" xr:uid="{00000000-0005-0000-0000-0000A8B40000}"/>
    <cellStyle name="Процентный 5 2 2 64 3" xfId="13370" xr:uid="{00000000-0005-0000-0000-0000A9B40000}"/>
    <cellStyle name="Процентный 5 2 2 64 4" xfId="18710" xr:uid="{00000000-0005-0000-0000-0000AAB40000}"/>
    <cellStyle name="Процентный 5 2 2 64 5" xfId="24050" xr:uid="{00000000-0005-0000-0000-0000ABB40000}"/>
    <cellStyle name="Процентный 5 2 2 64 6" xfId="29390" xr:uid="{00000000-0005-0000-0000-0000ACB40000}"/>
    <cellStyle name="Процентный 5 2 2 64 7" xfId="34730" xr:uid="{00000000-0005-0000-0000-0000ADB40000}"/>
    <cellStyle name="Процентный 5 2 2 64 8" xfId="40070" xr:uid="{00000000-0005-0000-0000-0000AEB40000}"/>
    <cellStyle name="Процентный 5 2 2 64 9" xfId="45410" xr:uid="{00000000-0005-0000-0000-0000AFB40000}"/>
    <cellStyle name="Процентный 5 2 2 65" xfId="2718" xr:uid="{00000000-0005-0000-0000-0000B0B40000}"/>
    <cellStyle name="Процентный 5 2 2 65 10" xfId="50782" xr:uid="{00000000-0005-0000-0000-0000B1B40000}"/>
    <cellStyle name="Процентный 5 2 2 65 2" xfId="8061" xr:uid="{00000000-0005-0000-0000-0000B2B40000}"/>
    <cellStyle name="Процентный 5 2 2 65 2 2" xfId="56123" xr:uid="{00000000-0005-0000-0000-0000B3B40000}"/>
    <cellStyle name="Процентный 5 2 2 65 3" xfId="13402" xr:uid="{00000000-0005-0000-0000-0000B4B40000}"/>
    <cellStyle name="Процентный 5 2 2 65 4" xfId="18742" xr:uid="{00000000-0005-0000-0000-0000B5B40000}"/>
    <cellStyle name="Процентный 5 2 2 65 5" xfId="24082" xr:uid="{00000000-0005-0000-0000-0000B6B40000}"/>
    <cellStyle name="Процентный 5 2 2 65 6" xfId="29422" xr:uid="{00000000-0005-0000-0000-0000B7B40000}"/>
    <cellStyle name="Процентный 5 2 2 65 7" xfId="34762" xr:uid="{00000000-0005-0000-0000-0000B8B40000}"/>
    <cellStyle name="Процентный 5 2 2 65 8" xfId="40102" xr:uid="{00000000-0005-0000-0000-0000B9B40000}"/>
    <cellStyle name="Процентный 5 2 2 65 9" xfId="45442" xr:uid="{00000000-0005-0000-0000-0000BAB40000}"/>
    <cellStyle name="Процентный 5 2 2 66" xfId="2750" xr:uid="{00000000-0005-0000-0000-0000BBB40000}"/>
    <cellStyle name="Процентный 5 2 2 66 10" xfId="50814" xr:uid="{00000000-0005-0000-0000-0000BCB40000}"/>
    <cellStyle name="Процентный 5 2 2 66 2" xfId="8093" xr:uid="{00000000-0005-0000-0000-0000BDB40000}"/>
    <cellStyle name="Процентный 5 2 2 66 2 2" xfId="56155" xr:uid="{00000000-0005-0000-0000-0000BEB40000}"/>
    <cellStyle name="Процентный 5 2 2 66 3" xfId="13434" xr:uid="{00000000-0005-0000-0000-0000BFB40000}"/>
    <cellStyle name="Процентный 5 2 2 66 4" xfId="18774" xr:uid="{00000000-0005-0000-0000-0000C0B40000}"/>
    <cellStyle name="Процентный 5 2 2 66 5" xfId="24114" xr:uid="{00000000-0005-0000-0000-0000C1B40000}"/>
    <cellStyle name="Процентный 5 2 2 66 6" xfId="29454" xr:uid="{00000000-0005-0000-0000-0000C2B40000}"/>
    <cellStyle name="Процентный 5 2 2 66 7" xfId="34794" xr:uid="{00000000-0005-0000-0000-0000C3B40000}"/>
    <cellStyle name="Процентный 5 2 2 66 8" xfId="40134" xr:uid="{00000000-0005-0000-0000-0000C4B40000}"/>
    <cellStyle name="Процентный 5 2 2 66 9" xfId="45474" xr:uid="{00000000-0005-0000-0000-0000C5B40000}"/>
    <cellStyle name="Процентный 5 2 2 67" xfId="2784" xr:uid="{00000000-0005-0000-0000-0000C6B40000}"/>
    <cellStyle name="Процентный 5 2 2 67 10" xfId="50848" xr:uid="{00000000-0005-0000-0000-0000C7B40000}"/>
    <cellStyle name="Процентный 5 2 2 67 2" xfId="8127" xr:uid="{00000000-0005-0000-0000-0000C8B40000}"/>
    <cellStyle name="Процентный 5 2 2 67 2 2" xfId="56189" xr:uid="{00000000-0005-0000-0000-0000C9B40000}"/>
    <cellStyle name="Процентный 5 2 2 67 3" xfId="13468" xr:uid="{00000000-0005-0000-0000-0000CAB40000}"/>
    <cellStyle name="Процентный 5 2 2 67 4" xfId="18808" xr:uid="{00000000-0005-0000-0000-0000CBB40000}"/>
    <cellStyle name="Процентный 5 2 2 67 5" xfId="24148" xr:uid="{00000000-0005-0000-0000-0000CCB40000}"/>
    <cellStyle name="Процентный 5 2 2 67 6" xfId="29488" xr:uid="{00000000-0005-0000-0000-0000CDB40000}"/>
    <cellStyle name="Процентный 5 2 2 67 7" xfId="34828" xr:uid="{00000000-0005-0000-0000-0000CEB40000}"/>
    <cellStyle name="Процентный 5 2 2 67 8" xfId="40168" xr:uid="{00000000-0005-0000-0000-0000CFB40000}"/>
    <cellStyle name="Процентный 5 2 2 67 9" xfId="45508" xr:uid="{00000000-0005-0000-0000-0000D0B40000}"/>
    <cellStyle name="Процентный 5 2 2 68" xfId="2816" xr:uid="{00000000-0005-0000-0000-0000D1B40000}"/>
    <cellStyle name="Процентный 5 2 2 68 10" xfId="50880" xr:uid="{00000000-0005-0000-0000-0000D2B40000}"/>
    <cellStyle name="Процентный 5 2 2 68 2" xfId="8159" xr:uid="{00000000-0005-0000-0000-0000D3B40000}"/>
    <cellStyle name="Процентный 5 2 2 68 2 2" xfId="56221" xr:uid="{00000000-0005-0000-0000-0000D4B40000}"/>
    <cellStyle name="Процентный 5 2 2 68 3" xfId="13500" xr:uid="{00000000-0005-0000-0000-0000D5B40000}"/>
    <cellStyle name="Процентный 5 2 2 68 4" xfId="18840" xr:uid="{00000000-0005-0000-0000-0000D6B40000}"/>
    <cellStyle name="Процентный 5 2 2 68 5" xfId="24180" xr:uid="{00000000-0005-0000-0000-0000D7B40000}"/>
    <cellStyle name="Процентный 5 2 2 68 6" xfId="29520" xr:uid="{00000000-0005-0000-0000-0000D8B40000}"/>
    <cellStyle name="Процентный 5 2 2 68 7" xfId="34860" xr:uid="{00000000-0005-0000-0000-0000D9B40000}"/>
    <cellStyle name="Процентный 5 2 2 68 8" xfId="40200" xr:uid="{00000000-0005-0000-0000-0000DAB40000}"/>
    <cellStyle name="Процентный 5 2 2 68 9" xfId="45540" xr:uid="{00000000-0005-0000-0000-0000DBB40000}"/>
    <cellStyle name="Процентный 5 2 2 69" xfId="2848" xr:uid="{00000000-0005-0000-0000-0000DCB40000}"/>
    <cellStyle name="Процентный 5 2 2 69 10" xfId="50912" xr:uid="{00000000-0005-0000-0000-0000DDB40000}"/>
    <cellStyle name="Процентный 5 2 2 69 2" xfId="8191" xr:uid="{00000000-0005-0000-0000-0000DEB40000}"/>
    <cellStyle name="Процентный 5 2 2 69 2 2" xfId="56253" xr:uid="{00000000-0005-0000-0000-0000DFB40000}"/>
    <cellStyle name="Процентный 5 2 2 69 3" xfId="13532" xr:uid="{00000000-0005-0000-0000-0000E0B40000}"/>
    <cellStyle name="Процентный 5 2 2 69 4" xfId="18872" xr:uid="{00000000-0005-0000-0000-0000E1B40000}"/>
    <cellStyle name="Процентный 5 2 2 69 5" xfId="24212" xr:uid="{00000000-0005-0000-0000-0000E2B40000}"/>
    <cellStyle name="Процентный 5 2 2 69 6" xfId="29552" xr:uid="{00000000-0005-0000-0000-0000E3B40000}"/>
    <cellStyle name="Процентный 5 2 2 69 7" xfId="34892" xr:uid="{00000000-0005-0000-0000-0000E4B40000}"/>
    <cellStyle name="Процентный 5 2 2 69 8" xfId="40232" xr:uid="{00000000-0005-0000-0000-0000E5B40000}"/>
    <cellStyle name="Процентный 5 2 2 69 9" xfId="45572" xr:uid="{00000000-0005-0000-0000-0000E6B40000}"/>
    <cellStyle name="Процентный 5 2 2 7" xfId="1105" xr:uid="{00000000-0005-0000-0000-0000E7B40000}"/>
    <cellStyle name="Процентный 5 2 2 7 10" xfId="49168" xr:uid="{00000000-0005-0000-0000-0000E8B40000}"/>
    <cellStyle name="Процентный 5 2 2 7 2" xfId="6447" xr:uid="{00000000-0005-0000-0000-0000E9B40000}"/>
    <cellStyle name="Процентный 5 2 2 7 2 2" xfId="54509" xr:uid="{00000000-0005-0000-0000-0000EAB40000}"/>
    <cellStyle name="Процентный 5 2 2 7 3" xfId="11788" xr:uid="{00000000-0005-0000-0000-0000EBB40000}"/>
    <cellStyle name="Процентный 5 2 2 7 4" xfId="17128" xr:uid="{00000000-0005-0000-0000-0000ECB40000}"/>
    <cellStyle name="Процентный 5 2 2 7 5" xfId="22468" xr:uid="{00000000-0005-0000-0000-0000EDB40000}"/>
    <cellStyle name="Процентный 5 2 2 7 6" xfId="27808" xr:uid="{00000000-0005-0000-0000-0000EEB40000}"/>
    <cellStyle name="Процентный 5 2 2 7 7" xfId="33148" xr:uid="{00000000-0005-0000-0000-0000EFB40000}"/>
    <cellStyle name="Процентный 5 2 2 7 8" xfId="38488" xr:uid="{00000000-0005-0000-0000-0000F0B40000}"/>
    <cellStyle name="Процентный 5 2 2 7 9" xfId="43828" xr:uid="{00000000-0005-0000-0000-0000F1B40000}"/>
    <cellStyle name="Процентный 5 2 2 70" xfId="2880" xr:uid="{00000000-0005-0000-0000-0000F2B40000}"/>
    <cellStyle name="Процентный 5 2 2 70 10" xfId="50944" xr:uid="{00000000-0005-0000-0000-0000F3B40000}"/>
    <cellStyle name="Процентный 5 2 2 70 2" xfId="8223" xr:uid="{00000000-0005-0000-0000-0000F4B40000}"/>
    <cellStyle name="Процентный 5 2 2 70 2 2" xfId="56285" xr:uid="{00000000-0005-0000-0000-0000F5B40000}"/>
    <cellStyle name="Процентный 5 2 2 70 3" xfId="13564" xr:uid="{00000000-0005-0000-0000-0000F6B40000}"/>
    <cellStyle name="Процентный 5 2 2 70 4" xfId="18904" xr:uid="{00000000-0005-0000-0000-0000F7B40000}"/>
    <cellStyle name="Процентный 5 2 2 70 5" xfId="24244" xr:uid="{00000000-0005-0000-0000-0000F8B40000}"/>
    <cellStyle name="Процентный 5 2 2 70 6" xfId="29584" xr:uid="{00000000-0005-0000-0000-0000F9B40000}"/>
    <cellStyle name="Процентный 5 2 2 70 7" xfId="34924" xr:uid="{00000000-0005-0000-0000-0000FAB40000}"/>
    <cellStyle name="Процентный 5 2 2 70 8" xfId="40264" xr:uid="{00000000-0005-0000-0000-0000FBB40000}"/>
    <cellStyle name="Процентный 5 2 2 70 9" xfId="45604" xr:uid="{00000000-0005-0000-0000-0000FCB40000}"/>
    <cellStyle name="Процентный 5 2 2 71" xfId="2912" xr:uid="{00000000-0005-0000-0000-0000FDB40000}"/>
    <cellStyle name="Процентный 5 2 2 71 10" xfId="50976" xr:uid="{00000000-0005-0000-0000-0000FEB40000}"/>
    <cellStyle name="Процентный 5 2 2 71 2" xfId="8255" xr:uid="{00000000-0005-0000-0000-0000FFB40000}"/>
    <cellStyle name="Процентный 5 2 2 71 2 2" xfId="56317" xr:uid="{00000000-0005-0000-0000-000000B50000}"/>
    <cellStyle name="Процентный 5 2 2 71 3" xfId="13596" xr:uid="{00000000-0005-0000-0000-000001B50000}"/>
    <cellStyle name="Процентный 5 2 2 71 4" xfId="18936" xr:uid="{00000000-0005-0000-0000-000002B50000}"/>
    <cellStyle name="Процентный 5 2 2 71 5" xfId="24276" xr:uid="{00000000-0005-0000-0000-000003B50000}"/>
    <cellStyle name="Процентный 5 2 2 71 6" xfId="29616" xr:uid="{00000000-0005-0000-0000-000004B50000}"/>
    <cellStyle name="Процентный 5 2 2 71 7" xfId="34956" xr:uid="{00000000-0005-0000-0000-000005B50000}"/>
    <cellStyle name="Процентный 5 2 2 71 8" xfId="40296" xr:uid="{00000000-0005-0000-0000-000006B50000}"/>
    <cellStyle name="Процентный 5 2 2 71 9" xfId="45636" xr:uid="{00000000-0005-0000-0000-000007B50000}"/>
    <cellStyle name="Процентный 5 2 2 72" xfId="2944" xr:uid="{00000000-0005-0000-0000-000008B50000}"/>
    <cellStyle name="Процентный 5 2 2 72 10" xfId="51008" xr:uid="{00000000-0005-0000-0000-000009B50000}"/>
    <cellStyle name="Процентный 5 2 2 72 2" xfId="8287" xr:uid="{00000000-0005-0000-0000-00000AB50000}"/>
    <cellStyle name="Процентный 5 2 2 72 2 2" xfId="56349" xr:uid="{00000000-0005-0000-0000-00000BB50000}"/>
    <cellStyle name="Процентный 5 2 2 72 3" xfId="13628" xr:uid="{00000000-0005-0000-0000-00000CB50000}"/>
    <cellStyle name="Процентный 5 2 2 72 4" xfId="18968" xr:uid="{00000000-0005-0000-0000-00000DB50000}"/>
    <cellStyle name="Процентный 5 2 2 72 5" xfId="24308" xr:uid="{00000000-0005-0000-0000-00000EB50000}"/>
    <cellStyle name="Процентный 5 2 2 72 6" xfId="29648" xr:uid="{00000000-0005-0000-0000-00000FB50000}"/>
    <cellStyle name="Процентный 5 2 2 72 7" xfId="34988" xr:uid="{00000000-0005-0000-0000-000010B50000}"/>
    <cellStyle name="Процентный 5 2 2 72 8" xfId="40328" xr:uid="{00000000-0005-0000-0000-000011B50000}"/>
    <cellStyle name="Процентный 5 2 2 72 9" xfId="45668" xr:uid="{00000000-0005-0000-0000-000012B50000}"/>
    <cellStyle name="Процентный 5 2 2 73" xfId="2976" xr:uid="{00000000-0005-0000-0000-000013B50000}"/>
    <cellStyle name="Процентный 5 2 2 73 10" xfId="51040" xr:uid="{00000000-0005-0000-0000-000014B50000}"/>
    <cellStyle name="Процентный 5 2 2 73 2" xfId="8319" xr:uid="{00000000-0005-0000-0000-000015B50000}"/>
    <cellStyle name="Процентный 5 2 2 73 2 2" xfId="56381" xr:uid="{00000000-0005-0000-0000-000016B50000}"/>
    <cellStyle name="Процентный 5 2 2 73 3" xfId="13660" xr:uid="{00000000-0005-0000-0000-000017B50000}"/>
    <cellStyle name="Процентный 5 2 2 73 4" xfId="19000" xr:uid="{00000000-0005-0000-0000-000018B50000}"/>
    <cellStyle name="Процентный 5 2 2 73 5" xfId="24340" xr:uid="{00000000-0005-0000-0000-000019B50000}"/>
    <cellStyle name="Процентный 5 2 2 73 6" xfId="29680" xr:uid="{00000000-0005-0000-0000-00001AB50000}"/>
    <cellStyle name="Процентный 5 2 2 73 7" xfId="35020" xr:uid="{00000000-0005-0000-0000-00001BB50000}"/>
    <cellStyle name="Процентный 5 2 2 73 8" xfId="40360" xr:uid="{00000000-0005-0000-0000-00001CB50000}"/>
    <cellStyle name="Процентный 5 2 2 73 9" xfId="45700" xr:uid="{00000000-0005-0000-0000-00001DB50000}"/>
    <cellStyle name="Процентный 5 2 2 74" xfId="3008" xr:uid="{00000000-0005-0000-0000-00001EB50000}"/>
    <cellStyle name="Процентный 5 2 2 74 10" xfId="51072" xr:uid="{00000000-0005-0000-0000-00001FB50000}"/>
    <cellStyle name="Процентный 5 2 2 74 2" xfId="8351" xr:uid="{00000000-0005-0000-0000-000020B50000}"/>
    <cellStyle name="Процентный 5 2 2 74 2 2" xfId="56413" xr:uid="{00000000-0005-0000-0000-000021B50000}"/>
    <cellStyle name="Процентный 5 2 2 74 3" xfId="13692" xr:uid="{00000000-0005-0000-0000-000022B50000}"/>
    <cellStyle name="Процентный 5 2 2 74 4" xfId="19032" xr:uid="{00000000-0005-0000-0000-000023B50000}"/>
    <cellStyle name="Процентный 5 2 2 74 5" xfId="24372" xr:uid="{00000000-0005-0000-0000-000024B50000}"/>
    <cellStyle name="Процентный 5 2 2 74 6" xfId="29712" xr:uid="{00000000-0005-0000-0000-000025B50000}"/>
    <cellStyle name="Процентный 5 2 2 74 7" xfId="35052" xr:uid="{00000000-0005-0000-0000-000026B50000}"/>
    <cellStyle name="Процентный 5 2 2 74 8" xfId="40392" xr:uid="{00000000-0005-0000-0000-000027B50000}"/>
    <cellStyle name="Процентный 5 2 2 74 9" xfId="45732" xr:uid="{00000000-0005-0000-0000-000028B50000}"/>
    <cellStyle name="Процентный 5 2 2 75" xfId="3040" xr:uid="{00000000-0005-0000-0000-000029B50000}"/>
    <cellStyle name="Процентный 5 2 2 75 10" xfId="51104" xr:uid="{00000000-0005-0000-0000-00002AB50000}"/>
    <cellStyle name="Процентный 5 2 2 75 2" xfId="8383" xr:uid="{00000000-0005-0000-0000-00002BB50000}"/>
    <cellStyle name="Процентный 5 2 2 75 2 2" xfId="56445" xr:uid="{00000000-0005-0000-0000-00002CB50000}"/>
    <cellStyle name="Процентный 5 2 2 75 3" xfId="13724" xr:uid="{00000000-0005-0000-0000-00002DB50000}"/>
    <cellStyle name="Процентный 5 2 2 75 4" xfId="19064" xr:uid="{00000000-0005-0000-0000-00002EB50000}"/>
    <cellStyle name="Процентный 5 2 2 75 5" xfId="24404" xr:uid="{00000000-0005-0000-0000-00002FB50000}"/>
    <cellStyle name="Процентный 5 2 2 75 6" xfId="29744" xr:uid="{00000000-0005-0000-0000-000030B50000}"/>
    <cellStyle name="Процентный 5 2 2 75 7" xfId="35084" xr:uid="{00000000-0005-0000-0000-000031B50000}"/>
    <cellStyle name="Процентный 5 2 2 75 8" xfId="40424" xr:uid="{00000000-0005-0000-0000-000032B50000}"/>
    <cellStyle name="Процентный 5 2 2 75 9" xfId="45764" xr:uid="{00000000-0005-0000-0000-000033B50000}"/>
    <cellStyle name="Процентный 5 2 2 76" xfId="3072" xr:uid="{00000000-0005-0000-0000-000034B50000}"/>
    <cellStyle name="Процентный 5 2 2 76 10" xfId="51136" xr:uid="{00000000-0005-0000-0000-000035B50000}"/>
    <cellStyle name="Процентный 5 2 2 76 2" xfId="8415" xr:uid="{00000000-0005-0000-0000-000036B50000}"/>
    <cellStyle name="Процентный 5 2 2 76 2 2" xfId="56477" xr:uid="{00000000-0005-0000-0000-000037B50000}"/>
    <cellStyle name="Процентный 5 2 2 76 3" xfId="13756" xr:uid="{00000000-0005-0000-0000-000038B50000}"/>
    <cellStyle name="Процентный 5 2 2 76 4" xfId="19096" xr:uid="{00000000-0005-0000-0000-000039B50000}"/>
    <cellStyle name="Процентный 5 2 2 76 5" xfId="24436" xr:uid="{00000000-0005-0000-0000-00003AB50000}"/>
    <cellStyle name="Процентный 5 2 2 76 6" xfId="29776" xr:uid="{00000000-0005-0000-0000-00003BB50000}"/>
    <cellStyle name="Процентный 5 2 2 76 7" xfId="35116" xr:uid="{00000000-0005-0000-0000-00003CB50000}"/>
    <cellStyle name="Процентный 5 2 2 76 8" xfId="40456" xr:uid="{00000000-0005-0000-0000-00003DB50000}"/>
    <cellStyle name="Процентный 5 2 2 76 9" xfId="45796" xr:uid="{00000000-0005-0000-0000-00003EB50000}"/>
    <cellStyle name="Процентный 5 2 2 77" xfId="3104" xr:uid="{00000000-0005-0000-0000-00003FB50000}"/>
    <cellStyle name="Процентный 5 2 2 77 10" xfId="51168" xr:uid="{00000000-0005-0000-0000-000040B50000}"/>
    <cellStyle name="Процентный 5 2 2 77 2" xfId="8447" xr:uid="{00000000-0005-0000-0000-000041B50000}"/>
    <cellStyle name="Процентный 5 2 2 77 2 2" xfId="56509" xr:uid="{00000000-0005-0000-0000-000042B50000}"/>
    <cellStyle name="Процентный 5 2 2 77 3" xfId="13788" xr:uid="{00000000-0005-0000-0000-000043B50000}"/>
    <cellStyle name="Процентный 5 2 2 77 4" xfId="19128" xr:uid="{00000000-0005-0000-0000-000044B50000}"/>
    <cellStyle name="Процентный 5 2 2 77 5" xfId="24468" xr:uid="{00000000-0005-0000-0000-000045B50000}"/>
    <cellStyle name="Процентный 5 2 2 77 6" xfId="29808" xr:uid="{00000000-0005-0000-0000-000046B50000}"/>
    <cellStyle name="Процентный 5 2 2 77 7" xfId="35148" xr:uid="{00000000-0005-0000-0000-000047B50000}"/>
    <cellStyle name="Процентный 5 2 2 77 8" xfId="40488" xr:uid="{00000000-0005-0000-0000-000048B50000}"/>
    <cellStyle name="Процентный 5 2 2 77 9" xfId="45828" xr:uid="{00000000-0005-0000-0000-000049B50000}"/>
    <cellStyle name="Процентный 5 2 2 78" xfId="3137" xr:uid="{00000000-0005-0000-0000-00004AB50000}"/>
    <cellStyle name="Процентный 5 2 2 78 10" xfId="51200" xr:uid="{00000000-0005-0000-0000-00004BB50000}"/>
    <cellStyle name="Процентный 5 2 2 78 2" xfId="8480" xr:uid="{00000000-0005-0000-0000-00004CB50000}"/>
    <cellStyle name="Процентный 5 2 2 78 2 2" xfId="56541" xr:uid="{00000000-0005-0000-0000-00004DB50000}"/>
    <cellStyle name="Процентный 5 2 2 78 3" xfId="13820" xr:uid="{00000000-0005-0000-0000-00004EB50000}"/>
    <cellStyle name="Процентный 5 2 2 78 4" xfId="19160" xr:uid="{00000000-0005-0000-0000-00004FB50000}"/>
    <cellStyle name="Процентный 5 2 2 78 5" xfId="24500" xr:uid="{00000000-0005-0000-0000-000050B50000}"/>
    <cellStyle name="Процентный 5 2 2 78 6" xfId="29840" xr:uid="{00000000-0005-0000-0000-000051B50000}"/>
    <cellStyle name="Процентный 5 2 2 78 7" xfId="35180" xr:uid="{00000000-0005-0000-0000-000052B50000}"/>
    <cellStyle name="Процентный 5 2 2 78 8" xfId="40520" xr:uid="{00000000-0005-0000-0000-000053B50000}"/>
    <cellStyle name="Процентный 5 2 2 78 9" xfId="45860" xr:uid="{00000000-0005-0000-0000-000054B50000}"/>
    <cellStyle name="Процентный 5 2 2 79" xfId="3169" xr:uid="{00000000-0005-0000-0000-000055B50000}"/>
    <cellStyle name="Процентный 5 2 2 79 10" xfId="51232" xr:uid="{00000000-0005-0000-0000-000056B50000}"/>
    <cellStyle name="Процентный 5 2 2 79 2" xfId="8512" xr:uid="{00000000-0005-0000-0000-000057B50000}"/>
    <cellStyle name="Процентный 5 2 2 79 2 2" xfId="56573" xr:uid="{00000000-0005-0000-0000-000058B50000}"/>
    <cellStyle name="Процентный 5 2 2 79 3" xfId="13852" xr:uid="{00000000-0005-0000-0000-000059B50000}"/>
    <cellStyle name="Процентный 5 2 2 79 4" xfId="19192" xr:uid="{00000000-0005-0000-0000-00005AB50000}"/>
    <cellStyle name="Процентный 5 2 2 79 5" xfId="24532" xr:uid="{00000000-0005-0000-0000-00005BB50000}"/>
    <cellStyle name="Процентный 5 2 2 79 6" xfId="29872" xr:uid="{00000000-0005-0000-0000-00005CB50000}"/>
    <cellStyle name="Процентный 5 2 2 79 7" xfId="35212" xr:uid="{00000000-0005-0000-0000-00005DB50000}"/>
    <cellStyle name="Процентный 5 2 2 79 8" xfId="40552" xr:uid="{00000000-0005-0000-0000-00005EB50000}"/>
    <cellStyle name="Процентный 5 2 2 79 9" xfId="45892" xr:uid="{00000000-0005-0000-0000-00005FB50000}"/>
    <cellStyle name="Процентный 5 2 2 8" xfId="1131" xr:uid="{00000000-0005-0000-0000-000060B50000}"/>
    <cellStyle name="Процентный 5 2 2 8 10" xfId="49194" xr:uid="{00000000-0005-0000-0000-000061B50000}"/>
    <cellStyle name="Процентный 5 2 2 8 2" xfId="6473" xr:uid="{00000000-0005-0000-0000-000062B50000}"/>
    <cellStyle name="Процентный 5 2 2 8 2 2" xfId="54535" xr:uid="{00000000-0005-0000-0000-000063B50000}"/>
    <cellStyle name="Процентный 5 2 2 8 3" xfId="11814" xr:uid="{00000000-0005-0000-0000-000064B50000}"/>
    <cellStyle name="Процентный 5 2 2 8 4" xfId="17154" xr:uid="{00000000-0005-0000-0000-000065B50000}"/>
    <cellStyle name="Процентный 5 2 2 8 5" xfId="22494" xr:uid="{00000000-0005-0000-0000-000066B50000}"/>
    <cellStyle name="Процентный 5 2 2 8 6" xfId="27834" xr:uid="{00000000-0005-0000-0000-000067B50000}"/>
    <cellStyle name="Процентный 5 2 2 8 7" xfId="33174" xr:uid="{00000000-0005-0000-0000-000068B50000}"/>
    <cellStyle name="Процентный 5 2 2 8 8" xfId="38514" xr:uid="{00000000-0005-0000-0000-000069B50000}"/>
    <cellStyle name="Процентный 5 2 2 8 9" xfId="43854" xr:uid="{00000000-0005-0000-0000-00006AB50000}"/>
    <cellStyle name="Процентный 5 2 2 80" xfId="3201" xr:uid="{00000000-0005-0000-0000-00006BB50000}"/>
    <cellStyle name="Процентный 5 2 2 80 10" xfId="51264" xr:uid="{00000000-0005-0000-0000-00006CB50000}"/>
    <cellStyle name="Процентный 5 2 2 80 2" xfId="8544" xr:uid="{00000000-0005-0000-0000-00006DB50000}"/>
    <cellStyle name="Процентный 5 2 2 80 2 2" xfId="56605" xr:uid="{00000000-0005-0000-0000-00006EB50000}"/>
    <cellStyle name="Процентный 5 2 2 80 3" xfId="13884" xr:uid="{00000000-0005-0000-0000-00006FB50000}"/>
    <cellStyle name="Процентный 5 2 2 80 4" xfId="19224" xr:uid="{00000000-0005-0000-0000-000070B50000}"/>
    <cellStyle name="Процентный 5 2 2 80 5" xfId="24564" xr:uid="{00000000-0005-0000-0000-000071B50000}"/>
    <cellStyle name="Процентный 5 2 2 80 6" xfId="29904" xr:uid="{00000000-0005-0000-0000-000072B50000}"/>
    <cellStyle name="Процентный 5 2 2 80 7" xfId="35244" xr:uid="{00000000-0005-0000-0000-000073B50000}"/>
    <cellStyle name="Процентный 5 2 2 80 8" xfId="40584" xr:uid="{00000000-0005-0000-0000-000074B50000}"/>
    <cellStyle name="Процентный 5 2 2 80 9" xfId="45924" xr:uid="{00000000-0005-0000-0000-000075B50000}"/>
    <cellStyle name="Процентный 5 2 2 81" xfId="3233" xr:uid="{00000000-0005-0000-0000-000076B50000}"/>
    <cellStyle name="Процентный 5 2 2 81 10" xfId="51296" xr:uid="{00000000-0005-0000-0000-000077B50000}"/>
    <cellStyle name="Процентный 5 2 2 81 2" xfId="8576" xr:uid="{00000000-0005-0000-0000-000078B50000}"/>
    <cellStyle name="Процентный 5 2 2 81 2 2" xfId="56637" xr:uid="{00000000-0005-0000-0000-000079B50000}"/>
    <cellStyle name="Процентный 5 2 2 81 3" xfId="13916" xr:uid="{00000000-0005-0000-0000-00007AB50000}"/>
    <cellStyle name="Процентный 5 2 2 81 4" xfId="19256" xr:uid="{00000000-0005-0000-0000-00007BB50000}"/>
    <cellStyle name="Процентный 5 2 2 81 5" xfId="24596" xr:uid="{00000000-0005-0000-0000-00007CB50000}"/>
    <cellStyle name="Процентный 5 2 2 81 6" xfId="29936" xr:uid="{00000000-0005-0000-0000-00007DB50000}"/>
    <cellStyle name="Процентный 5 2 2 81 7" xfId="35276" xr:uid="{00000000-0005-0000-0000-00007EB50000}"/>
    <cellStyle name="Процентный 5 2 2 81 8" xfId="40616" xr:uid="{00000000-0005-0000-0000-00007FB50000}"/>
    <cellStyle name="Процентный 5 2 2 81 9" xfId="45956" xr:uid="{00000000-0005-0000-0000-000080B50000}"/>
    <cellStyle name="Процентный 5 2 2 82" xfId="3265" xr:uid="{00000000-0005-0000-0000-000081B50000}"/>
    <cellStyle name="Процентный 5 2 2 82 10" xfId="51328" xr:uid="{00000000-0005-0000-0000-000082B50000}"/>
    <cellStyle name="Процентный 5 2 2 82 2" xfId="8608" xr:uid="{00000000-0005-0000-0000-000083B50000}"/>
    <cellStyle name="Процентный 5 2 2 82 2 2" xfId="56669" xr:uid="{00000000-0005-0000-0000-000084B50000}"/>
    <cellStyle name="Процентный 5 2 2 82 3" xfId="13948" xr:uid="{00000000-0005-0000-0000-000085B50000}"/>
    <cellStyle name="Процентный 5 2 2 82 4" xfId="19288" xr:uid="{00000000-0005-0000-0000-000086B50000}"/>
    <cellStyle name="Процентный 5 2 2 82 5" xfId="24628" xr:uid="{00000000-0005-0000-0000-000087B50000}"/>
    <cellStyle name="Процентный 5 2 2 82 6" xfId="29968" xr:uid="{00000000-0005-0000-0000-000088B50000}"/>
    <cellStyle name="Процентный 5 2 2 82 7" xfId="35308" xr:uid="{00000000-0005-0000-0000-000089B50000}"/>
    <cellStyle name="Процентный 5 2 2 82 8" xfId="40648" xr:uid="{00000000-0005-0000-0000-00008AB50000}"/>
    <cellStyle name="Процентный 5 2 2 82 9" xfId="45988" xr:uid="{00000000-0005-0000-0000-00008BB50000}"/>
    <cellStyle name="Процентный 5 2 2 83" xfId="3297" xr:uid="{00000000-0005-0000-0000-00008CB50000}"/>
    <cellStyle name="Процентный 5 2 2 83 10" xfId="51360" xr:uid="{00000000-0005-0000-0000-00008DB50000}"/>
    <cellStyle name="Процентный 5 2 2 83 2" xfId="8640" xr:uid="{00000000-0005-0000-0000-00008EB50000}"/>
    <cellStyle name="Процентный 5 2 2 83 2 2" xfId="56701" xr:uid="{00000000-0005-0000-0000-00008FB50000}"/>
    <cellStyle name="Процентный 5 2 2 83 3" xfId="13980" xr:uid="{00000000-0005-0000-0000-000090B50000}"/>
    <cellStyle name="Процентный 5 2 2 83 4" xfId="19320" xr:uid="{00000000-0005-0000-0000-000091B50000}"/>
    <cellStyle name="Процентный 5 2 2 83 5" xfId="24660" xr:uid="{00000000-0005-0000-0000-000092B50000}"/>
    <cellStyle name="Процентный 5 2 2 83 6" xfId="30000" xr:uid="{00000000-0005-0000-0000-000093B50000}"/>
    <cellStyle name="Процентный 5 2 2 83 7" xfId="35340" xr:uid="{00000000-0005-0000-0000-000094B50000}"/>
    <cellStyle name="Процентный 5 2 2 83 8" xfId="40680" xr:uid="{00000000-0005-0000-0000-000095B50000}"/>
    <cellStyle name="Процентный 5 2 2 83 9" xfId="46020" xr:uid="{00000000-0005-0000-0000-000096B50000}"/>
    <cellStyle name="Процентный 5 2 2 84" xfId="3329" xr:uid="{00000000-0005-0000-0000-000097B50000}"/>
    <cellStyle name="Процентный 5 2 2 84 10" xfId="51392" xr:uid="{00000000-0005-0000-0000-000098B50000}"/>
    <cellStyle name="Процентный 5 2 2 84 2" xfId="8672" xr:uid="{00000000-0005-0000-0000-000099B50000}"/>
    <cellStyle name="Процентный 5 2 2 84 2 2" xfId="56733" xr:uid="{00000000-0005-0000-0000-00009AB50000}"/>
    <cellStyle name="Процентный 5 2 2 84 3" xfId="14012" xr:uid="{00000000-0005-0000-0000-00009BB50000}"/>
    <cellStyle name="Процентный 5 2 2 84 4" xfId="19352" xr:uid="{00000000-0005-0000-0000-00009CB50000}"/>
    <cellStyle name="Процентный 5 2 2 84 5" xfId="24692" xr:uid="{00000000-0005-0000-0000-00009DB50000}"/>
    <cellStyle name="Процентный 5 2 2 84 6" xfId="30032" xr:uid="{00000000-0005-0000-0000-00009EB50000}"/>
    <cellStyle name="Процентный 5 2 2 84 7" xfId="35372" xr:uid="{00000000-0005-0000-0000-00009FB50000}"/>
    <cellStyle name="Процентный 5 2 2 84 8" xfId="40712" xr:uid="{00000000-0005-0000-0000-0000A0B50000}"/>
    <cellStyle name="Процентный 5 2 2 84 9" xfId="46052" xr:uid="{00000000-0005-0000-0000-0000A1B50000}"/>
    <cellStyle name="Процентный 5 2 2 85" xfId="3361" xr:uid="{00000000-0005-0000-0000-0000A2B50000}"/>
    <cellStyle name="Процентный 5 2 2 85 10" xfId="51424" xr:uid="{00000000-0005-0000-0000-0000A3B50000}"/>
    <cellStyle name="Процентный 5 2 2 85 2" xfId="8704" xr:uid="{00000000-0005-0000-0000-0000A4B50000}"/>
    <cellStyle name="Процентный 5 2 2 85 2 2" xfId="56765" xr:uid="{00000000-0005-0000-0000-0000A5B50000}"/>
    <cellStyle name="Процентный 5 2 2 85 3" xfId="14044" xr:uid="{00000000-0005-0000-0000-0000A6B50000}"/>
    <cellStyle name="Процентный 5 2 2 85 4" xfId="19384" xr:uid="{00000000-0005-0000-0000-0000A7B50000}"/>
    <cellStyle name="Процентный 5 2 2 85 5" xfId="24724" xr:uid="{00000000-0005-0000-0000-0000A8B50000}"/>
    <cellStyle name="Процентный 5 2 2 85 6" xfId="30064" xr:uid="{00000000-0005-0000-0000-0000A9B50000}"/>
    <cellStyle name="Процентный 5 2 2 85 7" xfId="35404" xr:uid="{00000000-0005-0000-0000-0000AAB50000}"/>
    <cellStyle name="Процентный 5 2 2 85 8" xfId="40744" xr:uid="{00000000-0005-0000-0000-0000ABB50000}"/>
    <cellStyle name="Процентный 5 2 2 85 9" xfId="46084" xr:uid="{00000000-0005-0000-0000-0000ACB50000}"/>
    <cellStyle name="Процентный 5 2 2 86" xfId="3393" xr:uid="{00000000-0005-0000-0000-0000ADB50000}"/>
    <cellStyle name="Процентный 5 2 2 86 10" xfId="51456" xr:uid="{00000000-0005-0000-0000-0000AEB50000}"/>
    <cellStyle name="Процентный 5 2 2 86 2" xfId="8736" xr:uid="{00000000-0005-0000-0000-0000AFB50000}"/>
    <cellStyle name="Процентный 5 2 2 86 2 2" xfId="56797" xr:uid="{00000000-0005-0000-0000-0000B0B50000}"/>
    <cellStyle name="Процентный 5 2 2 86 3" xfId="14076" xr:uid="{00000000-0005-0000-0000-0000B1B50000}"/>
    <cellStyle name="Процентный 5 2 2 86 4" xfId="19416" xr:uid="{00000000-0005-0000-0000-0000B2B50000}"/>
    <cellStyle name="Процентный 5 2 2 86 5" xfId="24756" xr:uid="{00000000-0005-0000-0000-0000B3B50000}"/>
    <cellStyle name="Процентный 5 2 2 86 6" xfId="30096" xr:uid="{00000000-0005-0000-0000-0000B4B50000}"/>
    <cellStyle name="Процентный 5 2 2 86 7" xfId="35436" xr:uid="{00000000-0005-0000-0000-0000B5B50000}"/>
    <cellStyle name="Процентный 5 2 2 86 8" xfId="40776" xr:uid="{00000000-0005-0000-0000-0000B6B50000}"/>
    <cellStyle name="Процентный 5 2 2 86 9" xfId="46116" xr:uid="{00000000-0005-0000-0000-0000B7B50000}"/>
    <cellStyle name="Процентный 5 2 2 87" xfId="3425" xr:uid="{00000000-0005-0000-0000-0000B8B50000}"/>
    <cellStyle name="Процентный 5 2 2 87 10" xfId="51488" xr:uid="{00000000-0005-0000-0000-0000B9B50000}"/>
    <cellStyle name="Процентный 5 2 2 87 2" xfId="8768" xr:uid="{00000000-0005-0000-0000-0000BAB50000}"/>
    <cellStyle name="Процентный 5 2 2 87 2 2" xfId="56829" xr:uid="{00000000-0005-0000-0000-0000BBB50000}"/>
    <cellStyle name="Процентный 5 2 2 87 3" xfId="14108" xr:uid="{00000000-0005-0000-0000-0000BCB50000}"/>
    <cellStyle name="Процентный 5 2 2 87 4" xfId="19448" xr:uid="{00000000-0005-0000-0000-0000BDB50000}"/>
    <cellStyle name="Процентный 5 2 2 87 5" xfId="24788" xr:uid="{00000000-0005-0000-0000-0000BEB50000}"/>
    <cellStyle name="Процентный 5 2 2 87 6" xfId="30128" xr:uid="{00000000-0005-0000-0000-0000BFB50000}"/>
    <cellStyle name="Процентный 5 2 2 87 7" xfId="35468" xr:uid="{00000000-0005-0000-0000-0000C0B50000}"/>
    <cellStyle name="Процентный 5 2 2 87 8" xfId="40808" xr:uid="{00000000-0005-0000-0000-0000C1B50000}"/>
    <cellStyle name="Процентный 5 2 2 87 9" xfId="46148" xr:uid="{00000000-0005-0000-0000-0000C2B50000}"/>
    <cellStyle name="Процентный 5 2 2 88" xfId="3457" xr:uid="{00000000-0005-0000-0000-0000C3B50000}"/>
    <cellStyle name="Процентный 5 2 2 88 10" xfId="51520" xr:uid="{00000000-0005-0000-0000-0000C4B50000}"/>
    <cellStyle name="Процентный 5 2 2 88 2" xfId="8800" xr:uid="{00000000-0005-0000-0000-0000C5B50000}"/>
    <cellStyle name="Процентный 5 2 2 88 2 2" xfId="56861" xr:uid="{00000000-0005-0000-0000-0000C6B50000}"/>
    <cellStyle name="Процентный 5 2 2 88 3" xfId="14140" xr:uid="{00000000-0005-0000-0000-0000C7B50000}"/>
    <cellStyle name="Процентный 5 2 2 88 4" xfId="19480" xr:uid="{00000000-0005-0000-0000-0000C8B50000}"/>
    <cellStyle name="Процентный 5 2 2 88 5" xfId="24820" xr:uid="{00000000-0005-0000-0000-0000C9B50000}"/>
    <cellStyle name="Процентный 5 2 2 88 6" xfId="30160" xr:uid="{00000000-0005-0000-0000-0000CAB50000}"/>
    <cellStyle name="Процентный 5 2 2 88 7" xfId="35500" xr:uid="{00000000-0005-0000-0000-0000CBB50000}"/>
    <cellStyle name="Процентный 5 2 2 88 8" xfId="40840" xr:uid="{00000000-0005-0000-0000-0000CCB50000}"/>
    <cellStyle name="Процентный 5 2 2 88 9" xfId="46180" xr:uid="{00000000-0005-0000-0000-0000CDB50000}"/>
    <cellStyle name="Процентный 5 2 2 89" xfId="3489" xr:uid="{00000000-0005-0000-0000-0000CEB50000}"/>
    <cellStyle name="Процентный 5 2 2 89 10" xfId="51552" xr:uid="{00000000-0005-0000-0000-0000CFB50000}"/>
    <cellStyle name="Процентный 5 2 2 89 2" xfId="8832" xr:uid="{00000000-0005-0000-0000-0000D0B50000}"/>
    <cellStyle name="Процентный 5 2 2 89 2 2" xfId="56893" xr:uid="{00000000-0005-0000-0000-0000D1B50000}"/>
    <cellStyle name="Процентный 5 2 2 89 3" xfId="14172" xr:uid="{00000000-0005-0000-0000-0000D2B50000}"/>
    <cellStyle name="Процентный 5 2 2 89 4" xfId="19512" xr:uid="{00000000-0005-0000-0000-0000D3B50000}"/>
    <cellStyle name="Процентный 5 2 2 89 5" xfId="24852" xr:uid="{00000000-0005-0000-0000-0000D4B50000}"/>
    <cellStyle name="Процентный 5 2 2 89 6" xfId="30192" xr:uid="{00000000-0005-0000-0000-0000D5B50000}"/>
    <cellStyle name="Процентный 5 2 2 89 7" xfId="35532" xr:uid="{00000000-0005-0000-0000-0000D6B50000}"/>
    <cellStyle name="Процентный 5 2 2 89 8" xfId="40872" xr:uid="{00000000-0005-0000-0000-0000D7B50000}"/>
    <cellStyle name="Процентный 5 2 2 89 9" xfId="46212" xr:uid="{00000000-0005-0000-0000-0000D8B50000}"/>
    <cellStyle name="Процентный 5 2 2 9" xfId="1157" xr:uid="{00000000-0005-0000-0000-0000D9B50000}"/>
    <cellStyle name="Процентный 5 2 2 9 10" xfId="49220" xr:uid="{00000000-0005-0000-0000-0000DAB50000}"/>
    <cellStyle name="Процентный 5 2 2 9 2" xfId="6499" xr:uid="{00000000-0005-0000-0000-0000DBB50000}"/>
    <cellStyle name="Процентный 5 2 2 9 2 2" xfId="54561" xr:uid="{00000000-0005-0000-0000-0000DCB50000}"/>
    <cellStyle name="Процентный 5 2 2 9 3" xfId="11840" xr:uid="{00000000-0005-0000-0000-0000DDB50000}"/>
    <cellStyle name="Процентный 5 2 2 9 4" xfId="17180" xr:uid="{00000000-0005-0000-0000-0000DEB50000}"/>
    <cellStyle name="Процентный 5 2 2 9 5" xfId="22520" xr:uid="{00000000-0005-0000-0000-0000DFB50000}"/>
    <cellStyle name="Процентный 5 2 2 9 6" xfId="27860" xr:uid="{00000000-0005-0000-0000-0000E0B50000}"/>
    <cellStyle name="Процентный 5 2 2 9 7" xfId="33200" xr:uid="{00000000-0005-0000-0000-0000E1B50000}"/>
    <cellStyle name="Процентный 5 2 2 9 8" xfId="38540" xr:uid="{00000000-0005-0000-0000-0000E2B50000}"/>
    <cellStyle name="Процентный 5 2 2 9 9" xfId="43880" xr:uid="{00000000-0005-0000-0000-0000E3B50000}"/>
    <cellStyle name="Процентный 5 2 2 90" xfId="3521" xr:uid="{00000000-0005-0000-0000-0000E4B50000}"/>
    <cellStyle name="Процентный 5 2 2 90 10" xfId="51584" xr:uid="{00000000-0005-0000-0000-0000E5B50000}"/>
    <cellStyle name="Процентный 5 2 2 90 2" xfId="8864" xr:uid="{00000000-0005-0000-0000-0000E6B50000}"/>
    <cellStyle name="Процентный 5 2 2 90 2 2" xfId="56925" xr:uid="{00000000-0005-0000-0000-0000E7B50000}"/>
    <cellStyle name="Процентный 5 2 2 90 3" xfId="14204" xr:uid="{00000000-0005-0000-0000-0000E8B50000}"/>
    <cellStyle name="Процентный 5 2 2 90 4" xfId="19544" xr:uid="{00000000-0005-0000-0000-0000E9B50000}"/>
    <cellStyle name="Процентный 5 2 2 90 5" xfId="24884" xr:uid="{00000000-0005-0000-0000-0000EAB50000}"/>
    <cellStyle name="Процентный 5 2 2 90 6" xfId="30224" xr:uid="{00000000-0005-0000-0000-0000EBB50000}"/>
    <cellStyle name="Процентный 5 2 2 90 7" xfId="35564" xr:uid="{00000000-0005-0000-0000-0000ECB50000}"/>
    <cellStyle name="Процентный 5 2 2 90 8" xfId="40904" xr:uid="{00000000-0005-0000-0000-0000EDB50000}"/>
    <cellStyle name="Процентный 5 2 2 90 9" xfId="46244" xr:uid="{00000000-0005-0000-0000-0000EEB50000}"/>
    <cellStyle name="Процентный 5 2 2 91" xfId="3553" xr:uid="{00000000-0005-0000-0000-0000EFB50000}"/>
    <cellStyle name="Процентный 5 2 2 91 10" xfId="51616" xr:uid="{00000000-0005-0000-0000-0000F0B50000}"/>
    <cellStyle name="Процентный 5 2 2 91 2" xfId="8896" xr:uid="{00000000-0005-0000-0000-0000F1B50000}"/>
    <cellStyle name="Процентный 5 2 2 91 2 2" xfId="56957" xr:uid="{00000000-0005-0000-0000-0000F2B50000}"/>
    <cellStyle name="Процентный 5 2 2 91 3" xfId="14236" xr:uid="{00000000-0005-0000-0000-0000F3B50000}"/>
    <cellStyle name="Процентный 5 2 2 91 4" xfId="19576" xr:uid="{00000000-0005-0000-0000-0000F4B50000}"/>
    <cellStyle name="Процентный 5 2 2 91 5" xfId="24916" xr:uid="{00000000-0005-0000-0000-0000F5B50000}"/>
    <cellStyle name="Процентный 5 2 2 91 6" xfId="30256" xr:uid="{00000000-0005-0000-0000-0000F6B50000}"/>
    <cellStyle name="Процентный 5 2 2 91 7" xfId="35596" xr:uid="{00000000-0005-0000-0000-0000F7B50000}"/>
    <cellStyle name="Процентный 5 2 2 91 8" xfId="40936" xr:uid="{00000000-0005-0000-0000-0000F8B50000}"/>
    <cellStyle name="Процентный 5 2 2 91 9" xfId="46276" xr:uid="{00000000-0005-0000-0000-0000F9B50000}"/>
    <cellStyle name="Процентный 5 2 2 92" xfId="3585" xr:uid="{00000000-0005-0000-0000-0000FAB50000}"/>
    <cellStyle name="Процентный 5 2 2 92 10" xfId="51648" xr:uid="{00000000-0005-0000-0000-0000FBB50000}"/>
    <cellStyle name="Процентный 5 2 2 92 2" xfId="8928" xr:uid="{00000000-0005-0000-0000-0000FCB50000}"/>
    <cellStyle name="Процентный 5 2 2 92 2 2" xfId="56989" xr:uid="{00000000-0005-0000-0000-0000FDB50000}"/>
    <cellStyle name="Процентный 5 2 2 92 3" xfId="14268" xr:uid="{00000000-0005-0000-0000-0000FEB50000}"/>
    <cellStyle name="Процентный 5 2 2 92 4" xfId="19608" xr:uid="{00000000-0005-0000-0000-0000FFB50000}"/>
    <cellStyle name="Процентный 5 2 2 92 5" xfId="24948" xr:uid="{00000000-0005-0000-0000-000000B60000}"/>
    <cellStyle name="Процентный 5 2 2 92 6" xfId="30288" xr:uid="{00000000-0005-0000-0000-000001B60000}"/>
    <cellStyle name="Процентный 5 2 2 92 7" xfId="35628" xr:uid="{00000000-0005-0000-0000-000002B60000}"/>
    <cellStyle name="Процентный 5 2 2 92 8" xfId="40968" xr:uid="{00000000-0005-0000-0000-000003B60000}"/>
    <cellStyle name="Процентный 5 2 2 92 9" xfId="46308" xr:uid="{00000000-0005-0000-0000-000004B60000}"/>
    <cellStyle name="Процентный 5 2 2 93" xfId="3617" xr:uid="{00000000-0005-0000-0000-000005B60000}"/>
    <cellStyle name="Процентный 5 2 2 93 10" xfId="51680" xr:uid="{00000000-0005-0000-0000-000006B60000}"/>
    <cellStyle name="Процентный 5 2 2 93 2" xfId="8960" xr:uid="{00000000-0005-0000-0000-000007B60000}"/>
    <cellStyle name="Процентный 5 2 2 93 2 2" xfId="57021" xr:uid="{00000000-0005-0000-0000-000008B60000}"/>
    <cellStyle name="Процентный 5 2 2 93 3" xfId="14300" xr:uid="{00000000-0005-0000-0000-000009B60000}"/>
    <cellStyle name="Процентный 5 2 2 93 4" xfId="19640" xr:uid="{00000000-0005-0000-0000-00000AB60000}"/>
    <cellStyle name="Процентный 5 2 2 93 5" xfId="24980" xr:uid="{00000000-0005-0000-0000-00000BB60000}"/>
    <cellStyle name="Процентный 5 2 2 93 6" xfId="30320" xr:uid="{00000000-0005-0000-0000-00000CB60000}"/>
    <cellStyle name="Процентный 5 2 2 93 7" xfId="35660" xr:uid="{00000000-0005-0000-0000-00000DB60000}"/>
    <cellStyle name="Процентный 5 2 2 93 8" xfId="41000" xr:uid="{00000000-0005-0000-0000-00000EB60000}"/>
    <cellStyle name="Процентный 5 2 2 93 9" xfId="46340" xr:uid="{00000000-0005-0000-0000-00000FB60000}"/>
    <cellStyle name="Процентный 5 2 2 94" xfId="3649" xr:uid="{00000000-0005-0000-0000-000010B60000}"/>
    <cellStyle name="Процентный 5 2 2 94 10" xfId="51712" xr:uid="{00000000-0005-0000-0000-000011B60000}"/>
    <cellStyle name="Процентный 5 2 2 94 2" xfId="8992" xr:uid="{00000000-0005-0000-0000-000012B60000}"/>
    <cellStyle name="Процентный 5 2 2 94 2 2" xfId="57053" xr:uid="{00000000-0005-0000-0000-000013B60000}"/>
    <cellStyle name="Процентный 5 2 2 94 3" xfId="14332" xr:uid="{00000000-0005-0000-0000-000014B60000}"/>
    <cellStyle name="Процентный 5 2 2 94 4" xfId="19672" xr:uid="{00000000-0005-0000-0000-000015B60000}"/>
    <cellStyle name="Процентный 5 2 2 94 5" xfId="25012" xr:uid="{00000000-0005-0000-0000-000016B60000}"/>
    <cellStyle name="Процентный 5 2 2 94 6" xfId="30352" xr:uid="{00000000-0005-0000-0000-000017B60000}"/>
    <cellStyle name="Процентный 5 2 2 94 7" xfId="35692" xr:uid="{00000000-0005-0000-0000-000018B60000}"/>
    <cellStyle name="Процентный 5 2 2 94 8" xfId="41032" xr:uid="{00000000-0005-0000-0000-000019B60000}"/>
    <cellStyle name="Процентный 5 2 2 94 9" xfId="46372" xr:uid="{00000000-0005-0000-0000-00001AB60000}"/>
    <cellStyle name="Процентный 5 2 2 95" xfId="3681" xr:uid="{00000000-0005-0000-0000-00001BB60000}"/>
    <cellStyle name="Процентный 5 2 2 95 10" xfId="51744" xr:uid="{00000000-0005-0000-0000-00001CB60000}"/>
    <cellStyle name="Процентный 5 2 2 95 2" xfId="9024" xr:uid="{00000000-0005-0000-0000-00001DB60000}"/>
    <cellStyle name="Процентный 5 2 2 95 2 2" xfId="57085" xr:uid="{00000000-0005-0000-0000-00001EB60000}"/>
    <cellStyle name="Процентный 5 2 2 95 3" xfId="14364" xr:uid="{00000000-0005-0000-0000-00001FB60000}"/>
    <cellStyle name="Процентный 5 2 2 95 4" xfId="19704" xr:uid="{00000000-0005-0000-0000-000020B60000}"/>
    <cellStyle name="Процентный 5 2 2 95 5" xfId="25044" xr:uid="{00000000-0005-0000-0000-000021B60000}"/>
    <cellStyle name="Процентный 5 2 2 95 6" xfId="30384" xr:uid="{00000000-0005-0000-0000-000022B60000}"/>
    <cellStyle name="Процентный 5 2 2 95 7" xfId="35724" xr:uid="{00000000-0005-0000-0000-000023B60000}"/>
    <cellStyle name="Процентный 5 2 2 95 8" xfId="41064" xr:uid="{00000000-0005-0000-0000-000024B60000}"/>
    <cellStyle name="Процентный 5 2 2 95 9" xfId="46404" xr:uid="{00000000-0005-0000-0000-000025B60000}"/>
    <cellStyle name="Процентный 5 2 2 96" xfId="3713" xr:uid="{00000000-0005-0000-0000-000026B60000}"/>
    <cellStyle name="Процентный 5 2 2 96 10" xfId="51776" xr:uid="{00000000-0005-0000-0000-000027B60000}"/>
    <cellStyle name="Процентный 5 2 2 96 2" xfId="9056" xr:uid="{00000000-0005-0000-0000-000028B60000}"/>
    <cellStyle name="Процентный 5 2 2 96 2 2" xfId="57117" xr:uid="{00000000-0005-0000-0000-000029B60000}"/>
    <cellStyle name="Процентный 5 2 2 96 3" xfId="14396" xr:uid="{00000000-0005-0000-0000-00002AB60000}"/>
    <cellStyle name="Процентный 5 2 2 96 4" xfId="19736" xr:uid="{00000000-0005-0000-0000-00002BB60000}"/>
    <cellStyle name="Процентный 5 2 2 96 5" xfId="25076" xr:uid="{00000000-0005-0000-0000-00002CB60000}"/>
    <cellStyle name="Процентный 5 2 2 96 6" xfId="30416" xr:uid="{00000000-0005-0000-0000-00002DB60000}"/>
    <cellStyle name="Процентный 5 2 2 96 7" xfId="35756" xr:uid="{00000000-0005-0000-0000-00002EB60000}"/>
    <cellStyle name="Процентный 5 2 2 96 8" xfId="41096" xr:uid="{00000000-0005-0000-0000-00002FB60000}"/>
    <cellStyle name="Процентный 5 2 2 96 9" xfId="46436" xr:uid="{00000000-0005-0000-0000-000030B60000}"/>
    <cellStyle name="Процентный 5 2 2 97" xfId="3745" xr:uid="{00000000-0005-0000-0000-000031B60000}"/>
    <cellStyle name="Процентный 5 2 2 97 10" xfId="51808" xr:uid="{00000000-0005-0000-0000-000032B60000}"/>
    <cellStyle name="Процентный 5 2 2 97 2" xfId="9088" xr:uid="{00000000-0005-0000-0000-000033B60000}"/>
    <cellStyle name="Процентный 5 2 2 97 2 2" xfId="57149" xr:uid="{00000000-0005-0000-0000-000034B60000}"/>
    <cellStyle name="Процентный 5 2 2 97 3" xfId="14428" xr:uid="{00000000-0005-0000-0000-000035B60000}"/>
    <cellStyle name="Процентный 5 2 2 97 4" xfId="19768" xr:uid="{00000000-0005-0000-0000-000036B60000}"/>
    <cellStyle name="Процентный 5 2 2 97 5" xfId="25108" xr:uid="{00000000-0005-0000-0000-000037B60000}"/>
    <cellStyle name="Процентный 5 2 2 97 6" xfId="30448" xr:uid="{00000000-0005-0000-0000-000038B60000}"/>
    <cellStyle name="Процентный 5 2 2 97 7" xfId="35788" xr:uid="{00000000-0005-0000-0000-000039B60000}"/>
    <cellStyle name="Процентный 5 2 2 97 8" xfId="41128" xr:uid="{00000000-0005-0000-0000-00003AB60000}"/>
    <cellStyle name="Процентный 5 2 2 97 9" xfId="46468" xr:uid="{00000000-0005-0000-0000-00003BB60000}"/>
    <cellStyle name="Процентный 5 2 2 98" xfId="3777" xr:uid="{00000000-0005-0000-0000-00003CB60000}"/>
    <cellStyle name="Процентный 5 2 2 98 10" xfId="51840" xr:uid="{00000000-0005-0000-0000-00003DB60000}"/>
    <cellStyle name="Процентный 5 2 2 98 2" xfId="9120" xr:uid="{00000000-0005-0000-0000-00003EB60000}"/>
    <cellStyle name="Процентный 5 2 2 98 2 2" xfId="57181" xr:uid="{00000000-0005-0000-0000-00003FB60000}"/>
    <cellStyle name="Процентный 5 2 2 98 3" xfId="14460" xr:uid="{00000000-0005-0000-0000-000040B60000}"/>
    <cellStyle name="Процентный 5 2 2 98 4" xfId="19800" xr:uid="{00000000-0005-0000-0000-000041B60000}"/>
    <cellStyle name="Процентный 5 2 2 98 5" xfId="25140" xr:uid="{00000000-0005-0000-0000-000042B60000}"/>
    <cellStyle name="Процентный 5 2 2 98 6" xfId="30480" xr:uid="{00000000-0005-0000-0000-000043B60000}"/>
    <cellStyle name="Процентный 5 2 2 98 7" xfId="35820" xr:uid="{00000000-0005-0000-0000-000044B60000}"/>
    <cellStyle name="Процентный 5 2 2 98 8" xfId="41160" xr:uid="{00000000-0005-0000-0000-000045B60000}"/>
    <cellStyle name="Процентный 5 2 2 98 9" xfId="46500" xr:uid="{00000000-0005-0000-0000-000046B60000}"/>
    <cellStyle name="Процентный 5 2 2 99" xfId="3809" xr:uid="{00000000-0005-0000-0000-000047B60000}"/>
    <cellStyle name="Процентный 5 2 2 99 10" xfId="51872" xr:uid="{00000000-0005-0000-0000-000048B60000}"/>
    <cellStyle name="Процентный 5 2 2 99 2" xfId="9152" xr:uid="{00000000-0005-0000-0000-000049B60000}"/>
    <cellStyle name="Процентный 5 2 2 99 2 2" xfId="57213" xr:uid="{00000000-0005-0000-0000-00004AB60000}"/>
    <cellStyle name="Процентный 5 2 2 99 3" xfId="14492" xr:uid="{00000000-0005-0000-0000-00004BB60000}"/>
    <cellStyle name="Процентный 5 2 2 99 4" xfId="19832" xr:uid="{00000000-0005-0000-0000-00004CB60000}"/>
    <cellStyle name="Процентный 5 2 2 99 5" xfId="25172" xr:uid="{00000000-0005-0000-0000-00004DB60000}"/>
    <cellStyle name="Процентный 5 2 2 99 6" xfId="30512" xr:uid="{00000000-0005-0000-0000-00004EB60000}"/>
    <cellStyle name="Процентный 5 2 2 99 7" xfId="35852" xr:uid="{00000000-0005-0000-0000-00004FB60000}"/>
    <cellStyle name="Процентный 5 2 2 99 8" xfId="41192" xr:uid="{00000000-0005-0000-0000-000050B60000}"/>
    <cellStyle name="Процентный 5 2 2 99 9" xfId="46532" xr:uid="{00000000-0005-0000-0000-000051B60000}"/>
    <cellStyle name="Процентный 5 2 20" xfId="279" xr:uid="{00000000-0005-0000-0000-000052B60000}"/>
    <cellStyle name="Процентный 5 2 20 10" xfId="43001" xr:uid="{00000000-0005-0000-0000-000053B60000}"/>
    <cellStyle name="Процентный 5 2 20 11" xfId="48341" xr:uid="{00000000-0005-0000-0000-000054B60000}"/>
    <cellStyle name="Процентный 5 2 20 2" xfId="746" xr:uid="{00000000-0005-0000-0000-000055B60000}"/>
    <cellStyle name="Процентный 5 2 20 2 10" xfId="48808" xr:uid="{00000000-0005-0000-0000-000056B60000}"/>
    <cellStyle name="Процентный 5 2 20 2 2" xfId="6087" xr:uid="{00000000-0005-0000-0000-000057B60000}"/>
    <cellStyle name="Процентный 5 2 20 2 2 2" xfId="54149" xr:uid="{00000000-0005-0000-0000-000058B60000}"/>
    <cellStyle name="Процентный 5 2 20 2 3" xfId="11428" xr:uid="{00000000-0005-0000-0000-000059B60000}"/>
    <cellStyle name="Процентный 5 2 20 2 4" xfId="16768" xr:uid="{00000000-0005-0000-0000-00005AB60000}"/>
    <cellStyle name="Процентный 5 2 20 2 5" xfId="22108" xr:uid="{00000000-0005-0000-0000-00005BB60000}"/>
    <cellStyle name="Процентный 5 2 20 2 6" xfId="27448" xr:uid="{00000000-0005-0000-0000-00005CB60000}"/>
    <cellStyle name="Процентный 5 2 20 2 7" xfId="32788" xr:uid="{00000000-0005-0000-0000-00005DB60000}"/>
    <cellStyle name="Процентный 5 2 20 2 8" xfId="38128" xr:uid="{00000000-0005-0000-0000-00005EB60000}"/>
    <cellStyle name="Процентный 5 2 20 2 9" xfId="43468" xr:uid="{00000000-0005-0000-0000-00005FB60000}"/>
    <cellStyle name="Процентный 5 2 20 3" xfId="5620" xr:uid="{00000000-0005-0000-0000-000060B60000}"/>
    <cellStyle name="Процентный 5 2 20 3 2" xfId="53682" xr:uid="{00000000-0005-0000-0000-000061B60000}"/>
    <cellStyle name="Процентный 5 2 20 4" xfId="10961" xr:uid="{00000000-0005-0000-0000-000062B60000}"/>
    <cellStyle name="Процентный 5 2 20 5" xfId="16301" xr:uid="{00000000-0005-0000-0000-000063B60000}"/>
    <cellStyle name="Процентный 5 2 20 6" xfId="21641" xr:uid="{00000000-0005-0000-0000-000064B60000}"/>
    <cellStyle name="Процентный 5 2 20 7" xfId="26981" xr:uid="{00000000-0005-0000-0000-000065B60000}"/>
    <cellStyle name="Процентный 5 2 20 8" xfId="32321" xr:uid="{00000000-0005-0000-0000-000066B60000}"/>
    <cellStyle name="Процентный 5 2 20 9" xfId="37661" xr:uid="{00000000-0005-0000-0000-000067B60000}"/>
    <cellStyle name="Процентный 5 2 21" xfId="289" xr:uid="{00000000-0005-0000-0000-000068B60000}"/>
    <cellStyle name="Процентный 5 2 21 10" xfId="43011" xr:uid="{00000000-0005-0000-0000-000069B60000}"/>
    <cellStyle name="Процентный 5 2 21 11" xfId="48351" xr:uid="{00000000-0005-0000-0000-00006AB60000}"/>
    <cellStyle name="Процентный 5 2 21 2" xfId="756" xr:uid="{00000000-0005-0000-0000-00006BB60000}"/>
    <cellStyle name="Процентный 5 2 21 2 10" xfId="48818" xr:uid="{00000000-0005-0000-0000-00006CB60000}"/>
    <cellStyle name="Процентный 5 2 21 2 2" xfId="6097" xr:uid="{00000000-0005-0000-0000-00006DB60000}"/>
    <cellStyle name="Процентный 5 2 21 2 2 2" xfId="54159" xr:uid="{00000000-0005-0000-0000-00006EB60000}"/>
    <cellStyle name="Процентный 5 2 21 2 3" xfId="11438" xr:uid="{00000000-0005-0000-0000-00006FB60000}"/>
    <cellStyle name="Процентный 5 2 21 2 4" xfId="16778" xr:uid="{00000000-0005-0000-0000-000070B60000}"/>
    <cellStyle name="Процентный 5 2 21 2 5" xfId="22118" xr:uid="{00000000-0005-0000-0000-000071B60000}"/>
    <cellStyle name="Процентный 5 2 21 2 6" xfId="27458" xr:uid="{00000000-0005-0000-0000-000072B60000}"/>
    <cellStyle name="Процентный 5 2 21 2 7" xfId="32798" xr:uid="{00000000-0005-0000-0000-000073B60000}"/>
    <cellStyle name="Процентный 5 2 21 2 8" xfId="38138" xr:uid="{00000000-0005-0000-0000-000074B60000}"/>
    <cellStyle name="Процентный 5 2 21 2 9" xfId="43478" xr:uid="{00000000-0005-0000-0000-000075B60000}"/>
    <cellStyle name="Процентный 5 2 21 3" xfId="5630" xr:uid="{00000000-0005-0000-0000-000076B60000}"/>
    <cellStyle name="Процентный 5 2 21 3 2" xfId="53692" xr:uid="{00000000-0005-0000-0000-000077B60000}"/>
    <cellStyle name="Процентный 5 2 21 4" xfId="10971" xr:uid="{00000000-0005-0000-0000-000078B60000}"/>
    <cellStyle name="Процентный 5 2 21 5" xfId="16311" xr:uid="{00000000-0005-0000-0000-000079B60000}"/>
    <cellStyle name="Процентный 5 2 21 6" xfId="21651" xr:uid="{00000000-0005-0000-0000-00007AB60000}"/>
    <cellStyle name="Процентный 5 2 21 7" xfId="26991" xr:uid="{00000000-0005-0000-0000-00007BB60000}"/>
    <cellStyle name="Процентный 5 2 21 8" xfId="32331" xr:uid="{00000000-0005-0000-0000-00007CB60000}"/>
    <cellStyle name="Процентный 5 2 21 9" xfId="37671" xr:uid="{00000000-0005-0000-0000-00007DB60000}"/>
    <cellStyle name="Процентный 5 2 22" xfId="299" xr:uid="{00000000-0005-0000-0000-00007EB60000}"/>
    <cellStyle name="Процентный 5 2 22 10" xfId="43021" xr:uid="{00000000-0005-0000-0000-00007FB60000}"/>
    <cellStyle name="Процентный 5 2 22 11" xfId="48361" xr:uid="{00000000-0005-0000-0000-000080B60000}"/>
    <cellStyle name="Процентный 5 2 22 2" xfId="766" xr:uid="{00000000-0005-0000-0000-000081B60000}"/>
    <cellStyle name="Процентный 5 2 22 2 10" xfId="48828" xr:uid="{00000000-0005-0000-0000-000082B60000}"/>
    <cellStyle name="Процентный 5 2 22 2 2" xfId="6107" xr:uid="{00000000-0005-0000-0000-000083B60000}"/>
    <cellStyle name="Процентный 5 2 22 2 2 2" xfId="54169" xr:uid="{00000000-0005-0000-0000-000084B60000}"/>
    <cellStyle name="Процентный 5 2 22 2 3" xfId="11448" xr:uid="{00000000-0005-0000-0000-000085B60000}"/>
    <cellStyle name="Процентный 5 2 22 2 4" xfId="16788" xr:uid="{00000000-0005-0000-0000-000086B60000}"/>
    <cellStyle name="Процентный 5 2 22 2 5" xfId="22128" xr:uid="{00000000-0005-0000-0000-000087B60000}"/>
    <cellStyle name="Процентный 5 2 22 2 6" xfId="27468" xr:uid="{00000000-0005-0000-0000-000088B60000}"/>
    <cellStyle name="Процентный 5 2 22 2 7" xfId="32808" xr:uid="{00000000-0005-0000-0000-000089B60000}"/>
    <cellStyle name="Процентный 5 2 22 2 8" xfId="38148" xr:uid="{00000000-0005-0000-0000-00008AB60000}"/>
    <cellStyle name="Процентный 5 2 22 2 9" xfId="43488" xr:uid="{00000000-0005-0000-0000-00008BB60000}"/>
    <cellStyle name="Процентный 5 2 22 3" xfId="5640" xr:uid="{00000000-0005-0000-0000-00008CB60000}"/>
    <cellStyle name="Процентный 5 2 22 3 2" xfId="53702" xr:uid="{00000000-0005-0000-0000-00008DB60000}"/>
    <cellStyle name="Процентный 5 2 22 4" xfId="10981" xr:uid="{00000000-0005-0000-0000-00008EB60000}"/>
    <cellStyle name="Процентный 5 2 22 5" xfId="16321" xr:uid="{00000000-0005-0000-0000-00008FB60000}"/>
    <cellStyle name="Процентный 5 2 22 6" xfId="21661" xr:uid="{00000000-0005-0000-0000-000090B60000}"/>
    <cellStyle name="Процентный 5 2 22 7" xfId="27001" xr:uid="{00000000-0005-0000-0000-000091B60000}"/>
    <cellStyle name="Процентный 5 2 22 8" xfId="32341" xr:uid="{00000000-0005-0000-0000-000092B60000}"/>
    <cellStyle name="Процентный 5 2 22 9" xfId="37681" xr:uid="{00000000-0005-0000-0000-000093B60000}"/>
    <cellStyle name="Процентный 5 2 23" xfId="309" xr:uid="{00000000-0005-0000-0000-000094B60000}"/>
    <cellStyle name="Процентный 5 2 23 10" xfId="43031" xr:uid="{00000000-0005-0000-0000-000095B60000}"/>
    <cellStyle name="Процентный 5 2 23 11" xfId="48371" xr:uid="{00000000-0005-0000-0000-000096B60000}"/>
    <cellStyle name="Процентный 5 2 23 2" xfId="776" xr:uid="{00000000-0005-0000-0000-000097B60000}"/>
    <cellStyle name="Процентный 5 2 23 2 10" xfId="48838" xr:uid="{00000000-0005-0000-0000-000098B60000}"/>
    <cellStyle name="Процентный 5 2 23 2 2" xfId="6117" xr:uid="{00000000-0005-0000-0000-000099B60000}"/>
    <cellStyle name="Процентный 5 2 23 2 2 2" xfId="54179" xr:uid="{00000000-0005-0000-0000-00009AB60000}"/>
    <cellStyle name="Процентный 5 2 23 2 3" xfId="11458" xr:uid="{00000000-0005-0000-0000-00009BB60000}"/>
    <cellStyle name="Процентный 5 2 23 2 4" xfId="16798" xr:uid="{00000000-0005-0000-0000-00009CB60000}"/>
    <cellStyle name="Процентный 5 2 23 2 5" xfId="22138" xr:uid="{00000000-0005-0000-0000-00009DB60000}"/>
    <cellStyle name="Процентный 5 2 23 2 6" xfId="27478" xr:uid="{00000000-0005-0000-0000-00009EB60000}"/>
    <cellStyle name="Процентный 5 2 23 2 7" xfId="32818" xr:uid="{00000000-0005-0000-0000-00009FB60000}"/>
    <cellStyle name="Процентный 5 2 23 2 8" xfId="38158" xr:uid="{00000000-0005-0000-0000-0000A0B60000}"/>
    <cellStyle name="Процентный 5 2 23 2 9" xfId="43498" xr:uid="{00000000-0005-0000-0000-0000A1B60000}"/>
    <cellStyle name="Процентный 5 2 23 3" xfId="5650" xr:uid="{00000000-0005-0000-0000-0000A2B60000}"/>
    <cellStyle name="Процентный 5 2 23 3 2" xfId="53712" xr:uid="{00000000-0005-0000-0000-0000A3B60000}"/>
    <cellStyle name="Процентный 5 2 23 4" xfId="10991" xr:uid="{00000000-0005-0000-0000-0000A4B60000}"/>
    <cellStyle name="Процентный 5 2 23 5" xfId="16331" xr:uid="{00000000-0005-0000-0000-0000A5B60000}"/>
    <cellStyle name="Процентный 5 2 23 6" xfId="21671" xr:uid="{00000000-0005-0000-0000-0000A6B60000}"/>
    <cellStyle name="Процентный 5 2 23 7" xfId="27011" xr:uid="{00000000-0005-0000-0000-0000A7B60000}"/>
    <cellStyle name="Процентный 5 2 23 8" xfId="32351" xr:uid="{00000000-0005-0000-0000-0000A8B60000}"/>
    <cellStyle name="Процентный 5 2 23 9" xfId="37691" xr:uid="{00000000-0005-0000-0000-0000A9B60000}"/>
    <cellStyle name="Процентный 5 2 24" xfId="319" xr:uid="{00000000-0005-0000-0000-0000AAB60000}"/>
    <cellStyle name="Процентный 5 2 24 10" xfId="43041" xr:uid="{00000000-0005-0000-0000-0000ABB60000}"/>
    <cellStyle name="Процентный 5 2 24 11" xfId="48381" xr:uid="{00000000-0005-0000-0000-0000ACB60000}"/>
    <cellStyle name="Процентный 5 2 24 2" xfId="786" xr:uid="{00000000-0005-0000-0000-0000ADB60000}"/>
    <cellStyle name="Процентный 5 2 24 2 10" xfId="48848" xr:uid="{00000000-0005-0000-0000-0000AEB60000}"/>
    <cellStyle name="Процентный 5 2 24 2 2" xfId="6127" xr:uid="{00000000-0005-0000-0000-0000AFB60000}"/>
    <cellStyle name="Процентный 5 2 24 2 2 2" xfId="54189" xr:uid="{00000000-0005-0000-0000-0000B0B60000}"/>
    <cellStyle name="Процентный 5 2 24 2 3" xfId="11468" xr:uid="{00000000-0005-0000-0000-0000B1B60000}"/>
    <cellStyle name="Процентный 5 2 24 2 4" xfId="16808" xr:uid="{00000000-0005-0000-0000-0000B2B60000}"/>
    <cellStyle name="Процентный 5 2 24 2 5" xfId="22148" xr:uid="{00000000-0005-0000-0000-0000B3B60000}"/>
    <cellStyle name="Процентный 5 2 24 2 6" xfId="27488" xr:uid="{00000000-0005-0000-0000-0000B4B60000}"/>
    <cellStyle name="Процентный 5 2 24 2 7" xfId="32828" xr:uid="{00000000-0005-0000-0000-0000B5B60000}"/>
    <cellStyle name="Процентный 5 2 24 2 8" xfId="38168" xr:uid="{00000000-0005-0000-0000-0000B6B60000}"/>
    <cellStyle name="Процентный 5 2 24 2 9" xfId="43508" xr:uid="{00000000-0005-0000-0000-0000B7B60000}"/>
    <cellStyle name="Процентный 5 2 24 3" xfId="5660" xr:uid="{00000000-0005-0000-0000-0000B8B60000}"/>
    <cellStyle name="Процентный 5 2 24 3 2" xfId="53722" xr:uid="{00000000-0005-0000-0000-0000B9B60000}"/>
    <cellStyle name="Процентный 5 2 24 4" xfId="11001" xr:uid="{00000000-0005-0000-0000-0000BAB60000}"/>
    <cellStyle name="Процентный 5 2 24 5" xfId="16341" xr:uid="{00000000-0005-0000-0000-0000BBB60000}"/>
    <cellStyle name="Процентный 5 2 24 6" xfId="21681" xr:uid="{00000000-0005-0000-0000-0000BCB60000}"/>
    <cellStyle name="Процентный 5 2 24 7" xfId="27021" xr:uid="{00000000-0005-0000-0000-0000BDB60000}"/>
    <cellStyle name="Процентный 5 2 24 8" xfId="32361" xr:uid="{00000000-0005-0000-0000-0000BEB60000}"/>
    <cellStyle name="Процентный 5 2 24 9" xfId="37701" xr:uid="{00000000-0005-0000-0000-0000BFB60000}"/>
    <cellStyle name="Процентный 5 2 25" xfId="329" xr:uid="{00000000-0005-0000-0000-0000C0B60000}"/>
    <cellStyle name="Процентный 5 2 25 10" xfId="43051" xr:uid="{00000000-0005-0000-0000-0000C1B60000}"/>
    <cellStyle name="Процентный 5 2 25 11" xfId="48391" xr:uid="{00000000-0005-0000-0000-0000C2B60000}"/>
    <cellStyle name="Процентный 5 2 25 2" xfId="796" xr:uid="{00000000-0005-0000-0000-0000C3B60000}"/>
    <cellStyle name="Процентный 5 2 25 2 10" xfId="48858" xr:uid="{00000000-0005-0000-0000-0000C4B60000}"/>
    <cellStyle name="Процентный 5 2 25 2 2" xfId="6137" xr:uid="{00000000-0005-0000-0000-0000C5B60000}"/>
    <cellStyle name="Процентный 5 2 25 2 2 2" xfId="54199" xr:uid="{00000000-0005-0000-0000-0000C6B60000}"/>
    <cellStyle name="Процентный 5 2 25 2 3" xfId="11478" xr:uid="{00000000-0005-0000-0000-0000C7B60000}"/>
    <cellStyle name="Процентный 5 2 25 2 4" xfId="16818" xr:uid="{00000000-0005-0000-0000-0000C8B60000}"/>
    <cellStyle name="Процентный 5 2 25 2 5" xfId="22158" xr:uid="{00000000-0005-0000-0000-0000C9B60000}"/>
    <cellStyle name="Процентный 5 2 25 2 6" xfId="27498" xr:uid="{00000000-0005-0000-0000-0000CAB60000}"/>
    <cellStyle name="Процентный 5 2 25 2 7" xfId="32838" xr:uid="{00000000-0005-0000-0000-0000CBB60000}"/>
    <cellStyle name="Процентный 5 2 25 2 8" xfId="38178" xr:uid="{00000000-0005-0000-0000-0000CCB60000}"/>
    <cellStyle name="Процентный 5 2 25 2 9" xfId="43518" xr:uid="{00000000-0005-0000-0000-0000CDB60000}"/>
    <cellStyle name="Процентный 5 2 25 3" xfId="5670" xr:uid="{00000000-0005-0000-0000-0000CEB60000}"/>
    <cellStyle name="Процентный 5 2 25 3 2" xfId="53732" xr:uid="{00000000-0005-0000-0000-0000CFB60000}"/>
    <cellStyle name="Процентный 5 2 25 4" xfId="11011" xr:uid="{00000000-0005-0000-0000-0000D0B60000}"/>
    <cellStyle name="Процентный 5 2 25 5" xfId="16351" xr:uid="{00000000-0005-0000-0000-0000D1B60000}"/>
    <cellStyle name="Процентный 5 2 25 6" xfId="21691" xr:uid="{00000000-0005-0000-0000-0000D2B60000}"/>
    <cellStyle name="Процентный 5 2 25 7" xfId="27031" xr:uid="{00000000-0005-0000-0000-0000D3B60000}"/>
    <cellStyle name="Процентный 5 2 25 8" xfId="32371" xr:uid="{00000000-0005-0000-0000-0000D4B60000}"/>
    <cellStyle name="Процентный 5 2 25 9" xfId="37711" xr:uid="{00000000-0005-0000-0000-0000D5B60000}"/>
    <cellStyle name="Процентный 5 2 26" xfId="339" xr:uid="{00000000-0005-0000-0000-0000D6B60000}"/>
    <cellStyle name="Процентный 5 2 26 10" xfId="43061" xr:uid="{00000000-0005-0000-0000-0000D7B60000}"/>
    <cellStyle name="Процентный 5 2 26 11" xfId="48401" xr:uid="{00000000-0005-0000-0000-0000D8B60000}"/>
    <cellStyle name="Процентный 5 2 26 2" xfId="806" xr:uid="{00000000-0005-0000-0000-0000D9B60000}"/>
    <cellStyle name="Процентный 5 2 26 2 10" xfId="48868" xr:uid="{00000000-0005-0000-0000-0000DAB60000}"/>
    <cellStyle name="Процентный 5 2 26 2 2" xfId="6147" xr:uid="{00000000-0005-0000-0000-0000DBB60000}"/>
    <cellStyle name="Процентный 5 2 26 2 2 2" xfId="54209" xr:uid="{00000000-0005-0000-0000-0000DCB60000}"/>
    <cellStyle name="Процентный 5 2 26 2 3" xfId="11488" xr:uid="{00000000-0005-0000-0000-0000DDB60000}"/>
    <cellStyle name="Процентный 5 2 26 2 4" xfId="16828" xr:uid="{00000000-0005-0000-0000-0000DEB60000}"/>
    <cellStyle name="Процентный 5 2 26 2 5" xfId="22168" xr:uid="{00000000-0005-0000-0000-0000DFB60000}"/>
    <cellStyle name="Процентный 5 2 26 2 6" xfId="27508" xr:uid="{00000000-0005-0000-0000-0000E0B60000}"/>
    <cellStyle name="Процентный 5 2 26 2 7" xfId="32848" xr:uid="{00000000-0005-0000-0000-0000E1B60000}"/>
    <cellStyle name="Процентный 5 2 26 2 8" xfId="38188" xr:uid="{00000000-0005-0000-0000-0000E2B60000}"/>
    <cellStyle name="Процентный 5 2 26 2 9" xfId="43528" xr:uid="{00000000-0005-0000-0000-0000E3B60000}"/>
    <cellStyle name="Процентный 5 2 26 3" xfId="5680" xr:uid="{00000000-0005-0000-0000-0000E4B60000}"/>
    <cellStyle name="Процентный 5 2 26 3 2" xfId="53742" xr:uid="{00000000-0005-0000-0000-0000E5B60000}"/>
    <cellStyle name="Процентный 5 2 26 4" xfId="11021" xr:uid="{00000000-0005-0000-0000-0000E6B60000}"/>
    <cellStyle name="Процентный 5 2 26 5" xfId="16361" xr:uid="{00000000-0005-0000-0000-0000E7B60000}"/>
    <cellStyle name="Процентный 5 2 26 6" xfId="21701" xr:uid="{00000000-0005-0000-0000-0000E8B60000}"/>
    <cellStyle name="Процентный 5 2 26 7" xfId="27041" xr:uid="{00000000-0005-0000-0000-0000E9B60000}"/>
    <cellStyle name="Процентный 5 2 26 8" xfId="32381" xr:uid="{00000000-0005-0000-0000-0000EAB60000}"/>
    <cellStyle name="Процентный 5 2 26 9" xfId="37721" xr:uid="{00000000-0005-0000-0000-0000EBB60000}"/>
    <cellStyle name="Процентный 5 2 27" xfId="349" xr:uid="{00000000-0005-0000-0000-0000ECB60000}"/>
    <cellStyle name="Процентный 5 2 27 10" xfId="43071" xr:uid="{00000000-0005-0000-0000-0000EDB60000}"/>
    <cellStyle name="Процентный 5 2 27 11" xfId="48411" xr:uid="{00000000-0005-0000-0000-0000EEB60000}"/>
    <cellStyle name="Процентный 5 2 27 2" xfId="816" xr:uid="{00000000-0005-0000-0000-0000EFB60000}"/>
    <cellStyle name="Процентный 5 2 27 2 10" xfId="48878" xr:uid="{00000000-0005-0000-0000-0000F0B60000}"/>
    <cellStyle name="Процентный 5 2 27 2 2" xfId="6157" xr:uid="{00000000-0005-0000-0000-0000F1B60000}"/>
    <cellStyle name="Процентный 5 2 27 2 2 2" xfId="54219" xr:uid="{00000000-0005-0000-0000-0000F2B60000}"/>
    <cellStyle name="Процентный 5 2 27 2 3" xfId="11498" xr:uid="{00000000-0005-0000-0000-0000F3B60000}"/>
    <cellStyle name="Процентный 5 2 27 2 4" xfId="16838" xr:uid="{00000000-0005-0000-0000-0000F4B60000}"/>
    <cellStyle name="Процентный 5 2 27 2 5" xfId="22178" xr:uid="{00000000-0005-0000-0000-0000F5B60000}"/>
    <cellStyle name="Процентный 5 2 27 2 6" xfId="27518" xr:uid="{00000000-0005-0000-0000-0000F6B60000}"/>
    <cellStyle name="Процентный 5 2 27 2 7" xfId="32858" xr:uid="{00000000-0005-0000-0000-0000F7B60000}"/>
    <cellStyle name="Процентный 5 2 27 2 8" xfId="38198" xr:uid="{00000000-0005-0000-0000-0000F8B60000}"/>
    <cellStyle name="Процентный 5 2 27 2 9" xfId="43538" xr:uid="{00000000-0005-0000-0000-0000F9B60000}"/>
    <cellStyle name="Процентный 5 2 27 3" xfId="5690" xr:uid="{00000000-0005-0000-0000-0000FAB60000}"/>
    <cellStyle name="Процентный 5 2 27 3 2" xfId="53752" xr:uid="{00000000-0005-0000-0000-0000FBB60000}"/>
    <cellStyle name="Процентный 5 2 27 4" xfId="11031" xr:uid="{00000000-0005-0000-0000-0000FCB60000}"/>
    <cellStyle name="Процентный 5 2 27 5" xfId="16371" xr:uid="{00000000-0005-0000-0000-0000FDB60000}"/>
    <cellStyle name="Процентный 5 2 27 6" xfId="21711" xr:uid="{00000000-0005-0000-0000-0000FEB60000}"/>
    <cellStyle name="Процентный 5 2 27 7" xfId="27051" xr:uid="{00000000-0005-0000-0000-0000FFB60000}"/>
    <cellStyle name="Процентный 5 2 27 8" xfId="32391" xr:uid="{00000000-0005-0000-0000-000000B70000}"/>
    <cellStyle name="Процентный 5 2 27 9" xfId="37731" xr:uid="{00000000-0005-0000-0000-000001B70000}"/>
    <cellStyle name="Процентный 5 2 28" xfId="359" xr:uid="{00000000-0005-0000-0000-000002B70000}"/>
    <cellStyle name="Процентный 5 2 28 10" xfId="43081" xr:uid="{00000000-0005-0000-0000-000003B70000}"/>
    <cellStyle name="Процентный 5 2 28 11" xfId="48421" xr:uid="{00000000-0005-0000-0000-000004B70000}"/>
    <cellStyle name="Процентный 5 2 28 2" xfId="826" xr:uid="{00000000-0005-0000-0000-000005B70000}"/>
    <cellStyle name="Процентный 5 2 28 2 10" xfId="48888" xr:uid="{00000000-0005-0000-0000-000006B70000}"/>
    <cellStyle name="Процентный 5 2 28 2 2" xfId="6167" xr:uid="{00000000-0005-0000-0000-000007B70000}"/>
    <cellStyle name="Процентный 5 2 28 2 2 2" xfId="54229" xr:uid="{00000000-0005-0000-0000-000008B70000}"/>
    <cellStyle name="Процентный 5 2 28 2 3" xfId="11508" xr:uid="{00000000-0005-0000-0000-000009B70000}"/>
    <cellStyle name="Процентный 5 2 28 2 4" xfId="16848" xr:uid="{00000000-0005-0000-0000-00000AB70000}"/>
    <cellStyle name="Процентный 5 2 28 2 5" xfId="22188" xr:uid="{00000000-0005-0000-0000-00000BB70000}"/>
    <cellStyle name="Процентный 5 2 28 2 6" xfId="27528" xr:uid="{00000000-0005-0000-0000-00000CB70000}"/>
    <cellStyle name="Процентный 5 2 28 2 7" xfId="32868" xr:uid="{00000000-0005-0000-0000-00000DB70000}"/>
    <cellStyle name="Процентный 5 2 28 2 8" xfId="38208" xr:uid="{00000000-0005-0000-0000-00000EB70000}"/>
    <cellStyle name="Процентный 5 2 28 2 9" xfId="43548" xr:uid="{00000000-0005-0000-0000-00000FB70000}"/>
    <cellStyle name="Процентный 5 2 28 3" xfId="5700" xr:uid="{00000000-0005-0000-0000-000010B70000}"/>
    <cellStyle name="Процентный 5 2 28 3 2" xfId="53762" xr:uid="{00000000-0005-0000-0000-000011B70000}"/>
    <cellStyle name="Процентный 5 2 28 4" xfId="11041" xr:uid="{00000000-0005-0000-0000-000012B70000}"/>
    <cellStyle name="Процентный 5 2 28 5" xfId="16381" xr:uid="{00000000-0005-0000-0000-000013B70000}"/>
    <cellStyle name="Процентный 5 2 28 6" xfId="21721" xr:uid="{00000000-0005-0000-0000-000014B70000}"/>
    <cellStyle name="Процентный 5 2 28 7" xfId="27061" xr:uid="{00000000-0005-0000-0000-000015B70000}"/>
    <cellStyle name="Процентный 5 2 28 8" xfId="32401" xr:uid="{00000000-0005-0000-0000-000016B70000}"/>
    <cellStyle name="Процентный 5 2 28 9" xfId="37741" xr:uid="{00000000-0005-0000-0000-000017B70000}"/>
    <cellStyle name="Процентный 5 2 29" xfId="369" xr:uid="{00000000-0005-0000-0000-000018B70000}"/>
    <cellStyle name="Процентный 5 2 29 10" xfId="43091" xr:uid="{00000000-0005-0000-0000-000019B70000}"/>
    <cellStyle name="Процентный 5 2 29 11" xfId="48431" xr:uid="{00000000-0005-0000-0000-00001AB70000}"/>
    <cellStyle name="Процентный 5 2 29 2" xfId="836" xr:uid="{00000000-0005-0000-0000-00001BB70000}"/>
    <cellStyle name="Процентный 5 2 29 2 10" xfId="48898" xr:uid="{00000000-0005-0000-0000-00001CB70000}"/>
    <cellStyle name="Процентный 5 2 29 2 2" xfId="6177" xr:uid="{00000000-0005-0000-0000-00001DB70000}"/>
    <cellStyle name="Процентный 5 2 29 2 2 2" xfId="54239" xr:uid="{00000000-0005-0000-0000-00001EB70000}"/>
    <cellStyle name="Процентный 5 2 29 2 3" xfId="11518" xr:uid="{00000000-0005-0000-0000-00001FB70000}"/>
    <cellStyle name="Процентный 5 2 29 2 4" xfId="16858" xr:uid="{00000000-0005-0000-0000-000020B70000}"/>
    <cellStyle name="Процентный 5 2 29 2 5" xfId="22198" xr:uid="{00000000-0005-0000-0000-000021B70000}"/>
    <cellStyle name="Процентный 5 2 29 2 6" xfId="27538" xr:uid="{00000000-0005-0000-0000-000022B70000}"/>
    <cellStyle name="Процентный 5 2 29 2 7" xfId="32878" xr:uid="{00000000-0005-0000-0000-000023B70000}"/>
    <cellStyle name="Процентный 5 2 29 2 8" xfId="38218" xr:uid="{00000000-0005-0000-0000-000024B70000}"/>
    <cellStyle name="Процентный 5 2 29 2 9" xfId="43558" xr:uid="{00000000-0005-0000-0000-000025B70000}"/>
    <cellStyle name="Процентный 5 2 29 3" xfId="5710" xr:uid="{00000000-0005-0000-0000-000026B70000}"/>
    <cellStyle name="Процентный 5 2 29 3 2" xfId="53772" xr:uid="{00000000-0005-0000-0000-000027B70000}"/>
    <cellStyle name="Процентный 5 2 29 4" xfId="11051" xr:uid="{00000000-0005-0000-0000-000028B70000}"/>
    <cellStyle name="Процентный 5 2 29 5" xfId="16391" xr:uid="{00000000-0005-0000-0000-000029B70000}"/>
    <cellStyle name="Процентный 5 2 29 6" xfId="21731" xr:uid="{00000000-0005-0000-0000-00002AB70000}"/>
    <cellStyle name="Процентный 5 2 29 7" xfId="27071" xr:uid="{00000000-0005-0000-0000-00002BB70000}"/>
    <cellStyle name="Процентный 5 2 29 8" xfId="32411" xr:uid="{00000000-0005-0000-0000-00002CB70000}"/>
    <cellStyle name="Процентный 5 2 29 9" xfId="37751" xr:uid="{00000000-0005-0000-0000-00002DB70000}"/>
    <cellStyle name="Процентный 5 2 3" xfId="111" xr:uid="{00000000-0005-0000-0000-00002EB70000}"/>
    <cellStyle name="Процентный 5 2 3 10" xfId="42833" xr:uid="{00000000-0005-0000-0000-00002FB70000}"/>
    <cellStyle name="Процентный 5 2 3 11" xfId="48173" xr:uid="{00000000-0005-0000-0000-000030B70000}"/>
    <cellStyle name="Процентный 5 2 3 2" xfId="578" xr:uid="{00000000-0005-0000-0000-000031B70000}"/>
    <cellStyle name="Процентный 5 2 3 2 10" xfId="48640" xr:uid="{00000000-0005-0000-0000-000032B70000}"/>
    <cellStyle name="Процентный 5 2 3 2 2" xfId="5919" xr:uid="{00000000-0005-0000-0000-000033B70000}"/>
    <cellStyle name="Процентный 5 2 3 2 2 2" xfId="53981" xr:uid="{00000000-0005-0000-0000-000034B70000}"/>
    <cellStyle name="Процентный 5 2 3 2 3" xfId="11260" xr:uid="{00000000-0005-0000-0000-000035B70000}"/>
    <cellStyle name="Процентный 5 2 3 2 4" xfId="16600" xr:uid="{00000000-0005-0000-0000-000036B70000}"/>
    <cellStyle name="Процентный 5 2 3 2 5" xfId="21940" xr:uid="{00000000-0005-0000-0000-000037B70000}"/>
    <cellStyle name="Процентный 5 2 3 2 6" xfId="27280" xr:uid="{00000000-0005-0000-0000-000038B70000}"/>
    <cellStyle name="Процентный 5 2 3 2 7" xfId="32620" xr:uid="{00000000-0005-0000-0000-000039B70000}"/>
    <cellStyle name="Процентный 5 2 3 2 8" xfId="37960" xr:uid="{00000000-0005-0000-0000-00003AB70000}"/>
    <cellStyle name="Процентный 5 2 3 2 9" xfId="43300" xr:uid="{00000000-0005-0000-0000-00003BB70000}"/>
    <cellStyle name="Процентный 5 2 3 3" xfId="5452" xr:uid="{00000000-0005-0000-0000-00003CB70000}"/>
    <cellStyle name="Процентный 5 2 3 3 2" xfId="53514" xr:uid="{00000000-0005-0000-0000-00003DB70000}"/>
    <cellStyle name="Процентный 5 2 3 4" xfId="10793" xr:uid="{00000000-0005-0000-0000-00003EB70000}"/>
    <cellStyle name="Процентный 5 2 3 5" xfId="16133" xr:uid="{00000000-0005-0000-0000-00003FB70000}"/>
    <cellStyle name="Процентный 5 2 3 6" xfId="21473" xr:uid="{00000000-0005-0000-0000-000040B70000}"/>
    <cellStyle name="Процентный 5 2 3 7" xfId="26813" xr:uid="{00000000-0005-0000-0000-000041B70000}"/>
    <cellStyle name="Процентный 5 2 3 8" xfId="32153" xr:uid="{00000000-0005-0000-0000-000042B70000}"/>
    <cellStyle name="Процентный 5 2 3 9" xfId="37493" xr:uid="{00000000-0005-0000-0000-000043B70000}"/>
    <cellStyle name="Процентный 5 2 30" xfId="379" xr:uid="{00000000-0005-0000-0000-000044B70000}"/>
    <cellStyle name="Процентный 5 2 30 10" xfId="43101" xr:uid="{00000000-0005-0000-0000-000045B70000}"/>
    <cellStyle name="Процентный 5 2 30 11" xfId="48441" xr:uid="{00000000-0005-0000-0000-000046B70000}"/>
    <cellStyle name="Процентный 5 2 30 2" xfId="846" xr:uid="{00000000-0005-0000-0000-000047B70000}"/>
    <cellStyle name="Процентный 5 2 30 2 10" xfId="48908" xr:uid="{00000000-0005-0000-0000-000048B70000}"/>
    <cellStyle name="Процентный 5 2 30 2 2" xfId="6187" xr:uid="{00000000-0005-0000-0000-000049B70000}"/>
    <cellStyle name="Процентный 5 2 30 2 2 2" xfId="54249" xr:uid="{00000000-0005-0000-0000-00004AB70000}"/>
    <cellStyle name="Процентный 5 2 30 2 3" xfId="11528" xr:uid="{00000000-0005-0000-0000-00004BB70000}"/>
    <cellStyle name="Процентный 5 2 30 2 4" xfId="16868" xr:uid="{00000000-0005-0000-0000-00004CB70000}"/>
    <cellStyle name="Процентный 5 2 30 2 5" xfId="22208" xr:uid="{00000000-0005-0000-0000-00004DB70000}"/>
    <cellStyle name="Процентный 5 2 30 2 6" xfId="27548" xr:uid="{00000000-0005-0000-0000-00004EB70000}"/>
    <cellStyle name="Процентный 5 2 30 2 7" xfId="32888" xr:uid="{00000000-0005-0000-0000-00004FB70000}"/>
    <cellStyle name="Процентный 5 2 30 2 8" xfId="38228" xr:uid="{00000000-0005-0000-0000-000050B70000}"/>
    <cellStyle name="Процентный 5 2 30 2 9" xfId="43568" xr:uid="{00000000-0005-0000-0000-000051B70000}"/>
    <cellStyle name="Процентный 5 2 30 3" xfId="5720" xr:uid="{00000000-0005-0000-0000-000052B70000}"/>
    <cellStyle name="Процентный 5 2 30 3 2" xfId="53782" xr:uid="{00000000-0005-0000-0000-000053B70000}"/>
    <cellStyle name="Процентный 5 2 30 4" xfId="11061" xr:uid="{00000000-0005-0000-0000-000054B70000}"/>
    <cellStyle name="Процентный 5 2 30 5" xfId="16401" xr:uid="{00000000-0005-0000-0000-000055B70000}"/>
    <cellStyle name="Процентный 5 2 30 6" xfId="21741" xr:uid="{00000000-0005-0000-0000-000056B70000}"/>
    <cellStyle name="Процентный 5 2 30 7" xfId="27081" xr:uid="{00000000-0005-0000-0000-000057B70000}"/>
    <cellStyle name="Процентный 5 2 30 8" xfId="32421" xr:uid="{00000000-0005-0000-0000-000058B70000}"/>
    <cellStyle name="Процентный 5 2 30 9" xfId="37761" xr:uid="{00000000-0005-0000-0000-000059B70000}"/>
    <cellStyle name="Процентный 5 2 31" xfId="389" xr:uid="{00000000-0005-0000-0000-00005AB70000}"/>
    <cellStyle name="Процентный 5 2 31 10" xfId="43111" xr:uid="{00000000-0005-0000-0000-00005BB70000}"/>
    <cellStyle name="Процентный 5 2 31 11" xfId="48451" xr:uid="{00000000-0005-0000-0000-00005CB70000}"/>
    <cellStyle name="Процентный 5 2 31 2" xfId="856" xr:uid="{00000000-0005-0000-0000-00005DB70000}"/>
    <cellStyle name="Процентный 5 2 31 2 10" xfId="48918" xr:uid="{00000000-0005-0000-0000-00005EB70000}"/>
    <cellStyle name="Процентный 5 2 31 2 2" xfId="6197" xr:uid="{00000000-0005-0000-0000-00005FB70000}"/>
    <cellStyle name="Процентный 5 2 31 2 2 2" xfId="54259" xr:uid="{00000000-0005-0000-0000-000060B70000}"/>
    <cellStyle name="Процентный 5 2 31 2 3" xfId="11538" xr:uid="{00000000-0005-0000-0000-000061B70000}"/>
    <cellStyle name="Процентный 5 2 31 2 4" xfId="16878" xr:uid="{00000000-0005-0000-0000-000062B70000}"/>
    <cellStyle name="Процентный 5 2 31 2 5" xfId="22218" xr:uid="{00000000-0005-0000-0000-000063B70000}"/>
    <cellStyle name="Процентный 5 2 31 2 6" xfId="27558" xr:uid="{00000000-0005-0000-0000-000064B70000}"/>
    <cellStyle name="Процентный 5 2 31 2 7" xfId="32898" xr:uid="{00000000-0005-0000-0000-000065B70000}"/>
    <cellStyle name="Процентный 5 2 31 2 8" xfId="38238" xr:uid="{00000000-0005-0000-0000-000066B70000}"/>
    <cellStyle name="Процентный 5 2 31 2 9" xfId="43578" xr:uid="{00000000-0005-0000-0000-000067B70000}"/>
    <cellStyle name="Процентный 5 2 31 3" xfId="5730" xr:uid="{00000000-0005-0000-0000-000068B70000}"/>
    <cellStyle name="Процентный 5 2 31 3 2" xfId="53792" xr:uid="{00000000-0005-0000-0000-000069B70000}"/>
    <cellStyle name="Процентный 5 2 31 4" xfId="11071" xr:uid="{00000000-0005-0000-0000-00006AB70000}"/>
    <cellStyle name="Процентный 5 2 31 5" xfId="16411" xr:uid="{00000000-0005-0000-0000-00006BB70000}"/>
    <cellStyle name="Процентный 5 2 31 6" xfId="21751" xr:uid="{00000000-0005-0000-0000-00006CB70000}"/>
    <cellStyle name="Процентный 5 2 31 7" xfId="27091" xr:uid="{00000000-0005-0000-0000-00006DB70000}"/>
    <cellStyle name="Процентный 5 2 31 8" xfId="32431" xr:uid="{00000000-0005-0000-0000-00006EB70000}"/>
    <cellStyle name="Процентный 5 2 31 9" xfId="37771" xr:uid="{00000000-0005-0000-0000-00006FB70000}"/>
    <cellStyle name="Процентный 5 2 32" xfId="399" xr:uid="{00000000-0005-0000-0000-000070B70000}"/>
    <cellStyle name="Процентный 5 2 32 10" xfId="43121" xr:uid="{00000000-0005-0000-0000-000071B70000}"/>
    <cellStyle name="Процентный 5 2 32 11" xfId="48461" xr:uid="{00000000-0005-0000-0000-000072B70000}"/>
    <cellStyle name="Процентный 5 2 32 2" xfId="866" xr:uid="{00000000-0005-0000-0000-000073B70000}"/>
    <cellStyle name="Процентный 5 2 32 2 10" xfId="48928" xr:uid="{00000000-0005-0000-0000-000074B70000}"/>
    <cellStyle name="Процентный 5 2 32 2 2" xfId="6207" xr:uid="{00000000-0005-0000-0000-000075B70000}"/>
    <cellStyle name="Процентный 5 2 32 2 2 2" xfId="54269" xr:uid="{00000000-0005-0000-0000-000076B70000}"/>
    <cellStyle name="Процентный 5 2 32 2 3" xfId="11548" xr:uid="{00000000-0005-0000-0000-000077B70000}"/>
    <cellStyle name="Процентный 5 2 32 2 4" xfId="16888" xr:uid="{00000000-0005-0000-0000-000078B70000}"/>
    <cellStyle name="Процентный 5 2 32 2 5" xfId="22228" xr:uid="{00000000-0005-0000-0000-000079B70000}"/>
    <cellStyle name="Процентный 5 2 32 2 6" xfId="27568" xr:uid="{00000000-0005-0000-0000-00007AB70000}"/>
    <cellStyle name="Процентный 5 2 32 2 7" xfId="32908" xr:uid="{00000000-0005-0000-0000-00007BB70000}"/>
    <cellStyle name="Процентный 5 2 32 2 8" xfId="38248" xr:uid="{00000000-0005-0000-0000-00007CB70000}"/>
    <cellStyle name="Процентный 5 2 32 2 9" xfId="43588" xr:uid="{00000000-0005-0000-0000-00007DB70000}"/>
    <cellStyle name="Процентный 5 2 32 3" xfId="5740" xr:uid="{00000000-0005-0000-0000-00007EB70000}"/>
    <cellStyle name="Процентный 5 2 32 3 2" xfId="53802" xr:uid="{00000000-0005-0000-0000-00007FB70000}"/>
    <cellStyle name="Процентный 5 2 32 4" xfId="11081" xr:uid="{00000000-0005-0000-0000-000080B70000}"/>
    <cellStyle name="Процентный 5 2 32 5" xfId="16421" xr:uid="{00000000-0005-0000-0000-000081B70000}"/>
    <cellStyle name="Процентный 5 2 32 6" xfId="21761" xr:uid="{00000000-0005-0000-0000-000082B70000}"/>
    <cellStyle name="Процентный 5 2 32 7" xfId="27101" xr:uid="{00000000-0005-0000-0000-000083B70000}"/>
    <cellStyle name="Процентный 5 2 32 8" xfId="32441" xr:uid="{00000000-0005-0000-0000-000084B70000}"/>
    <cellStyle name="Процентный 5 2 32 9" xfId="37781" xr:uid="{00000000-0005-0000-0000-000085B70000}"/>
    <cellStyle name="Процентный 5 2 33" xfId="409" xr:uid="{00000000-0005-0000-0000-000086B70000}"/>
    <cellStyle name="Процентный 5 2 33 10" xfId="43131" xr:uid="{00000000-0005-0000-0000-000087B70000}"/>
    <cellStyle name="Процентный 5 2 33 11" xfId="48471" xr:uid="{00000000-0005-0000-0000-000088B70000}"/>
    <cellStyle name="Процентный 5 2 33 2" xfId="876" xr:uid="{00000000-0005-0000-0000-000089B70000}"/>
    <cellStyle name="Процентный 5 2 33 2 10" xfId="48938" xr:uid="{00000000-0005-0000-0000-00008AB70000}"/>
    <cellStyle name="Процентный 5 2 33 2 2" xfId="6217" xr:uid="{00000000-0005-0000-0000-00008BB70000}"/>
    <cellStyle name="Процентный 5 2 33 2 2 2" xfId="54279" xr:uid="{00000000-0005-0000-0000-00008CB70000}"/>
    <cellStyle name="Процентный 5 2 33 2 3" xfId="11558" xr:uid="{00000000-0005-0000-0000-00008DB70000}"/>
    <cellStyle name="Процентный 5 2 33 2 4" xfId="16898" xr:uid="{00000000-0005-0000-0000-00008EB70000}"/>
    <cellStyle name="Процентный 5 2 33 2 5" xfId="22238" xr:uid="{00000000-0005-0000-0000-00008FB70000}"/>
    <cellStyle name="Процентный 5 2 33 2 6" xfId="27578" xr:uid="{00000000-0005-0000-0000-000090B70000}"/>
    <cellStyle name="Процентный 5 2 33 2 7" xfId="32918" xr:uid="{00000000-0005-0000-0000-000091B70000}"/>
    <cellStyle name="Процентный 5 2 33 2 8" xfId="38258" xr:uid="{00000000-0005-0000-0000-000092B70000}"/>
    <cellStyle name="Процентный 5 2 33 2 9" xfId="43598" xr:uid="{00000000-0005-0000-0000-000093B70000}"/>
    <cellStyle name="Процентный 5 2 33 3" xfId="5750" xr:uid="{00000000-0005-0000-0000-000094B70000}"/>
    <cellStyle name="Процентный 5 2 33 3 2" xfId="53812" xr:uid="{00000000-0005-0000-0000-000095B70000}"/>
    <cellStyle name="Процентный 5 2 33 4" xfId="11091" xr:uid="{00000000-0005-0000-0000-000096B70000}"/>
    <cellStyle name="Процентный 5 2 33 5" xfId="16431" xr:uid="{00000000-0005-0000-0000-000097B70000}"/>
    <cellStyle name="Процентный 5 2 33 6" xfId="21771" xr:uid="{00000000-0005-0000-0000-000098B70000}"/>
    <cellStyle name="Процентный 5 2 33 7" xfId="27111" xr:uid="{00000000-0005-0000-0000-000099B70000}"/>
    <cellStyle name="Процентный 5 2 33 8" xfId="32451" xr:uid="{00000000-0005-0000-0000-00009AB70000}"/>
    <cellStyle name="Процентный 5 2 33 9" xfId="37791" xr:uid="{00000000-0005-0000-0000-00009BB70000}"/>
    <cellStyle name="Процентный 5 2 34" xfId="419" xr:uid="{00000000-0005-0000-0000-00009CB70000}"/>
    <cellStyle name="Процентный 5 2 34 10" xfId="43141" xr:uid="{00000000-0005-0000-0000-00009DB70000}"/>
    <cellStyle name="Процентный 5 2 34 11" xfId="48481" xr:uid="{00000000-0005-0000-0000-00009EB70000}"/>
    <cellStyle name="Процентный 5 2 34 2" xfId="886" xr:uid="{00000000-0005-0000-0000-00009FB70000}"/>
    <cellStyle name="Процентный 5 2 34 2 10" xfId="48948" xr:uid="{00000000-0005-0000-0000-0000A0B70000}"/>
    <cellStyle name="Процентный 5 2 34 2 2" xfId="6227" xr:uid="{00000000-0005-0000-0000-0000A1B70000}"/>
    <cellStyle name="Процентный 5 2 34 2 2 2" xfId="54289" xr:uid="{00000000-0005-0000-0000-0000A2B70000}"/>
    <cellStyle name="Процентный 5 2 34 2 3" xfId="11568" xr:uid="{00000000-0005-0000-0000-0000A3B70000}"/>
    <cellStyle name="Процентный 5 2 34 2 4" xfId="16908" xr:uid="{00000000-0005-0000-0000-0000A4B70000}"/>
    <cellStyle name="Процентный 5 2 34 2 5" xfId="22248" xr:uid="{00000000-0005-0000-0000-0000A5B70000}"/>
    <cellStyle name="Процентный 5 2 34 2 6" xfId="27588" xr:uid="{00000000-0005-0000-0000-0000A6B70000}"/>
    <cellStyle name="Процентный 5 2 34 2 7" xfId="32928" xr:uid="{00000000-0005-0000-0000-0000A7B70000}"/>
    <cellStyle name="Процентный 5 2 34 2 8" xfId="38268" xr:uid="{00000000-0005-0000-0000-0000A8B70000}"/>
    <cellStyle name="Процентный 5 2 34 2 9" xfId="43608" xr:uid="{00000000-0005-0000-0000-0000A9B70000}"/>
    <cellStyle name="Процентный 5 2 34 3" xfId="5760" xr:uid="{00000000-0005-0000-0000-0000AAB70000}"/>
    <cellStyle name="Процентный 5 2 34 3 2" xfId="53822" xr:uid="{00000000-0005-0000-0000-0000ABB70000}"/>
    <cellStyle name="Процентный 5 2 34 4" xfId="11101" xr:uid="{00000000-0005-0000-0000-0000ACB70000}"/>
    <cellStyle name="Процентный 5 2 34 5" xfId="16441" xr:uid="{00000000-0005-0000-0000-0000ADB70000}"/>
    <cellStyle name="Процентный 5 2 34 6" xfId="21781" xr:uid="{00000000-0005-0000-0000-0000AEB70000}"/>
    <cellStyle name="Процентный 5 2 34 7" xfId="27121" xr:uid="{00000000-0005-0000-0000-0000AFB70000}"/>
    <cellStyle name="Процентный 5 2 34 8" xfId="32461" xr:uid="{00000000-0005-0000-0000-0000B0B70000}"/>
    <cellStyle name="Процентный 5 2 34 9" xfId="37801" xr:uid="{00000000-0005-0000-0000-0000B1B70000}"/>
    <cellStyle name="Процентный 5 2 35" xfId="431" xr:uid="{00000000-0005-0000-0000-0000B2B70000}"/>
    <cellStyle name="Процентный 5 2 35 10" xfId="43153" xr:uid="{00000000-0005-0000-0000-0000B3B70000}"/>
    <cellStyle name="Процентный 5 2 35 11" xfId="48493" xr:uid="{00000000-0005-0000-0000-0000B4B70000}"/>
    <cellStyle name="Процентный 5 2 35 2" xfId="898" xr:uid="{00000000-0005-0000-0000-0000B5B70000}"/>
    <cellStyle name="Процентный 5 2 35 2 10" xfId="48960" xr:uid="{00000000-0005-0000-0000-0000B6B70000}"/>
    <cellStyle name="Процентный 5 2 35 2 2" xfId="6239" xr:uid="{00000000-0005-0000-0000-0000B7B70000}"/>
    <cellStyle name="Процентный 5 2 35 2 2 2" xfId="54301" xr:uid="{00000000-0005-0000-0000-0000B8B70000}"/>
    <cellStyle name="Процентный 5 2 35 2 3" xfId="11580" xr:uid="{00000000-0005-0000-0000-0000B9B70000}"/>
    <cellStyle name="Процентный 5 2 35 2 4" xfId="16920" xr:uid="{00000000-0005-0000-0000-0000BAB70000}"/>
    <cellStyle name="Процентный 5 2 35 2 5" xfId="22260" xr:uid="{00000000-0005-0000-0000-0000BBB70000}"/>
    <cellStyle name="Процентный 5 2 35 2 6" xfId="27600" xr:uid="{00000000-0005-0000-0000-0000BCB70000}"/>
    <cellStyle name="Процентный 5 2 35 2 7" xfId="32940" xr:uid="{00000000-0005-0000-0000-0000BDB70000}"/>
    <cellStyle name="Процентный 5 2 35 2 8" xfId="38280" xr:uid="{00000000-0005-0000-0000-0000BEB70000}"/>
    <cellStyle name="Процентный 5 2 35 2 9" xfId="43620" xr:uid="{00000000-0005-0000-0000-0000BFB70000}"/>
    <cellStyle name="Процентный 5 2 35 3" xfId="5772" xr:uid="{00000000-0005-0000-0000-0000C0B70000}"/>
    <cellStyle name="Процентный 5 2 35 3 2" xfId="53834" xr:uid="{00000000-0005-0000-0000-0000C1B70000}"/>
    <cellStyle name="Процентный 5 2 35 4" xfId="11113" xr:uid="{00000000-0005-0000-0000-0000C2B70000}"/>
    <cellStyle name="Процентный 5 2 35 5" xfId="16453" xr:uid="{00000000-0005-0000-0000-0000C3B70000}"/>
    <cellStyle name="Процентный 5 2 35 6" xfId="21793" xr:uid="{00000000-0005-0000-0000-0000C4B70000}"/>
    <cellStyle name="Процентный 5 2 35 7" xfId="27133" xr:uid="{00000000-0005-0000-0000-0000C5B70000}"/>
    <cellStyle name="Процентный 5 2 35 8" xfId="32473" xr:uid="{00000000-0005-0000-0000-0000C6B70000}"/>
    <cellStyle name="Процентный 5 2 35 9" xfId="37813" xr:uid="{00000000-0005-0000-0000-0000C7B70000}"/>
    <cellStyle name="Процентный 5 2 36" xfId="443" xr:uid="{00000000-0005-0000-0000-0000C8B70000}"/>
    <cellStyle name="Процентный 5 2 36 10" xfId="43165" xr:uid="{00000000-0005-0000-0000-0000C9B70000}"/>
    <cellStyle name="Процентный 5 2 36 11" xfId="48505" xr:uid="{00000000-0005-0000-0000-0000CAB70000}"/>
    <cellStyle name="Процентный 5 2 36 2" xfId="910" xr:uid="{00000000-0005-0000-0000-0000CBB70000}"/>
    <cellStyle name="Процентный 5 2 36 2 10" xfId="48972" xr:uid="{00000000-0005-0000-0000-0000CCB70000}"/>
    <cellStyle name="Процентный 5 2 36 2 2" xfId="6251" xr:uid="{00000000-0005-0000-0000-0000CDB70000}"/>
    <cellStyle name="Процентный 5 2 36 2 2 2" xfId="54313" xr:uid="{00000000-0005-0000-0000-0000CEB70000}"/>
    <cellStyle name="Процентный 5 2 36 2 3" xfId="11592" xr:uid="{00000000-0005-0000-0000-0000CFB70000}"/>
    <cellStyle name="Процентный 5 2 36 2 4" xfId="16932" xr:uid="{00000000-0005-0000-0000-0000D0B70000}"/>
    <cellStyle name="Процентный 5 2 36 2 5" xfId="22272" xr:uid="{00000000-0005-0000-0000-0000D1B70000}"/>
    <cellStyle name="Процентный 5 2 36 2 6" xfId="27612" xr:uid="{00000000-0005-0000-0000-0000D2B70000}"/>
    <cellStyle name="Процентный 5 2 36 2 7" xfId="32952" xr:uid="{00000000-0005-0000-0000-0000D3B70000}"/>
    <cellStyle name="Процентный 5 2 36 2 8" xfId="38292" xr:uid="{00000000-0005-0000-0000-0000D4B70000}"/>
    <cellStyle name="Процентный 5 2 36 2 9" xfId="43632" xr:uid="{00000000-0005-0000-0000-0000D5B70000}"/>
    <cellStyle name="Процентный 5 2 36 3" xfId="5784" xr:uid="{00000000-0005-0000-0000-0000D6B70000}"/>
    <cellStyle name="Процентный 5 2 36 3 2" xfId="53846" xr:uid="{00000000-0005-0000-0000-0000D7B70000}"/>
    <cellStyle name="Процентный 5 2 36 4" xfId="11125" xr:uid="{00000000-0005-0000-0000-0000D8B70000}"/>
    <cellStyle name="Процентный 5 2 36 5" xfId="16465" xr:uid="{00000000-0005-0000-0000-0000D9B70000}"/>
    <cellStyle name="Процентный 5 2 36 6" xfId="21805" xr:uid="{00000000-0005-0000-0000-0000DAB70000}"/>
    <cellStyle name="Процентный 5 2 36 7" xfId="27145" xr:uid="{00000000-0005-0000-0000-0000DBB70000}"/>
    <cellStyle name="Процентный 5 2 36 8" xfId="32485" xr:uid="{00000000-0005-0000-0000-0000DCB70000}"/>
    <cellStyle name="Процентный 5 2 36 9" xfId="37825" xr:uid="{00000000-0005-0000-0000-0000DDB70000}"/>
    <cellStyle name="Процентный 5 2 37" xfId="455" xr:uid="{00000000-0005-0000-0000-0000DEB70000}"/>
    <cellStyle name="Процентный 5 2 37 10" xfId="43177" xr:uid="{00000000-0005-0000-0000-0000DFB70000}"/>
    <cellStyle name="Процентный 5 2 37 11" xfId="48517" xr:uid="{00000000-0005-0000-0000-0000E0B70000}"/>
    <cellStyle name="Процентный 5 2 37 2" xfId="922" xr:uid="{00000000-0005-0000-0000-0000E1B70000}"/>
    <cellStyle name="Процентный 5 2 37 2 10" xfId="48984" xr:uid="{00000000-0005-0000-0000-0000E2B70000}"/>
    <cellStyle name="Процентный 5 2 37 2 2" xfId="6263" xr:uid="{00000000-0005-0000-0000-0000E3B70000}"/>
    <cellStyle name="Процентный 5 2 37 2 2 2" xfId="54325" xr:uid="{00000000-0005-0000-0000-0000E4B70000}"/>
    <cellStyle name="Процентный 5 2 37 2 3" xfId="11604" xr:uid="{00000000-0005-0000-0000-0000E5B70000}"/>
    <cellStyle name="Процентный 5 2 37 2 4" xfId="16944" xr:uid="{00000000-0005-0000-0000-0000E6B70000}"/>
    <cellStyle name="Процентный 5 2 37 2 5" xfId="22284" xr:uid="{00000000-0005-0000-0000-0000E7B70000}"/>
    <cellStyle name="Процентный 5 2 37 2 6" xfId="27624" xr:uid="{00000000-0005-0000-0000-0000E8B70000}"/>
    <cellStyle name="Процентный 5 2 37 2 7" xfId="32964" xr:uid="{00000000-0005-0000-0000-0000E9B70000}"/>
    <cellStyle name="Процентный 5 2 37 2 8" xfId="38304" xr:uid="{00000000-0005-0000-0000-0000EAB70000}"/>
    <cellStyle name="Процентный 5 2 37 2 9" xfId="43644" xr:uid="{00000000-0005-0000-0000-0000EBB70000}"/>
    <cellStyle name="Процентный 5 2 37 3" xfId="5796" xr:uid="{00000000-0005-0000-0000-0000ECB70000}"/>
    <cellStyle name="Процентный 5 2 37 3 2" xfId="53858" xr:uid="{00000000-0005-0000-0000-0000EDB70000}"/>
    <cellStyle name="Процентный 5 2 37 4" xfId="11137" xr:uid="{00000000-0005-0000-0000-0000EEB70000}"/>
    <cellStyle name="Процентный 5 2 37 5" xfId="16477" xr:uid="{00000000-0005-0000-0000-0000EFB70000}"/>
    <cellStyle name="Процентный 5 2 37 6" xfId="21817" xr:uid="{00000000-0005-0000-0000-0000F0B70000}"/>
    <cellStyle name="Процентный 5 2 37 7" xfId="27157" xr:uid="{00000000-0005-0000-0000-0000F1B70000}"/>
    <cellStyle name="Процентный 5 2 37 8" xfId="32497" xr:uid="{00000000-0005-0000-0000-0000F2B70000}"/>
    <cellStyle name="Процентный 5 2 37 9" xfId="37837" xr:uid="{00000000-0005-0000-0000-0000F3B70000}"/>
    <cellStyle name="Процентный 5 2 38" xfId="467" xr:uid="{00000000-0005-0000-0000-0000F4B70000}"/>
    <cellStyle name="Процентный 5 2 38 10" xfId="43189" xr:uid="{00000000-0005-0000-0000-0000F5B70000}"/>
    <cellStyle name="Процентный 5 2 38 11" xfId="48529" xr:uid="{00000000-0005-0000-0000-0000F6B70000}"/>
    <cellStyle name="Процентный 5 2 38 2" xfId="934" xr:uid="{00000000-0005-0000-0000-0000F7B70000}"/>
    <cellStyle name="Процентный 5 2 38 2 10" xfId="48996" xr:uid="{00000000-0005-0000-0000-0000F8B70000}"/>
    <cellStyle name="Процентный 5 2 38 2 2" xfId="6275" xr:uid="{00000000-0005-0000-0000-0000F9B70000}"/>
    <cellStyle name="Процентный 5 2 38 2 2 2" xfId="54337" xr:uid="{00000000-0005-0000-0000-0000FAB70000}"/>
    <cellStyle name="Процентный 5 2 38 2 3" xfId="11616" xr:uid="{00000000-0005-0000-0000-0000FBB70000}"/>
    <cellStyle name="Процентный 5 2 38 2 4" xfId="16956" xr:uid="{00000000-0005-0000-0000-0000FCB70000}"/>
    <cellStyle name="Процентный 5 2 38 2 5" xfId="22296" xr:uid="{00000000-0005-0000-0000-0000FDB70000}"/>
    <cellStyle name="Процентный 5 2 38 2 6" xfId="27636" xr:uid="{00000000-0005-0000-0000-0000FEB70000}"/>
    <cellStyle name="Процентный 5 2 38 2 7" xfId="32976" xr:uid="{00000000-0005-0000-0000-0000FFB70000}"/>
    <cellStyle name="Процентный 5 2 38 2 8" xfId="38316" xr:uid="{00000000-0005-0000-0000-000000B80000}"/>
    <cellStyle name="Процентный 5 2 38 2 9" xfId="43656" xr:uid="{00000000-0005-0000-0000-000001B80000}"/>
    <cellStyle name="Процентный 5 2 38 3" xfId="5808" xr:uid="{00000000-0005-0000-0000-000002B80000}"/>
    <cellStyle name="Процентный 5 2 38 3 2" xfId="53870" xr:uid="{00000000-0005-0000-0000-000003B80000}"/>
    <cellStyle name="Процентный 5 2 38 4" xfId="11149" xr:uid="{00000000-0005-0000-0000-000004B80000}"/>
    <cellStyle name="Процентный 5 2 38 5" xfId="16489" xr:uid="{00000000-0005-0000-0000-000005B80000}"/>
    <cellStyle name="Процентный 5 2 38 6" xfId="21829" xr:uid="{00000000-0005-0000-0000-000006B80000}"/>
    <cellStyle name="Процентный 5 2 38 7" xfId="27169" xr:uid="{00000000-0005-0000-0000-000007B80000}"/>
    <cellStyle name="Процентный 5 2 38 8" xfId="32509" xr:uid="{00000000-0005-0000-0000-000008B80000}"/>
    <cellStyle name="Процентный 5 2 38 9" xfId="37849" xr:uid="{00000000-0005-0000-0000-000009B80000}"/>
    <cellStyle name="Процентный 5 2 39" xfId="479" xr:uid="{00000000-0005-0000-0000-00000AB80000}"/>
    <cellStyle name="Процентный 5 2 39 10" xfId="43201" xr:uid="{00000000-0005-0000-0000-00000BB80000}"/>
    <cellStyle name="Процентный 5 2 39 11" xfId="48541" xr:uid="{00000000-0005-0000-0000-00000CB80000}"/>
    <cellStyle name="Процентный 5 2 39 2" xfId="946" xr:uid="{00000000-0005-0000-0000-00000DB80000}"/>
    <cellStyle name="Процентный 5 2 39 2 10" xfId="49008" xr:uid="{00000000-0005-0000-0000-00000EB80000}"/>
    <cellStyle name="Процентный 5 2 39 2 2" xfId="6287" xr:uid="{00000000-0005-0000-0000-00000FB80000}"/>
    <cellStyle name="Процентный 5 2 39 2 2 2" xfId="54349" xr:uid="{00000000-0005-0000-0000-000010B80000}"/>
    <cellStyle name="Процентный 5 2 39 2 3" xfId="11628" xr:uid="{00000000-0005-0000-0000-000011B80000}"/>
    <cellStyle name="Процентный 5 2 39 2 4" xfId="16968" xr:uid="{00000000-0005-0000-0000-000012B80000}"/>
    <cellStyle name="Процентный 5 2 39 2 5" xfId="22308" xr:uid="{00000000-0005-0000-0000-000013B80000}"/>
    <cellStyle name="Процентный 5 2 39 2 6" xfId="27648" xr:uid="{00000000-0005-0000-0000-000014B80000}"/>
    <cellStyle name="Процентный 5 2 39 2 7" xfId="32988" xr:uid="{00000000-0005-0000-0000-000015B80000}"/>
    <cellStyle name="Процентный 5 2 39 2 8" xfId="38328" xr:uid="{00000000-0005-0000-0000-000016B80000}"/>
    <cellStyle name="Процентный 5 2 39 2 9" xfId="43668" xr:uid="{00000000-0005-0000-0000-000017B80000}"/>
    <cellStyle name="Процентный 5 2 39 3" xfId="5820" xr:uid="{00000000-0005-0000-0000-000018B80000}"/>
    <cellStyle name="Процентный 5 2 39 3 2" xfId="53882" xr:uid="{00000000-0005-0000-0000-000019B80000}"/>
    <cellStyle name="Процентный 5 2 39 4" xfId="11161" xr:uid="{00000000-0005-0000-0000-00001AB80000}"/>
    <cellStyle name="Процентный 5 2 39 5" xfId="16501" xr:uid="{00000000-0005-0000-0000-00001BB80000}"/>
    <cellStyle name="Процентный 5 2 39 6" xfId="21841" xr:uid="{00000000-0005-0000-0000-00001CB80000}"/>
    <cellStyle name="Процентный 5 2 39 7" xfId="27181" xr:uid="{00000000-0005-0000-0000-00001DB80000}"/>
    <cellStyle name="Процентный 5 2 39 8" xfId="32521" xr:uid="{00000000-0005-0000-0000-00001EB80000}"/>
    <cellStyle name="Процентный 5 2 39 9" xfId="37861" xr:uid="{00000000-0005-0000-0000-00001FB80000}"/>
    <cellStyle name="Процентный 5 2 4" xfId="119" xr:uid="{00000000-0005-0000-0000-000020B80000}"/>
    <cellStyle name="Процентный 5 2 4 10" xfId="42841" xr:uid="{00000000-0005-0000-0000-000021B80000}"/>
    <cellStyle name="Процентный 5 2 4 11" xfId="48181" xr:uid="{00000000-0005-0000-0000-000022B80000}"/>
    <cellStyle name="Процентный 5 2 4 2" xfId="586" xr:uid="{00000000-0005-0000-0000-000023B80000}"/>
    <cellStyle name="Процентный 5 2 4 2 10" xfId="48648" xr:uid="{00000000-0005-0000-0000-000024B80000}"/>
    <cellStyle name="Процентный 5 2 4 2 2" xfId="5927" xr:uid="{00000000-0005-0000-0000-000025B80000}"/>
    <cellStyle name="Процентный 5 2 4 2 2 2" xfId="53989" xr:uid="{00000000-0005-0000-0000-000026B80000}"/>
    <cellStyle name="Процентный 5 2 4 2 3" xfId="11268" xr:uid="{00000000-0005-0000-0000-000027B80000}"/>
    <cellStyle name="Процентный 5 2 4 2 4" xfId="16608" xr:uid="{00000000-0005-0000-0000-000028B80000}"/>
    <cellStyle name="Процентный 5 2 4 2 5" xfId="21948" xr:uid="{00000000-0005-0000-0000-000029B80000}"/>
    <cellStyle name="Процентный 5 2 4 2 6" xfId="27288" xr:uid="{00000000-0005-0000-0000-00002AB80000}"/>
    <cellStyle name="Процентный 5 2 4 2 7" xfId="32628" xr:uid="{00000000-0005-0000-0000-00002BB80000}"/>
    <cellStyle name="Процентный 5 2 4 2 8" xfId="37968" xr:uid="{00000000-0005-0000-0000-00002CB80000}"/>
    <cellStyle name="Процентный 5 2 4 2 9" xfId="43308" xr:uid="{00000000-0005-0000-0000-00002DB80000}"/>
    <cellStyle name="Процентный 5 2 4 3" xfId="5460" xr:uid="{00000000-0005-0000-0000-00002EB80000}"/>
    <cellStyle name="Процентный 5 2 4 3 2" xfId="53522" xr:uid="{00000000-0005-0000-0000-00002FB80000}"/>
    <cellStyle name="Процентный 5 2 4 4" xfId="10801" xr:uid="{00000000-0005-0000-0000-000030B80000}"/>
    <cellStyle name="Процентный 5 2 4 5" xfId="16141" xr:uid="{00000000-0005-0000-0000-000031B80000}"/>
    <cellStyle name="Процентный 5 2 4 6" xfId="21481" xr:uid="{00000000-0005-0000-0000-000032B80000}"/>
    <cellStyle name="Процентный 5 2 4 7" xfId="26821" xr:uid="{00000000-0005-0000-0000-000033B80000}"/>
    <cellStyle name="Процентный 5 2 4 8" xfId="32161" xr:uid="{00000000-0005-0000-0000-000034B80000}"/>
    <cellStyle name="Процентный 5 2 4 9" xfId="37501" xr:uid="{00000000-0005-0000-0000-000035B80000}"/>
    <cellStyle name="Процентный 5 2 40" xfId="491" xr:uid="{00000000-0005-0000-0000-000036B80000}"/>
    <cellStyle name="Процентный 5 2 40 10" xfId="43213" xr:uid="{00000000-0005-0000-0000-000037B80000}"/>
    <cellStyle name="Процентный 5 2 40 11" xfId="48553" xr:uid="{00000000-0005-0000-0000-000038B80000}"/>
    <cellStyle name="Процентный 5 2 40 2" xfId="958" xr:uid="{00000000-0005-0000-0000-000039B80000}"/>
    <cellStyle name="Процентный 5 2 40 2 10" xfId="49020" xr:uid="{00000000-0005-0000-0000-00003AB80000}"/>
    <cellStyle name="Процентный 5 2 40 2 2" xfId="6299" xr:uid="{00000000-0005-0000-0000-00003BB80000}"/>
    <cellStyle name="Процентный 5 2 40 2 2 2" xfId="54361" xr:uid="{00000000-0005-0000-0000-00003CB80000}"/>
    <cellStyle name="Процентный 5 2 40 2 3" xfId="11640" xr:uid="{00000000-0005-0000-0000-00003DB80000}"/>
    <cellStyle name="Процентный 5 2 40 2 4" xfId="16980" xr:uid="{00000000-0005-0000-0000-00003EB80000}"/>
    <cellStyle name="Процентный 5 2 40 2 5" xfId="22320" xr:uid="{00000000-0005-0000-0000-00003FB80000}"/>
    <cellStyle name="Процентный 5 2 40 2 6" xfId="27660" xr:uid="{00000000-0005-0000-0000-000040B80000}"/>
    <cellStyle name="Процентный 5 2 40 2 7" xfId="33000" xr:uid="{00000000-0005-0000-0000-000041B80000}"/>
    <cellStyle name="Процентный 5 2 40 2 8" xfId="38340" xr:uid="{00000000-0005-0000-0000-000042B80000}"/>
    <cellStyle name="Процентный 5 2 40 2 9" xfId="43680" xr:uid="{00000000-0005-0000-0000-000043B80000}"/>
    <cellStyle name="Процентный 5 2 40 3" xfId="5832" xr:uid="{00000000-0005-0000-0000-000044B80000}"/>
    <cellStyle name="Процентный 5 2 40 3 2" xfId="53894" xr:uid="{00000000-0005-0000-0000-000045B80000}"/>
    <cellStyle name="Процентный 5 2 40 4" xfId="11173" xr:uid="{00000000-0005-0000-0000-000046B80000}"/>
    <cellStyle name="Процентный 5 2 40 5" xfId="16513" xr:uid="{00000000-0005-0000-0000-000047B80000}"/>
    <cellStyle name="Процентный 5 2 40 6" xfId="21853" xr:uid="{00000000-0005-0000-0000-000048B80000}"/>
    <cellStyle name="Процентный 5 2 40 7" xfId="27193" xr:uid="{00000000-0005-0000-0000-000049B80000}"/>
    <cellStyle name="Процентный 5 2 40 8" xfId="32533" xr:uid="{00000000-0005-0000-0000-00004AB80000}"/>
    <cellStyle name="Процентный 5 2 40 9" xfId="37873" xr:uid="{00000000-0005-0000-0000-00004BB80000}"/>
    <cellStyle name="Процентный 5 2 41" xfId="503" xr:uid="{00000000-0005-0000-0000-00004CB80000}"/>
    <cellStyle name="Процентный 5 2 41 10" xfId="43225" xr:uid="{00000000-0005-0000-0000-00004DB80000}"/>
    <cellStyle name="Процентный 5 2 41 11" xfId="48565" xr:uid="{00000000-0005-0000-0000-00004EB80000}"/>
    <cellStyle name="Процентный 5 2 41 2" xfId="970" xr:uid="{00000000-0005-0000-0000-00004FB80000}"/>
    <cellStyle name="Процентный 5 2 41 2 10" xfId="49032" xr:uid="{00000000-0005-0000-0000-000050B80000}"/>
    <cellStyle name="Процентный 5 2 41 2 2" xfId="6311" xr:uid="{00000000-0005-0000-0000-000051B80000}"/>
    <cellStyle name="Процентный 5 2 41 2 2 2" xfId="54373" xr:uid="{00000000-0005-0000-0000-000052B80000}"/>
    <cellStyle name="Процентный 5 2 41 2 3" xfId="11652" xr:uid="{00000000-0005-0000-0000-000053B80000}"/>
    <cellStyle name="Процентный 5 2 41 2 4" xfId="16992" xr:uid="{00000000-0005-0000-0000-000054B80000}"/>
    <cellStyle name="Процентный 5 2 41 2 5" xfId="22332" xr:uid="{00000000-0005-0000-0000-000055B80000}"/>
    <cellStyle name="Процентный 5 2 41 2 6" xfId="27672" xr:uid="{00000000-0005-0000-0000-000056B80000}"/>
    <cellStyle name="Процентный 5 2 41 2 7" xfId="33012" xr:uid="{00000000-0005-0000-0000-000057B80000}"/>
    <cellStyle name="Процентный 5 2 41 2 8" xfId="38352" xr:uid="{00000000-0005-0000-0000-000058B80000}"/>
    <cellStyle name="Процентный 5 2 41 2 9" xfId="43692" xr:uid="{00000000-0005-0000-0000-000059B80000}"/>
    <cellStyle name="Процентный 5 2 41 3" xfId="5844" xr:uid="{00000000-0005-0000-0000-00005AB80000}"/>
    <cellStyle name="Процентный 5 2 41 3 2" xfId="53906" xr:uid="{00000000-0005-0000-0000-00005BB80000}"/>
    <cellStyle name="Процентный 5 2 41 4" xfId="11185" xr:uid="{00000000-0005-0000-0000-00005CB80000}"/>
    <cellStyle name="Процентный 5 2 41 5" xfId="16525" xr:uid="{00000000-0005-0000-0000-00005DB80000}"/>
    <cellStyle name="Процентный 5 2 41 6" xfId="21865" xr:uid="{00000000-0005-0000-0000-00005EB80000}"/>
    <cellStyle name="Процентный 5 2 41 7" xfId="27205" xr:uid="{00000000-0005-0000-0000-00005FB80000}"/>
    <cellStyle name="Процентный 5 2 41 8" xfId="32545" xr:uid="{00000000-0005-0000-0000-000060B80000}"/>
    <cellStyle name="Процентный 5 2 41 9" xfId="37885" xr:uid="{00000000-0005-0000-0000-000061B80000}"/>
    <cellStyle name="Процентный 5 2 42" xfId="515" xr:uid="{00000000-0005-0000-0000-000062B80000}"/>
    <cellStyle name="Процентный 5 2 42 10" xfId="43237" xr:uid="{00000000-0005-0000-0000-000063B80000}"/>
    <cellStyle name="Процентный 5 2 42 11" xfId="48577" xr:uid="{00000000-0005-0000-0000-000064B80000}"/>
    <cellStyle name="Процентный 5 2 42 2" xfId="982" xr:uid="{00000000-0005-0000-0000-000065B80000}"/>
    <cellStyle name="Процентный 5 2 42 2 10" xfId="49044" xr:uid="{00000000-0005-0000-0000-000066B80000}"/>
    <cellStyle name="Процентный 5 2 42 2 2" xfId="6323" xr:uid="{00000000-0005-0000-0000-000067B80000}"/>
    <cellStyle name="Процентный 5 2 42 2 2 2" xfId="54385" xr:uid="{00000000-0005-0000-0000-000068B80000}"/>
    <cellStyle name="Процентный 5 2 42 2 3" xfId="11664" xr:uid="{00000000-0005-0000-0000-000069B80000}"/>
    <cellStyle name="Процентный 5 2 42 2 4" xfId="17004" xr:uid="{00000000-0005-0000-0000-00006AB80000}"/>
    <cellStyle name="Процентный 5 2 42 2 5" xfId="22344" xr:uid="{00000000-0005-0000-0000-00006BB80000}"/>
    <cellStyle name="Процентный 5 2 42 2 6" xfId="27684" xr:uid="{00000000-0005-0000-0000-00006CB80000}"/>
    <cellStyle name="Процентный 5 2 42 2 7" xfId="33024" xr:uid="{00000000-0005-0000-0000-00006DB80000}"/>
    <cellStyle name="Процентный 5 2 42 2 8" xfId="38364" xr:uid="{00000000-0005-0000-0000-00006EB80000}"/>
    <cellStyle name="Процентный 5 2 42 2 9" xfId="43704" xr:uid="{00000000-0005-0000-0000-00006FB80000}"/>
    <cellStyle name="Процентный 5 2 42 3" xfId="5856" xr:uid="{00000000-0005-0000-0000-000070B80000}"/>
    <cellStyle name="Процентный 5 2 42 3 2" xfId="53918" xr:uid="{00000000-0005-0000-0000-000071B80000}"/>
    <cellStyle name="Процентный 5 2 42 4" xfId="11197" xr:uid="{00000000-0005-0000-0000-000072B80000}"/>
    <cellStyle name="Процентный 5 2 42 5" xfId="16537" xr:uid="{00000000-0005-0000-0000-000073B80000}"/>
    <cellStyle name="Процентный 5 2 42 6" xfId="21877" xr:uid="{00000000-0005-0000-0000-000074B80000}"/>
    <cellStyle name="Процентный 5 2 42 7" xfId="27217" xr:uid="{00000000-0005-0000-0000-000075B80000}"/>
    <cellStyle name="Процентный 5 2 42 8" xfId="32557" xr:uid="{00000000-0005-0000-0000-000076B80000}"/>
    <cellStyle name="Процентный 5 2 42 9" xfId="37897" xr:uid="{00000000-0005-0000-0000-000077B80000}"/>
    <cellStyle name="Процентный 5 2 43" xfId="542" xr:uid="{00000000-0005-0000-0000-000078B80000}"/>
    <cellStyle name="Процентный 5 2 43 10" xfId="48604" xr:uid="{00000000-0005-0000-0000-000079B80000}"/>
    <cellStyle name="Процентный 5 2 43 2" xfId="5883" xr:uid="{00000000-0005-0000-0000-00007AB80000}"/>
    <cellStyle name="Процентный 5 2 43 2 2" xfId="53945" xr:uid="{00000000-0005-0000-0000-00007BB80000}"/>
    <cellStyle name="Процентный 5 2 43 3" xfId="11224" xr:uid="{00000000-0005-0000-0000-00007CB80000}"/>
    <cellStyle name="Процентный 5 2 43 4" xfId="16564" xr:uid="{00000000-0005-0000-0000-00007DB80000}"/>
    <cellStyle name="Процентный 5 2 43 5" xfId="21904" xr:uid="{00000000-0005-0000-0000-00007EB80000}"/>
    <cellStyle name="Процентный 5 2 43 6" xfId="27244" xr:uid="{00000000-0005-0000-0000-00007FB80000}"/>
    <cellStyle name="Процентный 5 2 43 7" xfId="32584" xr:uid="{00000000-0005-0000-0000-000080B80000}"/>
    <cellStyle name="Процентный 5 2 43 8" xfId="37924" xr:uid="{00000000-0005-0000-0000-000081B80000}"/>
    <cellStyle name="Процентный 5 2 43 9" xfId="43264" xr:uid="{00000000-0005-0000-0000-000082B80000}"/>
    <cellStyle name="Процентный 5 2 44" xfId="994" xr:uid="{00000000-0005-0000-0000-000083B80000}"/>
    <cellStyle name="Процентный 5 2 44 10" xfId="49056" xr:uid="{00000000-0005-0000-0000-000084B80000}"/>
    <cellStyle name="Процентный 5 2 44 2" xfId="6335" xr:uid="{00000000-0005-0000-0000-000085B80000}"/>
    <cellStyle name="Процентный 5 2 44 2 2" xfId="54397" xr:uid="{00000000-0005-0000-0000-000086B80000}"/>
    <cellStyle name="Процентный 5 2 44 3" xfId="11676" xr:uid="{00000000-0005-0000-0000-000087B80000}"/>
    <cellStyle name="Процентный 5 2 44 4" xfId="17016" xr:uid="{00000000-0005-0000-0000-000088B80000}"/>
    <cellStyle name="Процентный 5 2 44 5" xfId="22356" xr:uid="{00000000-0005-0000-0000-000089B80000}"/>
    <cellStyle name="Процентный 5 2 44 6" xfId="27696" xr:uid="{00000000-0005-0000-0000-00008AB80000}"/>
    <cellStyle name="Процентный 5 2 44 7" xfId="33036" xr:uid="{00000000-0005-0000-0000-00008BB80000}"/>
    <cellStyle name="Процентный 5 2 44 8" xfId="38376" xr:uid="{00000000-0005-0000-0000-00008CB80000}"/>
    <cellStyle name="Процентный 5 2 44 9" xfId="43716" xr:uid="{00000000-0005-0000-0000-00008DB80000}"/>
    <cellStyle name="Процентный 5 2 45" xfId="1018" xr:uid="{00000000-0005-0000-0000-00008EB80000}"/>
    <cellStyle name="Процентный 5 2 45 10" xfId="49080" xr:uid="{00000000-0005-0000-0000-00008FB80000}"/>
    <cellStyle name="Процентный 5 2 45 2" xfId="6359" xr:uid="{00000000-0005-0000-0000-000090B80000}"/>
    <cellStyle name="Процентный 5 2 45 2 2" xfId="54421" xr:uid="{00000000-0005-0000-0000-000091B80000}"/>
    <cellStyle name="Процентный 5 2 45 3" xfId="11700" xr:uid="{00000000-0005-0000-0000-000092B80000}"/>
    <cellStyle name="Процентный 5 2 45 4" xfId="17040" xr:uid="{00000000-0005-0000-0000-000093B80000}"/>
    <cellStyle name="Процентный 5 2 45 5" xfId="22380" xr:uid="{00000000-0005-0000-0000-000094B80000}"/>
    <cellStyle name="Процентный 5 2 45 6" xfId="27720" xr:uid="{00000000-0005-0000-0000-000095B80000}"/>
    <cellStyle name="Процентный 5 2 45 7" xfId="33060" xr:uid="{00000000-0005-0000-0000-000096B80000}"/>
    <cellStyle name="Процентный 5 2 45 8" xfId="38400" xr:uid="{00000000-0005-0000-0000-000097B80000}"/>
    <cellStyle name="Процентный 5 2 45 9" xfId="43740" xr:uid="{00000000-0005-0000-0000-000098B80000}"/>
    <cellStyle name="Процентный 5 2 46" xfId="1042" xr:uid="{00000000-0005-0000-0000-000099B80000}"/>
    <cellStyle name="Процентный 5 2 46 10" xfId="49104" xr:uid="{00000000-0005-0000-0000-00009AB80000}"/>
    <cellStyle name="Процентный 5 2 46 2" xfId="6383" xr:uid="{00000000-0005-0000-0000-00009BB80000}"/>
    <cellStyle name="Процентный 5 2 46 2 2" xfId="54445" xr:uid="{00000000-0005-0000-0000-00009CB80000}"/>
    <cellStyle name="Процентный 5 2 46 3" xfId="11724" xr:uid="{00000000-0005-0000-0000-00009DB80000}"/>
    <cellStyle name="Процентный 5 2 46 4" xfId="17064" xr:uid="{00000000-0005-0000-0000-00009EB80000}"/>
    <cellStyle name="Процентный 5 2 46 5" xfId="22404" xr:uid="{00000000-0005-0000-0000-00009FB80000}"/>
    <cellStyle name="Процентный 5 2 46 6" xfId="27744" xr:uid="{00000000-0005-0000-0000-0000A0B80000}"/>
    <cellStyle name="Процентный 5 2 46 7" xfId="33084" xr:uid="{00000000-0005-0000-0000-0000A1B80000}"/>
    <cellStyle name="Процентный 5 2 46 8" xfId="38424" xr:uid="{00000000-0005-0000-0000-0000A2B80000}"/>
    <cellStyle name="Процентный 5 2 46 9" xfId="43764" xr:uid="{00000000-0005-0000-0000-0000A3B80000}"/>
    <cellStyle name="Процентный 5 2 47" xfId="1067" xr:uid="{00000000-0005-0000-0000-0000A4B80000}"/>
    <cellStyle name="Процентный 5 2 47 10" xfId="49130" xr:uid="{00000000-0005-0000-0000-0000A5B80000}"/>
    <cellStyle name="Процентный 5 2 47 2" xfId="6409" xr:uid="{00000000-0005-0000-0000-0000A6B80000}"/>
    <cellStyle name="Процентный 5 2 47 2 2" xfId="54471" xr:uid="{00000000-0005-0000-0000-0000A7B80000}"/>
    <cellStyle name="Процентный 5 2 47 3" xfId="11750" xr:uid="{00000000-0005-0000-0000-0000A8B80000}"/>
    <cellStyle name="Процентный 5 2 47 4" xfId="17090" xr:uid="{00000000-0005-0000-0000-0000A9B80000}"/>
    <cellStyle name="Процентный 5 2 47 5" xfId="22430" xr:uid="{00000000-0005-0000-0000-0000AAB80000}"/>
    <cellStyle name="Процентный 5 2 47 6" xfId="27770" xr:uid="{00000000-0005-0000-0000-0000ABB80000}"/>
    <cellStyle name="Процентный 5 2 47 7" xfId="33110" xr:uid="{00000000-0005-0000-0000-0000ACB80000}"/>
    <cellStyle name="Процентный 5 2 47 8" xfId="38450" xr:uid="{00000000-0005-0000-0000-0000ADB80000}"/>
    <cellStyle name="Процентный 5 2 47 9" xfId="43790" xr:uid="{00000000-0005-0000-0000-0000AEB80000}"/>
    <cellStyle name="Процентный 5 2 48" xfId="1093" xr:uid="{00000000-0005-0000-0000-0000AFB80000}"/>
    <cellStyle name="Процентный 5 2 48 10" xfId="49156" xr:uid="{00000000-0005-0000-0000-0000B0B80000}"/>
    <cellStyle name="Процентный 5 2 48 2" xfId="6435" xr:uid="{00000000-0005-0000-0000-0000B1B80000}"/>
    <cellStyle name="Процентный 5 2 48 2 2" xfId="54497" xr:uid="{00000000-0005-0000-0000-0000B2B80000}"/>
    <cellStyle name="Процентный 5 2 48 3" xfId="11776" xr:uid="{00000000-0005-0000-0000-0000B3B80000}"/>
    <cellStyle name="Процентный 5 2 48 4" xfId="17116" xr:uid="{00000000-0005-0000-0000-0000B4B80000}"/>
    <cellStyle name="Процентный 5 2 48 5" xfId="22456" xr:uid="{00000000-0005-0000-0000-0000B5B80000}"/>
    <cellStyle name="Процентный 5 2 48 6" xfId="27796" xr:uid="{00000000-0005-0000-0000-0000B6B80000}"/>
    <cellStyle name="Процентный 5 2 48 7" xfId="33136" xr:uid="{00000000-0005-0000-0000-0000B7B80000}"/>
    <cellStyle name="Процентный 5 2 48 8" xfId="38476" xr:uid="{00000000-0005-0000-0000-0000B8B80000}"/>
    <cellStyle name="Процентный 5 2 48 9" xfId="43816" xr:uid="{00000000-0005-0000-0000-0000B9B80000}"/>
    <cellStyle name="Процентный 5 2 49" xfId="1119" xr:uid="{00000000-0005-0000-0000-0000BAB80000}"/>
    <cellStyle name="Процентный 5 2 49 10" xfId="49182" xr:uid="{00000000-0005-0000-0000-0000BBB80000}"/>
    <cellStyle name="Процентный 5 2 49 2" xfId="6461" xr:uid="{00000000-0005-0000-0000-0000BCB80000}"/>
    <cellStyle name="Процентный 5 2 49 2 2" xfId="54523" xr:uid="{00000000-0005-0000-0000-0000BDB80000}"/>
    <cellStyle name="Процентный 5 2 49 3" xfId="11802" xr:uid="{00000000-0005-0000-0000-0000BEB80000}"/>
    <cellStyle name="Процентный 5 2 49 4" xfId="17142" xr:uid="{00000000-0005-0000-0000-0000BFB80000}"/>
    <cellStyle name="Процентный 5 2 49 5" xfId="22482" xr:uid="{00000000-0005-0000-0000-0000C0B80000}"/>
    <cellStyle name="Процентный 5 2 49 6" xfId="27822" xr:uid="{00000000-0005-0000-0000-0000C1B80000}"/>
    <cellStyle name="Процентный 5 2 49 7" xfId="33162" xr:uid="{00000000-0005-0000-0000-0000C2B80000}"/>
    <cellStyle name="Процентный 5 2 49 8" xfId="38502" xr:uid="{00000000-0005-0000-0000-0000C3B80000}"/>
    <cellStyle name="Процентный 5 2 49 9" xfId="43842" xr:uid="{00000000-0005-0000-0000-0000C4B80000}"/>
    <cellStyle name="Процентный 5 2 5" xfId="129" xr:uid="{00000000-0005-0000-0000-0000C5B80000}"/>
    <cellStyle name="Процентный 5 2 5 10" xfId="42851" xr:uid="{00000000-0005-0000-0000-0000C6B80000}"/>
    <cellStyle name="Процентный 5 2 5 11" xfId="48191" xr:uid="{00000000-0005-0000-0000-0000C7B80000}"/>
    <cellStyle name="Процентный 5 2 5 2" xfId="596" xr:uid="{00000000-0005-0000-0000-0000C8B80000}"/>
    <cellStyle name="Процентный 5 2 5 2 10" xfId="48658" xr:uid="{00000000-0005-0000-0000-0000C9B80000}"/>
    <cellStyle name="Процентный 5 2 5 2 2" xfId="5937" xr:uid="{00000000-0005-0000-0000-0000CAB80000}"/>
    <cellStyle name="Процентный 5 2 5 2 2 2" xfId="53999" xr:uid="{00000000-0005-0000-0000-0000CBB80000}"/>
    <cellStyle name="Процентный 5 2 5 2 3" xfId="11278" xr:uid="{00000000-0005-0000-0000-0000CCB80000}"/>
    <cellStyle name="Процентный 5 2 5 2 4" xfId="16618" xr:uid="{00000000-0005-0000-0000-0000CDB80000}"/>
    <cellStyle name="Процентный 5 2 5 2 5" xfId="21958" xr:uid="{00000000-0005-0000-0000-0000CEB80000}"/>
    <cellStyle name="Процентный 5 2 5 2 6" xfId="27298" xr:uid="{00000000-0005-0000-0000-0000CFB80000}"/>
    <cellStyle name="Процентный 5 2 5 2 7" xfId="32638" xr:uid="{00000000-0005-0000-0000-0000D0B80000}"/>
    <cellStyle name="Процентный 5 2 5 2 8" xfId="37978" xr:uid="{00000000-0005-0000-0000-0000D1B80000}"/>
    <cellStyle name="Процентный 5 2 5 2 9" xfId="43318" xr:uid="{00000000-0005-0000-0000-0000D2B80000}"/>
    <cellStyle name="Процентный 5 2 5 3" xfId="5470" xr:uid="{00000000-0005-0000-0000-0000D3B80000}"/>
    <cellStyle name="Процентный 5 2 5 3 2" xfId="53532" xr:uid="{00000000-0005-0000-0000-0000D4B80000}"/>
    <cellStyle name="Процентный 5 2 5 4" xfId="10811" xr:uid="{00000000-0005-0000-0000-0000D5B80000}"/>
    <cellStyle name="Процентный 5 2 5 5" xfId="16151" xr:uid="{00000000-0005-0000-0000-0000D6B80000}"/>
    <cellStyle name="Процентный 5 2 5 6" xfId="21491" xr:uid="{00000000-0005-0000-0000-0000D7B80000}"/>
    <cellStyle name="Процентный 5 2 5 7" xfId="26831" xr:uid="{00000000-0005-0000-0000-0000D8B80000}"/>
    <cellStyle name="Процентный 5 2 5 8" xfId="32171" xr:uid="{00000000-0005-0000-0000-0000D9B80000}"/>
    <cellStyle name="Процентный 5 2 5 9" xfId="37511" xr:uid="{00000000-0005-0000-0000-0000DAB80000}"/>
    <cellStyle name="Процентный 5 2 50" xfId="1145" xr:uid="{00000000-0005-0000-0000-0000DBB80000}"/>
    <cellStyle name="Процентный 5 2 50 10" xfId="49208" xr:uid="{00000000-0005-0000-0000-0000DCB80000}"/>
    <cellStyle name="Процентный 5 2 50 2" xfId="6487" xr:uid="{00000000-0005-0000-0000-0000DDB80000}"/>
    <cellStyle name="Процентный 5 2 50 2 2" xfId="54549" xr:uid="{00000000-0005-0000-0000-0000DEB80000}"/>
    <cellStyle name="Процентный 5 2 50 3" xfId="11828" xr:uid="{00000000-0005-0000-0000-0000DFB80000}"/>
    <cellStyle name="Процентный 5 2 50 4" xfId="17168" xr:uid="{00000000-0005-0000-0000-0000E0B80000}"/>
    <cellStyle name="Процентный 5 2 50 5" xfId="22508" xr:uid="{00000000-0005-0000-0000-0000E1B80000}"/>
    <cellStyle name="Процентный 5 2 50 6" xfId="27848" xr:uid="{00000000-0005-0000-0000-0000E2B80000}"/>
    <cellStyle name="Процентный 5 2 50 7" xfId="33188" xr:uid="{00000000-0005-0000-0000-0000E3B80000}"/>
    <cellStyle name="Процентный 5 2 50 8" xfId="38528" xr:uid="{00000000-0005-0000-0000-0000E4B80000}"/>
    <cellStyle name="Процентный 5 2 50 9" xfId="43868" xr:uid="{00000000-0005-0000-0000-0000E5B80000}"/>
    <cellStyle name="Процентный 5 2 51" xfId="1171" xr:uid="{00000000-0005-0000-0000-0000E6B80000}"/>
    <cellStyle name="Процентный 5 2 51 10" xfId="49234" xr:uid="{00000000-0005-0000-0000-0000E7B80000}"/>
    <cellStyle name="Процентный 5 2 51 2" xfId="6513" xr:uid="{00000000-0005-0000-0000-0000E8B80000}"/>
    <cellStyle name="Процентный 5 2 51 2 2" xfId="54575" xr:uid="{00000000-0005-0000-0000-0000E9B80000}"/>
    <cellStyle name="Процентный 5 2 51 3" xfId="11854" xr:uid="{00000000-0005-0000-0000-0000EAB80000}"/>
    <cellStyle name="Процентный 5 2 51 4" xfId="17194" xr:uid="{00000000-0005-0000-0000-0000EBB80000}"/>
    <cellStyle name="Процентный 5 2 51 5" xfId="22534" xr:uid="{00000000-0005-0000-0000-0000ECB80000}"/>
    <cellStyle name="Процентный 5 2 51 6" xfId="27874" xr:uid="{00000000-0005-0000-0000-0000EDB80000}"/>
    <cellStyle name="Процентный 5 2 51 7" xfId="33214" xr:uid="{00000000-0005-0000-0000-0000EEB80000}"/>
    <cellStyle name="Процентный 5 2 51 8" xfId="38554" xr:uid="{00000000-0005-0000-0000-0000EFB80000}"/>
    <cellStyle name="Процентный 5 2 51 9" xfId="43894" xr:uid="{00000000-0005-0000-0000-0000F0B80000}"/>
    <cellStyle name="Процентный 5 2 52" xfId="1197" xr:uid="{00000000-0005-0000-0000-0000F1B80000}"/>
    <cellStyle name="Процентный 5 2 52 10" xfId="49260" xr:uid="{00000000-0005-0000-0000-0000F2B80000}"/>
    <cellStyle name="Процентный 5 2 52 2" xfId="6539" xr:uid="{00000000-0005-0000-0000-0000F3B80000}"/>
    <cellStyle name="Процентный 5 2 52 2 2" xfId="54601" xr:uid="{00000000-0005-0000-0000-0000F4B80000}"/>
    <cellStyle name="Процентный 5 2 52 3" xfId="11880" xr:uid="{00000000-0005-0000-0000-0000F5B80000}"/>
    <cellStyle name="Процентный 5 2 52 4" xfId="17220" xr:uid="{00000000-0005-0000-0000-0000F6B80000}"/>
    <cellStyle name="Процентный 5 2 52 5" xfId="22560" xr:uid="{00000000-0005-0000-0000-0000F7B80000}"/>
    <cellStyle name="Процентный 5 2 52 6" xfId="27900" xr:uid="{00000000-0005-0000-0000-0000F8B80000}"/>
    <cellStyle name="Процентный 5 2 52 7" xfId="33240" xr:uid="{00000000-0005-0000-0000-0000F9B80000}"/>
    <cellStyle name="Процентный 5 2 52 8" xfId="38580" xr:uid="{00000000-0005-0000-0000-0000FAB80000}"/>
    <cellStyle name="Процентный 5 2 52 9" xfId="43920" xr:uid="{00000000-0005-0000-0000-0000FBB80000}"/>
    <cellStyle name="Процентный 5 2 53" xfId="1223" xr:uid="{00000000-0005-0000-0000-0000FCB80000}"/>
    <cellStyle name="Процентный 5 2 53 10" xfId="49286" xr:uid="{00000000-0005-0000-0000-0000FDB80000}"/>
    <cellStyle name="Процентный 5 2 53 2" xfId="6565" xr:uid="{00000000-0005-0000-0000-0000FEB80000}"/>
    <cellStyle name="Процентный 5 2 53 2 2" xfId="54627" xr:uid="{00000000-0005-0000-0000-0000FFB80000}"/>
    <cellStyle name="Процентный 5 2 53 3" xfId="11906" xr:uid="{00000000-0005-0000-0000-000000B90000}"/>
    <cellStyle name="Процентный 5 2 53 4" xfId="17246" xr:uid="{00000000-0005-0000-0000-000001B90000}"/>
    <cellStyle name="Процентный 5 2 53 5" xfId="22586" xr:uid="{00000000-0005-0000-0000-000002B90000}"/>
    <cellStyle name="Процентный 5 2 53 6" xfId="27926" xr:uid="{00000000-0005-0000-0000-000003B90000}"/>
    <cellStyle name="Процентный 5 2 53 7" xfId="33266" xr:uid="{00000000-0005-0000-0000-000004B90000}"/>
    <cellStyle name="Процентный 5 2 53 8" xfId="38606" xr:uid="{00000000-0005-0000-0000-000005B90000}"/>
    <cellStyle name="Процентный 5 2 53 9" xfId="43946" xr:uid="{00000000-0005-0000-0000-000006B90000}"/>
    <cellStyle name="Процентный 5 2 54" xfId="1249" xr:uid="{00000000-0005-0000-0000-000007B90000}"/>
    <cellStyle name="Процентный 5 2 54 10" xfId="49312" xr:uid="{00000000-0005-0000-0000-000008B90000}"/>
    <cellStyle name="Процентный 5 2 54 2" xfId="6591" xr:uid="{00000000-0005-0000-0000-000009B90000}"/>
    <cellStyle name="Процентный 5 2 54 2 2" xfId="54653" xr:uid="{00000000-0005-0000-0000-00000AB90000}"/>
    <cellStyle name="Процентный 5 2 54 3" xfId="11932" xr:uid="{00000000-0005-0000-0000-00000BB90000}"/>
    <cellStyle name="Процентный 5 2 54 4" xfId="17272" xr:uid="{00000000-0005-0000-0000-00000CB90000}"/>
    <cellStyle name="Процентный 5 2 54 5" xfId="22612" xr:uid="{00000000-0005-0000-0000-00000DB90000}"/>
    <cellStyle name="Процентный 5 2 54 6" xfId="27952" xr:uid="{00000000-0005-0000-0000-00000EB90000}"/>
    <cellStyle name="Процентный 5 2 54 7" xfId="33292" xr:uid="{00000000-0005-0000-0000-00000FB90000}"/>
    <cellStyle name="Процентный 5 2 54 8" xfId="38632" xr:uid="{00000000-0005-0000-0000-000010B90000}"/>
    <cellStyle name="Процентный 5 2 54 9" xfId="43972" xr:uid="{00000000-0005-0000-0000-000011B90000}"/>
    <cellStyle name="Процентный 5 2 55" xfId="1275" xr:uid="{00000000-0005-0000-0000-000012B90000}"/>
    <cellStyle name="Процентный 5 2 55 10" xfId="49338" xr:uid="{00000000-0005-0000-0000-000013B90000}"/>
    <cellStyle name="Процентный 5 2 55 2" xfId="6617" xr:uid="{00000000-0005-0000-0000-000014B90000}"/>
    <cellStyle name="Процентный 5 2 55 2 2" xfId="54679" xr:uid="{00000000-0005-0000-0000-000015B90000}"/>
    <cellStyle name="Процентный 5 2 55 3" xfId="11958" xr:uid="{00000000-0005-0000-0000-000016B90000}"/>
    <cellStyle name="Процентный 5 2 55 4" xfId="17298" xr:uid="{00000000-0005-0000-0000-000017B90000}"/>
    <cellStyle name="Процентный 5 2 55 5" xfId="22638" xr:uid="{00000000-0005-0000-0000-000018B90000}"/>
    <cellStyle name="Процентный 5 2 55 6" xfId="27978" xr:uid="{00000000-0005-0000-0000-000019B90000}"/>
    <cellStyle name="Процентный 5 2 55 7" xfId="33318" xr:uid="{00000000-0005-0000-0000-00001AB90000}"/>
    <cellStyle name="Процентный 5 2 55 8" xfId="38658" xr:uid="{00000000-0005-0000-0000-00001BB90000}"/>
    <cellStyle name="Процентный 5 2 55 9" xfId="43998" xr:uid="{00000000-0005-0000-0000-00001CB90000}"/>
    <cellStyle name="Процентный 5 2 56" xfId="1301" xr:uid="{00000000-0005-0000-0000-00001DB90000}"/>
    <cellStyle name="Процентный 5 2 56 10" xfId="49364" xr:uid="{00000000-0005-0000-0000-00001EB90000}"/>
    <cellStyle name="Процентный 5 2 56 2" xfId="6643" xr:uid="{00000000-0005-0000-0000-00001FB90000}"/>
    <cellStyle name="Процентный 5 2 56 2 2" xfId="54705" xr:uid="{00000000-0005-0000-0000-000020B90000}"/>
    <cellStyle name="Процентный 5 2 56 3" xfId="11984" xr:uid="{00000000-0005-0000-0000-000021B90000}"/>
    <cellStyle name="Процентный 5 2 56 4" xfId="17324" xr:uid="{00000000-0005-0000-0000-000022B90000}"/>
    <cellStyle name="Процентный 5 2 56 5" xfId="22664" xr:uid="{00000000-0005-0000-0000-000023B90000}"/>
    <cellStyle name="Процентный 5 2 56 6" xfId="28004" xr:uid="{00000000-0005-0000-0000-000024B90000}"/>
    <cellStyle name="Процентный 5 2 56 7" xfId="33344" xr:uid="{00000000-0005-0000-0000-000025B90000}"/>
    <cellStyle name="Процентный 5 2 56 8" xfId="38684" xr:uid="{00000000-0005-0000-0000-000026B90000}"/>
    <cellStyle name="Процентный 5 2 56 9" xfId="44024" xr:uid="{00000000-0005-0000-0000-000027B90000}"/>
    <cellStyle name="Процентный 5 2 57" xfId="1327" xr:uid="{00000000-0005-0000-0000-000028B90000}"/>
    <cellStyle name="Процентный 5 2 57 10" xfId="49390" xr:uid="{00000000-0005-0000-0000-000029B90000}"/>
    <cellStyle name="Процентный 5 2 57 2" xfId="6669" xr:uid="{00000000-0005-0000-0000-00002AB90000}"/>
    <cellStyle name="Процентный 5 2 57 2 2" xfId="54731" xr:uid="{00000000-0005-0000-0000-00002BB90000}"/>
    <cellStyle name="Процентный 5 2 57 3" xfId="12010" xr:uid="{00000000-0005-0000-0000-00002CB90000}"/>
    <cellStyle name="Процентный 5 2 57 4" xfId="17350" xr:uid="{00000000-0005-0000-0000-00002DB90000}"/>
    <cellStyle name="Процентный 5 2 57 5" xfId="22690" xr:uid="{00000000-0005-0000-0000-00002EB90000}"/>
    <cellStyle name="Процентный 5 2 57 6" xfId="28030" xr:uid="{00000000-0005-0000-0000-00002FB90000}"/>
    <cellStyle name="Процентный 5 2 57 7" xfId="33370" xr:uid="{00000000-0005-0000-0000-000030B90000}"/>
    <cellStyle name="Процентный 5 2 57 8" xfId="38710" xr:uid="{00000000-0005-0000-0000-000031B90000}"/>
    <cellStyle name="Процентный 5 2 57 9" xfId="44050" xr:uid="{00000000-0005-0000-0000-000032B90000}"/>
    <cellStyle name="Процентный 5 2 58" xfId="1353" xr:uid="{00000000-0005-0000-0000-000033B90000}"/>
    <cellStyle name="Процентный 5 2 58 10" xfId="49416" xr:uid="{00000000-0005-0000-0000-000034B90000}"/>
    <cellStyle name="Процентный 5 2 58 2" xfId="6695" xr:uid="{00000000-0005-0000-0000-000035B90000}"/>
    <cellStyle name="Процентный 5 2 58 2 2" xfId="54757" xr:uid="{00000000-0005-0000-0000-000036B90000}"/>
    <cellStyle name="Процентный 5 2 58 3" xfId="12036" xr:uid="{00000000-0005-0000-0000-000037B90000}"/>
    <cellStyle name="Процентный 5 2 58 4" xfId="17376" xr:uid="{00000000-0005-0000-0000-000038B90000}"/>
    <cellStyle name="Процентный 5 2 58 5" xfId="22716" xr:uid="{00000000-0005-0000-0000-000039B90000}"/>
    <cellStyle name="Процентный 5 2 58 6" xfId="28056" xr:uid="{00000000-0005-0000-0000-00003AB90000}"/>
    <cellStyle name="Процентный 5 2 58 7" xfId="33396" xr:uid="{00000000-0005-0000-0000-00003BB90000}"/>
    <cellStyle name="Процентный 5 2 58 8" xfId="38736" xr:uid="{00000000-0005-0000-0000-00003CB90000}"/>
    <cellStyle name="Процентный 5 2 58 9" xfId="44076" xr:uid="{00000000-0005-0000-0000-00003DB90000}"/>
    <cellStyle name="Процентный 5 2 59" xfId="1379" xr:uid="{00000000-0005-0000-0000-00003EB90000}"/>
    <cellStyle name="Процентный 5 2 59 10" xfId="49442" xr:uid="{00000000-0005-0000-0000-00003FB90000}"/>
    <cellStyle name="Процентный 5 2 59 2" xfId="6721" xr:uid="{00000000-0005-0000-0000-000040B90000}"/>
    <cellStyle name="Процентный 5 2 59 2 2" xfId="54783" xr:uid="{00000000-0005-0000-0000-000041B90000}"/>
    <cellStyle name="Процентный 5 2 59 3" xfId="12062" xr:uid="{00000000-0005-0000-0000-000042B90000}"/>
    <cellStyle name="Процентный 5 2 59 4" xfId="17402" xr:uid="{00000000-0005-0000-0000-000043B90000}"/>
    <cellStyle name="Процентный 5 2 59 5" xfId="22742" xr:uid="{00000000-0005-0000-0000-000044B90000}"/>
    <cellStyle name="Процентный 5 2 59 6" xfId="28082" xr:uid="{00000000-0005-0000-0000-000045B90000}"/>
    <cellStyle name="Процентный 5 2 59 7" xfId="33422" xr:uid="{00000000-0005-0000-0000-000046B90000}"/>
    <cellStyle name="Процентный 5 2 59 8" xfId="38762" xr:uid="{00000000-0005-0000-0000-000047B90000}"/>
    <cellStyle name="Процентный 5 2 59 9" xfId="44102" xr:uid="{00000000-0005-0000-0000-000048B90000}"/>
    <cellStyle name="Процентный 5 2 6" xfId="139" xr:uid="{00000000-0005-0000-0000-000049B90000}"/>
    <cellStyle name="Процентный 5 2 6 10" xfId="42861" xr:uid="{00000000-0005-0000-0000-00004AB90000}"/>
    <cellStyle name="Процентный 5 2 6 11" xfId="48201" xr:uid="{00000000-0005-0000-0000-00004BB90000}"/>
    <cellStyle name="Процентный 5 2 6 2" xfId="606" xr:uid="{00000000-0005-0000-0000-00004CB90000}"/>
    <cellStyle name="Процентный 5 2 6 2 10" xfId="48668" xr:uid="{00000000-0005-0000-0000-00004DB90000}"/>
    <cellStyle name="Процентный 5 2 6 2 2" xfId="5947" xr:uid="{00000000-0005-0000-0000-00004EB90000}"/>
    <cellStyle name="Процентный 5 2 6 2 2 2" xfId="54009" xr:uid="{00000000-0005-0000-0000-00004FB90000}"/>
    <cellStyle name="Процентный 5 2 6 2 3" xfId="11288" xr:uid="{00000000-0005-0000-0000-000050B90000}"/>
    <cellStyle name="Процентный 5 2 6 2 4" xfId="16628" xr:uid="{00000000-0005-0000-0000-000051B90000}"/>
    <cellStyle name="Процентный 5 2 6 2 5" xfId="21968" xr:uid="{00000000-0005-0000-0000-000052B90000}"/>
    <cellStyle name="Процентный 5 2 6 2 6" xfId="27308" xr:uid="{00000000-0005-0000-0000-000053B90000}"/>
    <cellStyle name="Процентный 5 2 6 2 7" xfId="32648" xr:uid="{00000000-0005-0000-0000-000054B90000}"/>
    <cellStyle name="Процентный 5 2 6 2 8" xfId="37988" xr:uid="{00000000-0005-0000-0000-000055B90000}"/>
    <cellStyle name="Процентный 5 2 6 2 9" xfId="43328" xr:uid="{00000000-0005-0000-0000-000056B90000}"/>
    <cellStyle name="Процентный 5 2 6 3" xfId="5480" xr:uid="{00000000-0005-0000-0000-000057B90000}"/>
    <cellStyle name="Процентный 5 2 6 3 2" xfId="53542" xr:uid="{00000000-0005-0000-0000-000058B90000}"/>
    <cellStyle name="Процентный 5 2 6 4" xfId="10821" xr:uid="{00000000-0005-0000-0000-000059B90000}"/>
    <cellStyle name="Процентный 5 2 6 5" xfId="16161" xr:uid="{00000000-0005-0000-0000-00005AB90000}"/>
    <cellStyle name="Процентный 5 2 6 6" xfId="21501" xr:uid="{00000000-0005-0000-0000-00005BB90000}"/>
    <cellStyle name="Процентный 5 2 6 7" xfId="26841" xr:uid="{00000000-0005-0000-0000-00005CB90000}"/>
    <cellStyle name="Процентный 5 2 6 8" xfId="32181" xr:uid="{00000000-0005-0000-0000-00005DB90000}"/>
    <cellStyle name="Процентный 5 2 6 9" xfId="37521" xr:uid="{00000000-0005-0000-0000-00005EB90000}"/>
    <cellStyle name="Процентный 5 2 60" xfId="1405" xr:uid="{00000000-0005-0000-0000-00005FB90000}"/>
    <cellStyle name="Процентный 5 2 60 10" xfId="49468" xr:uid="{00000000-0005-0000-0000-000060B90000}"/>
    <cellStyle name="Процентный 5 2 60 2" xfId="6747" xr:uid="{00000000-0005-0000-0000-000061B90000}"/>
    <cellStyle name="Процентный 5 2 60 2 2" xfId="54809" xr:uid="{00000000-0005-0000-0000-000062B90000}"/>
    <cellStyle name="Процентный 5 2 60 3" xfId="12088" xr:uid="{00000000-0005-0000-0000-000063B90000}"/>
    <cellStyle name="Процентный 5 2 60 4" xfId="17428" xr:uid="{00000000-0005-0000-0000-000064B90000}"/>
    <cellStyle name="Процентный 5 2 60 5" xfId="22768" xr:uid="{00000000-0005-0000-0000-000065B90000}"/>
    <cellStyle name="Процентный 5 2 60 6" xfId="28108" xr:uid="{00000000-0005-0000-0000-000066B90000}"/>
    <cellStyle name="Процентный 5 2 60 7" xfId="33448" xr:uid="{00000000-0005-0000-0000-000067B90000}"/>
    <cellStyle name="Процентный 5 2 60 8" xfId="38788" xr:uid="{00000000-0005-0000-0000-000068B90000}"/>
    <cellStyle name="Процентный 5 2 60 9" xfId="44128" xr:uid="{00000000-0005-0000-0000-000069B90000}"/>
    <cellStyle name="Процентный 5 2 61" xfId="1431" xr:uid="{00000000-0005-0000-0000-00006AB90000}"/>
    <cellStyle name="Процентный 5 2 61 10" xfId="49494" xr:uid="{00000000-0005-0000-0000-00006BB90000}"/>
    <cellStyle name="Процентный 5 2 61 2" xfId="6773" xr:uid="{00000000-0005-0000-0000-00006CB90000}"/>
    <cellStyle name="Процентный 5 2 61 2 2" xfId="54835" xr:uid="{00000000-0005-0000-0000-00006DB90000}"/>
    <cellStyle name="Процентный 5 2 61 3" xfId="12114" xr:uid="{00000000-0005-0000-0000-00006EB90000}"/>
    <cellStyle name="Процентный 5 2 61 4" xfId="17454" xr:uid="{00000000-0005-0000-0000-00006FB90000}"/>
    <cellStyle name="Процентный 5 2 61 5" xfId="22794" xr:uid="{00000000-0005-0000-0000-000070B90000}"/>
    <cellStyle name="Процентный 5 2 61 6" xfId="28134" xr:uid="{00000000-0005-0000-0000-000071B90000}"/>
    <cellStyle name="Процентный 5 2 61 7" xfId="33474" xr:uid="{00000000-0005-0000-0000-000072B90000}"/>
    <cellStyle name="Процентный 5 2 61 8" xfId="38814" xr:uid="{00000000-0005-0000-0000-000073B90000}"/>
    <cellStyle name="Процентный 5 2 61 9" xfId="44154" xr:uid="{00000000-0005-0000-0000-000074B90000}"/>
    <cellStyle name="Процентный 5 2 62" xfId="1457" xr:uid="{00000000-0005-0000-0000-000075B90000}"/>
    <cellStyle name="Процентный 5 2 62 10" xfId="49520" xr:uid="{00000000-0005-0000-0000-000076B90000}"/>
    <cellStyle name="Процентный 5 2 62 2" xfId="6799" xr:uid="{00000000-0005-0000-0000-000077B90000}"/>
    <cellStyle name="Процентный 5 2 62 2 2" xfId="54861" xr:uid="{00000000-0005-0000-0000-000078B90000}"/>
    <cellStyle name="Процентный 5 2 62 3" xfId="12140" xr:uid="{00000000-0005-0000-0000-000079B90000}"/>
    <cellStyle name="Процентный 5 2 62 4" xfId="17480" xr:uid="{00000000-0005-0000-0000-00007AB90000}"/>
    <cellStyle name="Процентный 5 2 62 5" xfId="22820" xr:uid="{00000000-0005-0000-0000-00007BB90000}"/>
    <cellStyle name="Процентный 5 2 62 6" xfId="28160" xr:uid="{00000000-0005-0000-0000-00007CB90000}"/>
    <cellStyle name="Процентный 5 2 62 7" xfId="33500" xr:uid="{00000000-0005-0000-0000-00007DB90000}"/>
    <cellStyle name="Процентный 5 2 62 8" xfId="38840" xr:uid="{00000000-0005-0000-0000-00007EB90000}"/>
    <cellStyle name="Процентный 5 2 62 9" xfId="44180" xr:uid="{00000000-0005-0000-0000-00007FB90000}"/>
    <cellStyle name="Процентный 5 2 63" xfId="1483" xr:uid="{00000000-0005-0000-0000-000080B90000}"/>
    <cellStyle name="Процентный 5 2 63 10" xfId="49546" xr:uid="{00000000-0005-0000-0000-000081B90000}"/>
    <cellStyle name="Процентный 5 2 63 2" xfId="6825" xr:uid="{00000000-0005-0000-0000-000082B90000}"/>
    <cellStyle name="Процентный 5 2 63 2 2" xfId="54887" xr:uid="{00000000-0005-0000-0000-000083B90000}"/>
    <cellStyle name="Процентный 5 2 63 3" xfId="12166" xr:uid="{00000000-0005-0000-0000-000084B90000}"/>
    <cellStyle name="Процентный 5 2 63 4" xfId="17506" xr:uid="{00000000-0005-0000-0000-000085B90000}"/>
    <cellStyle name="Процентный 5 2 63 5" xfId="22846" xr:uid="{00000000-0005-0000-0000-000086B90000}"/>
    <cellStyle name="Процентный 5 2 63 6" xfId="28186" xr:uid="{00000000-0005-0000-0000-000087B90000}"/>
    <cellStyle name="Процентный 5 2 63 7" xfId="33526" xr:uid="{00000000-0005-0000-0000-000088B90000}"/>
    <cellStyle name="Процентный 5 2 63 8" xfId="38866" xr:uid="{00000000-0005-0000-0000-000089B90000}"/>
    <cellStyle name="Процентный 5 2 63 9" xfId="44206" xr:uid="{00000000-0005-0000-0000-00008AB90000}"/>
    <cellStyle name="Процентный 5 2 64" xfId="1509" xr:uid="{00000000-0005-0000-0000-00008BB90000}"/>
    <cellStyle name="Процентный 5 2 64 10" xfId="49572" xr:uid="{00000000-0005-0000-0000-00008CB90000}"/>
    <cellStyle name="Процентный 5 2 64 2" xfId="6851" xr:uid="{00000000-0005-0000-0000-00008DB90000}"/>
    <cellStyle name="Процентный 5 2 64 2 2" xfId="54913" xr:uid="{00000000-0005-0000-0000-00008EB90000}"/>
    <cellStyle name="Процентный 5 2 64 3" xfId="12192" xr:uid="{00000000-0005-0000-0000-00008FB90000}"/>
    <cellStyle name="Процентный 5 2 64 4" xfId="17532" xr:uid="{00000000-0005-0000-0000-000090B90000}"/>
    <cellStyle name="Процентный 5 2 64 5" xfId="22872" xr:uid="{00000000-0005-0000-0000-000091B90000}"/>
    <cellStyle name="Процентный 5 2 64 6" xfId="28212" xr:uid="{00000000-0005-0000-0000-000092B90000}"/>
    <cellStyle name="Процентный 5 2 64 7" xfId="33552" xr:uid="{00000000-0005-0000-0000-000093B90000}"/>
    <cellStyle name="Процентный 5 2 64 8" xfId="38892" xr:uid="{00000000-0005-0000-0000-000094B90000}"/>
    <cellStyle name="Процентный 5 2 64 9" xfId="44232" xr:uid="{00000000-0005-0000-0000-000095B90000}"/>
    <cellStyle name="Процентный 5 2 65" xfId="1535" xr:uid="{00000000-0005-0000-0000-000096B90000}"/>
    <cellStyle name="Процентный 5 2 65 10" xfId="49598" xr:uid="{00000000-0005-0000-0000-000097B90000}"/>
    <cellStyle name="Процентный 5 2 65 2" xfId="6877" xr:uid="{00000000-0005-0000-0000-000098B90000}"/>
    <cellStyle name="Процентный 5 2 65 2 2" xfId="54939" xr:uid="{00000000-0005-0000-0000-000099B90000}"/>
    <cellStyle name="Процентный 5 2 65 3" xfId="12218" xr:uid="{00000000-0005-0000-0000-00009AB90000}"/>
    <cellStyle name="Процентный 5 2 65 4" xfId="17558" xr:uid="{00000000-0005-0000-0000-00009BB90000}"/>
    <cellStyle name="Процентный 5 2 65 5" xfId="22898" xr:uid="{00000000-0005-0000-0000-00009CB90000}"/>
    <cellStyle name="Процентный 5 2 65 6" xfId="28238" xr:uid="{00000000-0005-0000-0000-00009DB90000}"/>
    <cellStyle name="Процентный 5 2 65 7" xfId="33578" xr:uid="{00000000-0005-0000-0000-00009EB90000}"/>
    <cellStyle name="Процентный 5 2 65 8" xfId="38918" xr:uid="{00000000-0005-0000-0000-00009FB90000}"/>
    <cellStyle name="Процентный 5 2 65 9" xfId="44258" xr:uid="{00000000-0005-0000-0000-0000A0B90000}"/>
    <cellStyle name="Процентный 5 2 66" xfId="1561" xr:uid="{00000000-0005-0000-0000-0000A1B90000}"/>
    <cellStyle name="Процентный 5 2 66 10" xfId="49624" xr:uid="{00000000-0005-0000-0000-0000A2B90000}"/>
    <cellStyle name="Процентный 5 2 66 2" xfId="6903" xr:uid="{00000000-0005-0000-0000-0000A3B90000}"/>
    <cellStyle name="Процентный 5 2 66 2 2" xfId="54965" xr:uid="{00000000-0005-0000-0000-0000A4B90000}"/>
    <cellStyle name="Процентный 5 2 66 3" xfId="12244" xr:uid="{00000000-0005-0000-0000-0000A5B90000}"/>
    <cellStyle name="Процентный 5 2 66 4" xfId="17584" xr:uid="{00000000-0005-0000-0000-0000A6B90000}"/>
    <cellStyle name="Процентный 5 2 66 5" xfId="22924" xr:uid="{00000000-0005-0000-0000-0000A7B90000}"/>
    <cellStyle name="Процентный 5 2 66 6" xfId="28264" xr:uid="{00000000-0005-0000-0000-0000A8B90000}"/>
    <cellStyle name="Процентный 5 2 66 7" xfId="33604" xr:uid="{00000000-0005-0000-0000-0000A9B90000}"/>
    <cellStyle name="Процентный 5 2 66 8" xfId="38944" xr:uid="{00000000-0005-0000-0000-0000AAB90000}"/>
    <cellStyle name="Процентный 5 2 66 9" xfId="44284" xr:uid="{00000000-0005-0000-0000-0000ABB90000}"/>
    <cellStyle name="Процентный 5 2 67" xfId="1587" xr:uid="{00000000-0005-0000-0000-0000ACB90000}"/>
    <cellStyle name="Процентный 5 2 67 10" xfId="49650" xr:uid="{00000000-0005-0000-0000-0000ADB90000}"/>
    <cellStyle name="Процентный 5 2 67 2" xfId="6929" xr:uid="{00000000-0005-0000-0000-0000AEB90000}"/>
    <cellStyle name="Процентный 5 2 67 2 2" xfId="54991" xr:uid="{00000000-0005-0000-0000-0000AFB90000}"/>
    <cellStyle name="Процентный 5 2 67 3" xfId="12270" xr:uid="{00000000-0005-0000-0000-0000B0B90000}"/>
    <cellStyle name="Процентный 5 2 67 4" xfId="17610" xr:uid="{00000000-0005-0000-0000-0000B1B90000}"/>
    <cellStyle name="Процентный 5 2 67 5" xfId="22950" xr:uid="{00000000-0005-0000-0000-0000B2B90000}"/>
    <cellStyle name="Процентный 5 2 67 6" xfId="28290" xr:uid="{00000000-0005-0000-0000-0000B3B90000}"/>
    <cellStyle name="Процентный 5 2 67 7" xfId="33630" xr:uid="{00000000-0005-0000-0000-0000B4B90000}"/>
    <cellStyle name="Процентный 5 2 67 8" xfId="38970" xr:uid="{00000000-0005-0000-0000-0000B5B90000}"/>
    <cellStyle name="Процентный 5 2 67 9" xfId="44310" xr:uid="{00000000-0005-0000-0000-0000B6B90000}"/>
    <cellStyle name="Процентный 5 2 68" xfId="1613" xr:uid="{00000000-0005-0000-0000-0000B7B90000}"/>
    <cellStyle name="Процентный 5 2 68 10" xfId="49676" xr:uid="{00000000-0005-0000-0000-0000B8B90000}"/>
    <cellStyle name="Процентный 5 2 68 2" xfId="6955" xr:uid="{00000000-0005-0000-0000-0000B9B90000}"/>
    <cellStyle name="Процентный 5 2 68 2 2" xfId="55017" xr:uid="{00000000-0005-0000-0000-0000BAB90000}"/>
    <cellStyle name="Процентный 5 2 68 3" xfId="12296" xr:uid="{00000000-0005-0000-0000-0000BBB90000}"/>
    <cellStyle name="Процентный 5 2 68 4" xfId="17636" xr:uid="{00000000-0005-0000-0000-0000BCB90000}"/>
    <cellStyle name="Процентный 5 2 68 5" xfId="22976" xr:uid="{00000000-0005-0000-0000-0000BDB90000}"/>
    <cellStyle name="Процентный 5 2 68 6" xfId="28316" xr:uid="{00000000-0005-0000-0000-0000BEB90000}"/>
    <cellStyle name="Процентный 5 2 68 7" xfId="33656" xr:uid="{00000000-0005-0000-0000-0000BFB90000}"/>
    <cellStyle name="Процентный 5 2 68 8" xfId="38996" xr:uid="{00000000-0005-0000-0000-0000C0B90000}"/>
    <cellStyle name="Процентный 5 2 68 9" xfId="44336" xr:uid="{00000000-0005-0000-0000-0000C1B90000}"/>
    <cellStyle name="Процентный 5 2 69" xfId="1639" xr:uid="{00000000-0005-0000-0000-0000C2B90000}"/>
    <cellStyle name="Процентный 5 2 69 10" xfId="49702" xr:uid="{00000000-0005-0000-0000-0000C3B90000}"/>
    <cellStyle name="Процентный 5 2 69 2" xfId="6981" xr:uid="{00000000-0005-0000-0000-0000C4B90000}"/>
    <cellStyle name="Процентный 5 2 69 2 2" xfId="55043" xr:uid="{00000000-0005-0000-0000-0000C5B90000}"/>
    <cellStyle name="Процентный 5 2 69 3" xfId="12322" xr:uid="{00000000-0005-0000-0000-0000C6B90000}"/>
    <cellStyle name="Процентный 5 2 69 4" xfId="17662" xr:uid="{00000000-0005-0000-0000-0000C7B90000}"/>
    <cellStyle name="Процентный 5 2 69 5" xfId="23002" xr:uid="{00000000-0005-0000-0000-0000C8B90000}"/>
    <cellStyle name="Процентный 5 2 69 6" xfId="28342" xr:uid="{00000000-0005-0000-0000-0000C9B90000}"/>
    <cellStyle name="Процентный 5 2 69 7" xfId="33682" xr:uid="{00000000-0005-0000-0000-0000CAB90000}"/>
    <cellStyle name="Процентный 5 2 69 8" xfId="39022" xr:uid="{00000000-0005-0000-0000-0000CBB90000}"/>
    <cellStyle name="Процентный 5 2 69 9" xfId="44362" xr:uid="{00000000-0005-0000-0000-0000CCB90000}"/>
    <cellStyle name="Процентный 5 2 7" xfId="149" xr:uid="{00000000-0005-0000-0000-0000CDB90000}"/>
    <cellStyle name="Процентный 5 2 7 10" xfId="42871" xr:uid="{00000000-0005-0000-0000-0000CEB90000}"/>
    <cellStyle name="Процентный 5 2 7 11" xfId="48211" xr:uid="{00000000-0005-0000-0000-0000CFB90000}"/>
    <cellStyle name="Процентный 5 2 7 2" xfId="616" xr:uid="{00000000-0005-0000-0000-0000D0B90000}"/>
    <cellStyle name="Процентный 5 2 7 2 10" xfId="48678" xr:uid="{00000000-0005-0000-0000-0000D1B90000}"/>
    <cellStyle name="Процентный 5 2 7 2 2" xfId="5957" xr:uid="{00000000-0005-0000-0000-0000D2B90000}"/>
    <cellStyle name="Процентный 5 2 7 2 2 2" xfId="54019" xr:uid="{00000000-0005-0000-0000-0000D3B90000}"/>
    <cellStyle name="Процентный 5 2 7 2 3" xfId="11298" xr:uid="{00000000-0005-0000-0000-0000D4B90000}"/>
    <cellStyle name="Процентный 5 2 7 2 4" xfId="16638" xr:uid="{00000000-0005-0000-0000-0000D5B90000}"/>
    <cellStyle name="Процентный 5 2 7 2 5" xfId="21978" xr:uid="{00000000-0005-0000-0000-0000D6B90000}"/>
    <cellStyle name="Процентный 5 2 7 2 6" xfId="27318" xr:uid="{00000000-0005-0000-0000-0000D7B90000}"/>
    <cellStyle name="Процентный 5 2 7 2 7" xfId="32658" xr:uid="{00000000-0005-0000-0000-0000D8B90000}"/>
    <cellStyle name="Процентный 5 2 7 2 8" xfId="37998" xr:uid="{00000000-0005-0000-0000-0000D9B90000}"/>
    <cellStyle name="Процентный 5 2 7 2 9" xfId="43338" xr:uid="{00000000-0005-0000-0000-0000DAB90000}"/>
    <cellStyle name="Процентный 5 2 7 3" xfId="5490" xr:uid="{00000000-0005-0000-0000-0000DBB90000}"/>
    <cellStyle name="Процентный 5 2 7 3 2" xfId="53552" xr:uid="{00000000-0005-0000-0000-0000DCB90000}"/>
    <cellStyle name="Процентный 5 2 7 4" xfId="10831" xr:uid="{00000000-0005-0000-0000-0000DDB90000}"/>
    <cellStyle name="Процентный 5 2 7 5" xfId="16171" xr:uid="{00000000-0005-0000-0000-0000DEB90000}"/>
    <cellStyle name="Процентный 5 2 7 6" xfId="21511" xr:uid="{00000000-0005-0000-0000-0000DFB90000}"/>
    <cellStyle name="Процентный 5 2 7 7" xfId="26851" xr:uid="{00000000-0005-0000-0000-0000E0B90000}"/>
    <cellStyle name="Процентный 5 2 7 8" xfId="32191" xr:uid="{00000000-0005-0000-0000-0000E1B90000}"/>
    <cellStyle name="Процентный 5 2 7 9" xfId="37531" xr:uid="{00000000-0005-0000-0000-0000E2B90000}"/>
    <cellStyle name="Процентный 5 2 70" xfId="1665" xr:uid="{00000000-0005-0000-0000-0000E3B90000}"/>
    <cellStyle name="Процентный 5 2 70 10" xfId="49728" xr:uid="{00000000-0005-0000-0000-0000E4B90000}"/>
    <cellStyle name="Процентный 5 2 70 2" xfId="7007" xr:uid="{00000000-0005-0000-0000-0000E5B90000}"/>
    <cellStyle name="Процентный 5 2 70 2 2" xfId="55069" xr:uid="{00000000-0005-0000-0000-0000E6B90000}"/>
    <cellStyle name="Процентный 5 2 70 3" xfId="12348" xr:uid="{00000000-0005-0000-0000-0000E7B90000}"/>
    <cellStyle name="Процентный 5 2 70 4" xfId="17688" xr:uid="{00000000-0005-0000-0000-0000E8B90000}"/>
    <cellStyle name="Процентный 5 2 70 5" xfId="23028" xr:uid="{00000000-0005-0000-0000-0000E9B90000}"/>
    <cellStyle name="Процентный 5 2 70 6" xfId="28368" xr:uid="{00000000-0005-0000-0000-0000EAB90000}"/>
    <cellStyle name="Процентный 5 2 70 7" xfId="33708" xr:uid="{00000000-0005-0000-0000-0000EBB90000}"/>
    <cellStyle name="Процентный 5 2 70 8" xfId="39048" xr:uid="{00000000-0005-0000-0000-0000ECB90000}"/>
    <cellStyle name="Процентный 5 2 70 9" xfId="44388" xr:uid="{00000000-0005-0000-0000-0000EDB90000}"/>
    <cellStyle name="Процентный 5 2 71" xfId="1691" xr:uid="{00000000-0005-0000-0000-0000EEB90000}"/>
    <cellStyle name="Процентный 5 2 71 10" xfId="49754" xr:uid="{00000000-0005-0000-0000-0000EFB90000}"/>
    <cellStyle name="Процентный 5 2 71 2" xfId="7033" xr:uid="{00000000-0005-0000-0000-0000F0B90000}"/>
    <cellStyle name="Процентный 5 2 71 2 2" xfId="55095" xr:uid="{00000000-0005-0000-0000-0000F1B90000}"/>
    <cellStyle name="Процентный 5 2 71 3" xfId="12374" xr:uid="{00000000-0005-0000-0000-0000F2B90000}"/>
    <cellStyle name="Процентный 5 2 71 4" xfId="17714" xr:uid="{00000000-0005-0000-0000-0000F3B90000}"/>
    <cellStyle name="Процентный 5 2 71 5" xfId="23054" xr:uid="{00000000-0005-0000-0000-0000F4B90000}"/>
    <cellStyle name="Процентный 5 2 71 6" xfId="28394" xr:uid="{00000000-0005-0000-0000-0000F5B90000}"/>
    <cellStyle name="Процентный 5 2 71 7" xfId="33734" xr:uid="{00000000-0005-0000-0000-0000F6B90000}"/>
    <cellStyle name="Процентный 5 2 71 8" xfId="39074" xr:uid="{00000000-0005-0000-0000-0000F7B90000}"/>
    <cellStyle name="Процентный 5 2 71 9" xfId="44414" xr:uid="{00000000-0005-0000-0000-0000F8B90000}"/>
    <cellStyle name="Процентный 5 2 72" xfId="1717" xr:uid="{00000000-0005-0000-0000-0000F9B90000}"/>
    <cellStyle name="Процентный 5 2 72 10" xfId="49780" xr:uid="{00000000-0005-0000-0000-0000FAB90000}"/>
    <cellStyle name="Процентный 5 2 72 2" xfId="7059" xr:uid="{00000000-0005-0000-0000-0000FBB90000}"/>
    <cellStyle name="Процентный 5 2 72 2 2" xfId="55121" xr:uid="{00000000-0005-0000-0000-0000FCB90000}"/>
    <cellStyle name="Процентный 5 2 72 3" xfId="12400" xr:uid="{00000000-0005-0000-0000-0000FDB90000}"/>
    <cellStyle name="Процентный 5 2 72 4" xfId="17740" xr:uid="{00000000-0005-0000-0000-0000FEB90000}"/>
    <cellStyle name="Процентный 5 2 72 5" xfId="23080" xr:uid="{00000000-0005-0000-0000-0000FFB90000}"/>
    <cellStyle name="Процентный 5 2 72 6" xfId="28420" xr:uid="{00000000-0005-0000-0000-000000BA0000}"/>
    <cellStyle name="Процентный 5 2 72 7" xfId="33760" xr:uid="{00000000-0005-0000-0000-000001BA0000}"/>
    <cellStyle name="Процентный 5 2 72 8" xfId="39100" xr:uid="{00000000-0005-0000-0000-000002BA0000}"/>
    <cellStyle name="Процентный 5 2 72 9" xfId="44440" xr:uid="{00000000-0005-0000-0000-000003BA0000}"/>
    <cellStyle name="Процентный 5 2 73" xfId="1743" xr:uid="{00000000-0005-0000-0000-000004BA0000}"/>
    <cellStyle name="Процентный 5 2 73 10" xfId="49806" xr:uid="{00000000-0005-0000-0000-000005BA0000}"/>
    <cellStyle name="Процентный 5 2 73 2" xfId="7085" xr:uid="{00000000-0005-0000-0000-000006BA0000}"/>
    <cellStyle name="Процентный 5 2 73 2 2" xfId="55147" xr:uid="{00000000-0005-0000-0000-000007BA0000}"/>
    <cellStyle name="Процентный 5 2 73 3" xfId="12426" xr:uid="{00000000-0005-0000-0000-000008BA0000}"/>
    <cellStyle name="Процентный 5 2 73 4" xfId="17766" xr:uid="{00000000-0005-0000-0000-000009BA0000}"/>
    <cellStyle name="Процентный 5 2 73 5" xfId="23106" xr:uid="{00000000-0005-0000-0000-00000ABA0000}"/>
    <cellStyle name="Процентный 5 2 73 6" xfId="28446" xr:uid="{00000000-0005-0000-0000-00000BBA0000}"/>
    <cellStyle name="Процентный 5 2 73 7" xfId="33786" xr:uid="{00000000-0005-0000-0000-00000CBA0000}"/>
    <cellStyle name="Процентный 5 2 73 8" xfId="39126" xr:uid="{00000000-0005-0000-0000-00000DBA0000}"/>
    <cellStyle name="Процентный 5 2 73 9" xfId="44466" xr:uid="{00000000-0005-0000-0000-00000EBA0000}"/>
    <cellStyle name="Процентный 5 2 74" xfId="1769" xr:uid="{00000000-0005-0000-0000-00000FBA0000}"/>
    <cellStyle name="Процентный 5 2 74 10" xfId="49832" xr:uid="{00000000-0005-0000-0000-000010BA0000}"/>
    <cellStyle name="Процентный 5 2 74 2" xfId="7111" xr:uid="{00000000-0005-0000-0000-000011BA0000}"/>
    <cellStyle name="Процентный 5 2 74 2 2" xfId="55173" xr:uid="{00000000-0005-0000-0000-000012BA0000}"/>
    <cellStyle name="Процентный 5 2 74 3" xfId="12452" xr:uid="{00000000-0005-0000-0000-000013BA0000}"/>
    <cellStyle name="Процентный 5 2 74 4" xfId="17792" xr:uid="{00000000-0005-0000-0000-000014BA0000}"/>
    <cellStyle name="Процентный 5 2 74 5" xfId="23132" xr:uid="{00000000-0005-0000-0000-000015BA0000}"/>
    <cellStyle name="Процентный 5 2 74 6" xfId="28472" xr:uid="{00000000-0005-0000-0000-000016BA0000}"/>
    <cellStyle name="Процентный 5 2 74 7" xfId="33812" xr:uid="{00000000-0005-0000-0000-000017BA0000}"/>
    <cellStyle name="Процентный 5 2 74 8" xfId="39152" xr:uid="{00000000-0005-0000-0000-000018BA0000}"/>
    <cellStyle name="Процентный 5 2 74 9" xfId="44492" xr:uid="{00000000-0005-0000-0000-000019BA0000}"/>
    <cellStyle name="Процентный 5 2 75" xfId="1795" xr:uid="{00000000-0005-0000-0000-00001ABA0000}"/>
    <cellStyle name="Процентный 5 2 75 10" xfId="49858" xr:uid="{00000000-0005-0000-0000-00001BBA0000}"/>
    <cellStyle name="Процентный 5 2 75 2" xfId="7137" xr:uid="{00000000-0005-0000-0000-00001CBA0000}"/>
    <cellStyle name="Процентный 5 2 75 2 2" xfId="55199" xr:uid="{00000000-0005-0000-0000-00001DBA0000}"/>
    <cellStyle name="Процентный 5 2 75 3" xfId="12478" xr:uid="{00000000-0005-0000-0000-00001EBA0000}"/>
    <cellStyle name="Процентный 5 2 75 4" xfId="17818" xr:uid="{00000000-0005-0000-0000-00001FBA0000}"/>
    <cellStyle name="Процентный 5 2 75 5" xfId="23158" xr:uid="{00000000-0005-0000-0000-000020BA0000}"/>
    <cellStyle name="Процентный 5 2 75 6" xfId="28498" xr:uid="{00000000-0005-0000-0000-000021BA0000}"/>
    <cellStyle name="Процентный 5 2 75 7" xfId="33838" xr:uid="{00000000-0005-0000-0000-000022BA0000}"/>
    <cellStyle name="Процентный 5 2 75 8" xfId="39178" xr:uid="{00000000-0005-0000-0000-000023BA0000}"/>
    <cellStyle name="Процентный 5 2 75 9" xfId="44518" xr:uid="{00000000-0005-0000-0000-000024BA0000}"/>
    <cellStyle name="Процентный 5 2 76" xfId="1821" xr:uid="{00000000-0005-0000-0000-000025BA0000}"/>
    <cellStyle name="Процентный 5 2 76 10" xfId="49884" xr:uid="{00000000-0005-0000-0000-000026BA0000}"/>
    <cellStyle name="Процентный 5 2 76 2" xfId="7163" xr:uid="{00000000-0005-0000-0000-000027BA0000}"/>
    <cellStyle name="Процентный 5 2 76 2 2" xfId="55225" xr:uid="{00000000-0005-0000-0000-000028BA0000}"/>
    <cellStyle name="Процентный 5 2 76 3" xfId="12504" xr:uid="{00000000-0005-0000-0000-000029BA0000}"/>
    <cellStyle name="Процентный 5 2 76 4" xfId="17844" xr:uid="{00000000-0005-0000-0000-00002ABA0000}"/>
    <cellStyle name="Процентный 5 2 76 5" xfId="23184" xr:uid="{00000000-0005-0000-0000-00002BBA0000}"/>
    <cellStyle name="Процентный 5 2 76 6" xfId="28524" xr:uid="{00000000-0005-0000-0000-00002CBA0000}"/>
    <cellStyle name="Процентный 5 2 76 7" xfId="33864" xr:uid="{00000000-0005-0000-0000-00002DBA0000}"/>
    <cellStyle name="Процентный 5 2 76 8" xfId="39204" xr:uid="{00000000-0005-0000-0000-00002EBA0000}"/>
    <cellStyle name="Процентный 5 2 76 9" xfId="44544" xr:uid="{00000000-0005-0000-0000-00002FBA0000}"/>
    <cellStyle name="Процентный 5 2 77" xfId="1847" xr:uid="{00000000-0005-0000-0000-000030BA0000}"/>
    <cellStyle name="Процентный 5 2 77 10" xfId="49910" xr:uid="{00000000-0005-0000-0000-000031BA0000}"/>
    <cellStyle name="Процентный 5 2 77 2" xfId="7189" xr:uid="{00000000-0005-0000-0000-000032BA0000}"/>
    <cellStyle name="Процентный 5 2 77 2 2" xfId="55251" xr:uid="{00000000-0005-0000-0000-000033BA0000}"/>
    <cellStyle name="Процентный 5 2 77 3" xfId="12530" xr:uid="{00000000-0005-0000-0000-000034BA0000}"/>
    <cellStyle name="Процентный 5 2 77 4" xfId="17870" xr:uid="{00000000-0005-0000-0000-000035BA0000}"/>
    <cellStyle name="Процентный 5 2 77 5" xfId="23210" xr:uid="{00000000-0005-0000-0000-000036BA0000}"/>
    <cellStyle name="Процентный 5 2 77 6" xfId="28550" xr:uid="{00000000-0005-0000-0000-000037BA0000}"/>
    <cellStyle name="Процентный 5 2 77 7" xfId="33890" xr:uid="{00000000-0005-0000-0000-000038BA0000}"/>
    <cellStyle name="Процентный 5 2 77 8" xfId="39230" xr:uid="{00000000-0005-0000-0000-000039BA0000}"/>
    <cellStyle name="Процентный 5 2 77 9" xfId="44570" xr:uid="{00000000-0005-0000-0000-00003ABA0000}"/>
    <cellStyle name="Процентный 5 2 78" xfId="1873" xr:uid="{00000000-0005-0000-0000-00003BBA0000}"/>
    <cellStyle name="Процентный 5 2 78 10" xfId="49936" xr:uid="{00000000-0005-0000-0000-00003CBA0000}"/>
    <cellStyle name="Процентный 5 2 78 2" xfId="7215" xr:uid="{00000000-0005-0000-0000-00003DBA0000}"/>
    <cellStyle name="Процентный 5 2 78 2 2" xfId="55277" xr:uid="{00000000-0005-0000-0000-00003EBA0000}"/>
    <cellStyle name="Процентный 5 2 78 3" xfId="12556" xr:uid="{00000000-0005-0000-0000-00003FBA0000}"/>
    <cellStyle name="Процентный 5 2 78 4" xfId="17896" xr:uid="{00000000-0005-0000-0000-000040BA0000}"/>
    <cellStyle name="Процентный 5 2 78 5" xfId="23236" xr:uid="{00000000-0005-0000-0000-000041BA0000}"/>
    <cellStyle name="Процентный 5 2 78 6" xfId="28576" xr:uid="{00000000-0005-0000-0000-000042BA0000}"/>
    <cellStyle name="Процентный 5 2 78 7" xfId="33916" xr:uid="{00000000-0005-0000-0000-000043BA0000}"/>
    <cellStyle name="Процентный 5 2 78 8" xfId="39256" xr:uid="{00000000-0005-0000-0000-000044BA0000}"/>
    <cellStyle name="Процентный 5 2 78 9" xfId="44596" xr:uid="{00000000-0005-0000-0000-000045BA0000}"/>
    <cellStyle name="Процентный 5 2 79" xfId="1899" xr:uid="{00000000-0005-0000-0000-000046BA0000}"/>
    <cellStyle name="Процентный 5 2 79 10" xfId="49962" xr:uid="{00000000-0005-0000-0000-000047BA0000}"/>
    <cellStyle name="Процентный 5 2 79 2" xfId="7241" xr:uid="{00000000-0005-0000-0000-000048BA0000}"/>
    <cellStyle name="Процентный 5 2 79 2 2" xfId="55303" xr:uid="{00000000-0005-0000-0000-000049BA0000}"/>
    <cellStyle name="Процентный 5 2 79 3" xfId="12582" xr:uid="{00000000-0005-0000-0000-00004ABA0000}"/>
    <cellStyle name="Процентный 5 2 79 4" xfId="17922" xr:uid="{00000000-0005-0000-0000-00004BBA0000}"/>
    <cellStyle name="Процентный 5 2 79 5" xfId="23262" xr:uid="{00000000-0005-0000-0000-00004CBA0000}"/>
    <cellStyle name="Процентный 5 2 79 6" xfId="28602" xr:uid="{00000000-0005-0000-0000-00004DBA0000}"/>
    <cellStyle name="Процентный 5 2 79 7" xfId="33942" xr:uid="{00000000-0005-0000-0000-00004EBA0000}"/>
    <cellStyle name="Процентный 5 2 79 8" xfId="39282" xr:uid="{00000000-0005-0000-0000-00004FBA0000}"/>
    <cellStyle name="Процентный 5 2 79 9" xfId="44622" xr:uid="{00000000-0005-0000-0000-000050BA0000}"/>
    <cellStyle name="Процентный 5 2 8" xfId="159" xr:uid="{00000000-0005-0000-0000-000051BA0000}"/>
    <cellStyle name="Процентный 5 2 8 10" xfId="42881" xr:uid="{00000000-0005-0000-0000-000052BA0000}"/>
    <cellStyle name="Процентный 5 2 8 11" xfId="48221" xr:uid="{00000000-0005-0000-0000-000053BA0000}"/>
    <cellStyle name="Процентный 5 2 8 2" xfId="626" xr:uid="{00000000-0005-0000-0000-000054BA0000}"/>
    <cellStyle name="Процентный 5 2 8 2 10" xfId="48688" xr:uid="{00000000-0005-0000-0000-000055BA0000}"/>
    <cellStyle name="Процентный 5 2 8 2 2" xfId="5967" xr:uid="{00000000-0005-0000-0000-000056BA0000}"/>
    <cellStyle name="Процентный 5 2 8 2 2 2" xfId="54029" xr:uid="{00000000-0005-0000-0000-000057BA0000}"/>
    <cellStyle name="Процентный 5 2 8 2 3" xfId="11308" xr:uid="{00000000-0005-0000-0000-000058BA0000}"/>
    <cellStyle name="Процентный 5 2 8 2 4" xfId="16648" xr:uid="{00000000-0005-0000-0000-000059BA0000}"/>
    <cellStyle name="Процентный 5 2 8 2 5" xfId="21988" xr:uid="{00000000-0005-0000-0000-00005ABA0000}"/>
    <cellStyle name="Процентный 5 2 8 2 6" xfId="27328" xr:uid="{00000000-0005-0000-0000-00005BBA0000}"/>
    <cellStyle name="Процентный 5 2 8 2 7" xfId="32668" xr:uid="{00000000-0005-0000-0000-00005CBA0000}"/>
    <cellStyle name="Процентный 5 2 8 2 8" xfId="38008" xr:uid="{00000000-0005-0000-0000-00005DBA0000}"/>
    <cellStyle name="Процентный 5 2 8 2 9" xfId="43348" xr:uid="{00000000-0005-0000-0000-00005EBA0000}"/>
    <cellStyle name="Процентный 5 2 8 3" xfId="5500" xr:uid="{00000000-0005-0000-0000-00005FBA0000}"/>
    <cellStyle name="Процентный 5 2 8 3 2" xfId="53562" xr:uid="{00000000-0005-0000-0000-000060BA0000}"/>
    <cellStyle name="Процентный 5 2 8 4" xfId="10841" xr:uid="{00000000-0005-0000-0000-000061BA0000}"/>
    <cellStyle name="Процентный 5 2 8 5" xfId="16181" xr:uid="{00000000-0005-0000-0000-000062BA0000}"/>
    <cellStyle name="Процентный 5 2 8 6" xfId="21521" xr:uid="{00000000-0005-0000-0000-000063BA0000}"/>
    <cellStyle name="Процентный 5 2 8 7" xfId="26861" xr:uid="{00000000-0005-0000-0000-000064BA0000}"/>
    <cellStyle name="Процентный 5 2 8 8" xfId="32201" xr:uid="{00000000-0005-0000-0000-000065BA0000}"/>
    <cellStyle name="Процентный 5 2 8 9" xfId="37541" xr:uid="{00000000-0005-0000-0000-000066BA0000}"/>
    <cellStyle name="Процентный 5 2 80" xfId="1925" xr:uid="{00000000-0005-0000-0000-000067BA0000}"/>
    <cellStyle name="Процентный 5 2 80 10" xfId="49988" xr:uid="{00000000-0005-0000-0000-000068BA0000}"/>
    <cellStyle name="Процентный 5 2 80 2" xfId="7267" xr:uid="{00000000-0005-0000-0000-000069BA0000}"/>
    <cellStyle name="Процентный 5 2 80 2 2" xfId="55329" xr:uid="{00000000-0005-0000-0000-00006ABA0000}"/>
    <cellStyle name="Процентный 5 2 80 3" xfId="12608" xr:uid="{00000000-0005-0000-0000-00006BBA0000}"/>
    <cellStyle name="Процентный 5 2 80 4" xfId="17948" xr:uid="{00000000-0005-0000-0000-00006CBA0000}"/>
    <cellStyle name="Процентный 5 2 80 5" xfId="23288" xr:uid="{00000000-0005-0000-0000-00006DBA0000}"/>
    <cellStyle name="Процентный 5 2 80 6" xfId="28628" xr:uid="{00000000-0005-0000-0000-00006EBA0000}"/>
    <cellStyle name="Процентный 5 2 80 7" xfId="33968" xr:uid="{00000000-0005-0000-0000-00006FBA0000}"/>
    <cellStyle name="Процентный 5 2 80 8" xfId="39308" xr:uid="{00000000-0005-0000-0000-000070BA0000}"/>
    <cellStyle name="Процентный 5 2 80 9" xfId="44648" xr:uid="{00000000-0005-0000-0000-000071BA0000}"/>
    <cellStyle name="Процентный 5 2 81" xfId="1953" xr:uid="{00000000-0005-0000-0000-000072BA0000}"/>
    <cellStyle name="Процентный 5 2 81 10" xfId="50016" xr:uid="{00000000-0005-0000-0000-000073BA0000}"/>
    <cellStyle name="Процентный 5 2 81 2" xfId="7295" xr:uid="{00000000-0005-0000-0000-000074BA0000}"/>
    <cellStyle name="Процентный 5 2 81 2 2" xfId="55357" xr:uid="{00000000-0005-0000-0000-000075BA0000}"/>
    <cellStyle name="Процентный 5 2 81 3" xfId="12636" xr:uid="{00000000-0005-0000-0000-000076BA0000}"/>
    <cellStyle name="Процентный 5 2 81 4" xfId="17976" xr:uid="{00000000-0005-0000-0000-000077BA0000}"/>
    <cellStyle name="Процентный 5 2 81 5" xfId="23316" xr:uid="{00000000-0005-0000-0000-000078BA0000}"/>
    <cellStyle name="Процентный 5 2 81 6" xfId="28656" xr:uid="{00000000-0005-0000-0000-000079BA0000}"/>
    <cellStyle name="Процентный 5 2 81 7" xfId="33996" xr:uid="{00000000-0005-0000-0000-00007ABA0000}"/>
    <cellStyle name="Процентный 5 2 81 8" xfId="39336" xr:uid="{00000000-0005-0000-0000-00007BBA0000}"/>
    <cellStyle name="Процентный 5 2 81 9" xfId="44676" xr:uid="{00000000-0005-0000-0000-00007CBA0000}"/>
    <cellStyle name="Процентный 5 2 82" xfId="1980" xr:uid="{00000000-0005-0000-0000-00007DBA0000}"/>
    <cellStyle name="Процентный 5 2 82 10" xfId="50044" xr:uid="{00000000-0005-0000-0000-00007EBA0000}"/>
    <cellStyle name="Процентный 5 2 82 2" xfId="7323" xr:uid="{00000000-0005-0000-0000-00007FBA0000}"/>
    <cellStyle name="Процентный 5 2 82 2 2" xfId="55385" xr:uid="{00000000-0005-0000-0000-000080BA0000}"/>
    <cellStyle name="Процентный 5 2 82 3" xfId="12664" xr:uid="{00000000-0005-0000-0000-000081BA0000}"/>
    <cellStyle name="Процентный 5 2 82 4" xfId="18004" xr:uid="{00000000-0005-0000-0000-000082BA0000}"/>
    <cellStyle name="Процентный 5 2 82 5" xfId="23344" xr:uid="{00000000-0005-0000-0000-000083BA0000}"/>
    <cellStyle name="Процентный 5 2 82 6" xfId="28684" xr:uid="{00000000-0005-0000-0000-000084BA0000}"/>
    <cellStyle name="Процентный 5 2 82 7" xfId="34024" xr:uid="{00000000-0005-0000-0000-000085BA0000}"/>
    <cellStyle name="Процентный 5 2 82 8" xfId="39364" xr:uid="{00000000-0005-0000-0000-000086BA0000}"/>
    <cellStyle name="Процентный 5 2 82 9" xfId="44704" xr:uid="{00000000-0005-0000-0000-000087BA0000}"/>
    <cellStyle name="Процентный 5 2 83" xfId="2008" xr:uid="{00000000-0005-0000-0000-000088BA0000}"/>
    <cellStyle name="Процентный 5 2 83 10" xfId="50072" xr:uid="{00000000-0005-0000-0000-000089BA0000}"/>
    <cellStyle name="Процентный 5 2 83 2" xfId="7351" xr:uid="{00000000-0005-0000-0000-00008ABA0000}"/>
    <cellStyle name="Процентный 5 2 83 2 2" xfId="55413" xr:uid="{00000000-0005-0000-0000-00008BBA0000}"/>
    <cellStyle name="Процентный 5 2 83 3" xfId="12692" xr:uid="{00000000-0005-0000-0000-00008CBA0000}"/>
    <cellStyle name="Процентный 5 2 83 4" xfId="18032" xr:uid="{00000000-0005-0000-0000-00008DBA0000}"/>
    <cellStyle name="Процентный 5 2 83 5" xfId="23372" xr:uid="{00000000-0005-0000-0000-00008EBA0000}"/>
    <cellStyle name="Процентный 5 2 83 6" xfId="28712" xr:uid="{00000000-0005-0000-0000-00008FBA0000}"/>
    <cellStyle name="Процентный 5 2 83 7" xfId="34052" xr:uid="{00000000-0005-0000-0000-000090BA0000}"/>
    <cellStyle name="Процентный 5 2 83 8" xfId="39392" xr:uid="{00000000-0005-0000-0000-000091BA0000}"/>
    <cellStyle name="Процентный 5 2 83 9" xfId="44732" xr:uid="{00000000-0005-0000-0000-000092BA0000}"/>
    <cellStyle name="Процентный 5 2 84" xfId="2036" xr:uid="{00000000-0005-0000-0000-000093BA0000}"/>
    <cellStyle name="Процентный 5 2 84 10" xfId="50100" xr:uid="{00000000-0005-0000-0000-000094BA0000}"/>
    <cellStyle name="Процентный 5 2 84 2" xfId="7379" xr:uid="{00000000-0005-0000-0000-000095BA0000}"/>
    <cellStyle name="Процентный 5 2 84 2 2" xfId="55441" xr:uid="{00000000-0005-0000-0000-000096BA0000}"/>
    <cellStyle name="Процентный 5 2 84 3" xfId="12720" xr:uid="{00000000-0005-0000-0000-000097BA0000}"/>
    <cellStyle name="Процентный 5 2 84 4" xfId="18060" xr:uid="{00000000-0005-0000-0000-000098BA0000}"/>
    <cellStyle name="Процентный 5 2 84 5" xfId="23400" xr:uid="{00000000-0005-0000-0000-000099BA0000}"/>
    <cellStyle name="Процентный 5 2 84 6" xfId="28740" xr:uid="{00000000-0005-0000-0000-00009ABA0000}"/>
    <cellStyle name="Процентный 5 2 84 7" xfId="34080" xr:uid="{00000000-0005-0000-0000-00009BBA0000}"/>
    <cellStyle name="Процентный 5 2 84 8" xfId="39420" xr:uid="{00000000-0005-0000-0000-00009CBA0000}"/>
    <cellStyle name="Процентный 5 2 84 9" xfId="44760" xr:uid="{00000000-0005-0000-0000-00009DBA0000}"/>
    <cellStyle name="Процентный 5 2 85" xfId="2064" xr:uid="{00000000-0005-0000-0000-00009EBA0000}"/>
    <cellStyle name="Процентный 5 2 85 10" xfId="50128" xr:uid="{00000000-0005-0000-0000-00009FBA0000}"/>
    <cellStyle name="Процентный 5 2 85 2" xfId="7407" xr:uid="{00000000-0005-0000-0000-0000A0BA0000}"/>
    <cellStyle name="Процентный 5 2 85 2 2" xfId="55469" xr:uid="{00000000-0005-0000-0000-0000A1BA0000}"/>
    <cellStyle name="Процентный 5 2 85 3" xfId="12748" xr:uid="{00000000-0005-0000-0000-0000A2BA0000}"/>
    <cellStyle name="Процентный 5 2 85 4" xfId="18088" xr:uid="{00000000-0005-0000-0000-0000A3BA0000}"/>
    <cellStyle name="Процентный 5 2 85 5" xfId="23428" xr:uid="{00000000-0005-0000-0000-0000A4BA0000}"/>
    <cellStyle name="Процентный 5 2 85 6" xfId="28768" xr:uid="{00000000-0005-0000-0000-0000A5BA0000}"/>
    <cellStyle name="Процентный 5 2 85 7" xfId="34108" xr:uid="{00000000-0005-0000-0000-0000A6BA0000}"/>
    <cellStyle name="Процентный 5 2 85 8" xfId="39448" xr:uid="{00000000-0005-0000-0000-0000A7BA0000}"/>
    <cellStyle name="Процентный 5 2 85 9" xfId="44788" xr:uid="{00000000-0005-0000-0000-0000A8BA0000}"/>
    <cellStyle name="Процентный 5 2 86" xfId="2092" xr:uid="{00000000-0005-0000-0000-0000A9BA0000}"/>
    <cellStyle name="Процентный 5 2 86 10" xfId="50156" xr:uid="{00000000-0005-0000-0000-0000AABA0000}"/>
    <cellStyle name="Процентный 5 2 86 2" xfId="7435" xr:uid="{00000000-0005-0000-0000-0000ABBA0000}"/>
    <cellStyle name="Процентный 5 2 86 2 2" xfId="55497" xr:uid="{00000000-0005-0000-0000-0000ACBA0000}"/>
    <cellStyle name="Процентный 5 2 86 3" xfId="12776" xr:uid="{00000000-0005-0000-0000-0000ADBA0000}"/>
    <cellStyle name="Процентный 5 2 86 4" xfId="18116" xr:uid="{00000000-0005-0000-0000-0000AEBA0000}"/>
    <cellStyle name="Процентный 5 2 86 5" xfId="23456" xr:uid="{00000000-0005-0000-0000-0000AFBA0000}"/>
    <cellStyle name="Процентный 5 2 86 6" xfId="28796" xr:uid="{00000000-0005-0000-0000-0000B0BA0000}"/>
    <cellStyle name="Процентный 5 2 86 7" xfId="34136" xr:uid="{00000000-0005-0000-0000-0000B1BA0000}"/>
    <cellStyle name="Процентный 5 2 86 8" xfId="39476" xr:uid="{00000000-0005-0000-0000-0000B2BA0000}"/>
    <cellStyle name="Процентный 5 2 86 9" xfId="44816" xr:uid="{00000000-0005-0000-0000-0000B3BA0000}"/>
    <cellStyle name="Процентный 5 2 87" xfId="2120" xr:uid="{00000000-0005-0000-0000-0000B4BA0000}"/>
    <cellStyle name="Процентный 5 2 87 10" xfId="50184" xr:uid="{00000000-0005-0000-0000-0000B5BA0000}"/>
    <cellStyle name="Процентный 5 2 87 2" xfId="7463" xr:uid="{00000000-0005-0000-0000-0000B6BA0000}"/>
    <cellStyle name="Процентный 5 2 87 2 2" xfId="55525" xr:uid="{00000000-0005-0000-0000-0000B7BA0000}"/>
    <cellStyle name="Процентный 5 2 87 3" xfId="12804" xr:uid="{00000000-0005-0000-0000-0000B8BA0000}"/>
    <cellStyle name="Процентный 5 2 87 4" xfId="18144" xr:uid="{00000000-0005-0000-0000-0000B9BA0000}"/>
    <cellStyle name="Процентный 5 2 87 5" xfId="23484" xr:uid="{00000000-0005-0000-0000-0000BABA0000}"/>
    <cellStyle name="Процентный 5 2 87 6" xfId="28824" xr:uid="{00000000-0005-0000-0000-0000BBBA0000}"/>
    <cellStyle name="Процентный 5 2 87 7" xfId="34164" xr:uid="{00000000-0005-0000-0000-0000BCBA0000}"/>
    <cellStyle name="Процентный 5 2 87 8" xfId="39504" xr:uid="{00000000-0005-0000-0000-0000BDBA0000}"/>
    <cellStyle name="Процентный 5 2 87 9" xfId="44844" xr:uid="{00000000-0005-0000-0000-0000BEBA0000}"/>
    <cellStyle name="Процентный 5 2 88" xfId="2150" xr:uid="{00000000-0005-0000-0000-0000BFBA0000}"/>
    <cellStyle name="Процентный 5 2 88 10" xfId="50214" xr:uid="{00000000-0005-0000-0000-0000C0BA0000}"/>
    <cellStyle name="Процентный 5 2 88 2" xfId="7493" xr:uid="{00000000-0005-0000-0000-0000C1BA0000}"/>
    <cellStyle name="Процентный 5 2 88 2 2" xfId="55555" xr:uid="{00000000-0005-0000-0000-0000C2BA0000}"/>
    <cellStyle name="Процентный 5 2 88 3" xfId="12834" xr:uid="{00000000-0005-0000-0000-0000C3BA0000}"/>
    <cellStyle name="Процентный 5 2 88 4" xfId="18174" xr:uid="{00000000-0005-0000-0000-0000C4BA0000}"/>
    <cellStyle name="Процентный 5 2 88 5" xfId="23514" xr:uid="{00000000-0005-0000-0000-0000C5BA0000}"/>
    <cellStyle name="Процентный 5 2 88 6" xfId="28854" xr:uid="{00000000-0005-0000-0000-0000C6BA0000}"/>
    <cellStyle name="Процентный 5 2 88 7" xfId="34194" xr:uid="{00000000-0005-0000-0000-0000C7BA0000}"/>
    <cellStyle name="Процентный 5 2 88 8" xfId="39534" xr:uid="{00000000-0005-0000-0000-0000C8BA0000}"/>
    <cellStyle name="Процентный 5 2 88 9" xfId="44874" xr:uid="{00000000-0005-0000-0000-0000C9BA0000}"/>
    <cellStyle name="Процентный 5 2 89" xfId="2180" xr:uid="{00000000-0005-0000-0000-0000CABA0000}"/>
    <cellStyle name="Процентный 5 2 89 10" xfId="50244" xr:uid="{00000000-0005-0000-0000-0000CBBA0000}"/>
    <cellStyle name="Процентный 5 2 89 2" xfId="7523" xr:uid="{00000000-0005-0000-0000-0000CCBA0000}"/>
    <cellStyle name="Процентный 5 2 89 2 2" xfId="55585" xr:uid="{00000000-0005-0000-0000-0000CDBA0000}"/>
    <cellStyle name="Процентный 5 2 89 3" xfId="12864" xr:uid="{00000000-0005-0000-0000-0000CEBA0000}"/>
    <cellStyle name="Процентный 5 2 89 4" xfId="18204" xr:uid="{00000000-0005-0000-0000-0000CFBA0000}"/>
    <cellStyle name="Процентный 5 2 89 5" xfId="23544" xr:uid="{00000000-0005-0000-0000-0000D0BA0000}"/>
    <cellStyle name="Процентный 5 2 89 6" xfId="28884" xr:uid="{00000000-0005-0000-0000-0000D1BA0000}"/>
    <cellStyle name="Процентный 5 2 89 7" xfId="34224" xr:uid="{00000000-0005-0000-0000-0000D2BA0000}"/>
    <cellStyle name="Процентный 5 2 89 8" xfId="39564" xr:uid="{00000000-0005-0000-0000-0000D3BA0000}"/>
    <cellStyle name="Процентный 5 2 89 9" xfId="44904" xr:uid="{00000000-0005-0000-0000-0000D4BA0000}"/>
    <cellStyle name="Процентный 5 2 9" xfId="169" xr:uid="{00000000-0005-0000-0000-0000D5BA0000}"/>
    <cellStyle name="Процентный 5 2 9 10" xfId="42891" xr:uid="{00000000-0005-0000-0000-0000D6BA0000}"/>
    <cellStyle name="Процентный 5 2 9 11" xfId="48231" xr:uid="{00000000-0005-0000-0000-0000D7BA0000}"/>
    <cellStyle name="Процентный 5 2 9 2" xfId="636" xr:uid="{00000000-0005-0000-0000-0000D8BA0000}"/>
    <cellStyle name="Процентный 5 2 9 2 10" xfId="48698" xr:uid="{00000000-0005-0000-0000-0000D9BA0000}"/>
    <cellStyle name="Процентный 5 2 9 2 2" xfId="5977" xr:uid="{00000000-0005-0000-0000-0000DABA0000}"/>
    <cellStyle name="Процентный 5 2 9 2 2 2" xfId="54039" xr:uid="{00000000-0005-0000-0000-0000DBBA0000}"/>
    <cellStyle name="Процентный 5 2 9 2 3" xfId="11318" xr:uid="{00000000-0005-0000-0000-0000DCBA0000}"/>
    <cellStyle name="Процентный 5 2 9 2 4" xfId="16658" xr:uid="{00000000-0005-0000-0000-0000DDBA0000}"/>
    <cellStyle name="Процентный 5 2 9 2 5" xfId="21998" xr:uid="{00000000-0005-0000-0000-0000DEBA0000}"/>
    <cellStyle name="Процентный 5 2 9 2 6" xfId="27338" xr:uid="{00000000-0005-0000-0000-0000DFBA0000}"/>
    <cellStyle name="Процентный 5 2 9 2 7" xfId="32678" xr:uid="{00000000-0005-0000-0000-0000E0BA0000}"/>
    <cellStyle name="Процентный 5 2 9 2 8" xfId="38018" xr:uid="{00000000-0005-0000-0000-0000E1BA0000}"/>
    <cellStyle name="Процентный 5 2 9 2 9" xfId="43358" xr:uid="{00000000-0005-0000-0000-0000E2BA0000}"/>
    <cellStyle name="Процентный 5 2 9 3" xfId="5510" xr:uid="{00000000-0005-0000-0000-0000E3BA0000}"/>
    <cellStyle name="Процентный 5 2 9 3 2" xfId="53572" xr:uid="{00000000-0005-0000-0000-0000E4BA0000}"/>
    <cellStyle name="Процентный 5 2 9 4" xfId="10851" xr:uid="{00000000-0005-0000-0000-0000E5BA0000}"/>
    <cellStyle name="Процентный 5 2 9 5" xfId="16191" xr:uid="{00000000-0005-0000-0000-0000E6BA0000}"/>
    <cellStyle name="Процентный 5 2 9 6" xfId="21531" xr:uid="{00000000-0005-0000-0000-0000E7BA0000}"/>
    <cellStyle name="Процентный 5 2 9 7" xfId="26871" xr:uid="{00000000-0005-0000-0000-0000E8BA0000}"/>
    <cellStyle name="Процентный 5 2 9 8" xfId="32211" xr:uid="{00000000-0005-0000-0000-0000E9BA0000}"/>
    <cellStyle name="Процентный 5 2 9 9" xfId="37551" xr:uid="{00000000-0005-0000-0000-0000EABA0000}"/>
    <cellStyle name="Процентный 5 2 90" xfId="2210" xr:uid="{00000000-0005-0000-0000-0000EBBA0000}"/>
    <cellStyle name="Процентный 5 2 90 10" xfId="50274" xr:uid="{00000000-0005-0000-0000-0000ECBA0000}"/>
    <cellStyle name="Процентный 5 2 90 2" xfId="7553" xr:uid="{00000000-0005-0000-0000-0000EDBA0000}"/>
    <cellStyle name="Процентный 5 2 90 2 2" xfId="55615" xr:uid="{00000000-0005-0000-0000-0000EEBA0000}"/>
    <cellStyle name="Процентный 5 2 90 3" xfId="12894" xr:uid="{00000000-0005-0000-0000-0000EFBA0000}"/>
    <cellStyle name="Процентный 5 2 90 4" xfId="18234" xr:uid="{00000000-0005-0000-0000-0000F0BA0000}"/>
    <cellStyle name="Процентный 5 2 90 5" xfId="23574" xr:uid="{00000000-0005-0000-0000-0000F1BA0000}"/>
    <cellStyle name="Процентный 5 2 90 6" xfId="28914" xr:uid="{00000000-0005-0000-0000-0000F2BA0000}"/>
    <cellStyle name="Процентный 5 2 90 7" xfId="34254" xr:uid="{00000000-0005-0000-0000-0000F3BA0000}"/>
    <cellStyle name="Процентный 5 2 90 8" xfId="39594" xr:uid="{00000000-0005-0000-0000-0000F4BA0000}"/>
    <cellStyle name="Процентный 5 2 90 9" xfId="44934" xr:uid="{00000000-0005-0000-0000-0000F5BA0000}"/>
    <cellStyle name="Процентный 5 2 91" xfId="2240" xr:uid="{00000000-0005-0000-0000-0000F6BA0000}"/>
    <cellStyle name="Процентный 5 2 91 10" xfId="50304" xr:uid="{00000000-0005-0000-0000-0000F7BA0000}"/>
    <cellStyle name="Процентный 5 2 91 2" xfId="7583" xr:uid="{00000000-0005-0000-0000-0000F8BA0000}"/>
    <cellStyle name="Процентный 5 2 91 2 2" xfId="55645" xr:uid="{00000000-0005-0000-0000-0000F9BA0000}"/>
    <cellStyle name="Процентный 5 2 91 3" xfId="12924" xr:uid="{00000000-0005-0000-0000-0000FABA0000}"/>
    <cellStyle name="Процентный 5 2 91 4" xfId="18264" xr:uid="{00000000-0005-0000-0000-0000FBBA0000}"/>
    <cellStyle name="Процентный 5 2 91 5" xfId="23604" xr:uid="{00000000-0005-0000-0000-0000FCBA0000}"/>
    <cellStyle name="Процентный 5 2 91 6" xfId="28944" xr:uid="{00000000-0005-0000-0000-0000FDBA0000}"/>
    <cellStyle name="Процентный 5 2 91 7" xfId="34284" xr:uid="{00000000-0005-0000-0000-0000FEBA0000}"/>
    <cellStyle name="Процентный 5 2 91 8" xfId="39624" xr:uid="{00000000-0005-0000-0000-0000FFBA0000}"/>
    <cellStyle name="Процентный 5 2 91 9" xfId="44964" xr:uid="{00000000-0005-0000-0000-000000BB0000}"/>
    <cellStyle name="Процентный 5 2 92" xfId="2270" xr:uid="{00000000-0005-0000-0000-000001BB0000}"/>
    <cellStyle name="Процентный 5 2 92 10" xfId="50334" xr:uid="{00000000-0005-0000-0000-000002BB0000}"/>
    <cellStyle name="Процентный 5 2 92 2" xfId="7613" xr:uid="{00000000-0005-0000-0000-000003BB0000}"/>
    <cellStyle name="Процентный 5 2 92 2 2" xfId="55675" xr:uid="{00000000-0005-0000-0000-000004BB0000}"/>
    <cellStyle name="Процентный 5 2 92 3" xfId="12954" xr:uid="{00000000-0005-0000-0000-000005BB0000}"/>
    <cellStyle name="Процентный 5 2 92 4" xfId="18294" xr:uid="{00000000-0005-0000-0000-000006BB0000}"/>
    <cellStyle name="Процентный 5 2 92 5" xfId="23634" xr:uid="{00000000-0005-0000-0000-000007BB0000}"/>
    <cellStyle name="Процентный 5 2 92 6" xfId="28974" xr:uid="{00000000-0005-0000-0000-000008BB0000}"/>
    <cellStyle name="Процентный 5 2 92 7" xfId="34314" xr:uid="{00000000-0005-0000-0000-000009BB0000}"/>
    <cellStyle name="Процентный 5 2 92 8" xfId="39654" xr:uid="{00000000-0005-0000-0000-00000ABB0000}"/>
    <cellStyle name="Процентный 5 2 92 9" xfId="44994" xr:uid="{00000000-0005-0000-0000-00000BBB0000}"/>
    <cellStyle name="Процентный 5 2 93" xfId="2300" xr:uid="{00000000-0005-0000-0000-00000CBB0000}"/>
    <cellStyle name="Процентный 5 2 93 10" xfId="50364" xr:uid="{00000000-0005-0000-0000-00000DBB0000}"/>
    <cellStyle name="Процентный 5 2 93 2" xfId="7643" xr:uid="{00000000-0005-0000-0000-00000EBB0000}"/>
    <cellStyle name="Процентный 5 2 93 2 2" xfId="55705" xr:uid="{00000000-0005-0000-0000-00000FBB0000}"/>
    <cellStyle name="Процентный 5 2 93 3" xfId="12984" xr:uid="{00000000-0005-0000-0000-000010BB0000}"/>
    <cellStyle name="Процентный 5 2 93 4" xfId="18324" xr:uid="{00000000-0005-0000-0000-000011BB0000}"/>
    <cellStyle name="Процентный 5 2 93 5" xfId="23664" xr:uid="{00000000-0005-0000-0000-000012BB0000}"/>
    <cellStyle name="Процентный 5 2 93 6" xfId="29004" xr:uid="{00000000-0005-0000-0000-000013BB0000}"/>
    <cellStyle name="Процентный 5 2 93 7" xfId="34344" xr:uid="{00000000-0005-0000-0000-000014BB0000}"/>
    <cellStyle name="Процентный 5 2 93 8" xfId="39684" xr:uid="{00000000-0005-0000-0000-000015BB0000}"/>
    <cellStyle name="Процентный 5 2 93 9" xfId="45024" xr:uid="{00000000-0005-0000-0000-000016BB0000}"/>
    <cellStyle name="Процентный 5 2 94" xfId="2330" xr:uid="{00000000-0005-0000-0000-000017BB0000}"/>
    <cellStyle name="Процентный 5 2 94 10" xfId="50394" xr:uid="{00000000-0005-0000-0000-000018BB0000}"/>
    <cellStyle name="Процентный 5 2 94 2" xfId="7673" xr:uid="{00000000-0005-0000-0000-000019BB0000}"/>
    <cellStyle name="Процентный 5 2 94 2 2" xfId="55735" xr:uid="{00000000-0005-0000-0000-00001ABB0000}"/>
    <cellStyle name="Процентный 5 2 94 3" xfId="13014" xr:uid="{00000000-0005-0000-0000-00001BBB0000}"/>
    <cellStyle name="Процентный 5 2 94 4" xfId="18354" xr:uid="{00000000-0005-0000-0000-00001CBB0000}"/>
    <cellStyle name="Процентный 5 2 94 5" xfId="23694" xr:uid="{00000000-0005-0000-0000-00001DBB0000}"/>
    <cellStyle name="Процентный 5 2 94 6" xfId="29034" xr:uid="{00000000-0005-0000-0000-00001EBB0000}"/>
    <cellStyle name="Процентный 5 2 94 7" xfId="34374" xr:uid="{00000000-0005-0000-0000-00001FBB0000}"/>
    <cellStyle name="Процентный 5 2 94 8" xfId="39714" xr:uid="{00000000-0005-0000-0000-000020BB0000}"/>
    <cellStyle name="Процентный 5 2 94 9" xfId="45054" xr:uid="{00000000-0005-0000-0000-000021BB0000}"/>
    <cellStyle name="Процентный 5 2 95" xfId="2360" xr:uid="{00000000-0005-0000-0000-000022BB0000}"/>
    <cellStyle name="Процентный 5 2 95 10" xfId="50424" xr:uid="{00000000-0005-0000-0000-000023BB0000}"/>
    <cellStyle name="Процентный 5 2 95 2" xfId="7703" xr:uid="{00000000-0005-0000-0000-000024BB0000}"/>
    <cellStyle name="Процентный 5 2 95 2 2" xfId="55765" xr:uid="{00000000-0005-0000-0000-000025BB0000}"/>
    <cellStyle name="Процентный 5 2 95 3" xfId="13044" xr:uid="{00000000-0005-0000-0000-000026BB0000}"/>
    <cellStyle name="Процентный 5 2 95 4" xfId="18384" xr:uid="{00000000-0005-0000-0000-000027BB0000}"/>
    <cellStyle name="Процентный 5 2 95 5" xfId="23724" xr:uid="{00000000-0005-0000-0000-000028BB0000}"/>
    <cellStyle name="Процентный 5 2 95 6" xfId="29064" xr:uid="{00000000-0005-0000-0000-000029BB0000}"/>
    <cellStyle name="Процентный 5 2 95 7" xfId="34404" xr:uid="{00000000-0005-0000-0000-00002ABB0000}"/>
    <cellStyle name="Процентный 5 2 95 8" xfId="39744" xr:uid="{00000000-0005-0000-0000-00002BBB0000}"/>
    <cellStyle name="Процентный 5 2 95 9" xfId="45084" xr:uid="{00000000-0005-0000-0000-00002CBB0000}"/>
    <cellStyle name="Процентный 5 2 96" xfId="2390" xr:uid="{00000000-0005-0000-0000-00002DBB0000}"/>
    <cellStyle name="Процентный 5 2 96 10" xfId="50454" xr:uid="{00000000-0005-0000-0000-00002EBB0000}"/>
    <cellStyle name="Процентный 5 2 96 2" xfId="7733" xr:uid="{00000000-0005-0000-0000-00002FBB0000}"/>
    <cellStyle name="Процентный 5 2 96 2 2" xfId="55795" xr:uid="{00000000-0005-0000-0000-000030BB0000}"/>
    <cellStyle name="Процентный 5 2 96 3" xfId="13074" xr:uid="{00000000-0005-0000-0000-000031BB0000}"/>
    <cellStyle name="Процентный 5 2 96 4" xfId="18414" xr:uid="{00000000-0005-0000-0000-000032BB0000}"/>
    <cellStyle name="Процентный 5 2 96 5" xfId="23754" xr:uid="{00000000-0005-0000-0000-000033BB0000}"/>
    <cellStyle name="Процентный 5 2 96 6" xfId="29094" xr:uid="{00000000-0005-0000-0000-000034BB0000}"/>
    <cellStyle name="Процентный 5 2 96 7" xfId="34434" xr:uid="{00000000-0005-0000-0000-000035BB0000}"/>
    <cellStyle name="Процентный 5 2 96 8" xfId="39774" xr:uid="{00000000-0005-0000-0000-000036BB0000}"/>
    <cellStyle name="Процентный 5 2 96 9" xfId="45114" xr:uid="{00000000-0005-0000-0000-000037BB0000}"/>
    <cellStyle name="Процентный 5 2 97" xfId="2420" xr:uid="{00000000-0005-0000-0000-000038BB0000}"/>
    <cellStyle name="Процентный 5 2 97 10" xfId="50484" xr:uid="{00000000-0005-0000-0000-000039BB0000}"/>
    <cellStyle name="Процентный 5 2 97 2" xfId="7763" xr:uid="{00000000-0005-0000-0000-00003ABB0000}"/>
    <cellStyle name="Процентный 5 2 97 2 2" xfId="55825" xr:uid="{00000000-0005-0000-0000-00003BBB0000}"/>
    <cellStyle name="Процентный 5 2 97 3" xfId="13104" xr:uid="{00000000-0005-0000-0000-00003CBB0000}"/>
    <cellStyle name="Процентный 5 2 97 4" xfId="18444" xr:uid="{00000000-0005-0000-0000-00003DBB0000}"/>
    <cellStyle name="Процентный 5 2 97 5" xfId="23784" xr:uid="{00000000-0005-0000-0000-00003EBB0000}"/>
    <cellStyle name="Процентный 5 2 97 6" xfId="29124" xr:uid="{00000000-0005-0000-0000-00003FBB0000}"/>
    <cellStyle name="Процентный 5 2 97 7" xfId="34464" xr:uid="{00000000-0005-0000-0000-000040BB0000}"/>
    <cellStyle name="Процентный 5 2 97 8" xfId="39804" xr:uid="{00000000-0005-0000-0000-000041BB0000}"/>
    <cellStyle name="Процентный 5 2 97 9" xfId="45144" xr:uid="{00000000-0005-0000-0000-000042BB0000}"/>
    <cellStyle name="Процентный 5 2 98" xfId="2450" xr:uid="{00000000-0005-0000-0000-000043BB0000}"/>
    <cellStyle name="Процентный 5 2 98 10" xfId="50514" xr:uid="{00000000-0005-0000-0000-000044BB0000}"/>
    <cellStyle name="Процентный 5 2 98 2" xfId="7793" xr:uid="{00000000-0005-0000-0000-000045BB0000}"/>
    <cellStyle name="Процентный 5 2 98 2 2" xfId="55855" xr:uid="{00000000-0005-0000-0000-000046BB0000}"/>
    <cellStyle name="Процентный 5 2 98 3" xfId="13134" xr:uid="{00000000-0005-0000-0000-000047BB0000}"/>
    <cellStyle name="Процентный 5 2 98 4" xfId="18474" xr:uid="{00000000-0005-0000-0000-000048BB0000}"/>
    <cellStyle name="Процентный 5 2 98 5" xfId="23814" xr:uid="{00000000-0005-0000-0000-000049BB0000}"/>
    <cellStyle name="Процентный 5 2 98 6" xfId="29154" xr:uid="{00000000-0005-0000-0000-00004ABB0000}"/>
    <cellStyle name="Процентный 5 2 98 7" xfId="34494" xr:uid="{00000000-0005-0000-0000-00004BBB0000}"/>
    <cellStyle name="Процентный 5 2 98 8" xfId="39834" xr:uid="{00000000-0005-0000-0000-00004CBB0000}"/>
    <cellStyle name="Процентный 5 2 98 9" xfId="45174" xr:uid="{00000000-0005-0000-0000-00004DBB0000}"/>
    <cellStyle name="Процентный 5 2 99" xfId="2480" xr:uid="{00000000-0005-0000-0000-00004EBB0000}"/>
    <cellStyle name="Процентный 5 2 99 10" xfId="50544" xr:uid="{00000000-0005-0000-0000-00004FBB0000}"/>
    <cellStyle name="Процентный 5 2 99 2" xfId="7823" xr:uid="{00000000-0005-0000-0000-000050BB0000}"/>
    <cellStyle name="Процентный 5 2 99 2 2" xfId="55885" xr:uid="{00000000-0005-0000-0000-000051BB0000}"/>
    <cellStyle name="Процентный 5 2 99 3" xfId="13164" xr:uid="{00000000-0005-0000-0000-000052BB0000}"/>
    <cellStyle name="Процентный 5 2 99 4" xfId="18504" xr:uid="{00000000-0005-0000-0000-000053BB0000}"/>
    <cellStyle name="Процентный 5 2 99 5" xfId="23844" xr:uid="{00000000-0005-0000-0000-000054BB0000}"/>
    <cellStyle name="Процентный 5 2 99 6" xfId="29184" xr:uid="{00000000-0005-0000-0000-000055BB0000}"/>
    <cellStyle name="Процентный 5 2 99 7" xfId="34524" xr:uid="{00000000-0005-0000-0000-000056BB0000}"/>
    <cellStyle name="Процентный 5 2 99 8" xfId="39864" xr:uid="{00000000-0005-0000-0000-000057BB0000}"/>
    <cellStyle name="Процентный 5 2 99 9" xfId="45204" xr:uid="{00000000-0005-0000-0000-000058BB0000}"/>
    <cellStyle name="Процентный 5 20" xfId="215" xr:uid="{00000000-0005-0000-0000-000059BB0000}"/>
    <cellStyle name="Процентный 5 20 10" xfId="42937" xr:uid="{00000000-0005-0000-0000-00005ABB0000}"/>
    <cellStyle name="Процентный 5 20 11" xfId="48277" xr:uid="{00000000-0005-0000-0000-00005BBB0000}"/>
    <cellStyle name="Процентный 5 20 2" xfId="682" xr:uid="{00000000-0005-0000-0000-00005CBB0000}"/>
    <cellStyle name="Процентный 5 20 2 10" xfId="48744" xr:uid="{00000000-0005-0000-0000-00005DBB0000}"/>
    <cellStyle name="Процентный 5 20 2 2" xfId="6023" xr:uid="{00000000-0005-0000-0000-00005EBB0000}"/>
    <cellStyle name="Процентный 5 20 2 2 2" xfId="54085" xr:uid="{00000000-0005-0000-0000-00005FBB0000}"/>
    <cellStyle name="Процентный 5 20 2 3" xfId="11364" xr:uid="{00000000-0005-0000-0000-000060BB0000}"/>
    <cellStyle name="Процентный 5 20 2 4" xfId="16704" xr:uid="{00000000-0005-0000-0000-000061BB0000}"/>
    <cellStyle name="Процентный 5 20 2 5" xfId="22044" xr:uid="{00000000-0005-0000-0000-000062BB0000}"/>
    <cellStyle name="Процентный 5 20 2 6" xfId="27384" xr:uid="{00000000-0005-0000-0000-000063BB0000}"/>
    <cellStyle name="Процентный 5 20 2 7" xfId="32724" xr:uid="{00000000-0005-0000-0000-000064BB0000}"/>
    <cellStyle name="Процентный 5 20 2 8" xfId="38064" xr:uid="{00000000-0005-0000-0000-000065BB0000}"/>
    <cellStyle name="Процентный 5 20 2 9" xfId="43404" xr:uid="{00000000-0005-0000-0000-000066BB0000}"/>
    <cellStyle name="Процентный 5 20 3" xfId="5556" xr:uid="{00000000-0005-0000-0000-000067BB0000}"/>
    <cellStyle name="Процентный 5 20 3 2" xfId="53618" xr:uid="{00000000-0005-0000-0000-000068BB0000}"/>
    <cellStyle name="Процентный 5 20 4" xfId="10897" xr:uid="{00000000-0005-0000-0000-000069BB0000}"/>
    <cellStyle name="Процентный 5 20 5" xfId="16237" xr:uid="{00000000-0005-0000-0000-00006ABB0000}"/>
    <cellStyle name="Процентный 5 20 6" xfId="21577" xr:uid="{00000000-0005-0000-0000-00006BBB0000}"/>
    <cellStyle name="Процентный 5 20 7" xfId="26917" xr:uid="{00000000-0005-0000-0000-00006CBB0000}"/>
    <cellStyle name="Процентный 5 20 8" xfId="32257" xr:uid="{00000000-0005-0000-0000-00006DBB0000}"/>
    <cellStyle name="Процентный 5 20 9" xfId="37597" xr:uid="{00000000-0005-0000-0000-00006EBB0000}"/>
    <cellStyle name="Процентный 5 200" xfId="26763" xr:uid="{00000000-0005-0000-0000-00006FBB0000}"/>
    <cellStyle name="Процентный 5 201" xfId="32103" xr:uid="{00000000-0005-0000-0000-000070BB0000}"/>
    <cellStyle name="Процентный 5 202" xfId="37443" xr:uid="{00000000-0005-0000-0000-000071BB0000}"/>
    <cellStyle name="Процентный 5 203" xfId="42783" xr:uid="{00000000-0005-0000-0000-000072BB0000}"/>
    <cellStyle name="Процентный 5 204" xfId="48123" xr:uid="{00000000-0005-0000-0000-000073BB0000}"/>
    <cellStyle name="Процентный 5 21" xfId="225" xr:uid="{00000000-0005-0000-0000-000074BB0000}"/>
    <cellStyle name="Процентный 5 21 10" xfId="42947" xr:uid="{00000000-0005-0000-0000-000075BB0000}"/>
    <cellStyle name="Процентный 5 21 11" xfId="48287" xr:uid="{00000000-0005-0000-0000-000076BB0000}"/>
    <cellStyle name="Процентный 5 21 2" xfId="692" xr:uid="{00000000-0005-0000-0000-000077BB0000}"/>
    <cellStyle name="Процентный 5 21 2 10" xfId="48754" xr:uid="{00000000-0005-0000-0000-000078BB0000}"/>
    <cellStyle name="Процентный 5 21 2 2" xfId="6033" xr:uid="{00000000-0005-0000-0000-000079BB0000}"/>
    <cellStyle name="Процентный 5 21 2 2 2" xfId="54095" xr:uid="{00000000-0005-0000-0000-00007ABB0000}"/>
    <cellStyle name="Процентный 5 21 2 3" xfId="11374" xr:uid="{00000000-0005-0000-0000-00007BBB0000}"/>
    <cellStyle name="Процентный 5 21 2 4" xfId="16714" xr:uid="{00000000-0005-0000-0000-00007CBB0000}"/>
    <cellStyle name="Процентный 5 21 2 5" xfId="22054" xr:uid="{00000000-0005-0000-0000-00007DBB0000}"/>
    <cellStyle name="Процентный 5 21 2 6" xfId="27394" xr:uid="{00000000-0005-0000-0000-00007EBB0000}"/>
    <cellStyle name="Процентный 5 21 2 7" xfId="32734" xr:uid="{00000000-0005-0000-0000-00007FBB0000}"/>
    <cellStyle name="Процентный 5 21 2 8" xfId="38074" xr:uid="{00000000-0005-0000-0000-000080BB0000}"/>
    <cellStyle name="Процентный 5 21 2 9" xfId="43414" xr:uid="{00000000-0005-0000-0000-000081BB0000}"/>
    <cellStyle name="Процентный 5 21 3" xfId="5566" xr:uid="{00000000-0005-0000-0000-000082BB0000}"/>
    <cellStyle name="Процентный 5 21 3 2" xfId="53628" xr:uid="{00000000-0005-0000-0000-000083BB0000}"/>
    <cellStyle name="Процентный 5 21 4" xfId="10907" xr:uid="{00000000-0005-0000-0000-000084BB0000}"/>
    <cellStyle name="Процентный 5 21 5" xfId="16247" xr:uid="{00000000-0005-0000-0000-000085BB0000}"/>
    <cellStyle name="Процентный 5 21 6" xfId="21587" xr:uid="{00000000-0005-0000-0000-000086BB0000}"/>
    <cellStyle name="Процентный 5 21 7" xfId="26927" xr:uid="{00000000-0005-0000-0000-000087BB0000}"/>
    <cellStyle name="Процентный 5 21 8" xfId="32267" xr:uid="{00000000-0005-0000-0000-000088BB0000}"/>
    <cellStyle name="Процентный 5 21 9" xfId="37607" xr:uid="{00000000-0005-0000-0000-000089BB0000}"/>
    <cellStyle name="Процентный 5 22" xfId="235" xr:uid="{00000000-0005-0000-0000-00008ABB0000}"/>
    <cellStyle name="Процентный 5 22 10" xfId="42957" xr:uid="{00000000-0005-0000-0000-00008BBB0000}"/>
    <cellStyle name="Процентный 5 22 11" xfId="48297" xr:uid="{00000000-0005-0000-0000-00008CBB0000}"/>
    <cellStyle name="Процентный 5 22 2" xfId="702" xr:uid="{00000000-0005-0000-0000-00008DBB0000}"/>
    <cellStyle name="Процентный 5 22 2 10" xfId="48764" xr:uid="{00000000-0005-0000-0000-00008EBB0000}"/>
    <cellStyle name="Процентный 5 22 2 2" xfId="6043" xr:uid="{00000000-0005-0000-0000-00008FBB0000}"/>
    <cellStyle name="Процентный 5 22 2 2 2" xfId="54105" xr:uid="{00000000-0005-0000-0000-000090BB0000}"/>
    <cellStyle name="Процентный 5 22 2 3" xfId="11384" xr:uid="{00000000-0005-0000-0000-000091BB0000}"/>
    <cellStyle name="Процентный 5 22 2 4" xfId="16724" xr:uid="{00000000-0005-0000-0000-000092BB0000}"/>
    <cellStyle name="Процентный 5 22 2 5" xfId="22064" xr:uid="{00000000-0005-0000-0000-000093BB0000}"/>
    <cellStyle name="Процентный 5 22 2 6" xfId="27404" xr:uid="{00000000-0005-0000-0000-000094BB0000}"/>
    <cellStyle name="Процентный 5 22 2 7" xfId="32744" xr:uid="{00000000-0005-0000-0000-000095BB0000}"/>
    <cellStyle name="Процентный 5 22 2 8" xfId="38084" xr:uid="{00000000-0005-0000-0000-000096BB0000}"/>
    <cellStyle name="Процентный 5 22 2 9" xfId="43424" xr:uid="{00000000-0005-0000-0000-000097BB0000}"/>
    <cellStyle name="Процентный 5 22 3" xfId="5576" xr:uid="{00000000-0005-0000-0000-000098BB0000}"/>
    <cellStyle name="Процентный 5 22 3 2" xfId="53638" xr:uid="{00000000-0005-0000-0000-000099BB0000}"/>
    <cellStyle name="Процентный 5 22 4" xfId="10917" xr:uid="{00000000-0005-0000-0000-00009ABB0000}"/>
    <cellStyle name="Процентный 5 22 5" xfId="16257" xr:uid="{00000000-0005-0000-0000-00009BBB0000}"/>
    <cellStyle name="Процентный 5 22 6" xfId="21597" xr:uid="{00000000-0005-0000-0000-00009CBB0000}"/>
    <cellStyle name="Процентный 5 22 7" xfId="26937" xr:uid="{00000000-0005-0000-0000-00009DBB0000}"/>
    <cellStyle name="Процентный 5 22 8" xfId="32277" xr:uid="{00000000-0005-0000-0000-00009EBB0000}"/>
    <cellStyle name="Процентный 5 22 9" xfId="37617" xr:uid="{00000000-0005-0000-0000-00009FBB0000}"/>
    <cellStyle name="Процентный 5 23" xfId="245" xr:uid="{00000000-0005-0000-0000-0000A0BB0000}"/>
    <cellStyle name="Процентный 5 23 10" xfId="42967" xr:uid="{00000000-0005-0000-0000-0000A1BB0000}"/>
    <cellStyle name="Процентный 5 23 11" xfId="48307" xr:uid="{00000000-0005-0000-0000-0000A2BB0000}"/>
    <cellStyle name="Процентный 5 23 2" xfId="712" xr:uid="{00000000-0005-0000-0000-0000A3BB0000}"/>
    <cellStyle name="Процентный 5 23 2 10" xfId="48774" xr:uid="{00000000-0005-0000-0000-0000A4BB0000}"/>
    <cellStyle name="Процентный 5 23 2 2" xfId="6053" xr:uid="{00000000-0005-0000-0000-0000A5BB0000}"/>
    <cellStyle name="Процентный 5 23 2 2 2" xfId="54115" xr:uid="{00000000-0005-0000-0000-0000A6BB0000}"/>
    <cellStyle name="Процентный 5 23 2 3" xfId="11394" xr:uid="{00000000-0005-0000-0000-0000A7BB0000}"/>
    <cellStyle name="Процентный 5 23 2 4" xfId="16734" xr:uid="{00000000-0005-0000-0000-0000A8BB0000}"/>
    <cellStyle name="Процентный 5 23 2 5" xfId="22074" xr:uid="{00000000-0005-0000-0000-0000A9BB0000}"/>
    <cellStyle name="Процентный 5 23 2 6" xfId="27414" xr:uid="{00000000-0005-0000-0000-0000AABB0000}"/>
    <cellStyle name="Процентный 5 23 2 7" xfId="32754" xr:uid="{00000000-0005-0000-0000-0000ABBB0000}"/>
    <cellStyle name="Процентный 5 23 2 8" xfId="38094" xr:uid="{00000000-0005-0000-0000-0000ACBB0000}"/>
    <cellStyle name="Процентный 5 23 2 9" xfId="43434" xr:uid="{00000000-0005-0000-0000-0000ADBB0000}"/>
    <cellStyle name="Процентный 5 23 3" xfId="5586" xr:uid="{00000000-0005-0000-0000-0000AEBB0000}"/>
    <cellStyle name="Процентный 5 23 3 2" xfId="53648" xr:uid="{00000000-0005-0000-0000-0000AFBB0000}"/>
    <cellStyle name="Процентный 5 23 4" xfId="10927" xr:uid="{00000000-0005-0000-0000-0000B0BB0000}"/>
    <cellStyle name="Процентный 5 23 5" xfId="16267" xr:uid="{00000000-0005-0000-0000-0000B1BB0000}"/>
    <cellStyle name="Процентный 5 23 6" xfId="21607" xr:uid="{00000000-0005-0000-0000-0000B2BB0000}"/>
    <cellStyle name="Процентный 5 23 7" xfId="26947" xr:uid="{00000000-0005-0000-0000-0000B3BB0000}"/>
    <cellStyle name="Процентный 5 23 8" xfId="32287" xr:uid="{00000000-0005-0000-0000-0000B4BB0000}"/>
    <cellStyle name="Процентный 5 23 9" xfId="37627" xr:uid="{00000000-0005-0000-0000-0000B5BB0000}"/>
    <cellStyle name="Процентный 5 24" xfId="255" xr:uid="{00000000-0005-0000-0000-0000B6BB0000}"/>
    <cellStyle name="Процентный 5 24 10" xfId="42977" xr:uid="{00000000-0005-0000-0000-0000B7BB0000}"/>
    <cellStyle name="Процентный 5 24 11" xfId="48317" xr:uid="{00000000-0005-0000-0000-0000B8BB0000}"/>
    <cellStyle name="Процентный 5 24 2" xfId="722" xr:uid="{00000000-0005-0000-0000-0000B9BB0000}"/>
    <cellStyle name="Процентный 5 24 2 10" xfId="48784" xr:uid="{00000000-0005-0000-0000-0000BABB0000}"/>
    <cellStyle name="Процентный 5 24 2 2" xfId="6063" xr:uid="{00000000-0005-0000-0000-0000BBBB0000}"/>
    <cellStyle name="Процентный 5 24 2 2 2" xfId="54125" xr:uid="{00000000-0005-0000-0000-0000BCBB0000}"/>
    <cellStyle name="Процентный 5 24 2 3" xfId="11404" xr:uid="{00000000-0005-0000-0000-0000BDBB0000}"/>
    <cellStyle name="Процентный 5 24 2 4" xfId="16744" xr:uid="{00000000-0005-0000-0000-0000BEBB0000}"/>
    <cellStyle name="Процентный 5 24 2 5" xfId="22084" xr:uid="{00000000-0005-0000-0000-0000BFBB0000}"/>
    <cellStyle name="Процентный 5 24 2 6" xfId="27424" xr:uid="{00000000-0005-0000-0000-0000C0BB0000}"/>
    <cellStyle name="Процентный 5 24 2 7" xfId="32764" xr:uid="{00000000-0005-0000-0000-0000C1BB0000}"/>
    <cellStyle name="Процентный 5 24 2 8" xfId="38104" xr:uid="{00000000-0005-0000-0000-0000C2BB0000}"/>
    <cellStyle name="Процентный 5 24 2 9" xfId="43444" xr:uid="{00000000-0005-0000-0000-0000C3BB0000}"/>
    <cellStyle name="Процентный 5 24 3" xfId="5596" xr:uid="{00000000-0005-0000-0000-0000C4BB0000}"/>
    <cellStyle name="Процентный 5 24 3 2" xfId="53658" xr:uid="{00000000-0005-0000-0000-0000C5BB0000}"/>
    <cellStyle name="Процентный 5 24 4" xfId="10937" xr:uid="{00000000-0005-0000-0000-0000C6BB0000}"/>
    <cellStyle name="Процентный 5 24 5" xfId="16277" xr:uid="{00000000-0005-0000-0000-0000C7BB0000}"/>
    <cellStyle name="Процентный 5 24 6" xfId="21617" xr:uid="{00000000-0005-0000-0000-0000C8BB0000}"/>
    <cellStyle name="Процентный 5 24 7" xfId="26957" xr:uid="{00000000-0005-0000-0000-0000C9BB0000}"/>
    <cellStyle name="Процентный 5 24 8" xfId="32297" xr:uid="{00000000-0005-0000-0000-0000CABB0000}"/>
    <cellStyle name="Процентный 5 24 9" xfId="37637" xr:uid="{00000000-0005-0000-0000-0000CBBB0000}"/>
    <cellStyle name="Процентный 5 25" xfId="265" xr:uid="{00000000-0005-0000-0000-0000CCBB0000}"/>
    <cellStyle name="Процентный 5 25 10" xfId="42987" xr:uid="{00000000-0005-0000-0000-0000CDBB0000}"/>
    <cellStyle name="Процентный 5 25 11" xfId="48327" xr:uid="{00000000-0005-0000-0000-0000CEBB0000}"/>
    <cellStyle name="Процентный 5 25 2" xfId="732" xr:uid="{00000000-0005-0000-0000-0000CFBB0000}"/>
    <cellStyle name="Процентный 5 25 2 10" xfId="48794" xr:uid="{00000000-0005-0000-0000-0000D0BB0000}"/>
    <cellStyle name="Процентный 5 25 2 2" xfId="6073" xr:uid="{00000000-0005-0000-0000-0000D1BB0000}"/>
    <cellStyle name="Процентный 5 25 2 2 2" xfId="54135" xr:uid="{00000000-0005-0000-0000-0000D2BB0000}"/>
    <cellStyle name="Процентный 5 25 2 3" xfId="11414" xr:uid="{00000000-0005-0000-0000-0000D3BB0000}"/>
    <cellStyle name="Процентный 5 25 2 4" xfId="16754" xr:uid="{00000000-0005-0000-0000-0000D4BB0000}"/>
    <cellStyle name="Процентный 5 25 2 5" xfId="22094" xr:uid="{00000000-0005-0000-0000-0000D5BB0000}"/>
    <cellStyle name="Процентный 5 25 2 6" xfId="27434" xr:uid="{00000000-0005-0000-0000-0000D6BB0000}"/>
    <cellStyle name="Процентный 5 25 2 7" xfId="32774" xr:uid="{00000000-0005-0000-0000-0000D7BB0000}"/>
    <cellStyle name="Процентный 5 25 2 8" xfId="38114" xr:uid="{00000000-0005-0000-0000-0000D8BB0000}"/>
    <cellStyle name="Процентный 5 25 2 9" xfId="43454" xr:uid="{00000000-0005-0000-0000-0000D9BB0000}"/>
    <cellStyle name="Процентный 5 25 3" xfId="5606" xr:uid="{00000000-0005-0000-0000-0000DABB0000}"/>
    <cellStyle name="Процентный 5 25 3 2" xfId="53668" xr:uid="{00000000-0005-0000-0000-0000DBBB0000}"/>
    <cellStyle name="Процентный 5 25 4" xfId="10947" xr:uid="{00000000-0005-0000-0000-0000DCBB0000}"/>
    <cellStyle name="Процентный 5 25 5" xfId="16287" xr:uid="{00000000-0005-0000-0000-0000DDBB0000}"/>
    <cellStyle name="Процентный 5 25 6" xfId="21627" xr:uid="{00000000-0005-0000-0000-0000DEBB0000}"/>
    <cellStyle name="Процентный 5 25 7" xfId="26967" xr:uid="{00000000-0005-0000-0000-0000DFBB0000}"/>
    <cellStyle name="Процентный 5 25 8" xfId="32307" xr:uid="{00000000-0005-0000-0000-0000E0BB0000}"/>
    <cellStyle name="Процентный 5 25 9" xfId="37647" xr:uid="{00000000-0005-0000-0000-0000E1BB0000}"/>
    <cellStyle name="Процентный 5 26" xfId="275" xr:uid="{00000000-0005-0000-0000-0000E2BB0000}"/>
    <cellStyle name="Процентный 5 26 10" xfId="42997" xr:uid="{00000000-0005-0000-0000-0000E3BB0000}"/>
    <cellStyle name="Процентный 5 26 11" xfId="48337" xr:uid="{00000000-0005-0000-0000-0000E4BB0000}"/>
    <cellStyle name="Процентный 5 26 2" xfId="742" xr:uid="{00000000-0005-0000-0000-0000E5BB0000}"/>
    <cellStyle name="Процентный 5 26 2 10" xfId="48804" xr:uid="{00000000-0005-0000-0000-0000E6BB0000}"/>
    <cellStyle name="Процентный 5 26 2 2" xfId="6083" xr:uid="{00000000-0005-0000-0000-0000E7BB0000}"/>
    <cellStyle name="Процентный 5 26 2 2 2" xfId="54145" xr:uid="{00000000-0005-0000-0000-0000E8BB0000}"/>
    <cellStyle name="Процентный 5 26 2 3" xfId="11424" xr:uid="{00000000-0005-0000-0000-0000E9BB0000}"/>
    <cellStyle name="Процентный 5 26 2 4" xfId="16764" xr:uid="{00000000-0005-0000-0000-0000EABB0000}"/>
    <cellStyle name="Процентный 5 26 2 5" xfId="22104" xr:uid="{00000000-0005-0000-0000-0000EBBB0000}"/>
    <cellStyle name="Процентный 5 26 2 6" xfId="27444" xr:uid="{00000000-0005-0000-0000-0000ECBB0000}"/>
    <cellStyle name="Процентный 5 26 2 7" xfId="32784" xr:uid="{00000000-0005-0000-0000-0000EDBB0000}"/>
    <cellStyle name="Процентный 5 26 2 8" xfId="38124" xr:uid="{00000000-0005-0000-0000-0000EEBB0000}"/>
    <cellStyle name="Процентный 5 26 2 9" xfId="43464" xr:uid="{00000000-0005-0000-0000-0000EFBB0000}"/>
    <cellStyle name="Процентный 5 26 3" xfId="5616" xr:uid="{00000000-0005-0000-0000-0000F0BB0000}"/>
    <cellStyle name="Процентный 5 26 3 2" xfId="53678" xr:uid="{00000000-0005-0000-0000-0000F1BB0000}"/>
    <cellStyle name="Процентный 5 26 4" xfId="10957" xr:uid="{00000000-0005-0000-0000-0000F2BB0000}"/>
    <cellStyle name="Процентный 5 26 5" xfId="16297" xr:uid="{00000000-0005-0000-0000-0000F3BB0000}"/>
    <cellStyle name="Процентный 5 26 6" xfId="21637" xr:uid="{00000000-0005-0000-0000-0000F4BB0000}"/>
    <cellStyle name="Процентный 5 26 7" xfId="26977" xr:uid="{00000000-0005-0000-0000-0000F5BB0000}"/>
    <cellStyle name="Процентный 5 26 8" xfId="32317" xr:uid="{00000000-0005-0000-0000-0000F6BB0000}"/>
    <cellStyle name="Процентный 5 26 9" xfId="37657" xr:uid="{00000000-0005-0000-0000-0000F7BB0000}"/>
    <cellStyle name="Процентный 5 27" xfId="285" xr:uid="{00000000-0005-0000-0000-0000F8BB0000}"/>
    <cellStyle name="Процентный 5 27 10" xfId="43007" xr:uid="{00000000-0005-0000-0000-0000F9BB0000}"/>
    <cellStyle name="Процентный 5 27 11" xfId="48347" xr:uid="{00000000-0005-0000-0000-0000FABB0000}"/>
    <cellStyle name="Процентный 5 27 2" xfId="752" xr:uid="{00000000-0005-0000-0000-0000FBBB0000}"/>
    <cellStyle name="Процентный 5 27 2 10" xfId="48814" xr:uid="{00000000-0005-0000-0000-0000FCBB0000}"/>
    <cellStyle name="Процентный 5 27 2 2" xfId="6093" xr:uid="{00000000-0005-0000-0000-0000FDBB0000}"/>
    <cellStyle name="Процентный 5 27 2 2 2" xfId="54155" xr:uid="{00000000-0005-0000-0000-0000FEBB0000}"/>
    <cellStyle name="Процентный 5 27 2 3" xfId="11434" xr:uid="{00000000-0005-0000-0000-0000FFBB0000}"/>
    <cellStyle name="Процентный 5 27 2 4" xfId="16774" xr:uid="{00000000-0005-0000-0000-000000BC0000}"/>
    <cellStyle name="Процентный 5 27 2 5" xfId="22114" xr:uid="{00000000-0005-0000-0000-000001BC0000}"/>
    <cellStyle name="Процентный 5 27 2 6" xfId="27454" xr:uid="{00000000-0005-0000-0000-000002BC0000}"/>
    <cellStyle name="Процентный 5 27 2 7" xfId="32794" xr:uid="{00000000-0005-0000-0000-000003BC0000}"/>
    <cellStyle name="Процентный 5 27 2 8" xfId="38134" xr:uid="{00000000-0005-0000-0000-000004BC0000}"/>
    <cellStyle name="Процентный 5 27 2 9" xfId="43474" xr:uid="{00000000-0005-0000-0000-000005BC0000}"/>
    <cellStyle name="Процентный 5 27 3" xfId="5626" xr:uid="{00000000-0005-0000-0000-000006BC0000}"/>
    <cellStyle name="Процентный 5 27 3 2" xfId="53688" xr:uid="{00000000-0005-0000-0000-000007BC0000}"/>
    <cellStyle name="Процентный 5 27 4" xfId="10967" xr:uid="{00000000-0005-0000-0000-000008BC0000}"/>
    <cellStyle name="Процентный 5 27 5" xfId="16307" xr:uid="{00000000-0005-0000-0000-000009BC0000}"/>
    <cellStyle name="Процентный 5 27 6" xfId="21647" xr:uid="{00000000-0005-0000-0000-00000ABC0000}"/>
    <cellStyle name="Процентный 5 27 7" xfId="26987" xr:uid="{00000000-0005-0000-0000-00000BBC0000}"/>
    <cellStyle name="Процентный 5 27 8" xfId="32327" xr:uid="{00000000-0005-0000-0000-00000CBC0000}"/>
    <cellStyle name="Процентный 5 27 9" xfId="37667" xr:uid="{00000000-0005-0000-0000-00000DBC0000}"/>
    <cellStyle name="Процентный 5 28" xfId="295" xr:uid="{00000000-0005-0000-0000-00000EBC0000}"/>
    <cellStyle name="Процентный 5 28 10" xfId="43017" xr:uid="{00000000-0005-0000-0000-00000FBC0000}"/>
    <cellStyle name="Процентный 5 28 11" xfId="48357" xr:uid="{00000000-0005-0000-0000-000010BC0000}"/>
    <cellStyle name="Процентный 5 28 2" xfId="762" xr:uid="{00000000-0005-0000-0000-000011BC0000}"/>
    <cellStyle name="Процентный 5 28 2 10" xfId="48824" xr:uid="{00000000-0005-0000-0000-000012BC0000}"/>
    <cellStyle name="Процентный 5 28 2 2" xfId="6103" xr:uid="{00000000-0005-0000-0000-000013BC0000}"/>
    <cellStyle name="Процентный 5 28 2 2 2" xfId="54165" xr:uid="{00000000-0005-0000-0000-000014BC0000}"/>
    <cellStyle name="Процентный 5 28 2 3" xfId="11444" xr:uid="{00000000-0005-0000-0000-000015BC0000}"/>
    <cellStyle name="Процентный 5 28 2 4" xfId="16784" xr:uid="{00000000-0005-0000-0000-000016BC0000}"/>
    <cellStyle name="Процентный 5 28 2 5" xfId="22124" xr:uid="{00000000-0005-0000-0000-000017BC0000}"/>
    <cellStyle name="Процентный 5 28 2 6" xfId="27464" xr:uid="{00000000-0005-0000-0000-000018BC0000}"/>
    <cellStyle name="Процентный 5 28 2 7" xfId="32804" xr:uid="{00000000-0005-0000-0000-000019BC0000}"/>
    <cellStyle name="Процентный 5 28 2 8" xfId="38144" xr:uid="{00000000-0005-0000-0000-00001ABC0000}"/>
    <cellStyle name="Процентный 5 28 2 9" xfId="43484" xr:uid="{00000000-0005-0000-0000-00001BBC0000}"/>
    <cellStyle name="Процентный 5 28 3" xfId="5636" xr:uid="{00000000-0005-0000-0000-00001CBC0000}"/>
    <cellStyle name="Процентный 5 28 3 2" xfId="53698" xr:uid="{00000000-0005-0000-0000-00001DBC0000}"/>
    <cellStyle name="Процентный 5 28 4" xfId="10977" xr:uid="{00000000-0005-0000-0000-00001EBC0000}"/>
    <cellStyle name="Процентный 5 28 5" xfId="16317" xr:uid="{00000000-0005-0000-0000-00001FBC0000}"/>
    <cellStyle name="Процентный 5 28 6" xfId="21657" xr:uid="{00000000-0005-0000-0000-000020BC0000}"/>
    <cellStyle name="Процентный 5 28 7" xfId="26997" xr:uid="{00000000-0005-0000-0000-000021BC0000}"/>
    <cellStyle name="Процентный 5 28 8" xfId="32337" xr:uid="{00000000-0005-0000-0000-000022BC0000}"/>
    <cellStyle name="Процентный 5 28 9" xfId="37677" xr:uid="{00000000-0005-0000-0000-000023BC0000}"/>
    <cellStyle name="Процентный 5 29" xfId="305" xr:uid="{00000000-0005-0000-0000-000024BC0000}"/>
    <cellStyle name="Процентный 5 29 10" xfId="43027" xr:uid="{00000000-0005-0000-0000-000025BC0000}"/>
    <cellStyle name="Процентный 5 29 11" xfId="48367" xr:uid="{00000000-0005-0000-0000-000026BC0000}"/>
    <cellStyle name="Процентный 5 29 2" xfId="772" xr:uid="{00000000-0005-0000-0000-000027BC0000}"/>
    <cellStyle name="Процентный 5 29 2 10" xfId="48834" xr:uid="{00000000-0005-0000-0000-000028BC0000}"/>
    <cellStyle name="Процентный 5 29 2 2" xfId="6113" xr:uid="{00000000-0005-0000-0000-000029BC0000}"/>
    <cellStyle name="Процентный 5 29 2 2 2" xfId="54175" xr:uid="{00000000-0005-0000-0000-00002ABC0000}"/>
    <cellStyle name="Процентный 5 29 2 3" xfId="11454" xr:uid="{00000000-0005-0000-0000-00002BBC0000}"/>
    <cellStyle name="Процентный 5 29 2 4" xfId="16794" xr:uid="{00000000-0005-0000-0000-00002CBC0000}"/>
    <cellStyle name="Процентный 5 29 2 5" xfId="22134" xr:uid="{00000000-0005-0000-0000-00002DBC0000}"/>
    <cellStyle name="Процентный 5 29 2 6" xfId="27474" xr:uid="{00000000-0005-0000-0000-00002EBC0000}"/>
    <cellStyle name="Процентный 5 29 2 7" xfId="32814" xr:uid="{00000000-0005-0000-0000-00002FBC0000}"/>
    <cellStyle name="Процентный 5 29 2 8" xfId="38154" xr:uid="{00000000-0005-0000-0000-000030BC0000}"/>
    <cellStyle name="Процентный 5 29 2 9" xfId="43494" xr:uid="{00000000-0005-0000-0000-000031BC0000}"/>
    <cellStyle name="Процентный 5 29 3" xfId="5646" xr:uid="{00000000-0005-0000-0000-000032BC0000}"/>
    <cellStyle name="Процентный 5 29 3 2" xfId="53708" xr:uid="{00000000-0005-0000-0000-000033BC0000}"/>
    <cellStyle name="Процентный 5 29 4" xfId="10987" xr:uid="{00000000-0005-0000-0000-000034BC0000}"/>
    <cellStyle name="Процентный 5 29 5" xfId="16327" xr:uid="{00000000-0005-0000-0000-000035BC0000}"/>
    <cellStyle name="Процентный 5 29 6" xfId="21667" xr:uid="{00000000-0005-0000-0000-000036BC0000}"/>
    <cellStyle name="Процентный 5 29 7" xfId="27007" xr:uid="{00000000-0005-0000-0000-000037BC0000}"/>
    <cellStyle name="Процентный 5 29 8" xfId="32347" xr:uid="{00000000-0005-0000-0000-000038BC0000}"/>
    <cellStyle name="Процентный 5 29 9" xfId="37687" xr:uid="{00000000-0005-0000-0000-000039BC0000}"/>
    <cellStyle name="Процентный 5 3" xfId="79" xr:uid="{00000000-0005-0000-0000-00003ABC0000}"/>
    <cellStyle name="Процентный 5 3 10" xfId="1179" xr:uid="{00000000-0005-0000-0000-00003BBC0000}"/>
    <cellStyle name="Процентный 5 3 10 10" xfId="49242" xr:uid="{00000000-0005-0000-0000-00003CBC0000}"/>
    <cellStyle name="Процентный 5 3 10 2" xfId="6521" xr:uid="{00000000-0005-0000-0000-00003DBC0000}"/>
    <cellStyle name="Процентный 5 3 10 2 2" xfId="54583" xr:uid="{00000000-0005-0000-0000-00003EBC0000}"/>
    <cellStyle name="Процентный 5 3 10 3" xfId="11862" xr:uid="{00000000-0005-0000-0000-00003FBC0000}"/>
    <cellStyle name="Процентный 5 3 10 4" xfId="17202" xr:uid="{00000000-0005-0000-0000-000040BC0000}"/>
    <cellStyle name="Процентный 5 3 10 5" xfId="22542" xr:uid="{00000000-0005-0000-0000-000041BC0000}"/>
    <cellStyle name="Процентный 5 3 10 6" xfId="27882" xr:uid="{00000000-0005-0000-0000-000042BC0000}"/>
    <cellStyle name="Процентный 5 3 10 7" xfId="33222" xr:uid="{00000000-0005-0000-0000-000043BC0000}"/>
    <cellStyle name="Процентный 5 3 10 8" xfId="38562" xr:uid="{00000000-0005-0000-0000-000044BC0000}"/>
    <cellStyle name="Процентный 5 3 10 9" xfId="43902" xr:uid="{00000000-0005-0000-0000-000045BC0000}"/>
    <cellStyle name="Процентный 5 3 100" xfId="3837" xr:uid="{00000000-0005-0000-0000-000046BC0000}"/>
    <cellStyle name="Процентный 5 3 100 10" xfId="51900" xr:uid="{00000000-0005-0000-0000-000047BC0000}"/>
    <cellStyle name="Процентный 5 3 100 2" xfId="9180" xr:uid="{00000000-0005-0000-0000-000048BC0000}"/>
    <cellStyle name="Процентный 5 3 100 2 2" xfId="57241" xr:uid="{00000000-0005-0000-0000-000049BC0000}"/>
    <cellStyle name="Процентный 5 3 100 3" xfId="14520" xr:uid="{00000000-0005-0000-0000-00004ABC0000}"/>
    <cellStyle name="Процентный 5 3 100 4" xfId="19860" xr:uid="{00000000-0005-0000-0000-00004BBC0000}"/>
    <cellStyle name="Процентный 5 3 100 5" xfId="25200" xr:uid="{00000000-0005-0000-0000-00004CBC0000}"/>
    <cellStyle name="Процентный 5 3 100 6" xfId="30540" xr:uid="{00000000-0005-0000-0000-00004DBC0000}"/>
    <cellStyle name="Процентный 5 3 100 7" xfId="35880" xr:uid="{00000000-0005-0000-0000-00004EBC0000}"/>
    <cellStyle name="Процентный 5 3 100 8" xfId="41220" xr:uid="{00000000-0005-0000-0000-00004FBC0000}"/>
    <cellStyle name="Процентный 5 3 100 9" xfId="46560" xr:uid="{00000000-0005-0000-0000-000050BC0000}"/>
    <cellStyle name="Процентный 5 3 101" xfId="3869" xr:uid="{00000000-0005-0000-0000-000051BC0000}"/>
    <cellStyle name="Процентный 5 3 101 10" xfId="51932" xr:uid="{00000000-0005-0000-0000-000052BC0000}"/>
    <cellStyle name="Процентный 5 3 101 2" xfId="9212" xr:uid="{00000000-0005-0000-0000-000053BC0000}"/>
    <cellStyle name="Процентный 5 3 101 2 2" xfId="57273" xr:uid="{00000000-0005-0000-0000-000054BC0000}"/>
    <cellStyle name="Процентный 5 3 101 3" xfId="14552" xr:uid="{00000000-0005-0000-0000-000055BC0000}"/>
    <cellStyle name="Процентный 5 3 101 4" xfId="19892" xr:uid="{00000000-0005-0000-0000-000056BC0000}"/>
    <cellStyle name="Процентный 5 3 101 5" xfId="25232" xr:uid="{00000000-0005-0000-0000-000057BC0000}"/>
    <cellStyle name="Процентный 5 3 101 6" xfId="30572" xr:uid="{00000000-0005-0000-0000-000058BC0000}"/>
    <cellStyle name="Процентный 5 3 101 7" xfId="35912" xr:uid="{00000000-0005-0000-0000-000059BC0000}"/>
    <cellStyle name="Процентный 5 3 101 8" xfId="41252" xr:uid="{00000000-0005-0000-0000-00005ABC0000}"/>
    <cellStyle name="Процентный 5 3 101 9" xfId="46592" xr:uid="{00000000-0005-0000-0000-00005BBC0000}"/>
    <cellStyle name="Процентный 5 3 102" xfId="3901" xr:uid="{00000000-0005-0000-0000-00005CBC0000}"/>
    <cellStyle name="Процентный 5 3 102 10" xfId="51964" xr:uid="{00000000-0005-0000-0000-00005DBC0000}"/>
    <cellStyle name="Процентный 5 3 102 2" xfId="9244" xr:uid="{00000000-0005-0000-0000-00005EBC0000}"/>
    <cellStyle name="Процентный 5 3 102 2 2" xfId="57305" xr:uid="{00000000-0005-0000-0000-00005FBC0000}"/>
    <cellStyle name="Процентный 5 3 102 3" xfId="14584" xr:uid="{00000000-0005-0000-0000-000060BC0000}"/>
    <cellStyle name="Процентный 5 3 102 4" xfId="19924" xr:uid="{00000000-0005-0000-0000-000061BC0000}"/>
    <cellStyle name="Процентный 5 3 102 5" xfId="25264" xr:uid="{00000000-0005-0000-0000-000062BC0000}"/>
    <cellStyle name="Процентный 5 3 102 6" xfId="30604" xr:uid="{00000000-0005-0000-0000-000063BC0000}"/>
    <cellStyle name="Процентный 5 3 102 7" xfId="35944" xr:uid="{00000000-0005-0000-0000-000064BC0000}"/>
    <cellStyle name="Процентный 5 3 102 8" xfId="41284" xr:uid="{00000000-0005-0000-0000-000065BC0000}"/>
    <cellStyle name="Процентный 5 3 102 9" xfId="46624" xr:uid="{00000000-0005-0000-0000-000066BC0000}"/>
    <cellStyle name="Процентный 5 3 103" xfId="3933" xr:uid="{00000000-0005-0000-0000-000067BC0000}"/>
    <cellStyle name="Процентный 5 3 103 10" xfId="51996" xr:uid="{00000000-0005-0000-0000-000068BC0000}"/>
    <cellStyle name="Процентный 5 3 103 2" xfId="9276" xr:uid="{00000000-0005-0000-0000-000069BC0000}"/>
    <cellStyle name="Процентный 5 3 103 2 2" xfId="57337" xr:uid="{00000000-0005-0000-0000-00006ABC0000}"/>
    <cellStyle name="Процентный 5 3 103 3" xfId="14616" xr:uid="{00000000-0005-0000-0000-00006BBC0000}"/>
    <cellStyle name="Процентный 5 3 103 4" xfId="19956" xr:uid="{00000000-0005-0000-0000-00006CBC0000}"/>
    <cellStyle name="Процентный 5 3 103 5" xfId="25296" xr:uid="{00000000-0005-0000-0000-00006DBC0000}"/>
    <cellStyle name="Процентный 5 3 103 6" xfId="30636" xr:uid="{00000000-0005-0000-0000-00006EBC0000}"/>
    <cellStyle name="Процентный 5 3 103 7" xfId="35976" xr:uid="{00000000-0005-0000-0000-00006FBC0000}"/>
    <cellStyle name="Процентный 5 3 103 8" xfId="41316" xr:uid="{00000000-0005-0000-0000-000070BC0000}"/>
    <cellStyle name="Процентный 5 3 103 9" xfId="46656" xr:uid="{00000000-0005-0000-0000-000071BC0000}"/>
    <cellStyle name="Процентный 5 3 104" xfId="3965" xr:uid="{00000000-0005-0000-0000-000072BC0000}"/>
    <cellStyle name="Процентный 5 3 104 10" xfId="52028" xr:uid="{00000000-0005-0000-0000-000073BC0000}"/>
    <cellStyle name="Процентный 5 3 104 2" xfId="9308" xr:uid="{00000000-0005-0000-0000-000074BC0000}"/>
    <cellStyle name="Процентный 5 3 104 2 2" xfId="57369" xr:uid="{00000000-0005-0000-0000-000075BC0000}"/>
    <cellStyle name="Процентный 5 3 104 3" xfId="14648" xr:uid="{00000000-0005-0000-0000-000076BC0000}"/>
    <cellStyle name="Процентный 5 3 104 4" xfId="19988" xr:uid="{00000000-0005-0000-0000-000077BC0000}"/>
    <cellStyle name="Процентный 5 3 104 5" xfId="25328" xr:uid="{00000000-0005-0000-0000-000078BC0000}"/>
    <cellStyle name="Процентный 5 3 104 6" xfId="30668" xr:uid="{00000000-0005-0000-0000-000079BC0000}"/>
    <cellStyle name="Процентный 5 3 104 7" xfId="36008" xr:uid="{00000000-0005-0000-0000-00007ABC0000}"/>
    <cellStyle name="Процентный 5 3 104 8" xfId="41348" xr:uid="{00000000-0005-0000-0000-00007BBC0000}"/>
    <cellStyle name="Процентный 5 3 104 9" xfId="46688" xr:uid="{00000000-0005-0000-0000-00007CBC0000}"/>
    <cellStyle name="Процентный 5 3 105" xfId="3997" xr:uid="{00000000-0005-0000-0000-00007DBC0000}"/>
    <cellStyle name="Процентный 5 3 105 10" xfId="52060" xr:uid="{00000000-0005-0000-0000-00007EBC0000}"/>
    <cellStyle name="Процентный 5 3 105 2" xfId="9340" xr:uid="{00000000-0005-0000-0000-00007FBC0000}"/>
    <cellStyle name="Процентный 5 3 105 2 2" xfId="57401" xr:uid="{00000000-0005-0000-0000-000080BC0000}"/>
    <cellStyle name="Процентный 5 3 105 3" xfId="14680" xr:uid="{00000000-0005-0000-0000-000081BC0000}"/>
    <cellStyle name="Процентный 5 3 105 4" xfId="20020" xr:uid="{00000000-0005-0000-0000-000082BC0000}"/>
    <cellStyle name="Процентный 5 3 105 5" xfId="25360" xr:uid="{00000000-0005-0000-0000-000083BC0000}"/>
    <cellStyle name="Процентный 5 3 105 6" xfId="30700" xr:uid="{00000000-0005-0000-0000-000084BC0000}"/>
    <cellStyle name="Процентный 5 3 105 7" xfId="36040" xr:uid="{00000000-0005-0000-0000-000085BC0000}"/>
    <cellStyle name="Процентный 5 3 105 8" xfId="41380" xr:uid="{00000000-0005-0000-0000-000086BC0000}"/>
    <cellStyle name="Процентный 5 3 105 9" xfId="46720" xr:uid="{00000000-0005-0000-0000-000087BC0000}"/>
    <cellStyle name="Процентный 5 3 106" xfId="4029" xr:uid="{00000000-0005-0000-0000-000088BC0000}"/>
    <cellStyle name="Процентный 5 3 106 10" xfId="52092" xr:uid="{00000000-0005-0000-0000-000089BC0000}"/>
    <cellStyle name="Процентный 5 3 106 2" xfId="9372" xr:uid="{00000000-0005-0000-0000-00008ABC0000}"/>
    <cellStyle name="Процентный 5 3 106 2 2" xfId="57433" xr:uid="{00000000-0005-0000-0000-00008BBC0000}"/>
    <cellStyle name="Процентный 5 3 106 3" xfId="14712" xr:uid="{00000000-0005-0000-0000-00008CBC0000}"/>
    <cellStyle name="Процентный 5 3 106 4" xfId="20052" xr:uid="{00000000-0005-0000-0000-00008DBC0000}"/>
    <cellStyle name="Процентный 5 3 106 5" xfId="25392" xr:uid="{00000000-0005-0000-0000-00008EBC0000}"/>
    <cellStyle name="Процентный 5 3 106 6" xfId="30732" xr:uid="{00000000-0005-0000-0000-00008FBC0000}"/>
    <cellStyle name="Процентный 5 3 106 7" xfId="36072" xr:uid="{00000000-0005-0000-0000-000090BC0000}"/>
    <cellStyle name="Процентный 5 3 106 8" xfId="41412" xr:uid="{00000000-0005-0000-0000-000091BC0000}"/>
    <cellStyle name="Процентный 5 3 106 9" xfId="46752" xr:uid="{00000000-0005-0000-0000-000092BC0000}"/>
    <cellStyle name="Процентный 5 3 107" xfId="4061" xr:uid="{00000000-0005-0000-0000-000093BC0000}"/>
    <cellStyle name="Процентный 5 3 107 10" xfId="52124" xr:uid="{00000000-0005-0000-0000-000094BC0000}"/>
    <cellStyle name="Процентный 5 3 107 2" xfId="9404" xr:uid="{00000000-0005-0000-0000-000095BC0000}"/>
    <cellStyle name="Процентный 5 3 107 2 2" xfId="57465" xr:uid="{00000000-0005-0000-0000-000096BC0000}"/>
    <cellStyle name="Процентный 5 3 107 3" xfId="14744" xr:uid="{00000000-0005-0000-0000-000097BC0000}"/>
    <cellStyle name="Процентный 5 3 107 4" xfId="20084" xr:uid="{00000000-0005-0000-0000-000098BC0000}"/>
    <cellStyle name="Процентный 5 3 107 5" xfId="25424" xr:uid="{00000000-0005-0000-0000-000099BC0000}"/>
    <cellStyle name="Процентный 5 3 107 6" xfId="30764" xr:uid="{00000000-0005-0000-0000-00009ABC0000}"/>
    <cellStyle name="Процентный 5 3 107 7" xfId="36104" xr:uid="{00000000-0005-0000-0000-00009BBC0000}"/>
    <cellStyle name="Процентный 5 3 107 8" xfId="41444" xr:uid="{00000000-0005-0000-0000-00009CBC0000}"/>
    <cellStyle name="Процентный 5 3 107 9" xfId="46784" xr:uid="{00000000-0005-0000-0000-00009DBC0000}"/>
    <cellStyle name="Процентный 5 3 108" xfId="4093" xr:uid="{00000000-0005-0000-0000-00009EBC0000}"/>
    <cellStyle name="Процентный 5 3 108 10" xfId="52156" xr:uid="{00000000-0005-0000-0000-00009FBC0000}"/>
    <cellStyle name="Процентный 5 3 108 2" xfId="9436" xr:uid="{00000000-0005-0000-0000-0000A0BC0000}"/>
    <cellStyle name="Процентный 5 3 108 2 2" xfId="57497" xr:uid="{00000000-0005-0000-0000-0000A1BC0000}"/>
    <cellStyle name="Процентный 5 3 108 3" xfId="14776" xr:uid="{00000000-0005-0000-0000-0000A2BC0000}"/>
    <cellStyle name="Процентный 5 3 108 4" xfId="20116" xr:uid="{00000000-0005-0000-0000-0000A3BC0000}"/>
    <cellStyle name="Процентный 5 3 108 5" xfId="25456" xr:uid="{00000000-0005-0000-0000-0000A4BC0000}"/>
    <cellStyle name="Процентный 5 3 108 6" xfId="30796" xr:uid="{00000000-0005-0000-0000-0000A5BC0000}"/>
    <cellStyle name="Процентный 5 3 108 7" xfId="36136" xr:uid="{00000000-0005-0000-0000-0000A6BC0000}"/>
    <cellStyle name="Процентный 5 3 108 8" xfId="41476" xr:uid="{00000000-0005-0000-0000-0000A7BC0000}"/>
    <cellStyle name="Процентный 5 3 108 9" xfId="46816" xr:uid="{00000000-0005-0000-0000-0000A8BC0000}"/>
    <cellStyle name="Процентный 5 3 109" xfId="4125" xr:uid="{00000000-0005-0000-0000-0000A9BC0000}"/>
    <cellStyle name="Процентный 5 3 109 10" xfId="52188" xr:uid="{00000000-0005-0000-0000-0000AABC0000}"/>
    <cellStyle name="Процентный 5 3 109 2" xfId="9468" xr:uid="{00000000-0005-0000-0000-0000ABBC0000}"/>
    <cellStyle name="Процентный 5 3 109 2 2" xfId="57529" xr:uid="{00000000-0005-0000-0000-0000ACBC0000}"/>
    <cellStyle name="Процентный 5 3 109 3" xfId="14808" xr:uid="{00000000-0005-0000-0000-0000ADBC0000}"/>
    <cellStyle name="Процентный 5 3 109 4" xfId="20148" xr:uid="{00000000-0005-0000-0000-0000AEBC0000}"/>
    <cellStyle name="Процентный 5 3 109 5" xfId="25488" xr:uid="{00000000-0005-0000-0000-0000AFBC0000}"/>
    <cellStyle name="Процентный 5 3 109 6" xfId="30828" xr:uid="{00000000-0005-0000-0000-0000B0BC0000}"/>
    <cellStyle name="Процентный 5 3 109 7" xfId="36168" xr:uid="{00000000-0005-0000-0000-0000B1BC0000}"/>
    <cellStyle name="Процентный 5 3 109 8" xfId="41508" xr:uid="{00000000-0005-0000-0000-0000B2BC0000}"/>
    <cellStyle name="Процентный 5 3 109 9" xfId="46848" xr:uid="{00000000-0005-0000-0000-0000B3BC0000}"/>
    <cellStyle name="Процентный 5 3 11" xfId="1205" xr:uid="{00000000-0005-0000-0000-0000B4BC0000}"/>
    <cellStyle name="Процентный 5 3 11 10" xfId="49268" xr:uid="{00000000-0005-0000-0000-0000B5BC0000}"/>
    <cellStyle name="Процентный 5 3 11 2" xfId="6547" xr:uid="{00000000-0005-0000-0000-0000B6BC0000}"/>
    <cellStyle name="Процентный 5 3 11 2 2" xfId="54609" xr:uid="{00000000-0005-0000-0000-0000B7BC0000}"/>
    <cellStyle name="Процентный 5 3 11 3" xfId="11888" xr:uid="{00000000-0005-0000-0000-0000B8BC0000}"/>
    <cellStyle name="Процентный 5 3 11 4" xfId="17228" xr:uid="{00000000-0005-0000-0000-0000B9BC0000}"/>
    <cellStyle name="Процентный 5 3 11 5" xfId="22568" xr:uid="{00000000-0005-0000-0000-0000BABC0000}"/>
    <cellStyle name="Процентный 5 3 11 6" xfId="27908" xr:uid="{00000000-0005-0000-0000-0000BBBC0000}"/>
    <cellStyle name="Процентный 5 3 11 7" xfId="33248" xr:uid="{00000000-0005-0000-0000-0000BCBC0000}"/>
    <cellStyle name="Процентный 5 3 11 8" xfId="38588" xr:uid="{00000000-0005-0000-0000-0000BDBC0000}"/>
    <cellStyle name="Процентный 5 3 11 9" xfId="43928" xr:uid="{00000000-0005-0000-0000-0000BEBC0000}"/>
    <cellStyle name="Процентный 5 3 110" xfId="4157" xr:uid="{00000000-0005-0000-0000-0000BFBC0000}"/>
    <cellStyle name="Процентный 5 3 110 10" xfId="52220" xr:uid="{00000000-0005-0000-0000-0000C0BC0000}"/>
    <cellStyle name="Процентный 5 3 110 2" xfId="9500" xr:uid="{00000000-0005-0000-0000-0000C1BC0000}"/>
    <cellStyle name="Процентный 5 3 110 2 2" xfId="57561" xr:uid="{00000000-0005-0000-0000-0000C2BC0000}"/>
    <cellStyle name="Процентный 5 3 110 3" xfId="14840" xr:uid="{00000000-0005-0000-0000-0000C3BC0000}"/>
    <cellStyle name="Процентный 5 3 110 4" xfId="20180" xr:uid="{00000000-0005-0000-0000-0000C4BC0000}"/>
    <cellStyle name="Процентный 5 3 110 5" xfId="25520" xr:uid="{00000000-0005-0000-0000-0000C5BC0000}"/>
    <cellStyle name="Процентный 5 3 110 6" xfId="30860" xr:uid="{00000000-0005-0000-0000-0000C6BC0000}"/>
    <cellStyle name="Процентный 5 3 110 7" xfId="36200" xr:uid="{00000000-0005-0000-0000-0000C7BC0000}"/>
    <cellStyle name="Процентный 5 3 110 8" xfId="41540" xr:uid="{00000000-0005-0000-0000-0000C8BC0000}"/>
    <cellStyle name="Процентный 5 3 110 9" xfId="46880" xr:uid="{00000000-0005-0000-0000-0000C9BC0000}"/>
    <cellStyle name="Процентный 5 3 111" xfId="4189" xr:uid="{00000000-0005-0000-0000-0000CABC0000}"/>
    <cellStyle name="Процентный 5 3 111 10" xfId="52252" xr:uid="{00000000-0005-0000-0000-0000CBBC0000}"/>
    <cellStyle name="Процентный 5 3 111 2" xfId="9532" xr:uid="{00000000-0005-0000-0000-0000CCBC0000}"/>
    <cellStyle name="Процентный 5 3 111 2 2" xfId="57593" xr:uid="{00000000-0005-0000-0000-0000CDBC0000}"/>
    <cellStyle name="Процентный 5 3 111 3" xfId="14872" xr:uid="{00000000-0005-0000-0000-0000CEBC0000}"/>
    <cellStyle name="Процентный 5 3 111 4" xfId="20212" xr:uid="{00000000-0005-0000-0000-0000CFBC0000}"/>
    <cellStyle name="Процентный 5 3 111 5" xfId="25552" xr:uid="{00000000-0005-0000-0000-0000D0BC0000}"/>
    <cellStyle name="Процентный 5 3 111 6" xfId="30892" xr:uid="{00000000-0005-0000-0000-0000D1BC0000}"/>
    <cellStyle name="Процентный 5 3 111 7" xfId="36232" xr:uid="{00000000-0005-0000-0000-0000D2BC0000}"/>
    <cellStyle name="Процентный 5 3 111 8" xfId="41572" xr:uid="{00000000-0005-0000-0000-0000D3BC0000}"/>
    <cellStyle name="Процентный 5 3 111 9" xfId="46912" xr:uid="{00000000-0005-0000-0000-0000D4BC0000}"/>
    <cellStyle name="Процентный 5 3 112" xfId="4221" xr:uid="{00000000-0005-0000-0000-0000D5BC0000}"/>
    <cellStyle name="Процентный 5 3 112 10" xfId="52284" xr:uid="{00000000-0005-0000-0000-0000D6BC0000}"/>
    <cellStyle name="Процентный 5 3 112 2" xfId="9564" xr:uid="{00000000-0005-0000-0000-0000D7BC0000}"/>
    <cellStyle name="Процентный 5 3 112 2 2" xfId="57625" xr:uid="{00000000-0005-0000-0000-0000D8BC0000}"/>
    <cellStyle name="Процентный 5 3 112 3" xfId="14904" xr:uid="{00000000-0005-0000-0000-0000D9BC0000}"/>
    <cellStyle name="Процентный 5 3 112 4" xfId="20244" xr:uid="{00000000-0005-0000-0000-0000DABC0000}"/>
    <cellStyle name="Процентный 5 3 112 5" xfId="25584" xr:uid="{00000000-0005-0000-0000-0000DBBC0000}"/>
    <cellStyle name="Процентный 5 3 112 6" xfId="30924" xr:uid="{00000000-0005-0000-0000-0000DCBC0000}"/>
    <cellStyle name="Процентный 5 3 112 7" xfId="36264" xr:uid="{00000000-0005-0000-0000-0000DDBC0000}"/>
    <cellStyle name="Процентный 5 3 112 8" xfId="41604" xr:uid="{00000000-0005-0000-0000-0000DEBC0000}"/>
    <cellStyle name="Процентный 5 3 112 9" xfId="46944" xr:uid="{00000000-0005-0000-0000-0000DFBC0000}"/>
    <cellStyle name="Процентный 5 3 113" xfId="4253" xr:uid="{00000000-0005-0000-0000-0000E0BC0000}"/>
    <cellStyle name="Процентный 5 3 113 10" xfId="52316" xr:uid="{00000000-0005-0000-0000-0000E1BC0000}"/>
    <cellStyle name="Процентный 5 3 113 2" xfId="9596" xr:uid="{00000000-0005-0000-0000-0000E2BC0000}"/>
    <cellStyle name="Процентный 5 3 113 2 2" xfId="57657" xr:uid="{00000000-0005-0000-0000-0000E3BC0000}"/>
    <cellStyle name="Процентный 5 3 113 3" xfId="14936" xr:uid="{00000000-0005-0000-0000-0000E4BC0000}"/>
    <cellStyle name="Процентный 5 3 113 4" xfId="20276" xr:uid="{00000000-0005-0000-0000-0000E5BC0000}"/>
    <cellStyle name="Процентный 5 3 113 5" xfId="25616" xr:uid="{00000000-0005-0000-0000-0000E6BC0000}"/>
    <cellStyle name="Процентный 5 3 113 6" xfId="30956" xr:uid="{00000000-0005-0000-0000-0000E7BC0000}"/>
    <cellStyle name="Процентный 5 3 113 7" xfId="36296" xr:uid="{00000000-0005-0000-0000-0000E8BC0000}"/>
    <cellStyle name="Процентный 5 3 113 8" xfId="41636" xr:uid="{00000000-0005-0000-0000-0000E9BC0000}"/>
    <cellStyle name="Процентный 5 3 113 9" xfId="46976" xr:uid="{00000000-0005-0000-0000-0000EABC0000}"/>
    <cellStyle name="Процентный 5 3 114" xfId="4285" xr:uid="{00000000-0005-0000-0000-0000EBBC0000}"/>
    <cellStyle name="Процентный 5 3 114 10" xfId="52348" xr:uid="{00000000-0005-0000-0000-0000ECBC0000}"/>
    <cellStyle name="Процентный 5 3 114 2" xfId="9628" xr:uid="{00000000-0005-0000-0000-0000EDBC0000}"/>
    <cellStyle name="Процентный 5 3 114 2 2" xfId="57689" xr:uid="{00000000-0005-0000-0000-0000EEBC0000}"/>
    <cellStyle name="Процентный 5 3 114 3" xfId="14968" xr:uid="{00000000-0005-0000-0000-0000EFBC0000}"/>
    <cellStyle name="Процентный 5 3 114 4" xfId="20308" xr:uid="{00000000-0005-0000-0000-0000F0BC0000}"/>
    <cellStyle name="Процентный 5 3 114 5" xfId="25648" xr:uid="{00000000-0005-0000-0000-0000F1BC0000}"/>
    <cellStyle name="Процентный 5 3 114 6" xfId="30988" xr:uid="{00000000-0005-0000-0000-0000F2BC0000}"/>
    <cellStyle name="Процентный 5 3 114 7" xfId="36328" xr:uid="{00000000-0005-0000-0000-0000F3BC0000}"/>
    <cellStyle name="Процентный 5 3 114 8" xfId="41668" xr:uid="{00000000-0005-0000-0000-0000F4BC0000}"/>
    <cellStyle name="Процентный 5 3 114 9" xfId="47008" xr:uid="{00000000-0005-0000-0000-0000F5BC0000}"/>
    <cellStyle name="Процентный 5 3 115" xfId="4317" xr:uid="{00000000-0005-0000-0000-0000F6BC0000}"/>
    <cellStyle name="Процентный 5 3 115 10" xfId="52380" xr:uid="{00000000-0005-0000-0000-0000F7BC0000}"/>
    <cellStyle name="Процентный 5 3 115 2" xfId="9660" xr:uid="{00000000-0005-0000-0000-0000F8BC0000}"/>
    <cellStyle name="Процентный 5 3 115 2 2" xfId="57721" xr:uid="{00000000-0005-0000-0000-0000F9BC0000}"/>
    <cellStyle name="Процентный 5 3 115 3" xfId="15000" xr:uid="{00000000-0005-0000-0000-0000FABC0000}"/>
    <cellStyle name="Процентный 5 3 115 4" xfId="20340" xr:uid="{00000000-0005-0000-0000-0000FBBC0000}"/>
    <cellStyle name="Процентный 5 3 115 5" xfId="25680" xr:uid="{00000000-0005-0000-0000-0000FCBC0000}"/>
    <cellStyle name="Процентный 5 3 115 6" xfId="31020" xr:uid="{00000000-0005-0000-0000-0000FDBC0000}"/>
    <cellStyle name="Процентный 5 3 115 7" xfId="36360" xr:uid="{00000000-0005-0000-0000-0000FEBC0000}"/>
    <cellStyle name="Процентный 5 3 115 8" xfId="41700" xr:uid="{00000000-0005-0000-0000-0000FFBC0000}"/>
    <cellStyle name="Процентный 5 3 115 9" xfId="47040" xr:uid="{00000000-0005-0000-0000-000000BD0000}"/>
    <cellStyle name="Процентный 5 3 116" xfId="4349" xr:uid="{00000000-0005-0000-0000-000001BD0000}"/>
    <cellStyle name="Процентный 5 3 116 10" xfId="52412" xr:uid="{00000000-0005-0000-0000-000002BD0000}"/>
    <cellStyle name="Процентный 5 3 116 2" xfId="9692" xr:uid="{00000000-0005-0000-0000-000003BD0000}"/>
    <cellStyle name="Процентный 5 3 116 2 2" xfId="57753" xr:uid="{00000000-0005-0000-0000-000004BD0000}"/>
    <cellStyle name="Процентный 5 3 116 3" xfId="15032" xr:uid="{00000000-0005-0000-0000-000005BD0000}"/>
    <cellStyle name="Процентный 5 3 116 4" xfId="20372" xr:uid="{00000000-0005-0000-0000-000006BD0000}"/>
    <cellStyle name="Процентный 5 3 116 5" xfId="25712" xr:uid="{00000000-0005-0000-0000-000007BD0000}"/>
    <cellStyle name="Процентный 5 3 116 6" xfId="31052" xr:uid="{00000000-0005-0000-0000-000008BD0000}"/>
    <cellStyle name="Процентный 5 3 116 7" xfId="36392" xr:uid="{00000000-0005-0000-0000-000009BD0000}"/>
    <cellStyle name="Процентный 5 3 116 8" xfId="41732" xr:uid="{00000000-0005-0000-0000-00000ABD0000}"/>
    <cellStyle name="Процентный 5 3 116 9" xfId="47072" xr:uid="{00000000-0005-0000-0000-00000BBD0000}"/>
    <cellStyle name="Процентный 5 3 117" xfId="4381" xr:uid="{00000000-0005-0000-0000-00000CBD0000}"/>
    <cellStyle name="Процентный 5 3 117 10" xfId="52444" xr:uid="{00000000-0005-0000-0000-00000DBD0000}"/>
    <cellStyle name="Процентный 5 3 117 2" xfId="9724" xr:uid="{00000000-0005-0000-0000-00000EBD0000}"/>
    <cellStyle name="Процентный 5 3 117 2 2" xfId="57785" xr:uid="{00000000-0005-0000-0000-00000FBD0000}"/>
    <cellStyle name="Процентный 5 3 117 3" xfId="15064" xr:uid="{00000000-0005-0000-0000-000010BD0000}"/>
    <cellStyle name="Процентный 5 3 117 4" xfId="20404" xr:uid="{00000000-0005-0000-0000-000011BD0000}"/>
    <cellStyle name="Процентный 5 3 117 5" xfId="25744" xr:uid="{00000000-0005-0000-0000-000012BD0000}"/>
    <cellStyle name="Процентный 5 3 117 6" xfId="31084" xr:uid="{00000000-0005-0000-0000-000013BD0000}"/>
    <cellStyle name="Процентный 5 3 117 7" xfId="36424" xr:uid="{00000000-0005-0000-0000-000014BD0000}"/>
    <cellStyle name="Процентный 5 3 117 8" xfId="41764" xr:uid="{00000000-0005-0000-0000-000015BD0000}"/>
    <cellStyle name="Процентный 5 3 117 9" xfId="47104" xr:uid="{00000000-0005-0000-0000-000016BD0000}"/>
    <cellStyle name="Процентный 5 3 118" xfId="4413" xr:uid="{00000000-0005-0000-0000-000017BD0000}"/>
    <cellStyle name="Процентный 5 3 118 10" xfId="52476" xr:uid="{00000000-0005-0000-0000-000018BD0000}"/>
    <cellStyle name="Процентный 5 3 118 2" xfId="9756" xr:uid="{00000000-0005-0000-0000-000019BD0000}"/>
    <cellStyle name="Процентный 5 3 118 2 2" xfId="57817" xr:uid="{00000000-0005-0000-0000-00001ABD0000}"/>
    <cellStyle name="Процентный 5 3 118 3" xfId="15096" xr:uid="{00000000-0005-0000-0000-00001BBD0000}"/>
    <cellStyle name="Процентный 5 3 118 4" xfId="20436" xr:uid="{00000000-0005-0000-0000-00001CBD0000}"/>
    <cellStyle name="Процентный 5 3 118 5" xfId="25776" xr:uid="{00000000-0005-0000-0000-00001DBD0000}"/>
    <cellStyle name="Процентный 5 3 118 6" xfId="31116" xr:uid="{00000000-0005-0000-0000-00001EBD0000}"/>
    <cellStyle name="Процентный 5 3 118 7" xfId="36456" xr:uid="{00000000-0005-0000-0000-00001FBD0000}"/>
    <cellStyle name="Процентный 5 3 118 8" xfId="41796" xr:uid="{00000000-0005-0000-0000-000020BD0000}"/>
    <cellStyle name="Процентный 5 3 118 9" xfId="47136" xr:uid="{00000000-0005-0000-0000-000021BD0000}"/>
    <cellStyle name="Процентный 5 3 119" xfId="4445" xr:uid="{00000000-0005-0000-0000-000022BD0000}"/>
    <cellStyle name="Процентный 5 3 119 10" xfId="52508" xr:uid="{00000000-0005-0000-0000-000023BD0000}"/>
    <cellStyle name="Процентный 5 3 119 2" xfId="9788" xr:uid="{00000000-0005-0000-0000-000024BD0000}"/>
    <cellStyle name="Процентный 5 3 119 2 2" xfId="57849" xr:uid="{00000000-0005-0000-0000-000025BD0000}"/>
    <cellStyle name="Процентный 5 3 119 3" xfId="15128" xr:uid="{00000000-0005-0000-0000-000026BD0000}"/>
    <cellStyle name="Процентный 5 3 119 4" xfId="20468" xr:uid="{00000000-0005-0000-0000-000027BD0000}"/>
    <cellStyle name="Процентный 5 3 119 5" xfId="25808" xr:uid="{00000000-0005-0000-0000-000028BD0000}"/>
    <cellStyle name="Процентный 5 3 119 6" xfId="31148" xr:uid="{00000000-0005-0000-0000-000029BD0000}"/>
    <cellStyle name="Процентный 5 3 119 7" xfId="36488" xr:uid="{00000000-0005-0000-0000-00002ABD0000}"/>
    <cellStyle name="Процентный 5 3 119 8" xfId="41828" xr:uid="{00000000-0005-0000-0000-00002BBD0000}"/>
    <cellStyle name="Процентный 5 3 119 9" xfId="47168" xr:uid="{00000000-0005-0000-0000-00002CBD0000}"/>
    <cellStyle name="Процентный 5 3 12" xfId="1231" xr:uid="{00000000-0005-0000-0000-00002DBD0000}"/>
    <cellStyle name="Процентный 5 3 12 10" xfId="49294" xr:uid="{00000000-0005-0000-0000-00002EBD0000}"/>
    <cellStyle name="Процентный 5 3 12 2" xfId="6573" xr:uid="{00000000-0005-0000-0000-00002FBD0000}"/>
    <cellStyle name="Процентный 5 3 12 2 2" xfId="54635" xr:uid="{00000000-0005-0000-0000-000030BD0000}"/>
    <cellStyle name="Процентный 5 3 12 3" xfId="11914" xr:uid="{00000000-0005-0000-0000-000031BD0000}"/>
    <cellStyle name="Процентный 5 3 12 4" xfId="17254" xr:uid="{00000000-0005-0000-0000-000032BD0000}"/>
    <cellStyle name="Процентный 5 3 12 5" xfId="22594" xr:uid="{00000000-0005-0000-0000-000033BD0000}"/>
    <cellStyle name="Процентный 5 3 12 6" xfId="27934" xr:uid="{00000000-0005-0000-0000-000034BD0000}"/>
    <cellStyle name="Процентный 5 3 12 7" xfId="33274" xr:uid="{00000000-0005-0000-0000-000035BD0000}"/>
    <cellStyle name="Процентный 5 3 12 8" xfId="38614" xr:uid="{00000000-0005-0000-0000-000036BD0000}"/>
    <cellStyle name="Процентный 5 3 12 9" xfId="43954" xr:uid="{00000000-0005-0000-0000-000037BD0000}"/>
    <cellStyle name="Процентный 5 3 120" xfId="4477" xr:uid="{00000000-0005-0000-0000-000038BD0000}"/>
    <cellStyle name="Процентный 5 3 120 10" xfId="52540" xr:uid="{00000000-0005-0000-0000-000039BD0000}"/>
    <cellStyle name="Процентный 5 3 120 2" xfId="9820" xr:uid="{00000000-0005-0000-0000-00003ABD0000}"/>
    <cellStyle name="Процентный 5 3 120 2 2" xfId="57881" xr:uid="{00000000-0005-0000-0000-00003BBD0000}"/>
    <cellStyle name="Процентный 5 3 120 3" xfId="15160" xr:uid="{00000000-0005-0000-0000-00003CBD0000}"/>
    <cellStyle name="Процентный 5 3 120 4" xfId="20500" xr:uid="{00000000-0005-0000-0000-00003DBD0000}"/>
    <cellStyle name="Процентный 5 3 120 5" xfId="25840" xr:uid="{00000000-0005-0000-0000-00003EBD0000}"/>
    <cellStyle name="Процентный 5 3 120 6" xfId="31180" xr:uid="{00000000-0005-0000-0000-00003FBD0000}"/>
    <cellStyle name="Процентный 5 3 120 7" xfId="36520" xr:uid="{00000000-0005-0000-0000-000040BD0000}"/>
    <cellStyle name="Процентный 5 3 120 8" xfId="41860" xr:uid="{00000000-0005-0000-0000-000041BD0000}"/>
    <cellStyle name="Процентный 5 3 120 9" xfId="47200" xr:uid="{00000000-0005-0000-0000-000042BD0000}"/>
    <cellStyle name="Процентный 5 3 121" xfId="4509" xr:uid="{00000000-0005-0000-0000-000043BD0000}"/>
    <cellStyle name="Процентный 5 3 121 10" xfId="52572" xr:uid="{00000000-0005-0000-0000-000044BD0000}"/>
    <cellStyle name="Процентный 5 3 121 2" xfId="9852" xr:uid="{00000000-0005-0000-0000-000045BD0000}"/>
    <cellStyle name="Процентный 5 3 121 2 2" xfId="57913" xr:uid="{00000000-0005-0000-0000-000046BD0000}"/>
    <cellStyle name="Процентный 5 3 121 3" xfId="15192" xr:uid="{00000000-0005-0000-0000-000047BD0000}"/>
    <cellStyle name="Процентный 5 3 121 4" xfId="20532" xr:uid="{00000000-0005-0000-0000-000048BD0000}"/>
    <cellStyle name="Процентный 5 3 121 5" xfId="25872" xr:uid="{00000000-0005-0000-0000-000049BD0000}"/>
    <cellStyle name="Процентный 5 3 121 6" xfId="31212" xr:uid="{00000000-0005-0000-0000-00004ABD0000}"/>
    <cellStyle name="Процентный 5 3 121 7" xfId="36552" xr:uid="{00000000-0005-0000-0000-00004BBD0000}"/>
    <cellStyle name="Процентный 5 3 121 8" xfId="41892" xr:uid="{00000000-0005-0000-0000-00004CBD0000}"/>
    <cellStyle name="Процентный 5 3 121 9" xfId="47232" xr:uid="{00000000-0005-0000-0000-00004DBD0000}"/>
    <cellStyle name="Процентный 5 3 122" xfId="4541" xr:uid="{00000000-0005-0000-0000-00004EBD0000}"/>
    <cellStyle name="Процентный 5 3 122 10" xfId="52604" xr:uid="{00000000-0005-0000-0000-00004FBD0000}"/>
    <cellStyle name="Процентный 5 3 122 2" xfId="9884" xr:uid="{00000000-0005-0000-0000-000050BD0000}"/>
    <cellStyle name="Процентный 5 3 122 2 2" xfId="57945" xr:uid="{00000000-0005-0000-0000-000051BD0000}"/>
    <cellStyle name="Процентный 5 3 122 3" xfId="15224" xr:uid="{00000000-0005-0000-0000-000052BD0000}"/>
    <cellStyle name="Процентный 5 3 122 4" xfId="20564" xr:uid="{00000000-0005-0000-0000-000053BD0000}"/>
    <cellStyle name="Процентный 5 3 122 5" xfId="25904" xr:uid="{00000000-0005-0000-0000-000054BD0000}"/>
    <cellStyle name="Процентный 5 3 122 6" xfId="31244" xr:uid="{00000000-0005-0000-0000-000055BD0000}"/>
    <cellStyle name="Процентный 5 3 122 7" xfId="36584" xr:uid="{00000000-0005-0000-0000-000056BD0000}"/>
    <cellStyle name="Процентный 5 3 122 8" xfId="41924" xr:uid="{00000000-0005-0000-0000-000057BD0000}"/>
    <cellStyle name="Процентный 5 3 122 9" xfId="47264" xr:uid="{00000000-0005-0000-0000-000058BD0000}"/>
    <cellStyle name="Процентный 5 3 123" xfId="4573" xr:uid="{00000000-0005-0000-0000-000059BD0000}"/>
    <cellStyle name="Процентный 5 3 123 10" xfId="52636" xr:uid="{00000000-0005-0000-0000-00005ABD0000}"/>
    <cellStyle name="Процентный 5 3 123 2" xfId="9916" xr:uid="{00000000-0005-0000-0000-00005BBD0000}"/>
    <cellStyle name="Процентный 5 3 123 2 2" xfId="57977" xr:uid="{00000000-0005-0000-0000-00005CBD0000}"/>
    <cellStyle name="Процентный 5 3 123 3" xfId="15256" xr:uid="{00000000-0005-0000-0000-00005DBD0000}"/>
    <cellStyle name="Процентный 5 3 123 4" xfId="20596" xr:uid="{00000000-0005-0000-0000-00005EBD0000}"/>
    <cellStyle name="Процентный 5 3 123 5" xfId="25936" xr:uid="{00000000-0005-0000-0000-00005FBD0000}"/>
    <cellStyle name="Процентный 5 3 123 6" xfId="31276" xr:uid="{00000000-0005-0000-0000-000060BD0000}"/>
    <cellStyle name="Процентный 5 3 123 7" xfId="36616" xr:uid="{00000000-0005-0000-0000-000061BD0000}"/>
    <cellStyle name="Процентный 5 3 123 8" xfId="41956" xr:uid="{00000000-0005-0000-0000-000062BD0000}"/>
    <cellStyle name="Процентный 5 3 123 9" xfId="47296" xr:uid="{00000000-0005-0000-0000-000063BD0000}"/>
    <cellStyle name="Процентный 5 3 124" xfId="4605" xr:uid="{00000000-0005-0000-0000-000064BD0000}"/>
    <cellStyle name="Процентный 5 3 124 10" xfId="52668" xr:uid="{00000000-0005-0000-0000-000065BD0000}"/>
    <cellStyle name="Процентный 5 3 124 2" xfId="9948" xr:uid="{00000000-0005-0000-0000-000066BD0000}"/>
    <cellStyle name="Процентный 5 3 124 2 2" xfId="58009" xr:uid="{00000000-0005-0000-0000-000067BD0000}"/>
    <cellStyle name="Процентный 5 3 124 3" xfId="15288" xr:uid="{00000000-0005-0000-0000-000068BD0000}"/>
    <cellStyle name="Процентный 5 3 124 4" xfId="20628" xr:uid="{00000000-0005-0000-0000-000069BD0000}"/>
    <cellStyle name="Процентный 5 3 124 5" xfId="25968" xr:uid="{00000000-0005-0000-0000-00006ABD0000}"/>
    <cellStyle name="Процентный 5 3 124 6" xfId="31308" xr:uid="{00000000-0005-0000-0000-00006BBD0000}"/>
    <cellStyle name="Процентный 5 3 124 7" xfId="36648" xr:uid="{00000000-0005-0000-0000-00006CBD0000}"/>
    <cellStyle name="Процентный 5 3 124 8" xfId="41988" xr:uid="{00000000-0005-0000-0000-00006DBD0000}"/>
    <cellStyle name="Процентный 5 3 124 9" xfId="47328" xr:uid="{00000000-0005-0000-0000-00006EBD0000}"/>
    <cellStyle name="Процентный 5 3 125" xfId="4637" xr:uid="{00000000-0005-0000-0000-00006FBD0000}"/>
    <cellStyle name="Процентный 5 3 125 10" xfId="52700" xr:uid="{00000000-0005-0000-0000-000070BD0000}"/>
    <cellStyle name="Процентный 5 3 125 2" xfId="9980" xr:uid="{00000000-0005-0000-0000-000071BD0000}"/>
    <cellStyle name="Процентный 5 3 125 2 2" xfId="58041" xr:uid="{00000000-0005-0000-0000-000072BD0000}"/>
    <cellStyle name="Процентный 5 3 125 3" xfId="15320" xr:uid="{00000000-0005-0000-0000-000073BD0000}"/>
    <cellStyle name="Процентный 5 3 125 4" xfId="20660" xr:uid="{00000000-0005-0000-0000-000074BD0000}"/>
    <cellStyle name="Процентный 5 3 125 5" xfId="26000" xr:uid="{00000000-0005-0000-0000-000075BD0000}"/>
    <cellStyle name="Процентный 5 3 125 6" xfId="31340" xr:uid="{00000000-0005-0000-0000-000076BD0000}"/>
    <cellStyle name="Процентный 5 3 125 7" xfId="36680" xr:uid="{00000000-0005-0000-0000-000077BD0000}"/>
    <cellStyle name="Процентный 5 3 125 8" xfId="42020" xr:uid="{00000000-0005-0000-0000-000078BD0000}"/>
    <cellStyle name="Процентный 5 3 125 9" xfId="47360" xr:uid="{00000000-0005-0000-0000-000079BD0000}"/>
    <cellStyle name="Процентный 5 3 126" xfId="4669" xr:uid="{00000000-0005-0000-0000-00007ABD0000}"/>
    <cellStyle name="Процентный 5 3 126 10" xfId="52732" xr:uid="{00000000-0005-0000-0000-00007BBD0000}"/>
    <cellStyle name="Процентный 5 3 126 2" xfId="10012" xr:uid="{00000000-0005-0000-0000-00007CBD0000}"/>
    <cellStyle name="Процентный 5 3 126 2 2" xfId="58073" xr:uid="{00000000-0005-0000-0000-00007DBD0000}"/>
    <cellStyle name="Процентный 5 3 126 3" xfId="15352" xr:uid="{00000000-0005-0000-0000-00007EBD0000}"/>
    <cellStyle name="Процентный 5 3 126 4" xfId="20692" xr:uid="{00000000-0005-0000-0000-00007FBD0000}"/>
    <cellStyle name="Процентный 5 3 126 5" xfId="26032" xr:uid="{00000000-0005-0000-0000-000080BD0000}"/>
    <cellStyle name="Процентный 5 3 126 6" xfId="31372" xr:uid="{00000000-0005-0000-0000-000081BD0000}"/>
    <cellStyle name="Процентный 5 3 126 7" xfId="36712" xr:uid="{00000000-0005-0000-0000-000082BD0000}"/>
    <cellStyle name="Процентный 5 3 126 8" xfId="42052" xr:uid="{00000000-0005-0000-0000-000083BD0000}"/>
    <cellStyle name="Процентный 5 3 126 9" xfId="47392" xr:uid="{00000000-0005-0000-0000-000084BD0000}"/>
    <cellStyle name="Процентный 5 3 127" xfId="4701" xr:uid="{00000000-0005-0000-0000-000085BD0000}"/>
    <cellStyle name="Процентный 5 3 127 10" xfId="52764" xr:uid="{00000000-0005-0000-0000-000086BD0000}"/>
    <cellStyle name="Процентный 5 3 127 2" xfId="10044" xr:uid="{00000000-0005-0000-0000-000087BD0000}"/>
    <cellStyle name="Процентный 5 3 127 2 2" xfId="58105" xr:uid="{00000000-0005-0000-0000-000088BD0000}"/>
    <cellStyle name="Процентный 5 3 127 3" xfId="15384" xr:uid="{00000000-0005-0000-0000-000089BD0000}"/>
    <cellStyle name="Процентный 5 3 127 4" xfId="20724" xr:uid="{00000000-0005-0000-0000-00008ABD0000}"/>
    <cellStyle name="Процентный 5 3 127 5" xfId="26064" xr:uid="{00000000-0005-0000-0000-00008BBD0000}"/>
    <cellStyle name="Процентный 5 3 127 6" xfId="31404" xr:uid="{00000000-0005-0000-0000-00008CBD0000}"/>
    <cellStyle name="Процентный 5 3 127 7" xfId="36744" xr:uid="{00000000-0005-0000-0000-00008DBD0000}"/>
    <cellStyle name="Процентный 5 3 127 8" xfId="42084" xr:uid="{00000000-0005-0000-0000-00008EBD0000}"/>
    <cellStyle name="Процентный 5 3 127 9" xfId="47424" xr:uid="{00000000-0005-0000-0000-00008FBD0000}"/>
    <cellStyle name="Процентный 5 3 128" xfId="4735" xr:uid="{00000000-0005-0000-0000-000090BD0000}"/>
    <cellStyle name="Процентный 5 3 128 10" xfId="52798" xr:uid="{00000000-0005-0000-0000-000091BD0000}"/>
    <cellStyle name="Процентный 5 3 128 2" xfId="10078" xr:uid="{00000000-0005-0000-0000-000092BD0000}"/>
    <cellStyle name="Процентный 5 3 128 2 2" xfId="58139" xr:uid="{00000000-0005-0000-0000-000093BD0000}"/>
    <cellStyle name="Процентный 5 3 128 3" xfId="15418" xr:uid="{00000000-0005-0000-0000-000094BD0000}"/>
    <cellStyle name="Процентный 5 3 128 4" xfId="20758" xr:uid="{00000000-0005-0000-0000-000095BD0000}"/>
    <cellStyle name="Процентный 5 3 128 5" xfId="26098" xr:uid="{00000000-0005-0000-0000-000096BD0000}"/>
    <cellStyle name="Процентный 5 3 128 6" xfId="31438" xr:uid="{00000000-0005-0000-0000-000097BD0000}"/>
    <cellStyle name="Процентный 5 3 128 7" xfId="36778" xr:uid="{00000000-0005-0000-0000-000098BD0000}"/>
    <cellStyle name="Процентный 5 3 128 8" xfId="42118" xr:uid="{00000000-0005-0000-0000-000099BD0000}"/>
    <cellStyle name="Процентный 5 3 128 9" xfId="47458" xr:uid="{00000000-0005-0000-0000-00009ABD0000}"/>
    <cellStyle name="Процентный 5 3 129" xfId="4767" xr:uid="{00000000-0005-0000-0000-00009BBD0000}"/>
    <cellStyle name="Процентный 5 3 129 10" xfId="52830" xr:uid="{00000000-0005-0000-0000-00009CBD0000}"/>
    <cellStyle name="Процентный 5 3 129 2" xfId="10110" xr:uid="{00000000-0005-0000-0000-00009DBD0000}"/>
    <cellStyle name="Процентный 5 3 129 2 2" xfId="58171" xr:uid="{00000000-0005-0000-0000-00009EBD0000}"/>
    <cellStyle name="Процентный 5 3 129 3" xfId="15450" xr:uid="{00000000-0005-0000-0000-00009FBD0000}"/>
    <cellStyle name="Процентный 5 3 129 4" xfId="20790" xr:uid="{00000000-0005-0000-0000-0000A0BD0000}"/>
    <cellStyle name="Процентный 5 3 129 5" xfId="26130" xr:uid="{00000000-0005-0000-0000-0000A1BD0000}"/>
    <cellStyle name="Процентный 5 3 129 6" xfId="31470" xr:uid="{00000000-0005-0000-0000-0000A2BD0000}"/>
    <cellStyle name="Процентный 5 3 129 7" xfId="36810" xr:uid="{00000000-0005-0000-0000-0000A3BD0000}"/>
    <cellStyle name="Процентный 5 3 129 8" xfId="42150" xr:uid="{00000000-0005-0000-0000-0000A4BD0000}"/>
    <cellStyle name="Процентный 5 3 129 9" xfId="47490" xr:uid="{00000000-0005-0000-0000-0000A5BD0000}"/>
    <cellStyle name="Процентный 5 3 13" xfId="1257" xr:uid="{00000000-0005-0000-0000-0000A6BD0000}"/>
    <cellStyle name="Процентный 5 3 13 10" xfId="49320" xr:uid="{00000000-0005-0000-0000-0000A7BD0000}"/>
    <cellStyle name="Процентный 5 3 13 2" xfId="6599" xr:uid="{00000000-0005-0000-0000-0000A8BD0000}"/>
    <cellStyle name="Процентный 5 3 13 2 2" xfId="54661" xr:uid="{00000000-0005-0000-0000-0000A9BD0000}"/>
    <cellStyle name="Процентный 5 3 13 3" xfId="11940" xr:uid="{00000000-0005-0000-0000-0000AABD0000}"/>
    <cellStyle name="Процентный 5 3 13 4" xfId="17280" xr:uid="{00000000-0005-0000-0000-0000ABBD0000}"/>
    <cellStyle name="Процентный 5 3 13 5" xfId="22620" xr:uid="{00000000-0005-0000-0000-0000ACBD0000}"/>
    <cellStyle name="Процентный 5 3 13 6" xfId="27960" xr:uid="{00000000-0005-0000-0000-0000ADBD0000}"/>
    <cellStyle name="Процентный 5 3 13 7" xfId="33300" xr:uid="{00000000-0005-0000-0000-0000AEBD0000}"/>
    <cellStyle name="Процентный 5 3 13 8" xfId="38640" xr:uid="{00000000-0005-0000-0000-0000AFBD0000}"/>
    <cellStyle name="Процентный 5 3 13 9" xfId="43980" xr:uid="{00000000-0005-0000-0000-0000B0BD0000}"/>
    <cellStyle name="Процентный 5 3 130" xfId="4799" xr:uid="{00000000-0005-0000-0000-0000B1BD0000}"/>
    <cellStyle name="Процентный 5 3 130 10" xfId="52862" xr:uid="{00000000-0005-0000-0000-0000B2BD0000}"/>
    <cellStyle name="Процентный 5 3 130 2" xfId="10142" xr:uid="{00000000-0005-0000-0000-0000B3BD0000}"/>
    <cellStyle name="Процентный 5 3 130 2 2" xfId="58203" xr:uid="{00000000-0005-0000-0000-0000B4BD0000}"/>
    <cellStyle name="Процентный 5 3 130 3" xfId="15482" xr:uid="{00000000-0005-0000-0000-0000B5BD0000}"/>
    <cellStyle name="Процентный 5 3 130 4" xfId="20822" xr:uid="{00000000-0005-0000-0000-0000B6BD0000}"/>
    <cellStyle name="Процентный 5 3 130 5" xfId="26162" xr:uid="{00000000-0005-0000-0000-0000B7BD0000}"/>
    <cellStyle name="Процентный 5 3 130 6" xfId="31502" xr:uid="{00000000-0005-0000-0000-0000B8BD0000}"/>
    <cellStyle name="Процентный 5 3 130 7" xfId="36842" xr:uid="{00000000-0005-0000-0000-0000B9BD0000}"/>
    <cellStyle name="Процентный 5 3 130 8" xfId="42182" xr:uid="{00000000-0005-0000-0000-0000BABD0000}"/>
    <cellStyle name="Процентный 5 3 130 9" xfId="47522" xr:uid="{00000000-0005-0000-0000-0000BBBD0000}"/>
    <cellStyle name="Процентный 5 3 131" xfId="4831" xr:uid="{00000000-0005-0000-0000-0000BCBD0000}"/>
    <cellStyle name="Процентный 5 3 131 10" xfId="52894" xr:uid="{00000000-0005-0000-0000-0000BDBD0000}"/>
    <cellStyle name="Процентный 5 3 131 2" xfId="10174" xr:uid="{00000000-0005-0000-0000-0000BEBD0000}"/>
    <cellStyle name="Процентный 5 3 131 2 2" xfId="58235" xr:uid="{00000000-0005-0000-0000-0000BFBD0000}"/>
    <cellStyle name="Процентный 5 3 131 3" xfId="15514" xr:uid="{00000000-0005-0000-0000-0000C0BD0000}"/>
    <cellStyle name="Процентный 5 3 131 4" xfId="20854" xr:uid="{00000000-0005-0000-0000-0000C1BD0000}"/>
    <cellStyle name="Процентный 5 3 131 5" xfId="26194" xr:uid="{00000000-0005-0000-0000-0000C2BD0000}"/>
    <cellStyle name="Процентный 5 3 131 6" xfId="31534" xr:uid="{00000000-0005-0000-0000-0000C3BD0000}"/>
    <cellStyle name="Процентный 5 3 131 7" xfId="36874" xr:uid="{00000000-0005-0000-0000-0000C4BD0000}"/>
    <cellStyle name="Процентный 5 3 131 8" xfId="42214" xr:uid="{00000000-0005-0000-0000-0000C5BD0000}"/>
    <cellStyle name="Процентный 5 3 131 9" xfId="47554" xr:uid="{00000000-0005-0000-0000-0000C6BD0000}"/>
    <cellStyle name="Процентный 5 3 132" xfId="4863" xr:uid="{00000000-0005-0000-0000-0000C7BD0000}"/>
    <cellStyle name="Процентный 5 3 132 10" xfId="52926" xr:uid="{00000000-0005-0000-0000-0000C8BD0000}"/>
    <cellStyle name="Процентный 5 3 132 2" xfId="10206" xr:uid="{00000000-0005-0000-0000-0000C9BD0000}"/>
    <cellStyle name="Процентный 5 3 132 2 2" xfId="58267" xr:uid="{00000000-0005-0000-0000-0000CABD0000}"/>
    <cellStyle name="Процентный 5 3 132 3" xfId="15546" xr:uid="{00000000-0005-0000-0000-0000CBBD0000}"/>
    <cellStyle name="Процентный 5 3 132 4" xfId="20886" xr:uid="{00000000-0005-0000-0000-0000CCBD0000}"/>
    <cellStyle name="Процентный 5 3 132 5" xfId="26226" xr:uid="{00000000-0005-0000-0000-0000CDBD0000}"/>
    <cellStyle name="Процентный 5 3 132 6" xfId="31566" xr:uid="{00000000-0005-0000-0000-0000CEBD0000}"/>
    <cellStyle name="Процентный 5 3 132 7" xfId="36906" xr:uid="{00000000-0005-0000-0000-0000CFBD0000}"/>
    <cellStyle name="Процентный 5 3 132 8" xfId="42246" xr:uid="{00000000-0005-0000-0000-0000D0BD0000}"/>
    <cellStyle name="Процентный 5 3 132 9" xfId="47586" xr:uid="{00000000-0005-0000-0000-0000D1BD0000}"/>
    <cellStyle name="Процентный 5 3 133" xfId="4895" xr:uid="{00000000-0005-0000-0000-0000D2BD0000}"/>
    <cellStyle name="Процентный 5 3 133 10" xfId="52958" xr:uid="{00000000-0005-0000-0000-0000D3BD0000}"/>
    <cellStyle name="Процентный 5 3 133 2" xfId="10238" xr:uid="{00000000-0005-0000-0000-0000D4BD0000}"/>
    <cellStyle name="Процентный 5 3 133 2 2" xfId="58299" xr:uid="{00000000-0005-0000-0000-0000D5BD0000}"/>
    <cellStyle name="Процентный 5 3 133 3" xfId="15578" xr:uid="{00000000-0005-0000-0000-0000D6BD0000}"/>
    <cellStyle name="Процентный 5 3 133 4" xfId="20918" xr:uid="{00000000-0005-0000-0000-0000D7BD0000}"/>
    <cellStyle name="Процентный 5 3 133 5" xfId="26258" xr:uid="{00000000-0005-0000-0000-0000D8BD0000}"/>
    <cellStyle name="Процентный 5 3 133 6" xfId="31598" xr:uid="{00000000-0005-0000-0000-0000D9BD0000}"/>
    <cellStyle name="Процентный 5 3 133 7" xfId="36938" xr:uid="{00000000-0005-0000-0000-0000DABD0000}"/>
    <cellStyle name="Процентный 5 3 133 8" xfId="42278" xr:uid="{00000000-0005-0000-0000-0000DBBD0000}"/>
    <cellStyle name="Процентный 5 3 133 9" xfId="47618" xr:uid="{00000000-0005-0000-0000-0000DCBD0000}"/>
    <cellStyle name="Процентный 5 3 134" xfId="4927" xr:uid="{00000000-0005-0000-0000-0000DDBD0000}"/>
    <cellStyle name="Процентный 5 3 134 10" xfId="52990" xr:uid="{00000000-0005-0000-0000-0000DEBD0000}"/>
    <cellStyle name="Процентный 5 3 134 2" xfId="10270" xr:uid="{00000000-0005-0000-0000-0000DFBD0000}"/>
    <cellStyle name="Процентный 5 3 134 2 2" xfId="58331" xr:uid="{00000000-0005-0000-0000-0000E0BD0000}"/>
    <cellStyle name="Процентный 5 3 134 3" xfId="15610" xr:uid="{00000000-0005-0000-0000-0000E1BD0000}"/>
    <cellStyle name="Процентный 5 3 134 4" xfId="20950" xr:uid="{00000000-0005-0000-0000-0000E2BD0000}"/>
    <cellStyle name="Процентный 5 3 134 5" xfId="26290" xr:uid="{00000000-0005-0000-0000-0000E3BD0000}"/>
    <cellStyle name="Процентный 5 3 134 6" xfId="31630" xr:uid="{00000000-0005-0000-0000-0000E4BD0000}"/>
    <cellStyle name="Процентный 5 3 134 7" xfId="36970" xr:uid="{00000000-0005-0000-0000-0000E5BD0000}"/>
    <cellStyle name="Процентный 5 3 134 8" xfId="42310" xr:uid="{00000000-0005-0000-0000-0000E6BD0000}"/>
    <cellStyle name="Процентный 5 3 134 9" xfId="47650" xr:uid="{00000000-0005-0000-0000-0000E7BD0000}"/>
    <cellStyle name="Процентный 5 3 135" xfId="4959" xr:uid="{00000000-0005-0000-0000-0000E8BD0000}"/>
    <cellStyle name="Процентный 5 3 135 10" xfId="53022" xr:uid="{00000000-0005-0000-0000-0000E9BD0000}"/>
    <cellStyle name="Процентный 5 3 135 2" xfId="10302" xr:uid="{00000000-0005-0000-0000-0000EABD0000}"/>
    <cellStyle name="Процентный 5 3 135 2 2" xfId="58363" xr:uid="{00000000-0005-0000-0000-0000EBBD0000}"/>
    <cellStyle name="Процентный 5 3 135 3" xfId="15642" xr:uid="{00000000-0005-0000-0000-0000ECBD0000}"/>
    <cellStyle name="Процентный 5 3 135 4" xfId="20982" xr:uid="{00000000-0005-0000-0000-0000EDBD0000}"/>
    <cellStyle name="Процентный 5 3 135 5" xfId="26322" xr:uid="{00000000-0005-0000-0000-0000EEBD0000}"/>
    <cellStyle name="Процентный 5 3 135 6" xfId="31662" xr:uid="{00000000-0005-0000-0000-0000EFBD0000}"/>
    <cellStyle name="Процентный 5 3 135 7" xfId="37002" xr:uid="{00000000-0005-0000-0000-0000F0BD0000}"/>
    <cellStyle name="Процентный 5 3 135 8" xfId="42342" xr:uid="{00000000-0005-0000-0000-0000F1BD0000}"/>
    <cellStyle name="Процентный 5 3 135 9" xfId="47682" xr:uid="{00000000-0005-0000-0000-0000F2BD0000}"/>
    <cellStyle name="Процентный 5 3 136" xfId="4991" xr:uid="{00000000-0005-0000-0000-0000F3BD0000}"/>
    <cellStyle name="Процентный 5 3 136 10" xfId="53054" xr:uid="{00000000-0005-0000-0000-0000F4BD0000}"/>
    <cellStyle name="Процентный 5 3 136 2" xfId="10334" xr:uid="{00000000-0005-0000-0000-0000F5BD0000}"/>
    <cellStyle name="Процентный 5 3 136 2 2" xfId="58395" xr:uid="{00000000-0005-0000-0000-0000F6BD0000}"/>
    <cellStyle name="Процентный 5 3 136 3" xfId="15674" xr:uid="{00000000-0005-0000-0000-0000F7BD0000}"/>
    <cellStyle name="Процентный 5 3 136 4" xfId="21014" xr:uid="{00000000-0005-0000-0000-0000F8BD0000}"/>
    <cellStyle name="Процентный 5 3 136 5" xfId="26354" xr:uid="{00000000-0005-0000-0000-0000F9BD0000}"/>
    <cellStyle name="Процентный 5 3 136 6" xfId="31694" xr:uid="{00000000-0005-0000-0000-0000FABD0000}"/>
    <cellStyle name="Процентный 5 3 136 7" xfId="37034" xr:uid="{00000000-0005-0000-0000-0000FBBD0000}"/>
    <cellStyle name="Процентный 5 3 136 8" xfId="42374" xr:uid="{00000000-0005-0000-0000-0000FCBD0000}"/>
    <cellStyle name="Процентный 5 3 136 9" xfId="47714" xr:uid="{00000000-0005-0000-0000-0000FDBD0000}"/>
    <cellStyle name="Процентный 5 3 137" xfId="5023" xr:uid="{00000000-0005-0000-0000-0000FEBD0000}"/>
    <cellStyle name="Процентный 5 3 137 10" xfId="53086" xr:uid="{00000000-0005-0000-0000-0000FFBD0000}"/>
    <cellStyle name="Процентный 5 3 137 2" xfId="10366" xr:uid="{00000000-0005-0000-0000-000000BE0000}"/>
    <cellStyle name="Процентный 5 3 137 2 2" xfId="58427" xr:uid="{00000000-0005-0000-0000-000001BE0000}"/>
    <cellStyle name="Процентный 5 3 137 3" xfId="15706" xr:uid="{00000000-0005-0000-0000-000002BE0000}"/>
    <cellStyle name="Процентный 5 3 137 4" xfId="21046" xr:uid="{00000000-0005-0000-0000-000003BE0000}"/>
    <cellStyle name="Процентный 5 3 137 5" xfId="26386" xr:uid="{00000000-0005-0000-0000-000004BE0000}"/>
    <cellStyle name="Процентный 5 3 137 6" xfId="31726" xr:uid="{00000000-0005-0000-0000-000005BE0000}"/>
    <cellStyle name="Процентный 5 3 137 7" xfId="37066" xr:uid="{00000000-0005-0000-0000-000006BE0000}"/>
    <cellStyle name="Процентный 5 3 137 8" xfId="42406" xr:uid="{00000000-0005-0000-0000-000007BE0000}"/>
    <cellStyle name="Процентный 5 3 137 9" xfId="47746" xr:uid="{00000000-0005-0000-0000-000008BE0000}"/>
    <cellStyle name="Процентный 5 3 138" xfId="5055" xr:uid="{00000000-0005-0000-0000-000009BE0000}"/>
    <cellStyle name="Процентный 5 3 138 10" xfId="53118" xr:uid="{00000000-0005-0000-0000-00000ABE0000}"/>
    <cellStyle name="Процентный 5 3 138 2" xfId="10398" xr:uid="{00000000-0005-0000-0000-00000BBE0000}"/>
    <cellStyle name="Процентный 5 3 138 2 2" xfId="58459" xr:uid="{00000000-0005-0000-0000-00000CBE0000}"/>
    <cellStyle name="Процентный 5 3 138 3" xfId="15738" xr:uid="{00000000-0005-0000-0000-00000DBE0000}"/>
    <cellStyle name="Процентный 5 3 138 4" xfId="21078" xr:uid="{00000000-0005-0000-0000-00000EBE0000}"/>
    <cellStyle name="Процентный 5 3 138 5" xfId="26418" xr:uid="{00000000-0005-0000-0000-00000FBE0000}"/>
    <cellStyle name="Процентный 5 3 138 6" xfId="31758" xr:uid="{00000000-0005-0000-0000-000010BE0000}"/>
    <cellStyle name="Процентный 5 3 138 7" xfId="37098" xr:uid="{00000000-0005-0000-0000-000011BE0000}"/>
    <cellStyle name="Процентный 5 3 138 8" xfId="42438" xr:uid="{00000000-0005-0000-0000-000012BE0000}"/>
    <cellStyle name="Процентный 5 3 138 9" xfId="47778" xr:uid="{00000000-0005-0000-0000-000013BE0000}"/>
    <cellStyle name="Процентный 5 3 139" xfId="5087" xr:uid="{00000000-0005-0000-0000-000014BE0000}"/>
    <cellStyle name="Процентный 5 3 139 10" xfId="53150" xr:uid="{00000000-0005-0000-0000-000015BE0000}"/>
    <cellStyle name="Процентный 5 3 139 2" xfId="10430" xr:uid="{00000000-0005-0000-0000-000016BE0000}"/>
    <cellStyle name="Процентный 5 3 139 2 2" xfId="58491" xr:uid="{00000000-0005-0000-0000-000017BE0000}"/>
    <cellStyle name="Процентный 5 3 139 3" xfId="15770" xr:uid="{00000000-0005-0000-0000-000018BE0000}"/>
    <cellStyle name="Процентный 5 3 139 4" xfId="21110" xr:uid="{00000000-0005-0000-0000-000019BE0000}"/>
    <cellStyle name="Процентный 5 3 139 5" xfId="26450" xr:uid="{00000000-0005-0000-0000-00001ABE0000}"/>
    <cellStyle name="Процентный 5 3 139 6" xfId="31790" xr:uid="{00000000-0005-0000-0000-00001BBE0000}"/>
    <cellStyle name="Процентный 5 3 139 7" xfId="37130" xr:uid="{00000000-0005-0000-0000-00001CBE0000}"/>
    <cellStyle name="Процентный 5 3 139 8" xfId="42470" xr:uid="{00000000-0005-0000-0000-00001DBE0000}"/>
    <cellStyle name="Процентный 5 3 139 9" xfId="47810" xr:uid="{00000000-0005-0000-0000-00001EBE0000}"/>
    <cellStyle name="Процентный 5 3 14" xfId="1283" xr:uid="{00000000-0005-0000-0000-00001FBE0000}"/>
    <cellStyle name="Процентный 5 3 14 10" xfId="49346" xr:uid="{00000000-0005-0000-0000-000020BE0000}"/>
    <cellStyle name="Процентный 5 3 14 2" xfId="6625" xr:uid="{00000000-0005-0000-0000-000021BE0000}"/>
    <cellStyle name="Процентный 5 3 14 2 2" xfId="54687" xr:uid="{00000000-0005-0000-0000-000022BE0000}"/>
    <cellStyle name="Процентный 5 3 14 3" xfId="11966" xr:uid="{00000000-0005-0000-0000-000023BE0000}"/>
    <cellStyle name="Процентный 5 3 14 4" xfId="17306" xr:uid="{00000000-0005-0000-0000-000024BE0000}"/>
    <cellStyle name="Процентный 5 3 14 5" xfId="22646" xr:uid="{00000000-0005-0000-0000-000025BE0000}"/>
    <cellStyle name="Процентный 5 3 14 6" xfId="27986" xr:uid="{00000000-0005-0000-0000-000026BE0000}"/>
    <cellStyle name="Процентный 5 3 14 7" xfId="33326" xr:uid="{00000000-0005-0000-0000-000027BE0000}"/>
    <cellStyle name="Процентный 5 3 14 8" xfId="38666" xr:uid="{00000000-0005-0000-0000-000028BE0000}"/>
    <cellStyle name="Процентный 5 3 14 9" xfId="44006" xr:uid="{00000000-0005-0000-0000-000029BE0000}"/>
    <cellStyle name="Процентный 5 3 140" xfId="5119" xr:uid="{00000000-0005-0000-0000-00002ABE0000}"/>
    <cellStyle name="Процентный 5 3 140 10" xfId="53182" xr:uid="{00000000-0005-0000-0000-00002BBE0000}"/>
    <cellStyle name="Процентный 5 3 140 2" xfId="10462" xr:uid="{00000000-0005-0000-0000-00002CBE0000}"/>
    <cellStyle name="Процентный 5 3 140 2 2" xfId="58523" xr:uid="{00000000-0005-0000-0000-00002DBE0000}"/>
    <cellStyle name="Процентный 5 3 140 3" xfId="15802" xr:uid="{00000000-0005-0000-0000-00002EBE0000}"/>
    <cellStyle name="Процентный 5 3 140 4" xfId="21142" xr:uid="{00000000-0005-0000-0000-00002FBE0000}"/>
    <cellStyle name="Процентный 5 3 140 5" xfId="26482" xr:uid="{00000000-0005-0000-0000-000030BE0000}"/>
    <cellStyle name="Процентный 5 3 140 6" xfId="31822" xr:uid="{00000000-0005-0000-0000-000031BE0000}"/>
    <cellStyle name="Процентный 5 3 140 7" xfId="37162" xr:uid="{00000000-0005-0000-0000-000032BE0000}"/>
    <cellStyle name="Процентный 5 3 140 8" xfId="42502" xr:uid="{00000000-0005-0000-0000-000033BE0000}"/>
    <cellStyle name="Процентный 5 3 140 9" xfId="47842" xr:uid="{00000000-0005-0000-0000-000034BE0000}"/>
    <cellStyle name="Процентный 5 3 141" xfId="5151" xr:uid="{00000000-0005-0000-0000-000035BE0000}"/>
    <cellStyle name="Процентный 5 3 141 10" xfId="53214" xr:uid="{00000000-0005-0000-0000-000036BE0000}"/>
    <cellStyle name="Процентный 5 3 141 2" xfId="10494" xr:uid="{00000000-0005-0000-0000-000037BE0000}"/>
    <cellStyle name="Процентный 5 3 141 2 2" xfId="58555" xr:uid="{00000000-0005-0000-0000-000038BE0000}"/>
    <cellStyle name="Процентный 5 3 141 3" xfId="15834" xr:uid="{00000000-0005-0000-0000-000039BE0000}"/>
    <cellStyle name="Процентный 5 3 141 4" xfId="21174" xr:uid="{00000000-0005-0000-0000-00003ABE0000}"/>
    <cellStyle name="Процентный 5 3 141 5" xfId="26514" xr:uid="{00000000-0005-0000-0000-00003BBE0000}"/>
    <cellStyle name="Процентный 5 3 141 6" xfId="31854" xr:uid="{00000000-0005-0000-0000-00003CBE0000}"/>
    <cellStyle name="Процентный 5 3 141 7" xfId="37194" xr:uid="{00000000-0005-0000-0000-00003DBE0000}"/>
    <cellStyle name="Процентный 5 3 141 8" xfId="42534" xr:uid="{00000000-0005-0000-0000-00003EBE0000}"/>
    <cellStyle name="Процентный 5 3 141 9" xfId="47874" xr:uid="{00000000-0005-0000-0000-00003FBE0000}"/>
    <cellStyle name="Процентный 5 3 142" xfId="5183" xr:uid="{00000000-0005-0000-0000-000040BE0000}"/>
    <cellStyle name="Процентный 5 3 142 10" xfId="53246" xr:uid="{00000000-0005-0000-0000-000041BE0000}"/>
    <cellStyle name="Процентный 5 3 142 2" xfId="10526" xr:uid="{00000000-0005-0000-0000-000042BE0000}"/>
    <cellStyle name="Процентный 5 3 142 2 2" xfId="58587" xr:uid="{00000000-0005-0000-0000-000043BE0000}"/>
    <cellStyle name="Процентный 5 3 142 3" xfId="15866" xr:uid="{00000000-0005-0000-0000-000044BE0000}"/>
    <cellStyle name="Процентный 5 3 142 4" xfId="21206" xr:uid="{00000000-0005-0000-0000-000045BE0000}"/>
    <cellStyle name="Процентный 5 3 142 5" xfId="26546" xr:uid="{00000000-0005-0000-0000-000046BE0000}"/>
    <cellStyle name="Процентный 5 3 142 6" xfId="31886" xr:uid="{00000000-0005-0000-0000-000047BE0000}"/>
    <cellStyle name="Процентный 5 3 142 7" xfId="37226" xr:uid="{00000000-0005-0000-0000-000048BE0000}"/>
    <cellStyle name="Процентный 5 3 142 8" xfId="42566" xr:uid="{00000000-0005-0000-0000-000049BE0000}"/>
    <cellStyle name="Процентный 5 3 142 9" xfId="47906" xr:uid="{00000000-0005-0000-0000-00004ABE0000}"/>
    <cellStyle name="Процентный 5 3 143" xfId="5215" xr:uid="{00000000-0005-0000-0000-00004BBE0000}"/>
    <cellStyle name="Процентный 5 3 143 10" xfId="53278" xr:uid="{00000000-0005-0000-0000-00004CBE0000}"/>
    <cellStyle name="Процентный 5 3 143 2" xfId="10558" xr:uid="{00000000-0005-0000-0000-00004DBE0000}"/>
    <cellStyle name="Процентный 5 3 143 2 2" xfId="58619" xr:uid="{00000000-0005-0000-0000-00004EBE0000}"/>
    <cellStyle name="Процентный 5 3 143 3" xfId="15898" xr:uid="{00000000-0005-0000-0000-00004FBE0000}"/>
    <cellStyle name="Процентный 5 3 143 4" xfId="21238" xr:uid="{00000000-0005-0000-0000-000050BE0000}"/>
    <cellStyle name="Процентный 5 3 143 5" xfId="26578" xr:uid="{00000000-0005-0000-0000-000051BE0000}"/>
    <cellStyle name="Процентный 5 3 143 6" xfId="31918" xr:uid="{00000000-0005-0000-0000-000052BE0000}"/>
    <cellStyle name="Процентный 5 3 143 7" xfId="37258" xr:uid="{00000000-0005-0000-0000-000053BE0000}"/>
    <cellStyle name="Процентный 5 3 143 8" xfId="42598" xr:uid="{00000000-0005-0000-0000-000054BE0000}"/>
    <cellStyle name="Процентный 5 3 143 9" xfId="47938" xr:uid="{00000000-0005-0000-0000-000055BE0000}"/>
    <cellStyle name="Процентный 5 3 144" xfId="5247" xr:uid="{00000000-0005-0000-0000-000056BE0000}"/>
    <cellStyle name="Процентный 5 3 144 10" xfId="53310" xr:uid="{00000000-0005-0000-0000-000057BE0000}"/>
    <cellStyle name="Процентный 5 3 144 2" xfId="10590" xr:uid="{00000000-0005-0000-0000-000058BE0000}"/>
    <cellStyle name="Процентный 5 3 144 2 2" xfId="58651" xr:uid="{00000000-0005-0000-0000-000059BE0000}"/>
    <cellStyle name="Процентный 5 3 144 3" xfId="15930" xr:uid="{00000000-0005-0000-0000-00005ABE0000}"/>
    <cellStyle name="Процентный 5 3 144 4" xfId="21270" xr:uid="{00000000-0005-0000-0000-00005BBE0000}"/>
    <cellStyle name="Процентный 5 3 144 5" xfId="26610" xr:uid="{00000000-0005-0000-0000-00005CBE0000}"/>
    <cellStyle name="Процентный 5 3 144 6" xfId="31950" xr:uid="{00000000-0005-0000-0000-00005DBE0000}"/>
    <cellStyle name="Процентный 5 3 144 7" xfId="37290" xr:uid="{00000000-0005-0000-0000-00005EBE0000}"/>
    <cellStyle name="Процентный 5 3 144 8" xfId="42630" xr:uid="{00000000-0005-0000-0000-00005FBE0000}"/>
    <cellStyle name="Процентный 5 3 144 9" xfId="47970" xr:uid="{00000000-0005-0000-0000-000060BE0000}"/>
    <cellStyle name="Процентный 5 3 145" xfId="5279" xr:uid="{00000000-0005-0000-0000-000061BE0000}"/>
    <cellStyle name="Процентный 5 3 145 10" xfId="53342" xr:uid="{00000000-0005-0000-0000-000062BE0000}"/>
    <cellStyle name="Процентный 5 3 145 2" xfId="10622" xr:uid="{00000000-0005-0000-0000-000063BE0000}"/>
    <cellStyle name="Процентный 5 3 145 2 2" xfId="58683" xr:uid="{00000000-0005-0000-0000-000064BE0000}"/>
    <cellStyle name="Процентный 5 3 145 3" xfId="15962" xr:uid="{00000000-0005-0000-0000-000065BE0000}"/>
    <cellStyle name="Процентный 5 3 145 4" xfId="21302" xr:uid="{00000000-0005-0000-0000-000066BE0000}"/>
    <cellStyle name="Процентный 5 3 145 5" xfId="26642" xr:uid="{00000000-0005-0000-0000-000067BE0000}"/>
    <cellStyle name="Процентный 5 3 145 6" xfId="31982" xr:uid="{00000000-0005-0000-0000-000068BE0000}"/>
    <cellStyle name="Процентный 5 3 145 7" xfId="37322" xr:uid="{00000000-0005-0000-0000-000069BE0000}"/>
    <cellStyle name="Процентный 5 3 145 8" xfId="42662" xr:uid="{00000000-0005-0000-0000-00006ABE0000}"/>
    <cellStyle name="Процентный 5 3 145 9" xfId="48002" xr:uid="{00000000-0005-0000-0000-00006BBE0000}"/>
    <cellStyle name="Процентный 5 3 146" xfId="5311" xr:uid="{00000000-0005-0000-0000-00006CBE0000}"/>
    <cellStyle name="Процентный 5 3 146 10" xfId="53374" xr:uid="{00000000-0005-0000-0000-00006DBE0000}"/>
    <cellStyle name="Процентный 5 3 146 2" xfId="10654" xr:uid="{00000000-0005-0000-0000-00006EBE0000}"/>
    <cellStyle name="Процентный 5 3 146 2 2" xfId="58715" xr:uid="{00000000-0005-0000-0000-00006FBE0000}"/>
    <cellStyle name="Процентный 5 3 146 3" xfId="15994" xr:uid="{00000000-0005-0000-0000-000070BE0000}"/>
    <cellStyle name="Процентный 5 3 146 4" xfId="21334" xr:uid="{00000000-0005-0000-0000-000071BE0000}"/>
    <cellStyle name="Процентный 5 3 146 5" xfId="26674" xr:uid="{00000000-0005-0000-0000-000072BE0000}"/>
    <cellStyle name="Процентный 5 3 146 6" xfId="32014" xr:uid="{00000000-0005-0000-0000-000073BE0000}"/>
    <cellStyle name="Процентный 5 3 146 7" xfId="37354" xr:uid="{00000000-0005-0000-0000-000074BE0000}"/>
    <cellStyle name="Процентный 5 3 146 8" xfId="42694" xr:uid="{00000000-0005-0000-0000-000075BE0000}"/>
    <cellStyle name="Процентный 5 3 146 9" xfId="48034" xr:uid="{00000000-0005-0000-0000-000076BE0000}"/>
    <cellStyle name="Процентный 5 3 147" xfId="5343" xr:uid="{00000000-0005-0000-0000-000077BE0000}"/>
    <cellStyle name="Процентный 5 3 147 10" xfId="53406" xr:uid="{00000000-0005-0000-0000-000078BE0000}"/>
    <cellStyle name="Процентный 5 3 147 2" xfId="10686" xr:uid="{00000000-0005-0000-0000-000079BE0000}"/>
    <cellStyle name="Процентный 5 3 147 2 2" xfId="58747" xr:uid="{00000000-0005-0000-0000-00007ABE0000}"/>
    <cellStyle name="Процентный 5 3 147 3" xfId="16026" xr:uid="{00000000-0005-0000-0000-00007BBE0000}"/>
    <cellStyle name="Процентный 5 3 147 4" xfId="21366" xr:uid="{00000000-0005-0000-0000-00007CBE0000}"/>
    <cellStyle name="Процентный 5 3 147 5" xfId="26706" xr:uid="{00000000-0005-0000-0000-00007DBE0000}"/>
    <cellStyle name="Процентный 5 3 147 6" xfId="32046" xr:uid="{00000000-0005-0000-0000-00007EBE0000}"/>
    <cellStyle name="Процентный 5 3 147 7" xfId="37386" xr:uid="{00000000-0005-0000-0000-00007FBE0000}"/>
    <cellStyle name="Процентный 5 3 147 8" xfId="42726" xr:uid="{00000000-0005-0000-0000-000080BE0000}"/>
    <cellStyle name="Процентный 5 3 147 9" xfId="48066" xr:uid="{00000000-0005-0000-0000-000081BE0000}"/>
    <cellStyle name="Процентный 5 3 148" xfId="5375" xr:uid="{00000000-0005-0000-0000-000082BE0000}"/>
    <cellStyle name="Процентный 5 3 148 10" xfId="53438" xr:uid="{00000000-0005-0000-0000-000083BE0000}"/>
    <cellStyle name="Процентный 5 3 148 2" xfId="10718" xr:uid="{00000000-0005-0000-0000-000084BE0000}"/>
    <cellStyle name="Процентный 5 3 148 2 2" xfId="58779" xr:uid="{00000000-0005-0000-0000-000085BE0000}"/>
    <cellStyle name="Процентный 5 3 148 3" xfId="16058" xr:uid="{00000000-0005-0000-0000-000086BE0000}"/>
    <cellStyle name="Процентный 5 3 148 4" xfId="21398" xr:uid="{00000000-0005-0000-0000-000087BE0000}"/>
    <cellStyle name="Процентный 5 3 148 5" xfId="26738" xr:uid="{00000000-0005-0000-0000-000088BE0000}"/>
    <cellStyle name="Процентный 5 3 148 6" xfId="32078" xr:uid="{00000000-0005-0000-0000-000089BE0000}"/>
    <cellStyle name="Процентный 5 3 148 7" xfId="37418" xr:uid="{00000000-0005-0000-0000-00008ABE0000}"/>
    <cellStyle name="Процентный 5 3 148 8" xfId="42758" xr:uid="{00000000-0005-0000-0000-00008BBE0000}"/>
    <cellStyle name="Процентный 5 3 148 9" xfId="48098" xr:uid="{00000000-0005-0000-0000-00008CBE0000}"/>
    <cellStyle name="Процентный 5 3 149" xfId="5420" xr:uid="{00000000-0005-0000-0000-00008DBE0000}"/>
    <cellStyle name="Процентный 5 3 149 2" xfId="53482" xr:uid="{00000000-0005-0000-0000-00008EBE0000}"/>
    <cellStyle name="Процентный 5 3 15" xfId="1309" xr:uid="{00000000-0005-0000-0000-00008FBE0000}"/>
    <cellStyle name="Процентный 5 3 15 10" xfId="49372" xr:uid="{00000000-0005-0000-0000-000090BE0000}"/>
    <cellStyle name="Процентный 5 3 15 2" xfId="6651" xr:uid="{00000000-0005-0000-0000-000091BE0000}"/>
    <cellStyle name="Процентный 5 3 15 2 2" xfId="54713" xr:uid="{00000000-0005-0000-0000-000092BE0000}"/>
    <cellStyle name="Процентный 5 3 15 3" xfId="11992" xr:uid="{00000000-0005-0000-0000-000093BE0000}"/>
    <cellStyle name="Процентный 5 3 15 4" xfId="17332" xr:uid="{00000000-0005-0000-0000-000094BE0000}"/>
    <cellStyle name="Процентный 5 3 15 5" xfId="22672" xr:uid="{00000000-0005-0000-0000-000095BE0000}"/>
    <cellStyle name="Процентный 5 3 15 6" xfId="28012" xr:uid="{00000000-0005-0000-0000-000096BE0000}"/>
    <cellStyle name="Процентный 5 3 15 7" xfId="33352" xr:uid="{00000000-0005-0000-0000-000097BE0000}"/>
    <cellStyle name="Процентный 5 3 15 8" xfId="38692" xr:uid="{00000000-0005-0000-0000-000098BE0000}"/>
    <cellStyle name="Процентный 5 3 15 9" xfId="44032" xr:uid="{00000000-0005-0000-0000-000099BE0000}"/>
    <cellStyle name="Процентный 5 3 150" xfId="10761" xr:uid="{00000000-0005-0000-0000-00009ABE0000}"/>
    <cellStyle name="Процентный 5 3 151" xfId="16101" xr:uid="{00000000-0005-0000-0000-00009BBE0000}"/>
    <cellStyle name="Процентный 5 3 152" xfId="21441" xr:uid="{00000000-0005-0000-0000-00009CBE0000}"/>
    <cellStyle name="Процентный 5 3 153" xfId="26781" xr:uid="{00000000-0005-0000-0000-00009DBE0000}"/>
    <cellStyle name="Процентный 5 3 154" xfId="32121" xr:uid="{00000000-0005-0000-0000-00009EBE0000}"/>
    <cellStyle name="Процентный 5 3 155" xfId="37461" xr:uid="{00000000-0005-0000-0000-00009FBE0000}"/>
    <cellStyle name="Процентный 5 3 156" xfId="42801" xr:uid="{00000000-0005-0000-0000-0000A0BE0000}"/>
    <cellStyle name="Процентный 5 3 157" xfId="48141" xr:uid="{00000000-0005-0000-0000-0000A1BE0000}"/>
    <cellStyle name="Процентный 5 3 16" xfId="1335" xr:uid="{00000000-0005-0000-0000-0000A2BE0000}"/>
    <cellStyle name="Процентный 5 3 16 10" xfId="49398" xr:uid="{00000000-0005-0000-0000-0000A3BE0000}"/>
    <cellStyle name="Процентный 5 3 16 2" xfId="6677" xr:uid="{00000000-0005-0000-0000-0000A4BE0000}"/>
    <cellStyle name="Процентный 5 3 16 2 2" xfId="54739" xr:uid="{00000000-0005-0000-0000-0000A5BE0000}"/>
    <cellStyle name="Процентный 5 3 16 3" xfId="12018" xr:uid="{00000000-0005-0000-0000-0000A6BE0000}"/>
    <cellStyle name="Процентный 5 3 16 4" xfId="17358" xr:uid="{00000000-0005-0000-0000-0000A7BE0000}"/>
    <cellStyle name="Процентный 5 3 16 5" xfId="22698" xr:uid="{00000000-0005-0000-0000-0000A8BE0000}"/>
    <cellStyle name="Процентный 5 3 16 6" xfId="28038" xr:uid="{00000000-0005-0000-0000-0000A9BE0000}"/>
    <cellStyle name="Процентный 5 3 16 7" xfId="33378" xr:uid="{00000000-0005-0000-0000-0000AABE0000}"/>
    <cellStyle name="Процентный 5 3 16 8" xfId="38718" xr:uid="{00000000-0005-0000-0000-0000ABBE0000}"/>
    <cellStyle name="Процентный 5 3 16 9" xfId="44058" xr:uid="{00000000-0005-0000-0000-0000ACBE0000}"/>
    <cellStyle name="Процентный 5 3 17" xfId="1361" xr:uid="{00000000-0005-0000-0000-0000ADBE0000}"/>
    <cellStyle name="Процентный 5 3 17 10" xfId="49424" xr:uid="{00000000-0005-0000-0000-0000AEBE0000}"/>
    <cellStyle name="Процентный 5 3 17 2" xfId="6703" xr:uid="{00000000-0005-0000-0000-0000AFBE0000}"/>
    <cellStyle name="Процентный 5 3 17 2 2" xfId="54765" xr:uid="{00000000-0005-0000-0000-0000B0BE0000}"/>
    <cellStyle name="Процентный 5 3 17 3" xfId="12044" xr:uid="{00000000-0005-0000-0000-0000B1BE0000}"/>
    <cellStyle name="Процентный 5 3 17 4" xfId="17384" xr:uid="{00000000-0005-0000-0000-0000B2BE0000}"/>
    <cellStyle name="Процентный 5 3 17 5" xfId="22724" xr:uid="{00000000-0005-0000-0000-0000B3BE0000}"/>
    <cellStyle name="Процентный 5 3 17 6" xfId="28064" xr:uid="{00000000-0005-0000-0000-0000B4BE0000}"/>
    <cellStyle name="Процентный 5 3 17 7" xfId="33404" xr:uid="{00000000-0005-0000-0000-0000B5BE0000}"/>
    <cellStyle name="Процентный 5 3 17 8" xfId="38744" xr:uid="{00000000-0005-0000-0000-0000B6BE0000}"/>
    <cellStyle name="Процентный 5 3 17 9" xfId="44084" xr:uid="{00000000-0005-0000-0000-0000B7BE0000}"/>
    <cellStyle name="Процентный 5 3 18" xfId="1387" xr:uid="{00000000-0005-0000-0000-0000B8BE0000}"/>
    <cellStyle name="Процентный 5 3 18 10" xfId="49450" xr:uid="{00000000-0005-0000-0000-0000B9BE0000}"/>
    <cellStyle name="Процентный 5 3 18 2" xfId="6729" xr:uid="{00000000-0005-0000-0000-0000BABE0000}"/>
    <cellStyle name="Процентный 5 3 18 2 2" xfId="54791" xr:uid="{00000000-0005-0000-0000-0000BBBE0000}"/>
    <cellStyle name="Процентный 5 3 18 3" xfId="12070" xr:uid="{00000000-0005-0000-0000-0000BCBE0000}"/>
    <cellStyle name="Процентный 5 3 18 4" xfId="17410" xr:uid="{00000000-0005-0000-0000-0000BDBE0000}"/>
    <cellStyle name="Процентный 5 3 18 5" xfId="22750" xr:uid="{00000000-0005-0000-0000-0000BEBE0000}"/>
    <cellStyle name="Процентный 5 3 18 6" xfId="28090" xr:uid="{00000000-0005-0000-0000-0000BFBE0000}"/>
    <cellStyle name="Процентный 5 3 18 7" xfId="33430" xr:uid="{00000000-0005-0000-0000-0000C0BE0000}"/>
    <cellStyle name="Процентный 5 3 18 8" xfId="38770" xr:uid="{00000000-0005-0000-0000-0000C1BE0000}"/>
    <cellStyle name="Процентный 5 3 18 9" xfId="44110" xr:uid="{00000000-0005-0000-0000-0000C2BE0000}"/>
    <cellStyle name="Процентный 5 3 19" xfId="1413" xr:uid="{00000000-0005-0000-0000-0000C3BE0000}"/>
    <cellStyle name="Процентный 5 3 19 10" xfId="49476" xr:uid="{00000000-0005-0000-0000-0000C4BE0000}"/>
    <cellStyle name="Процентный 5 3 19 2" xfId="6755" xr:uid="{00000000-0005-0000-0000-0000C5BE0000}"/>
    <cellStyle name="Процентный 5 3 19 2 2" xfId="54817" xr:uid="{00000000-0005-0000-0000-0000C6BE0000}"/>
    <cellStyle name="Процентный 5 3 19 3" xfId="12096" xr:uid="{00000000-0005-0000-0000-0000C7BE0000}"/>
    <cellStyle name="Процентный 5 3 19 4" xfId="17436" xr:uid="{00000000-0005-0000-0000-0000C8BE0000}"/>
    <cellStyle name="Процентный 5 3 19 5" xfId="22776" xr:uid="{00000000-0005-0000-0000-0000C9BE0000}"/>
    <cellStyle name="Процентный 5 3 19 6" xfId="28116" xr:uid="{00000000-0005-0000-0000-0000CABE0000}"/>
    <cellStyle name="Процентный 5 3 19 7" xfId="33456" xr:uid="{00000000-0005-0000-0000-0000CBBE0000}"/>
    <cellStyle name="Процентный 5 3 19 8" xfId="38796" xr:uid="{00000000-0005-0000-0000-0000CCBE0000}"/>
    <cellStyle name="Процентный 5 3 19 9" xfId="44136" xr:uid="{00000000-0005-0000-0000-0000CDBE0000}"/>
    <cellStyle name="Процентный 5 3 2" xfId="546" xr:uid="{00000000-0005-0000-0000-0000CEBE0000}"/>
    <cellStyle name="Процентный 5 3 2 10" xfId="48608" xr:uid="{00000000-0005-0000-0000-0000CFBE0000}"/>
    <cellStyle name="Процентный 5 3 2 2" xfId="5887" xr:uid="{00000000-0005-0000-0000-0000D0BE0000}"/>
    <cellStyle name="Процентный 5 3 2 2 2" xfId="53949" xr:uid="{00000000-0005-0000-0000-0000D1BE0000}"/>
    <cellStyle name="Процентный 5 3 2 3" xfId="11228" xr:uid="{00000000-0005-0000-0000-0000D2BE0000}"/>
    <cellStyle name="Процентный 5 3 2 4" xfId="16568" xr:uid="{00000000-0005-0000-0000-0000D3BE0000}"/>
    <cellStyle name="Процентный 5 3 2 5" xfId="21908" xr:uid="{00000000-0005-0000-0000-0000D4BE0000}"/>
    <cellStyle name="Процентный 5 3 2 6" xfId="27248" xr:uid="{00000000-0005-0000-0000-0000D5BE0000}"/>
    <cellStyle name="Процентный 5 3 2 7" xfId="32588" xr:uid="{00000000-0005-0000-0000-0000D6BE0000}"/>
    <cellStyle name="Процентный 5 3 2 8" xfId="37928" xr:uid="{00000000-0005-0000-0000-0000D7BE0000}"/>
    <cellStyle name="Процентный 5 3 2 9" xfId="43268" xr:uid="{00000000-0005-0000-0000-0000D8BE0000}"/>
    <cellStyle name="Процентный 5 3 20" xfId="1439" xr:uid="{00000000-0005-0000-0000-0000D9BE0000}"/>
    <cellStyle name="Процентный 5 3 20 10" xfId="49502" xr:uid="{00000000-0005-0000-0000-0000DABE0000}"/>
    <cellStyle name="Процентный 5 3 20 2" xfId="6781" xr:uid="{00000000-0005-0000-0000-0000DBBE0000}"/>
    <cellStyle name="Процентный 5 3 20 2 2" xfId="54843" xr:uid="{00000000-0005-0000-0000-0000DCBE0000}"/>
    <cellStyle name="Процентный 5 3 20 3" xfId="12122" xr:uid="{00000000-0005-0000-0000-0000DDBE0000}"/>
    <cellStyle name="Процентный 5 3 20 4" xfId="17462" xr:uid="{00000000-0005-0000-0000-0000DEBE0000}"/>
    <cellStyle name="Процентный 5 3 20 5" xfId="22802" xr:uid="{00000000-0005-0000-0000-0000DFBE0000}"/>
    <cellStyle name="Процентный 5 3 20 6" xfId="28142" xr:uid="{00000000-0005-0000-0000-0000E0BE0000}"/>
    <cellStyle name="Процентный 5 3 20 7" xfId="33482" xr:uid="{00000000-0005-0000-0000-0000E1BE0000}"/>
    <cellStyle name="Процентный 5 3 20 8" xfId="38822" xr:uid="{00000000-0005-0000-0000-0000E2BE0000}"/>
    <cellStyle name="Процентный 5 3 20 9" xfId="44162" xr:uid="{00000000-0005-0000-0000-0000E3BE0000}"/>
    <cellStyle name="Процентный 5 3 21" xfId="1465" xr:uid="{00000000-0005-0000-0000-0000E4BE0000}"/>
    <cellStyle name="Процентный 5 3 21 10" xfId="49528" xr:uid="{00000000-0005-0000-0000-0000E5BE0000}"/>
    <cellStyle name="Процентный 5 3 21 2" xfId="6807" xr:uid="{00000000-0005-0000-0000-0000E6BE0000}"/>
    <cellStyle name="Процентный 5 3 21 2 2" xfId="54869" xr:uid="{00000000-0005-0000-0000-0000E7BE0000}"/>
    <cellStyle name="Процентный 5 3 21 3" xfId="12148" xr:uid="{00000000-0005-0000-0000-0000E8BE0000}"/>
    <cellStyle name="Процентный 5 3 21 4" xfId="17488" xr:uid="{00000000-0005-0000-0000-0000E9BE0000}"/>
    <cellStyle name="Процентный 5 3 21 5" xfId="22828" xr:uid="{00000000-0005-0000-0000-0000EABE0000}"/>
    <cellStyle name="Процентный 5 3 21 6" xfId="28168" xr:uid="{00000000-0005-0000-0000-0000EBBE0000}"/>
    <cellStyle name="Процентный 5 3 21 7" xfId="33508" xr:uid="{00000000-0005-0000-0000-0000ECBE0000}"/>
    <cellStyle name="Процентный 5 3 21 8" xfId="38848" xr:uid="{00000000-0005-0000-0000-0000EDBE0000}"/>
    <cellStyle name="Процентный 5 3 21 9" xfId="44188" xr:uid="{00000000-0005-0000-0000-0000EEBE0000}"/>
    <cellStyle name="Процентный 5 3 22" xfId="1491" xr:uid="{00000000-0005-0000-0000-0000EFBE0000}"/>
    <cellStyle name="Процентный 5 3 22 10" xfId="49554" xr:uid="{00000000-0005-0000-0000-0000F0BE0000}"/>
    <cellStyle name="Процентный 5 3 22 2" xfId="6833" xr:uid="{00000000-0005-0000-0000-0000F1BE0000}"/>
    <cellStyle name="Процентный 5 3 22 2 2" xfId="54895" xr:uid="{00000000-0005-0000-0000-0000F2BE0000}"/>
    <cellStyle name="Процентный 5 3 22 3" xfId="12174" xr:uid="{00000000-0005-0000-0000-0000F3BE0000}"/>
    <cellStyle name="Процентный 5 3 22 4" xfId="17514" xr:uid="{00000000-0005-0000-0000-0000F4BE0000}"/>
    <cellStyle name="Процентный 5 3 22 5" xfId="22854" xr:uid="{00000000-0005-0000-0000-0000F5BE0000}"/>
    <cellStyle name="Процентный 5 3 22 6" xfId="28194" xr:uid="{00000000-0005-0000-0000-0000F6BE0000}"/>
    <cellStyle name="Процентный 5 3 22 7" xfId="33534" xr:uid="{00000000-0005-0000-0000-0000F7BE0000}"/>
    <cellStyle name="Процентный 5 3 22 8" xfId="38874" xr:uid="{00000000-0005-0000-0000-0000F8BE0000}"/>
    <cellStyle name="Процентный 5 3 22 9" xfId="44214" xr:uid="{00000000-0005-0000-0000-0000F9BE0000}"/>
    <cellStyle name="Процентный 5 3 23" xfId="1517" xr:uid="{00000000-0005-0000-0000-0000FABE0000}"/>
    <cellStyle name="Процентный 5 3 23 10" xfId="49580" xr:uid="{00000000-0005-0000-0000-0000FBBE0000}"/>
    <cellStyle name="Процентный 5 3 23 2" xfId="6859" xr:uid="{00000000-0005-0000-0000-0000FCBE0000}"/>
    <cellStyle name="Процентный 5 3 23 2 2" xfId="54921" xr:uid="{00000000-0005-0000-0000-0000FDBE0000}"/>
    <cellStyle name="Процентный 5 3 23 3" xfId="12200" xr:uid="{00000000-0005-0000-0000-0000FEBE0000}"/>
    <cellStyle name="Процентный 5 3 23 4" xfId="17540" xr:uid="{00000000-0005-0000-0000-0000FFBE0000}"/>
    <cellStyle name="Процентный 5 3 23 5" xfId="22880" xr:uid="{00000000-0005-0000-0000-000000BF0000}"/>
    <cellStyle name="Процентный 5 3 23 6" xfId="28220" xr:uid="{00000000-0005-0000-0000-000001BF0000}"/>
    <cellStyle name="Процентный 5 3 23 7" xfId="33560" xr:uid="{00000000-0005-0000-0000-000002BF0000}"/>
    <cellStyle name="Процентный 5 3 23 8" xfId="38900" xr:uid="{00000000-0005-0000-0000-000003BF0000}"/>
    <cellStyle name="Процентный 5 3 23 9" xfId="44240" xr:uid="{00000000-0005-0000-0000-000004BF0000}"/>
    <cellStyle name="Процентный 5 3 24" xfId="1543" xr:uid="{00000000-0005-0000-0000-000005BF0000}"/>
    <cellStyle name="Процентный 5 3 24 10" xfId="49606" xr:uid="{00000000-0005-0000-0000-000006BF0000}"/>
    <cellStyle name="Процентный 5 3 24 2" xfId="6885" xr:uid="{00000000-0005-0000-0000-000007BF0000}"/>
    <cellStyle name="Процентный 5 3 24 2 2" xfId="54947" xr:uid="{00000000-0005-0000-0000-000008BF0000}"/>
    <cellStyle name="Процентный 5 3 24 3" xfId="12226" xr:uid="{00000000-0005-0000-0000-000009BF0000}"/>
    <cellStyle name="Процентный 5 3 24 4" xfId="17566" xr:uid="{00000000-0005-0000-0000-00000ABF0000}"/>
    <cellStyle name="Процентный 5 3 24 5" xfId="22906" xr:uid="{00000000-0005-0000-0000-00000BBF0000}"/>
    <cellStyle name="Процентный 5 3 24 6" xfId="28246" xr:uid="{00000000-0005-0000-0000-00000CBF0000}"/>
    <cellStyle name="Процентный 5 3 24 7" xfId="33586" xr:uid="{00000000-0005-0000-0000-00000DBF0000}"/>
    <cellStyle name="Процентный 5 3 24 8" xfId="38926" xr:uid="{00000000-0005-0000-0000-00000EBF0000}"/>
    <cellStyle name="Процентный 5 3 24 9" xfId="44266" xr:uid="{00000000-0005-0000-0000-00000FBF0000}"/>
    <cellStyle name="Процентный 5 3 25" xfId="1569" xr:uid="{00000000-0005-0000-0000-000010BF0000}"/>
    <cellStyle name="Процентный 5 3 25 10" xfId="49632" xr:uid="{00000000-0005-0000-0000-000011BF0000}"/>
    <cellStyle name="Процентный 5 3 25 2" xfId="6911" xr:uid="{00000000-0005-0000-0000-000012BF0000}"/>
    <cellStyle name="Процентный 5 3 25 2 2" xfId="54973" xr:uid="{00000000-0005-0000-0000-000013BF0000}"/>
    <cellStyle name="Процентный 5 3 25 3" xfId="12252" xr:uid="{00000000-0005-0000-0000-000014BF0000}"/>
    <cellStyle name="Процентный 5 3 25 4" xfId="17592" xr:uid="{00000000-0005-0000-0000-000015BF0000}"/>
    <cellStyle name="Процентный 5 3 25 5" xfId="22932" xr:uid="{00000000-0005-0000-0000-000016BF0000}"/>
    <cellStyle name="Процентный 5 3 25 6" xfId="28272" xr:uid="{00000000-0005-0000-0000-000017BF0000}"/>
    <cellStyle name="Процентный 5 3 25 7" xfId="33612" xr:uid="{00000000-0005-0000-0000-000018BF0000}"/>
    <cellStyle name="Процентный 5 3 25 8" xfId="38952" xr:uid="{00000000-0005-0000-0000-000019BF0000}"/>
    <cellStyle name="Процентный 5 3 25 9" xfId="44292" xr:uid="{00000000-0005-0000-0000-00001ABF0000}"/>
    <cellStyle name="Процентный 5 3 26" xfId="1595" xr:uid="{00000000-0005-0000-0000-00001BBF0000}"/>
    <cellStyle name="Процентный 5 3 26 10" xfId="49658" xr:uid="{00000000-0005-0000-0000-00001CBF0000}"/>
    <cellStyle name="Процентный 5 3 26 2" xfId="6937" xr:uid="{00000000-0005-0000-0000-00001DBF0000}"/>
    <cellStyle name="Процентный 5 3 26 2 2" xfId="54999" xr:uid="{00000000-0005-0000-0000-00001EBF0000}"/>
    <cellStyle name="Процентный 5 3 26 3" xfId="12278" xr:uid="{00000000-0005-0000-0000-00001FBF0000}"/>
    <cellStyle name="Процентный 5 3 26 4" xfId="17618" xr:uid="{00000000-0005-0000-0000-000020BF0000}"/>
    <cellStyle name="Процентный 5 3 26 5" xfId="22958" xr:uid="{00000000-0005-0000-0000-000021BF0000}"/>
    <cellStyle name="Процентный 5 3 26 6" xfId="28298" xr:uid="{00000000-0005-0000-0000-000022BF0000}"/>
    <cellStyle name="Процентный 5 3 26 7" xfId="33638" xr:uid="{00000000-0005-0000-0000-000023BF0000}"/>
    <cellStyle name="Процентный 5 3 26 8" xfId="38978" xr:uid="{00000000-0005-0000-0000-000024BF0000}"/>
    <cellStyle name="Процентный 5 3 26 9" xfId="44318" xr:uid="{00000000-0005-0000-0000-000025BF0000}"/>
    <cellStyle name="Процентный 5 3 27" xfId="1621" xr:uid="{00000000-0005-0000-0000-000026BF0000}"/>
    <cellStyle name="Процентный 5 3 27 10" xfId="49684" xr:uid="{00000000-0005-0000-0000-000027BF0000}"/>
    <cellStyle name="Процентный 5 3 27 2" xfId="6963" xr:uid="{00000000-0005-0000-0000-000028BF0000}"/>
    <cellStyle name="Процентный 5 3 27 2 2" xfId="55025" xr:uid="{00000000-0005-0000-0000-000029BF0000}"/>
    <cellStyle name="Процентный 5 3 27 3" xfId="12304" xr:uid="{00000000-0005-0000-0000-00002ABF0000}"/>
    <cellStyle name="Процентный 5 3 27 4" xfId="17644" xr:uid="{00000000-0005-0000-0000-00002BBF0000}"/>
    <cellStyle name="Процентный 5 3 27 5" xfId="22984" xr:uid="{00000000-0005-0000-0000-00002CBF0000}"/>
    <cellStyle name="Процентный 5 3 27 6" xfId="28324" xr:uid="{00000000-0005-0000-0000-00002DBF0000}"/>
    <cellStyle name="Процентный 5 3 27 7" xfId="33664" xr:uid="{00000000-0005-0000-0000-00002EBF0000}"/>
    <cellStyle name="Процентный 5 3 27 8" xfId="39004" xr:uid="{00000000-0005-0000-0000-00002FBF0000}"/>
    <cellStyle name="Процентный 5 3 27 9" xfId="44344" xr:uid="{00000000-0005-0000-0000-000030BF0000}"/>
    <cellStyle name="Процентный 5 3 28" xfId="1647" xr:uid="{00000000-0005-0000-0000-000031BF0000}"/>
    <cellStyle name="Процентный 5 3 28 10" xfId="49710" xr:uid="{00000000-0005-0000-0000-000032BF0000}"/>
    <cellStyle name="Процентный 5 3 28 2" xfId="6989" xr:uid="{00000000-0005-0000-0000-000033BF0000}"/>
    <cellStyle name="Процентный 5 3 28 2 2" xfId="55051" xr:uid="{00000000-0005-0000-0000-000034BF0000}"/>
    <cellStyle name="Процентный 5 3 28 3" xfId="12330" xr:uid="{00000000-0005-0000-0000-000035BF0000}"/>
    <cellStyle name="Процентный 5 3 28 4" xfId="17670" xr:uid="{00000000-0005-0000-0000-000036BF0000}"/>
    <cellStyle name="Процентный 5 3 28 5" xfId="23010" xr:uid="{00000000-0005-0000-0000-000037BF0000}"/>
    <cellStyle name="Процентный 5 3 28 6" xfId="28350" xr:uid="{00000000-0005-0000-0000-000038BF0000}"/>
    <cellStyle name="Процентный 5 3 28 7" xfId="33690" xr:uid="{00000000-0005-0000-0000-000039BF0000}"/>
    <cellStyle name="Процентный 5 3 28 8" xfId="39030" xr:uid="{00000000-0005-0000-0000-00003ABF0000}"/>
    <cellStyle name="Процентный 5 3 28 9" xfId="44370" xr:uid="{00000000-0005-0000-0000-00003BBF0000}"/>
    <cellStyle name="Процентный 5 3 29" xfId="1673" xr:uid="{00000000-0005-0000-0000-00003CBF0000}"/>
    <cellStyle name="Процентный 5 3 29 10" xfId="49736" xr:uid="{00000000-0005-0000-0000-00003DBF0000}"/>
    <cellStyle name="Процентный 5 3 29 2" xfId="7015" xr:uid="{00000000-0005-0000-0000-00003EBF0000}"/>
    <cellStyle name="Процентный 5 3 29 2 2" xfId="55077" xr:uid="{00000000-0005-0000-0000-00003FBF0000}"/>
    <cellStyle name="Процентный 5 3 29 3" xfId="12356" xr:uid="{00000000-0005-0000-0000-000040BF0000}"/>
    <cellStyle name="Процентный 5 3 29 4" xfId="17696" xr:uid="{00000000-0005-0000-0000-000041BF0000}"/>
    <cellStyle name="Процентный 5 3 29 5" xfId="23036" xr:uid="{00000000-0005-0000-0000-000042BF0000}"/>
    <cellStyle name="Процентный 5 3 29 6" xfId="28376" xr:uid="{00000000-0005-0000-0000-000043BF0000}"/>
    <cellStyle name="Процентный 5 3 29 7" xfId="33716" xr:uid="{00000000-0005-0000-0000-000044BF0000}"/>
    <cellStyle name="Процентный 5 3 29 8" xfId="39056" xr:uid="{00000000-0005-0000-0000-000045BF0000}"/>
    <cellStyle name="Процентный 5 3 29 9" xfId="44396" xr:uid="{00000000-0005-0000-0000-000046BF0000}"/>
    <cellStyle name="Процентный 5 3 3" xfId="1002" xr:uid="{00000000-0005-0000-0000-000047BF0000}"/>
    <cellStyle name="Процентный 5 3 3 10" xfId="49064" xr:uid="{00000000-0005-0000-0000-000048BF0000}"/>
    <cellStyle name="Процентный 5 3 3 2" xfId="6343" xr:uid="{00000000-0005-0000-0000-000049BF0000}"/>
    <cellStyle name="Процентный 5 3 3 2 2" xfId="54405" xr:uid="{00000000-0005-0000-0000-00004ABF0000}"/>
    <cellStyle name="Процентный 5 3 3 3" xfId="11684" xr:uid="{00000000-0005-0000-0000-00004BBF0000}"/>
    <cellStyle name="Процентный 5 3 3 4" xfId="17024" xr:uid="{00000000-0005-0000-0000-00004CBF0000}"/>
    <cellStyle name="Процентный 5 3 3 5" xfId="22364" xr:uid="{00000000-0005-0000-0000-00004DBF0000}"/>
    <cellStyle name="Процентный 5 3 3 6" xfId="27704" xr:uid="{00000000-0005-0000-0000-00004EBF0000}"/>
    <cellStyle name="Процентный 5 3 3 7" xfId="33044" xr:uid="{00000000-0005-0000-0000-00004FBF0000}"/>
    <cellStyle name="Процентный 5 3 3 8" xfId="38384" xr:uid="{00000000-0005-0000-0000-000050BF0000}"/>
    <cellStyle name="Процентный 5 3 3 9" xfId="43724" xr:uid="{00000000-0005-0000-0000-000051BF0000}"/>
    <cellStyle name="Процентный 5 3 30" xfId="1699" xr:uid="{00000000-0005-0000-0000-000052BF0000}"/>
    <cellStyle name="Процентный 5 3 30 10" xfId="49762" xr:uid="{00000000-0005-0000-0000-000053BF0000}"/>
    <cellStyle name="Процентный 5 3 30 2" xfId="7041" xr:uid="{00000000-0005-0000-0000-000054BF0000}"/>
    <cellStyle name="Процентный 5 3 30 2 2" xfId="55103" xr:uid="{00000000-0005-0000-0000-000055BF0000}"/>
    <cellStyle name="Процентный 5 3 30 3" xfId="12382" xr:uid="{00000000-0005-0000-0000-000056BF0000}"/>
    <cellStyle name="Процентный 5 3 30 4" xfId="17722" xr:uid="{00000000-0005-0000-0000-000057BF0000}"/>
    <cellStyle name="Процентный 5 3 30 5" xfId="23062" xr:uid="{00000000-0005-0000-0000-000058BF0000}"/>
    <cellStyle name="Процентный 5 3 30 6" xfId="28402" xr:uid="{00000000-0005-0000-0000-000059BF0000}"/>
    <cellStyle name="Процентный 5 3 30 7" xfId="33742" xr:uid="{00000000-0005-0000-0000-00005ABF0000}"/>
    <cellStyle name="Процентный 5 3 30 8" xfId="39082" xr:uid="{00000000-0005-0000-0000-00005BBF0000}"/>
    <cellStyle name="Процентный 5 3 30 9" xfId="44422" xr:uid="{00000000-0005-0000-0000-00005CBF0000}"/>
    <cellStyle name="Процентный 5 3 31" xfId="1725" xr:uid="{00000000-0005-0000-0000-00005DBF0000}"/>
    <cellStyle name="Процентный 5 3 31 10" xfId="49788" xr:uid="{00000000-0005-0000-0000-00005EBF0000}"/>
    <cellStyle name="Процентный 5 3 31 2" xfId="7067" xr:uid="{00000000-0005-0000-0000-00005FBF0000}"/>
    <cellStyle name="Процентный 5 3 31 2 2" xfId="55129" xr:uid="{00000000-0005-0000-0000-000060BF0000}"/>
    <cellStyle name="Процентный 5 3 31 3" xfId="12408" xr:uid="{00000000-0005-0000-0000-000061BF0000}"/>
    <cellStyle name="Процентный 5 3 31 4" xfId="17748" xr:uid="{00000000-0005-0000-0000-000062BF0000}"/>
    <cellStyle name="Процентный 5 3 31 5" xfId="23088" xr:uid="{00000000-0005-0000-0000-000063BF0000}"/>
    <cellStyle name="Процентный 5 3 31 6" xfId="28428" xr:uid="{00000000-0005-0000-0000-000064BF0000}"/>
    <cellStyle name="Процентный 5 3 31 7" xfId="33768" xr:uid="{00000000-0005-0000-0000-000065BF0000}"/>
    <cellStyle name="Процентный 5 3 31 8" xfId="39108" xr:uid="{00000000-0005-0000-0000-000066BF0000}"/>
    <cellStyle name="Процентный 5 3 31 9" xfId="44448" xr:uid="{00000000-0005-0000-0000-000067BF0000}"/>
    <cellStyle name="Процентный 5 3 32" xfId="1751" xr:uid="{00000000-0005-0000-0000-000068BF0000}"/>
    <cellStyle name="Процентный 5 3 32 10" xfId="49814" xr:uid="{00000000-0005-0000-0000-000069BF0000}"/>
    <cellStyle name="Процентный 5 3 32 2" xfId="7093" xr:uid="{00000000-0005-0000-0000-00006ABF0000}"/>
    <cellStyle name="Процентный 5 3 32 2 2" xfId="55155" xr:uid="{00000000-0005-0000-0000-00006BBF0000}"/>
    <cellStyle name="Процентный 5 3 32 3" xfId="12434" xr:uid="{00000000-0005-0000-0000-00006CBF0000}"/>
    <cellStyle name="Процентный 5 3 32 4" xfId="17774" xr:uid="{00000000-0005-0000-0000-00006DBF0000}"/>
    <cellStyle name="Процентный 5 3 32 5" xfId="23114" xr:uid="{00000000-0005-0000-0000-00006EBF0000}"/>
    <cellStyle name="Процентный 5 3 32 6" xfId="28454" xr:uid="{00000000-0005-0000-0000-00006FBF0000}"/>
    <cellStyle name="Процентный 5 3 32 7" xfId="33794" xr:uid="{00000000-0005-0000-0000-000070BF0000}"/>
    <cellStyle name="Процентный 5 3 32 8" xfId="39134" xr:uid="{00000000-0005-0000-0000-000071BF0000}"/>
    <cellStyle name="Процентный 5 3 32 9" xfId="44474" xr:uid="{00000000-0005-0000-0000-000072BF0000}"/>
    <cellStyle name="Процентный 5 3 33" xfId="1777" xr:uid="{00000000-0005-0000-0000-000073BF0000}"/>
    <cellStyle name="Процентный 5 3 33 10" xfId="49840" xr:uid="{00000000-0005-0000-0000-000074BF0000}"/>
    <cellStyle name="Процентный 5 3 33 2" xfId="7119" xr:uid="{00000000-0005-0000-0000-000075BF0000}"/>
    <cellStyle name="Процентный 5 3 33 2 2" xfId="55181" xr:uid="{00000000-0005-0000-0000-000076BF0000}"/>
    <cellStyle name="Процентный 5 3 33 3" xfId="12460" xr:uid="{00000000-0005-0000-0000-000077BF0000}"/>
    <cellStyle name="Процентный 5 3 33 4" xfId="17800" xr:uid="{00000000-0005-0000-0000-000078BF0000}"/>
    <cellStyle name="Процентный 5 3 33 5" xfId="23140" xr:uid="{00000000-0005-0000-0000-000079BF0000}"/>
    <cellStyle name="Процентный 5 3 33 6" xfId="28480" xr:uid="{00000000-0005-0000-0000-00007ABF0000}"/>
    <cellStyle name="Процентный 5 3 33 7" xfId="33820" xr:uid="{00000000-0005-0000-0000-00007BBF0000}"/>
    <cellStyle name="Процентный 5 3 33 8" xfId="39160" xr:uid="{00000000-0005-0000-0000-00007CBF0000}"/>
    <cellStyle name="Процентный 5 3 33 9" xfId="44500" xr:uid="{00000000-0005-0000-0000-00007DBF0000}"/>
    <cellStyle name="Процентный 5 3 34" xfId="1803" xr:uid="{00000000-0005-0000-0000-00007EBF0000}"/>
    <cellStyle name="Процентный 5 3 34 10" xfId="49866" xr:uid="{00000000-0005-0000-0000-00007FBF0000}"/>
    <cellStyle name="Процентный 5 3 34 2" xfId="7145" xr:uid="{00000000-0005-0000-0000-000080BF0000}"/>
    <cellStyle name="Процентный 5 3 34 2 2" xfId="55207" xr:uid="{00000000-0005-0000-0000-000081BF0000}"/>
    <cellStyle name="Процентный 5 3 34 3" xfId="12486" xr:uid="{00000000-0005-0000-0000-000082BF0000}"/>
    <cellStyle name="Процентный 5 3 34 4" xfId="17826" xr:uid="{00000000-0005-0000-0000-000083BF0000}"/>
    <cellStyle name="Процентный 5 3 34 5" xfId="23166" xr:uid="{00000000-0005-0000-0000-000084BF0000}"/>
    <cellStyle name="Процентный 5 3 34 6" xfId="28506" xr:uid="{00000000-0005-0000-0000-000085BF0000}"/>
    <cellStyle name="Процентный 5 3 34 7" xfId="33846" xr:uid="{00000000-0005-0000-0000-000086BF0000}"/>
    <cellStyle name="Процентный 5 3 34 8" xfId="39186" xr:uid="{00000000-0005-0000-0000-000087BF0000}"/>
    <cellStyle name="Процентный 5 3 34 9" xfId="44526" xr:uid="{00000000-0005-0000-0000-000088BF0000}"/>
    <cellStyle name="Процентный 5 3 35" xfId="1829" xr:uid="{00000000-0005-0000-0000-000089BF0000}"/>
    <cellStyle name="Процентный 5 3 35 10" xfId="49892" xr:uid="{00000000-0005-0000-0000-00008ABF0000}"/>
    <cellStyle name="Процентный 5 3 35 2" xfId="7171" xr:uid="{00000000-0005-0000-0000-00008BBF0000}"/>
    <cellStyle name="Процентный 5 3 35 2 2" xfId="55233" xr:uid="{00000000-0005-0000-0000-00008CBF0000}"/>
    <cellStyle name="Процентный 5 3 35 3" xfId="12512" xr:uid="{00000000-0005-0000-0000-00008DBF0000}"/>
    <cellStyle name="Процентный 5 3 35 4" xfId="17852" xr:uid="{00000000-0005-0000-0000-00008EBF0000}"/>
    <cellStyle name="Процентный 5 3 35 5" xfId="23192" xr:uid="{00000000-0005-0000-0000-00008FBF0000}"/>
    <cellStyle name="Процентный 5 3 35 6" xfId="28532" xr:uid="{00000000-0005-0000-0000-000090BF0000}"/>
    <cellStyle name="Процентный 5 3 35 7" xfId="33872" xr:uid="{00000000-0005-0000-0000-000091BF0000}"/>
    <cellStyle name="Процентный 5 3 35 8" xfId="39212" xr:uid="{00000000-0005-0000-0000-000092BF0000}"/>
    <cellStyle name="Процентный 5 3 35 9" xfId="44552" xr:uid="{00000000-0005-0000-0000-000093BF0000}"/>
    <cellStyle name="Процентный 5 3 36" xfId="1855" xr:uid="{00000000-0005-0000-0000-000094BF0000}"/>
    <cellStyle name="Процентный 5 3 36 10" xfId="49918" xr:uid="{00000000-0005-0000-0000-000095BF0000}"/>
    <cellStyle name="Процентный 5 3 36 2" xfId="7197" xr:uid="{00000000-0005-0000-0000-000096BF0000}"/>
    <cellStyle name="Процентный 5 3 36 2 2" xfId="55259" xr:uid="{00000000-0005-0000-0000-000097BF0000}"/>
    <cellStyle name="Процентный 5 3 36 3" xfId="12538" xr:uid="{00000000-0005-0000-0000-000098BF0000}"/>
    <cellStyle name="Процентный 5 3 36 4" xfId="17878" xr:uid="{00000000-0005-0000-0000-000099BF0000}"/>
    <cellStyle name="Процентный 5 3 36 5" xfId="23218" xr:uid="{00000000-0005-0000-0000-00009ABF0000}"/>
    <cellStyle name="Процентный 5 3 36 6" xfId="28558" xr:uid="{00000000-0005-0000-0000-00009BBF0000}"/>
    <cellStyle name="Процентный 5 3 36 7" xfId="33898" xr:uid="{00000000-0005-0000-0000-00009CBF0000}"/>
    <cellStyle name="Процентный 5 3 36 8" xfId="39238" xr:uid="{00000000-0005-0000-0000-00009DBF0000}"/>
    <cellStyle name="Процентный 5 3 36 9" xfId="44578" xr:uid="{00000000-0005-0000-0000-00009EBF0000}"/>
    <cellStyle name="Процентный 5 3 37" xfId="1881" xr:uid="{00000000-0005-0000-0000-00009FBF0000}"/>
    <cellStyle name="Процентный 5 3 37 10" xfId="49944" xr:uid="{00000000-0005-0000-0000-0000A0BF0000}"/>
    <cellStyle name="Процентный 5 3 37 2" xfId="7223" xr:uid="{00000000-0005-0000-0000-0000A1BF0000}"/>
    <cellStyle name="Процентный 5 3 37 2 2" xfId="55285" xr:uid="{00000000-0005-0000-0000-0000A2BF0000}"/>
    <cellStyle name="Процентный 5 3 37 3" xfId="12564" xr:uid="{00000000-0005-0000-0000-0000A3BF0000}"/>
    <cellStyle name="Процентный 5 3 37 4" xfId="17904" xr:uid="{00000000-0005-0000-0000-0000A4BF0000}"/>
    <cellStyle name="Процентный 5 3 37 5" xfId="23244" xr:uid="{00000000-0005-0000-0000-0000A5BF0000}"/>
    <cellStyle name="Процентный 5 3 37 6" xfId="28584" xr:uid="{00000000-0005-0000-0000-0000A6BF0000}"/>
    <cellStyle name="Процентный 5 3 37 7" xfId="33924" xr:uid="{00000000-0005-0000-0000-0000A7BF0000}"/>
    <cellStyle name="Процентный 5 3 37 8" xfId="39264" xr:uid="{00000000-0005-0000-0000-0000A8BF0000}"/>
    <cellStyle name="Процентный 5 3 37 9" xfId="44604" xr:uid="{00000000-0005-0000-0000-0000A9BF0000}"/>
    <cellStyle name="Процентный 5 3 38" xfId="1907" xr:uid="{00000000-0005-0000-0000-0000AABF0000}"/>
    <cellStyle name="Процентный 5 3 38 10" xfId="49970" xr:uid="{00000000-0005-0000-0000-0000ABBF0000}"/>
    <cellStyle name="Процентный 5 3 38 2" xfId="7249" xr:uid="{00000000-0005-0000-0000-0000ACBF0000}"/>
    <cellStyle name="Процентный 5 3 38 2 2" xfId="55311" xr:uid="{00000000-0005-0000-0000-0000ADBF0000}"/>
    <cellStyle name="Процентный 5 3 38 3" xfId="12590" xr:uid="{00000000-0005-0000-0000-0000AEBF0000}"/>
    <cellStyle name="Процентный 5 3 38 4" xfId="17930" xr:uid="{00000000-0005-0000-0000-0000AFBF0000}"/>
    <cellStyle name="Процентный 5 3 38 5" xfId="23270" xr:uid="{00000000-0005-0000-0000-0000B0BF0000}"/>
    <cellStyle name="Процентный 5 3 38 6" xfId="28610" xr:uid="{00000000-0005-0000-0000-0000B1BF0000}"/>
    <cellStyle name="Процентный 5 3 38 7" xfId="33950" xr:uid="{00000000-0005-0000-0000-0000B2BF0000}"/>
    <cellStyle name="Процентный 5 3 38 8" xfId="39290" xr:uid="{00000000-0005-0000-0000-0000B3BF0000}"/>
    <cellStyle name="Процентный 5 3 38 9" xfId="44630" xr:uid="{00000000-0005-0000-0000-0000B4BF0000}"/>
    <cellStyle name="Процентный 5 3 39" xfId="1933" xr:uid="{00000000-0005-0000-0000-0000B5BF0000}"/>
    <cellStyle name="Процентный 5 3 39 10" xfId="49996" xr:uid="{00000000-0005-0000-0000-0000B6BF0000}"/>
    <cellStyle name="Процентный 5 3 39 2" xfId="7275" xr:uid="{00000000-0005-0000-0000-0000B7BF0000}"/>
    <cellStyle name="Процентный 5 3 39 2 2" xfId="55337" xr:uid="{00000000-0005-0000-0000-0000B8BF0000}"/>
    <cellStyle name="Процентный 5 3 39 3" xfId="12616" xr:uid="{00000000-0005-0000-0000-0000B9BF0000}"/>
    <cellStyle name="Процентный 5 3 39 4" xfId="17956" xr:uid="{00000000-0005-0000-0000-0000BABF0000}"/>
    <cellStyle name="Процентный 5 3 39 5" xfId="23296" xr:uid="{00000000-0005-0000-0000-0000BBBF0000}"/>
    <cellStyle name="Процентный 5 3 39 6" xfId="28636" xr:uid="{00000000-0005-0000-0000-0000BCBF0000}"/>
    <cellStyle name="Процентный 5 3 39 7" xfId="33976" xr:uid="{00000000-0005-0000-0000-0000BDBF0000}"/>
    <cellStyle name="Процентный 5 3 39 8" xfId="39316" xr:uid="{00000000-0005-0000-0000-0000BEBF0000}"/>
    <cellStyle name="Процентный 5 3 39 9" xfId="44656" xr:uid="{00000000-0005-0000-0000-0000BFBF0000}"/>
    <cellStyle name="Процентный 5 3 4" xfId="1026" xr:uid="{00000000-0005-0000-0000-0000C0BF0000}"/>
    <cellStyle name="Процентный 5 3 4 10" xfId="49088" xr:uid="{00000000-0005-0000-0000-0000C1BF0000}"/>
    <cellStyle name="Процентный 5 3 4 2" xfId="6367" xr:uid="{00000000-0005-0000-0000-0000C2BF0000}"/>
    <cellStyle name="Процентный 5 3 4 2 2" xfId="54429" xr:uid="{00000000-0005-0000-0000-0000C3BF0000}"/>
    <cellStyle name="Процентный 5 3 4 3" xfId="11708" xr:uid="{00000000-0005-0000-0000-0000C4BF0000}"/>
    <cellStyle name="Процентный 5 3 4 4" xfId="17048" xr:uid="{00000000-0005-0000-0000-0000C5BF0000}"/>
    <cellStyle name="Процентный 5 3 4 5" xfId="22388" xr:uid="{00000000-0005-0000-0000-0000C6BF0000}"/>
    <cellStyle name="Процентный 5 3 4 6" xfId="27728" xr:uid="{00000000-0005-0000-0000-0000C7BF0000}"/>
    <cellStyle name="Процентный 5 3 4 7" xfId="33068" xr:uid="{00000000-0005-0000-0000-0000C8BF0000}"/>
    <cellStyle name="Процентный 5 3 4 8" xfId="38408" xr:uid="{00000000-0005-0000-0000-0000C9BF0000}"/>
    <cellStyle name="Процентный 5 3 4 9" xfId="43748" xr:uid="{00000000-0005-0000-0000-0000CABF0000}"/>
    <cellStyle name="Процентный 5 3 40" xfId="1961" xr:uid="{00000000-0005-0000-0000-0000CBBF0000}"/>
    <cellStyle name="Процентный 5 3 40 10" xfId="50024" xr:uid="{00000000-0005-0000-0000-0000CCBF0000}"/>
    <cellStyle name="Процентный 5 3 40 2" xfId="7303" xr:uid="{00000000-0005-0000-0000-0000CDBF0000}"/>
    <cellStyle name="Процентный 5 3 40 2 2" xfId="55365" xr:uid="{00000000-0005-0000-0000-0000CEBF0000}"/>
    <cellStyle name="Процентный 5 3 40 3" xfId="12644" xr:uid="{00000000-0005-0000-0000-0000CFBF0000}"/>
    <cellStyle name="Процентный 5 3 40 4" xfId="17984" xr:uid="{00000000-0005-0000-0000-0000D0BF0000}"/>
    <cellStyle name="Процентный 5 3 40 5" xfId="23324" xr:uid="{00000000-0005-0000-0000-0000D1BF0000}"/>
    <cellStyle name="Процентный 5 3 40 6" xfId="28664" xr:uid="{00000000-0005-0000-0000-0000D2BF0000}"/>
    <cellStyle name="Процентный 5 3 40 7" xfId="34004" xr:uid="{00000000-0005-0000-0000-0000D3BF0000}"/>
    <cellStyle name="Процентный 5 3 40 8" xfId="39344" xr:uid="{00000000-0005-0000-0000-0000D4BF0000}"/>
    <cellStyle name="Процентный 5 3 40 9" xfId="44684" xr:uid="{00000000-0005-0000-0000-0000D5BF0000}"/>
    <cellStyle name="Процентный 5 3 41" xfId="1988" xr:uid="{00000000-0005-0000-0000-0000D6BF0000}"/>
    <cellStyle name="Процентный 5 3 41 10" xfId="50052" xr:uid="{00000000-0005-0000-0000-0000D7BF0000}"/>
    <cellStyle name="Процентный 5 3 41 2" xfId="7331" xr:uid="{00000000-0005-0000-0000-0000D8BF0000}"/>
    <cellStyle name="Процентный 5 3 41 2 2" xfId="55393" xr:uid="{00000000-0005-0000-0000-0000D9BF0000}"/>
    <cellStyle name="Процентный 5 3 41 3" xfId="12672" xr:uid="{00000000-0005-0000-0000-0000DABF0000}"/>
    <cellStyle name="Процентный 5 3 41 4" xfId="18012" xr:uid="{00000000-0005-0000-0000-0000DBBF0000}"/>
    <cellStyle name="Процентный 5 3 41 5" xfId="23352" xr:uid="{00000000-0005-0000-0000-0000DCBF0000}"/>
    <cellStyle name="Процентный 5 3 41 6" xfId="28692" xr:uid="{00000000-0005-0000-0000-0000DDBF0000}"/>
    <cellStyle name="Процентный 5 3 41 7" xfId="34032" xr:uid="{00000000-0005-0000-0000-0000DEBF0000}"/>
    <cellStyle name="Процентный 5 3 41 8" xfId="39372" xr:uid="{00000000-0005-0000-0000-0000DFBF0000}"/>
    <cellStyle name="Процентный 5 3 41 9" xfId="44712" xr:uid="{00000000-0005-0000-0000-0000E0BF0000}"/>
    <cellStyle name="Процентный 5 3 42" xfId="2016" xr:uid="{00000000-0005-0000-0000-0000E1BF0000}"/>
    <cellStyle name="Процентный 5 3 42 10" xfId="50080" xr:uid="{00000000-0005-0000-0000-0000E2BF0000}"/>
    <cellStyle name="Процентный 5 3 42 2" xfId="7359" xr:uid="{00000000-0005-0000-0000-0000E3BF0000}"/>
    <cellStyle name="Процентный 5 3 42 2 2" xfId="55421" xr:uid="{00000000-0005-0000-0000-0000E4BF0000}"/>
    <cellStyle name="Процентный 5 3 42 3" xfId="12700" xr:uid="{00000000-0005-0000-0000-0000E5BF0000}"/>
    <cellStyle name="Процентный 5 3 42 4" xfId="18040" xr:uid="{00000000-0005-0000-0000-0000E6BF0000}"/>
    <cellStyle name="Процентный 5 3 42 5" xfId="23380" xr:uid="{00000000-0005-0000-0000-0000E7BF0000}"/>
    <cellStyle name="Процентный 5 3 42 6" xfId="28720" xr:uid="{00000000-0005-0000-0000-0000E8BF0000}"/>
    <cellStyle name="Процентный 5 3 42 7" xfId="34060" xr:uid="{00000000-0005-0000-0000-0000E9BF0000}"/>
    <cellStyle name="Процентный 5 3 42 8" xfId="39400" xr:uid="{00000000-0005-0000-0000-0000EABF0000}"/>
    <cellStyle name="Процентный 5 3 42 9" xfId="44740" xr:uid="{00000000-0005-0000-0000-0000EBBF0000}"/>
    <cellStyle name="Процентный 5 3 43" xfId="2044" xr:uid="{00000000-0005-0000-0000-0000ECBF0000}"/>
    <cellStyle name="Процентный 5 3 43 10" xfId="50108" xr:uid="{00000000-0005-0000-0000-0000EDBF0000}"/>
    <cellStyle name="Процентный 5 3 43 2" xfId="7387" xr:uid="{00000000-0005-0000-0000-0000EEBF0000}"/>
    <cellStyle name="Процентный 5 3 43 2 2" xfId="55449" xr:uid="{00000000-0005-0000-0000-0000EFBF0000}"/>
    <cellStyle name="Процентный 5 3 43 3" xfId="12728" xr:uid="{00000000-0005-0000-0000-0000F0BF0000}"/>
    <cellStyle name="Процентный 5 3 43 4" xfId="18068" xr:uid="{00000000-0005-0000-0000-0000F1BF0000}"/>
    <cellStyle name="Процентный 5 3 43 5" xfId="23408" xr:uid="{00000000-0005-0000-0000-0000F2BF0000}"/>
    <cellStyle name="Процентный 5 3 43 6" xfId="28748" xr:uid="{00000000-0005-0000-0000-0000F3BF0000}"/>
    <cellStyle name="Процентный 5 3 43 7" xfId="34088" xr:uid="{00000000-0005-0000-0000-0000F4BF0000}"/>
    <cellStyle name="Процентный 5 3 43 8" xfId="39428" xr:uid="{00000000-0005-0000-0000-0000F5BF0000}"/>
    <cellStyle name="Процентный 5 3 43 9" xfId="44768" xr:uid="{00000000-0005-0000-0000-0000F6BF0000}"/>
    <cellStyle name="Процентный 5 3 44" xfId="2072" xr:uid="{00000000-0005-0000-0000-0000F7BF0000}"/>
    <cellStyle name="Процентный 5 3 44 10" xfId="50136" xr:uid="{00000000-0005-0000-0000-0000F8BF0000}"/>
    <cellStyle name="Процентный 5 3 44 2" xfId="7415" xr:uid="{00000000-0005-0000-0000-0000F9BF0000}"/>
    <cellStyle name="Процентный 5 3 44 2 2" xfId="55477" xr:uid="{00000000-0005-0000-0000-0000FABF0000}"/>
    <cellStyle name="Процентный 5 3 44 3" xfId="12756" xr:uid="{00000000-0005-0000-0000-0000FBBF0000}"/>
    <cellStyle name="Процентный 5 3 44 4" xfId="18096" xr:uid="{00000000-0005-0000-0000-0000FCBF0000}"/>
    <cellStyle name="Процентный 5 3 44 5" xfId="23436" xr:uid="{00000000-0005-0000-0000-0000FDBF0000}"/>
    <cellStyle name="Процентный 5 3 44 6" xfId="28776" xr:uid="{00000000-0005-0000-0000-0000FEBF0000}"/>
    <cellStyle name="Процентный 5 3 44 7" xfId="34116" xr:uid="{00000000-0005-0000-0000-0000FFBF0000}"/>
    <cellStyle name="Процентный 5 3 44 8" xfId="39456" xr:uid="{00000000-0005-0000-0000-000000C00000}"/>
    <cellStyle name="Процентный 5 3 44 9" xfId="44796" xr:uid="{00000000-0005-0000-0000-000001C00000}"/>
    <cellStyle name="Процентный 5 3 45" xfId="2100" xr:uid="{00000000-0005-0000-0000-000002C00000}"/>
    <cellStyle name="Процентный 5 3 45 10" xfId="50164" xr:uid="{00000000-0005-0000-0000-000003C00000}"/>
    <cellStyle name="Процентный 5 3 45 2" xfId="7443" xr:uid="{00000000-0005-0000-0000-000004C00000}"/>
    <cellStyle name="Процентный 5 3 45 2 2" xfId="55505" xr:uid="{00000000-0005-0000-0000-000005C00000}"/>
    <cellStyle name="Процентный 5 3 45 3" xfId="12784" xr:uid="{00000000-0005-0000-0000-000006C00000}"/>
    <cellStyle name="Процентный 5 3 45 4" xfId="18124" xr:uid="{00000000-0005-0000-0000-000007C00000}"/>
    <cellStyle name="Процентный 5 3 45 5" xfId="23464" xr:uid="{00000000-0005-0000-0000-000008C00000}"/>
    <cellStyle name="Процентный 5 3 45 6" xfId="28804" xr:uid="{00000000-0005-0000-0000-000009C00000}"/>
    <cellStyle name="Процентный 5 3 45 7" xfId="34144" xr:uid="{00000000-0005-0000-0000-00000AC00000}"/>
    <cellStyle name="Процентный 5 3 45 8" xfId="39484" xr:uid="{00000000-0005-0000-0000-00000BC00000}"/>
    <cellStyle name="Процентный 5 3 45 9" xfId="44824" xr:uid="{00000000-0005-0000-0000-00000CC00000}"/>
    <cellStyle name="Процентный 5 3 46" xfId="2128" xr:uid="{00000000-0005-0000-0000-00000DC00000}"/>
    <cellStyle name="Процентный 5 3 46 10" xfId="50192" xr:uid="{00000000-0005-0000-0000-00000EC00000}"/>
    <cellStyle name="Процентный 5 3 46 2" xfId="7471" xr:uid="{00000000-0005-0000-0000-00000FC00000}"/>
    <cellStyle name="Процентный 5 3 46 2 2" xfId="55533" xr:uid="{00000000-0005-0000-0000-000010C00000}"/>
    <cellStyle name="Процентный 5 3 46 3" xfId="12812" xr:uid="{00000000-0005-0000-0000-000011C00000}"/>
    <cellStyle name="Процентный 5 3 46 4" xfId="18152" xr:uid="{00000000-0005-0000-0000-000012C00000}"/>
    <cellStyle name="Процентный 5 3 46 5" xfId="23492" xr:uid="{00000000-0005-0000-0000-000013C00000}"/>
    <cellStyle name="Процентный 5 3 46 6" xfId="28832" xr:uid="{00000000-0005-0000-0000-000014C00000}"/>
    <cellStyle name="Процентный 5 3 46 7" xfId="34172" xr:uid="{00000000-0005-0000-0000-000015C00000}"/>
    <cellStyle name="Процентный 5 3 46 8" xfId="39512" xr:uid="{00000000-0005-0000-0000-000016C00000}"/>
    <cellStyle name="Процентный 5 3 46 9" xfId="44852" xr:uid="{00000000-0005-0000-0000-000017C00000}"/>
    <cellStyle name="Процентный 5 3 47" xfId="2158" xr:uid="{00000000-0005-0000-0000-000018C00000}"/>
    <cellStyle name="Процентный 5 3 47 10" xfId="50222" xr:uid="{00000000-0005-0000-0000-000019C00000}"/>
    <cellStyle name="Процентный 5 3 47 2" xfId="7501" xr:uid="{00000000-0005-0000-0000-00001AC00000}"/>
    <cellStyle name="Процентный 5 3 47 2 2" xfId="55563" xr:uid="{00000000-0005-0000-0000-00001BC00000}"/>
    <cellStyle name="Процентный 5 3 47 3" xfId="12842" xr:uid="{00000000-0005-0000-0000-00001CC00000}"/>
    <cellStyle name="Процентный 5 3 47 4" xfId="18182" xr:uid="{00000000-0005-0000-0000-00001DC00000}"/>
    <cellStyle name="Процентный 5 3 47 5" xfId="23522" xr:uid="{00000000-0005-0000-0000-00001EC00000}"/>
    <cellStyle name="Процентный 5 3 47 6" xfId="28862" xr:uid="{00000000-0005-0000-0000-00001FC00000}"/>
    <cellStyle name="Процентный 5 3 47 7" xfId="34202" xr:uid="{00000000-0005-0000-0000-000020C00000}"/>
    <cellStyle name="Процентный 5 3 47 8" xfId="39542" xr:uid="{00000000-0005-0000-0000-000021C00000}"/>
    <cellStyle name="Процентный 5 3 47 9" xfId="44882" xr:uid="{00000000-0005-0000-0000-000022C00000}"/>
    <cellStyle name="Процентный 5 3 48" xfId="2188" xr:uid="{00000000-0005-0000-0000-000023C00000}"/>
    <cellStyle name="Процентный 5 3 48 10" xfId="50252" xr:uid="{00000000-0005-0000-0000-000024C00000}"/>
    <cellStyle name="Процентный 5 3 48 2" xfId="7531" xr:uid="{00000000-0005-0000-0000-000025C00000}"/>
    <cellStyle name="Процентный 5 3 48 2 2" xfId="55593" xr:uid="{00000000-0005-0000-0000-000026C00000}"/>
    <cellStyle name="Процентный 5 3 48 3" xfId="12872" xr:uid="{00000000-0005-0000-0000-000027C00000}"/>
    <cellStyle name="Процентный 5 3 48 4" xfId="18212" xr:uid="{00000000-0005-0000-0000-000028C00000}"/>
    <cellStyle name="Процентный 5 3 48 5" xfId="23552" xr:uid="{00000000-0005-0000-0000-000029C00000}"/>
    <cellStyle name="Процентный 5 3 48 6" xfId="28892" xr:uid="{00000000-0005-0000-0000-00002AC00000}"/>
    <cellStyle name="Процентный 5 3 48 7" xfId="34232" xr:uid="{00000000-0005-0000-0000-00002BC00000}"/>
    <cellStyle name="Процентный 5 3 48 8" xfId="39572" xr:uid="{00000000-0005-0000-0000-00002CC00000}"/>
    <cellStyle name="Процентный 5 3 48 9" xfId="44912" xr:uid="{00000000-0005-0000-0000-00002DC00000}"/>
    <cellStyle name="Процентный 5 3 49" xfId="2218" xr:uid="{00000000-0005-0000-0000-00002EC00000}"/>
    <cellStyle name="Процентный 5 3 49 10" xfId="50282" xr:uid="{00000000-0005-0000-0000-00002FC00000}"/>
    <cellStyle name="Процентный 5 3 49 2" xfId="7561" xr:uid="{00000000-0005-0000-0000-000030C00000}"/>
    <cellStyle name="Процентный 5 3 49 2 2" xfId="55623" xr:uid="{00000000-0005-0000-0000-000031C00000}"/>
    <cellStyle name="Процентный 5 3 49 3" xfId="12902" xr:uid="{00000000-0005-0000-0000-000032C00000}"/>
    <cellStyle name="Процентный 5 3 49 4" xfId="18242" xr:uid="{00000000-0005-0000-0000-000033C00000}"/>
    <cellStyle name="Процентный 5 3 49 5" xfId="23582" xr:uid="{00000000-0005-0000-0000-000034C00000}"/>
    <cellStyle name="Процентный 5 3 49 6" xfId="28922" xr:uid="{00000000-0005-0000-0000-000035C00000}"/>
    <cellStyle name="Процентный 5 3 49 7" xfId="34262" xr:uid="{00000000-0005-0000-0000-000036C00000}"/>
    <cellStyle name="Процентный 5 3 49 8" xfId="39602" xr:uid="{00000000-0005-0000-0000-000037C00000}"/>
    <cellStyle name="Процентный 5 3 49 9" xfId="44942" xr:uid="{00000000-0005-0000-0000-000038C00000}"/>
    <cellStyle name="Процентный 5 3 5" xfId="1050" xr:uid="{00000000-0005-0000-0000-000039C00000}"/>
    <cellStyle name="Процентный 5 3 5 10" xfId="49112" xr:uid="{00000000-0005-0000-0000-00003AC00000}"/>
    <cellStyle name="Процентный 5 3 5 2" xfId="6391" xr:uid="{00000000-0005-0000-0000-00003BC00000}"/>
    <cellStyle name="Процентный 5 3 5 2 2" xfId="54453" xr:uid="{00000000-0005-0000-0000-00003CC00000}"/>
    <cellStyle name="Процентный 5 3 5 3" xfId="11732" xr:uid="{00000000-0005-0000-0000-00003DC00000}"/>
    <cellStyle name="Процентный 5 3 5 4" xfId="17072" xr:uid="{00000000-0005-0000-0000-00003EC00000}"/>
    <cellStyle name="Процентный 5 3 5 5" xfId="22412" xr:uid="{00000000-0005-0000-0000-00003FC00000}"/>
    <cellStyle name="Процентный 5 3 5 6" xfId="27752" xr:uid="{00000000-0005-0000-0000-000040C00000}"/>
    <cellStyle name="Процентный 5 3 5 7" xfId="33092" xr:uid="{00000000-0005-0000-0000-000041C00000}"/>
    <cellStyle name="Процентный 5 3 5 8" xfId="38432" xr:uid="{00000000-0005-0000-0000-000042C00000}"/>
    <cellStyle name="Процентный 5 3 5 9" xfId="43772" xr:uid="{00000000-0005-0000-0000-000043C00000}"/>
    <cellStyle name="Процентный 5 3 50" xfId="2248" xr:uid="{00000000-0005-0000-0000-000044C00000}"/>
    <cellStyle name="Процентный 5 3 50 10" xfId="50312" xr:uid="{00000000-0005-0000-0000-000045C00000}"/>
    <cellStyle name="Процентный 5 3 50 2" xfId="7591" xr:uid="{00000000-0005-0000-0000-000046C00000}"/>
    <cellStyle name="Процентный 5 3 50 2 2" xfId="55653" xr:uid="{00000000-0005-0000-0000-000047C00000}"/>
    <cellStyle name="Процентный 5 3 50 3" xfId="12932" xr:uid="{00000000-0005-0000-0000-000048C00000}"/>
    <cellStyle name="Процентный 5 3 50 4" xfId="18272" xr:uid="{00000000-0005-0000-0000-000049C00000}"/>
    <cellStyle name="Процентный 5 3 50 5" xfId="23612" xr:uid="{00000000-0005-0000-0000-00004AC00000}"/>
    <cellStyle name="Процентный 5 3 50 6" xfId="28952" xr:uid="{00000000-0005-0000-0000-00004BC00000}"/>
    <cellStyle name="Процентный 5 3 50 7" xfId="34292" xr:uid="{00000000-0005-0000-0000-00004CC00000}"/>
    <cellStyle name="Процентный 5 3 50 8" xfId="39632" xr:uid="{00000000-0005-0000-0000-00004DC00000}"/>
    <cellStyle name="Процентный 5 3 50 9" xfId="44972" xr:uid="{00000000-0005-0000-0000-00004EC00000}"/>
    <cellStyle name="Процентный 5 3 51" xfId="2278" xr:uid="{00000000-0005-0000-0000-00004FC00000}"/>
    <cellStyle name="Процентный 5 3 51 10" xfId="50342" xr:uid="{00000000-0005-0000-0000-000050C00000}"/>
    <cellStyle name="Процентный 5 3 51 2" xfId="7621" xr:uid="{00000000-0005-0000-0000-000051C00000}"/>
    <cellStyle name="Процентный 5 3 51 2 2" xfId="55683" xr:uid="{00000000-0005-0000-0000-000052C00000}"/>
    <cellStyle name="Процентный 5 3 51 3" xfId="12962" xr:uid="{00000000-0005-0000-0000-000053C00000}"/>
    <cellStyle name="Процентный 5 3 51 4" xfId="18302" xr:uid="{00000000-0005-0000-0000-000054C00000}"/>
    <cellStyle name="Процентный 5 3 51 5" xfId="23642" xr:uid="{00000000-0005-0000-0000-000055C00000}"/>
    <cellStyle name="Процентный 5 3 51 6" xfId="28982" xr:uid="{00000000-0005-0000-0000-000056C00000}"/>
    <cellStyle name="Процентный 5 3 51 7" xfId="34322" xr:uid="{00000000-0005-0000-0000-000057C00000}"/>
    <cellStyle name="Процентный 5 3 51 8" xfId="39662" xr:uid="{00000000-0005-0000-0000-000058C00000}"/>
    <cellStyle name="Процентный 5 3 51 9" xfId="45002" xr:uid="{00000000-0005-0000-0000-000059C00000}"/>
    <cellStyle name="Процентный 5 3 52" xfId="2308" xr:uid="{00000000-0005-0000-0000-00005AC00000}"/>
    <cellStyle name="Процентный 5 3 52 10" xfId="50372" xr:uid="{00000000-0005-0000-0000-00005BC00000}"/>
    <cellStyle name="Процентный 5 3 52 2" xfId="7651" xr:uid="{00000000-0005-0000-0000-00005CC00000}"/>
    <cellStyle name="Процентный 5 3 52 2 2" xfId="55713" xr:uid="{00000000-0005-0000-0000-00005DC00000}"/>
    <cellStyle name="Процентный 5 3 52 3" xfId="12992" xr:uid="{00000000-0005-0000-0000-00005EC00000}"/>
    <cellStyle name="Процентный 5 3 52 4" xfId="18332" xr:uid="{00000000-0005-0000-0000-00005FC00000}"/>
    <cellStyle name="Процентный 5 3 52 5" xfId="23672" xr:uid="{00000000-0005-0000-0000-000060C00000}"/>
    <cellStyle name="Процентный 5 3 52 6" xfId="29012" xr:uid="{00000000-0005-0000-0000-000061C00000}"/>
    <cellStyle name="Процентный 5 3 52 7" xfId="34352" xr:uid="{00000000-0005-0000-0000-000062C00000}"/>
    <cellStyle name="Процентный 5 3 52 8" xfId="39692" xr:uid="{00000000-0005-0000-0000-000063C00000}"/>
    <cellStyle name="Процентный 5 3 52 9" xfId="45032" xr:uid="{00000000-0005-0000-0000-000064C00000}"/>
    <cellStyle name="Процентный 5 3 53" xfId="2338" xr:uid="{00000000-0005-0000-0000-000065C00000}"/>
    <cellStyle name="Процентный 5 3 53 10" xfId="50402" xr:uid="{00000000-0005-0000-0000-000066C00000}"/>
    <cellStyle name="Процентный 5 3 53 2" xfId="7681" xr:uid="{00000000-0005-0000-0000-000067C00000}"/>
    <cellStyle name="Процентный 5 3 53 2 2" xfId="55743" xr:uid="{00000000-0005-0000-0000-000068C00000}"/>
    <cellStyle name="Процентный 5 3 53 3" xfId="13022" xr:uid="{00000000-0005-0000-0000-000069C00000}"/>
    <cellStyle name="Процентный 5 3 53 4" xfId="18362" xr:uid="{00000000-0005-0000-0000-00006AC00000}"/>
    <cellStyle name="Процентный 5 3 53 5" xfId="23702" xr:uid="{00000000-0005-0000-0000-00006BC00000}"/>
    <cellStyle name="Процентный 5 3 53 6" xfId="29042" xr:uid="{00000000-0005-0000-0000-00006CC00000}"/>
    <cellStyle name="Процентный 5 3 53 7" xfId="34382" xr:uid="{00000000-0005-0000-0000-00006DC00000}"/>
    <cellStyle name="Процентный 5 3 53 8" xfId="39722" xr:uid="{00000000-0005-0000-0000-00006EC00000}"/>
    <cellStyle name="Процентный 5 3 53 9" xfId="45062" xr:uid="{00000000-0005-0000-0000-00006FC00000}"/>
    <cellStyle name="Процентный 5 3 54" xfId="2368" xr:uid="{00000000-0005-0000-0000-000070C00000}"/>
    <cellStyle name="Процентный 5 3 54 10" xfId="50432" xr:uid="{00000000-0005-0000-0000-000071C00000}"/>
    <cellStyle name="Процентный 5 3 54 2" xfId="7711" xr:uid="{00000000-0005-0000-0000-000072C00000}"/>
    <cellStyle name="Процентный 5 3 54 2 2" xfId="55773" xr:uid="{00000000-0005-0000-0000-000073C00000}"/>
    <cellStyle name="Процентный 5 3 54 3" xfId="13052" xr:uid="{00000000-0005-0000-0000-000074C00000}"/>
    <cellStyle name="Процентный 5 3 54 4" xfId="18392" xr:uid="{00000000-0005-0000-0000-000075C00000}"/>
    <cellStyle name="Процентный 5 3 54 5" xfId="23732" xr:uid="{00000000-0005-0000-0000-000076C00000}"/>
    <cellStyle name="Процентный 5 3 54 6" xfId="29072" xr:uid="{00000000-0005-0000-0000-000077C00000}"/>
    <cellStyle name="Процентный 5 3 54 7" xfId="34412" xr:uid="{00000000-0005-0000-0000-000078C00000}"/>
    <cellStyle name="Процентный 5 3 54 8" xfId="39752" xr:uid="{00000000-0005-0000-0000-000079C00000}"/>
    <cellStyle name="Процентный 5 3 54 9" xfId="45092" xr:uid="{00000000-0005-0000-0000-00007AC00000}"/>
    <cellStyle name="Процентный 5 3 55" xfId="2398" xr:uid="{00000000-0005-0000-0000-00007BC00000}"/>
    <cellStyle name="Процентный 5 3 55 10" xfId="50462" xr:uid="{00000000-0005-0000-0000-00007CC00000}"/>
    <cellStyle name="Процентный 5 3 55 2" xfId="7741" xr:uid="{00000000-0005-0000-0000-00007DC00000}"/>
    <cellStyle name="Процентный 5 3 55 2 2" xfId="55803" xr:uid="{00000000-0005-0000-0000-00007EC00000}"/>
    <cellStyle name="Процентный 5 3 55 3" xfId="13082" xr:uid="{00000000-0005-0000-0000-00007FC00000}"/>
    <cellStyle name="Процентный 5 3 55 4" xfId="18422" xr:uid="{00000000-0005-0000-0000-000080C00000}"/>
    <cellStyle name="Процентный 5 3 55 5" xfId="23762" xr:uid="{00000000-0005-0000-0000-000081C00000}"/>
    <cellStyle name="Процентный 5 3 55 6" xfId="29102" xr:uid="{00000000-0005-0000-0000-000082C00000}"/>
    <cellStyle name="Процентный 5 3 55 7" xfId="34442" xr:uid="{00000000-0005-0000-0000-000083C00000}"/>
    <cellStyle name="Процентный 5 3 55 8" xfId="39782" xr:uid="{00000000-0005-0000-0000-000084C00000}"/>
    <cellStyle name="Процентный 5 3 55 9" xfId="45122" xr:uid="{00000000-0005-0000-0000-000085C00000}"/>
    <cellStyle name="Процентный 5 3 56" xfId="2428" xr:uid="{00000000-0005-0000-0000-000086C00000}"/>
    <cellStyle name="Процентный 5 3 56 10" xfId="50492" xr:uid="{00000000-0005-0000-0000-000087C00000}"/>
    <cellStyle name="Процентный 5 3 56 2" xfId="7771" xr:uid="{00000000-0005-0000-0000-000088C00000}"/>
    <cellStyle name="Процентный 5 3 56 2 2" xfId="55833" xr:uid="{00000000-0005-0000-0000-000089C00000}"/>
    <cellStyle name="Процентный 5 3 56 3" xfId="13112" xr:uid="{00000000-0005-0000-0000-00008AC00000}"/>
    <cellStyle name="Процентный 5 3 56 4" xfId="18452" xr:uid="{00000000-0005-0000-0000-00008BC00000}"/>
    <cellStyle name="Процентный 5 3 56 5" xfId="23792" xr:uid="{00000000-0005-0000-0000-00008CC00000}"/>
    <cellStyle name="Процентный 5 3 56 6" xfId="29132" xr:uid="{00000000-0005-0000-0000-00008DC00000}"/>
    <cellStyle name="Процентный 5 3 56 7" xfId="34472" xr:uid="{00000000-0005-0000-0000-00008EC00000}"/>
    <cellStyle name="Процентный 5 3 56 8" xfId="39812" xr:uid="{00000000-0005-0000-0000-00008FC00000}"/>
    <cellStyle name="Процентный 5 3 56 9" xfId="45152" xr:uid="{00000000-0005-0000-0000-000090C00000}"/>
    <cellStyle name="Процентный 5 3 57" xfId="2458" xr:uid="{00000000-0005-0000-0000-000091C00000}"/>
    <cellStyle name="Процентный 5 3 57 10" xfId="50522" xr:uid="{00000000-0005-0000-0000-000092C00000}"/>
    <cellStyle name="Процентный 5 3 57 2" xfId="7801" xr:uid="{00000000-0005-0000-0000-000093C00000}"/>
    <cellStyle name="Процентный 5 3 57 2 2" xfId="55863" xr:uid="{00000000-0005-0000-0000-000094C00000}"/>
    <cellStyle name="Процентный 5 3 57 3" xfId="13142" xr:uid="{00000000-0005-0000-0000-000095C00000}"/>
    <cellStyle name="Процентный 5 3 57 4" xfId="18482" xr:uid="{00000000-0005-0000-0000-000096C00000}"/>
    <cellStyle name="Процентный 5 3 57 5" xfId="23822" xr:uid="{00000000-0005-0000-0000-000097C00000}"/>
    <cellStyle name="Процентный 5 3 57 6" xfId="29162" xr:uid="{00000000-0005-0000-0000-000098C00000}"/>
    <cellStyle name="Процентный 5 3 57 7" xfId="34502" xr:uid="{00000000-0005-0000-0000-000099C00000}"/>
    <cellStyle name="Процентный 5 3 57 8" xfId="39842" xr:uid="{00000000-0005-0000-0000-00009AC00000}"/>
    <cellStyle name="Процентный 5 3 57 9" xfId="45182" xr:uid="{00000000-0005-0000-0000-00009BC00000}"/>
    <cellStyle name="Процентный 5 3 58" xfId="2488" xr:uid="{00000000-0005-0000-0000-00009CC00000}"/>
    <cellStyle name="Процентный 5 3 58 10" xfId="50552" xr:uid="{00000000-0005-0000-0000-00009DC00000}"/>
    <cellStyle name="Процентный 5 3 58 2" xfId="7831" xr:uid="{00000000-0005-0000-0000-00009EC00000}"/>
    <cellStyle name="Процентный 5 3 58 2 2" xfId="55893" xr:uid="{00000000-0005-0000-0000-00009FC00000}"/>
    <cellStyle name="Процентный 5 3 58 3" xfId="13172" xr:uid="{00000000-0005-0000-0000-0000A0C00000}"/>
    <cellStyle name="Процентный 5 3 58 4" xfId="18512" xr:uid="{00000000-0005-0000-0000-0000A1C00000}"/>
    <cellStyle name="Процентный 5 3 58 5" xfId="23852" xr:uid="{00000000-0005-0000-0000-0000A2C00000}"/>
    <cellStyle name="Процентный 5 3 58 6" xfId="29192" xr:uid="{00000000-0005-0000-0000-0000A3C00000}"/>
    <cellStyle name="Процентный 5 3 58 7" xfId="34532" xr:uid="{00000000-0005-0000-0000-0000A4C00000}"/>
    <cellStyle name="Процентный 5 3 58 8" xfId="39872" xr:uid="{00000000-0005-0000-0000-0000A5C00000}"/>
    <cellStyle name="Процентный 5 3 58 9" xfId="45212" xr:uid="{00000000-0005-0000-0000-0000A6C00000}"/>
    <cellStyle name="Процентный 5 3 59" xfId="2520" xr:uid="{00000000-0005-0000-0000-0000A7C00000}"/>
    <cellStyle name="Процентный 5 3 59 10" xfId="50584" xr:uid="{00000000-0005-0000-0000-0000A8C00000}"/>
    <cellStyle name="Процентный 5 3 59 2" xfId="7863" xr:uid="{00000000-0005-0000-0000-0000A9C00000}"/>
    <cellStyle name="Процентный 5 3 59 2 2" xfId="55925" xr:uid="{00000000-0005-0000-0000-0000AAC00000}"/>
    <cellStyle name="Процентный 5 3 59 3" xfId="13204" xr:uid="{00000000-0005-0000-0000-0000ABC00000}"/>
    <cellStyle name="Процентный 5 3 59 4" xfId="18544" xr:uid="{00000000-0005-0000-0000-0000ACC00000}"/>
    <cellStyle name="Процентный 5 3 59 5" xfId="23884" xr:uid="{00000000-0005-0000-0000-0000ADC00000}"/>
    <cellStyle name="Процентный 5 3 59 6" xfId="29224" xr:uid="{00000000-0005-0000-0000-0000AEC00000}"/>
    <cellStyle name="Процентный 5 3 59 7" xfId="34564" xr:uid="{00000000-0005-0000-0000-0000AFC00000}"/>
    <cellStyle name="Процентный 5 3 59 8" xfId="39904" xr:uid="{00000000-0005-0000-0000-0000B0C00000}"/>
    <cellStyle name="Процентный 5 3 59 9" xfId="45244" xr:uid="{00000000-0005-0000-0000-0000B1C00000}"/>
    <cellStyle name="Процентный 5 3 6" xfId="1075" xr:uid="{00000000-0005-0000-0000-0000B2C00000}"/>
    <cellStyle name="Процентный 5 3 6 10" xfId="49138" xr:uid="{00000000-0005-0000-0000-0000B3C00000}"/>
    <cellStyle name="Процентный 5 3 6 2" xfId="6417" xr:uid="{00000000-0005-0000-0000-0000B4C00000}"/>
    <cellStyle name="Процентный 5 3 6 2 2" xfId="54479" xr:uid="{00000000-0005-0000-0000-0000B5C00000}"/>
    <cellStyle name="Процентный 5 3 6 3" xfId="11758" xr:uid="{00000000-0005-0000-0000-0000B6C00000}"/>
    <cellStyle name="Процентный 5 3 6 4" xfId="17098" xr:uid="{00000000-0005-0000-0000-0000B7C00000}"/>
    <cellStyle name="Процентный 5 3 6 5" xfId="22438" xr:uid="{00000000-0005-0000-0000-0000B8C00000}"/>
    <cellStyle name="Процентный 5 3 6 6" xfId="27778" xr:uid="{00000000-0005-0000-0000-0000B9C00000}"/>
    <cellStyle name="Процентный 5 3 6 7" xfId="33118" xr:uid="{00000000-0005-0000-0000-0000BAC00000}"/>
    <cellStyle name="Процентный 5 3 6 8" xfId="38458" xr:uid="{00000000-0005-0000-0000-0000BBC00000}"/>
    <cellStyle name="Процентный 5 3 6 9" xfId="43798" xr:uid="{00000000-0005-0000-0000-0000BCC00000}"/>
    <cellStyle name="Процентный 5 3 60" xfId="2554" xr:uid="{00000000-0005-0000-0000-0000BDC00000}"/>
    <cellStyle name="Процентный 5 3 60 10" xfId="50618" xr:uid="{00000000-0005-0000-0000-0000BEC00000}"/>
    <cellStyle name="Процентный 5 3 60 2" xfId="7897" xr:uid="{00000000-0005-0000-0000-0000BFC00000}"/>
    <cellStyle name="Процентный 5 3 60 2 2" xfId="55959" xr:uid="{00000000-0005-0000-0000-0000C0C00000}"/>
    <cellStyle name="Процентный 5 3 60 3" xfId="13238" xr:uid="{00000000-0005-0000-0000-0000C1C00000}"/>
    <cellStyle name="Процентный 5 3 60 4" xfId="18578" xr:uid="{00000000-0005-0000-0000-0000C2C00000}"/>
    <cellStyle name="Процентный 5 3 60 5" xfId="23918" xr:uid="{00000000-0005-0000-0000-0000C3C00000}"/>
    <cellStyle name="Процентный 5 3 60 6" xfId="29258" xr:uid="{00000000-0005-0000-0000-0000C4C00000}"/>
    <cellStyle name="Процентный 5 3 60 7" xfId="34598" xr:uid="{00000000-0005-0000-0000-0000C5C00000}"/>
    <cellStyle name="Процентный 5 3 60 8" xfId="39938" xr:uid="{00000000-0005-0000-0000-0000C6C00000}"/>
    <cellStyle name="Процентный 5 3 60 9" xfId="45278" xr:uid="{00000000-0005-0000-0000-0000C7C00000}"/>
    <cellStyle name="Процентный 5 3 61" xfId="2586" xr:uid="{00000000-0005-0000-0000-0000C8C00000}"/>
    <cellStyle name="Процентный 5 3 61 10" xfId="50650" xr:uid="{00000000-0005-0000-0000-0000C9C00000}"/>
    <cellStyle name="Процентный 5 3 61 2" xfId="7929" xr:uid="{00000000-0005-0000-0000-0000CAC00000}"/>
    <cellStyle name="Процентный 5 3 61 2 2" xfId="55991" xr:uid="{00000000-0005-0000-0000-0000CBC00000}"/>
    <cellStyle name="Процентный 5 3 61 3" xfId="13270" xr:uid="{00000000-0005-0000-0000-0000CCC00000}"/>
    <cellStyle name="Процентный 5 3 61 4" xfId="18610" xr:uid="{00000000-0005-0000-0000-0000CDC00000}"/>
    <cellStyle name="Процентный 5 3 61 5" xfId="23950" xr:uid="{00000000-0005-0000-0000-0000CEC00000}"/>
    <cellStyle name="Процентный 5 3 61 6" xfId="29290" xr:uid="{00000000-0005-0000-0000-0000CFC00000}"/>
    <cellStyle name="Процентный 5 3 61 7" xfId="34630" xr:uid="{00000000-0005-0000-0000-0000D0C00000}"/>
    <cellStyle name="Процентный 5 3 61 8" xfId="39970" xr:uid="{00000000-0005-0000-0000-0000D1C00000}"/>
    <cellStyle name="Процентный 5 3 61 9" xfId="45310" xr:uid="{00000000-0005-0000-0000-0000D2C00000}"/>
    <cellStyle name="Процентный 5 3 62" xfId="2618" xr:uid="{00000000-0005-0000-0000-0000D3C00000}"/>
    <cellStyle name="Процентный 5 3 62 10" xfId="50682" xr:uid="{00000000-0005-0000-0000-0000D4C00000}"/>
    <cellStyle name="Процентный 5 3 62 2" xfId="7961" xr:uid="{00000000-0005-0000-0000-0000D5C00000}"/>
    <cellStyle name="Процентный 5 3 62 2 2" xfId="56023" xr:uid="{00000000-0005-0000-0000-0000D6C00000}"/>
    <cellStyle name="Процентный 5 3 62 3" xfId="13302" xr:uid="{00000000-0005-0000-0000-0000D7C00000}"/>
    <cellStyle name="Процентный 5 3 62 4" xfId="18642" xr:uid="{00000000-0005-0000-0000-0000D8C00000}"/>
    <cellStyle name="Процентный 5 3 62 5" xfId="23982" xr:uid="{00000000-0005-0000-0000-0000D9C00000}"/>
    <cellStyle name="Процентный 5 3 62 6" xfId="29322" xr:uid="{00000000-0005-0000-0000-0000DAC00000}"/>
    <cellStyle name="Процентный 5 3 62 7" xfId="34662" xr:uid="{00000000-0005-0000-0000-0000DBC00000}"/>
    <cellStyle name="Процентный 5 3 62 8" xfId="40002" xr:uid="{00000000-0005-0000-0000-0000DCC00000}"/>
    <cellStyle name="Процентный 5 3 62 9" xfId="45342" xr:uid="{00000000-0005-0000-0000-0000DDC00000}"/>
    <cellStyle name="Процентный 5 3 63" xfId="2650" xr:uid="{00000000-0005-0000-0000-0000DEC00000}"/>
    <cellStyle name="Процентный 5 3 63 10" xfId="50714" xr:uid="{00000000-0005-0000-0000-0000DFC00000}"/>
    <cellStyle name="Процентный 5 3 63 2" xfId="7993" xr:uid="{00000000-0005-0000-0000-0000E0C00000}"/>
    <cellStyle name="Процентный 5 3 63 2 2" xfId="56055" xr:uid="{00000000-0005-0000-0000-0000E1C00000}"/>
    <cellStyle name="Процентный 5 3 63 3" xfId="13334" xr:uid="{00000000-0005-0000-0000-0000E2C00000}"/>
    <cellStyle name="Процентный 5 3 63 4" xfId="18674" xr:uid="{00000000-0005-0000-0000-0000E3C00000}"/>
    <cellStyle name="Процентный 5 3 63 5" xfId="24014" xr:uid="{00000000-0005-0000-0000-0000E4C00000}"/>
    <cellStyle name="Процентный 5 3 63 6" xfId="29354" xr:uid="{00000000-0005-0000-0000-0000E5C00000}"/>
    <cellStyle name="Процентный 5 3 63 7" xfId="34694" xr:uid="{00000000-0005-0000-0000-0000E6C00000}"/>
    <cellStyle name="Процентный 5 3 63 8" xfId="40034" xr:uid="{00000000-0005-0000-0000-0000E7C00000}"/>
    <cellStyle name="Процентный 5 3 63 9" xfId="45374" xr:uid="{00000000-0005-0000-0000-0000E8C00000}"/>
    <cellStyle name="Процентный 5 3 64" xfId="2682" xr:uid="{00000000-0005-0000-0000-0000E9C00000}"/>
    <cellStyle name="Процентный 5 3 64 10" xfId="50746" xr:uid="{00000000-0005-0000-0000-0000EAC00000}"/>
    <cellStyle name="Процентный 5 3 64 2" xfId="8025" xr:uid="{00000000-0005-0000-0000-0000EBC00000}"/>
    <cellStyle name="Процентный 5 3 64 2 2" xfId="56087" xr:uid="{00000000-0005-0000-0000-0000ECC00000}"/>
    <cellStyle name="Процентный 5 3 64 3" xfId="13366" xr:uid="{00000000-0005-0000-0000-0000EDC00000}"/>
    <cellStyle name="Процентный 5 3 64 4" xfId="18706" xr:uid="{00000000-0005-0000-0000-0000EEC00000}"/>
    <cellStyle name="Процентный 5 3 64 5" xfId="24046" xr:uid="{00000000-0005-0000-0000-0000EFC00000}"/>
    <cellStyle name="Процентный 5 3 64 6" xfId="29386" xr:uid="{00000000-0005-0000-0000-0000F0C00000}"/>
    <cellStyle name="Процентный 5 3 64 7" xfId="34726" xr:uid="{00000000-0005-0000-0000-0000F1C00000}"/>
    <cellStyle name="Процентный 5 3 64 8" xfId="40066" xr:uid="{00000000-0005-0000-0000-0000F2C00000}"/>
    <cellStyle name="Процентный 5 3 64 9" xfId="45406" xr:uid="{00000000-0005-0000-0000-0000F3C00000}"/>
    <cellStyle name="Процентный 5 3 65" xfId="2714" xr:uid="{00000000-0005-0000-0000-0000F4C00000}"/>
    <cellStyle name="Процентный 5 3 65 10" xfId="50778" xr:uid="{00000000-0005-0000-0000-0000F5C00000}"/>
    <cellStyle name="Процентный 5 3 65 2" xfId="8057" xr:uid="{00000000-0005-0000-0000-0000F6C00000}"/>
    <cellStyle name="Процентный 5 3 65 2 2" xfId="56119" xr:uid="{00000000-0005-0000-0000-0000F7C00000}"/>
    <cellStyle name="Процентный 5 3 65 3" xfId="13398" xr:uid="{00000000-0005-0000-0000-0000F8C00000}"/>
    <cellStyle name="Процентный 5 3 65 4" xfId="18738" xr:uid="{00000000-0005-0000-0000-0000F9C00000}"/>
    <cellStyle name="Процентный 5 3 65 5" xfId="24078" xr:uid="{00000000-0005-0000-0000-0000FAC00000}"/>
    <cellStyle name="Процентный 5 3 65 6" xfId="29418" xr:uid="{00000000-0005-0000-0000-0000FBC00000}"/>
    <cellStyle name="Процентный 5 3 65 7" xfId="34758" xr:uid="{00000000-0005-0000-0000-0000FCC00000}"/>
    <cellStyle name="Процентный 5 3 65 8" xfId="40098" xr:uid="{00000000-0005-0000-0000-0000FDC00000}"/>
    <cellStyle name="Процентный 5 3 65 9" xfId="45438" xr:uid="{00000000-0005-0000-0000-0000FEC00000}"/>
    <cellStyle name="Процентный 5 3 66" xfId="2746" xr:uid="{00000000-0005-0000-0000-0000FFC00000}"/>
    <cellStyle name="Процентный 5 3 66 10" xfId="50810" xr:uid="{00000000-0005-0000-0000-000000C10000}"/>
    <cellStyle name="Процентный 5 3 66 2" xfId="8089" xr:uid="{00000000-0005-0000-0000-000001C10000}"/>
    <cellStyle name="Процентный 5 3 66 2 2" xfId="56151" xr:uid="{00000000-0005-0000-0000-000002C10000}"/>
    <cellStyle name="Процентный 5 3 66 3" xfId="13430" xr:uid="{00000000-0005-0000-0000-000003C10000}"/>
    <cellStyle name="Процентный 5 3 66 4" xfId="18770" xr:uid="{00000000-0005-0000-0000-000004C10000}"/>
    <cellStyle name="Процентный 5 3 66 5" xfId="24110" xr:uid="{00000000-0005-0000-0000-000005C10000}"/>
    <cellStyle name="Процентный 5 3 66 6" xfId="29450" xr:uid="{00000000-0005-0000-0000-000006C10000}"/>
    <cellStyle name="Процентный 5 3 66 7" xfId="34790" xr:uid="{00000000-0005-0000-0000-000007C10000}"/>
    <cellStyle name="Процентный 5 3 66 8" xfId="40130" xr:uid="{00000000-0005-0000-0000-000008C10000}"/>
    <cellStyle name="Процентный 5 3 66 9" xfId="45470" xr:uid="{00000000-0005-0000-0000-000009C10000}"/>
    <cellStyle name="Процентный 5 3 67" xfId="2780" xr:uid="{00000000-0005-0000-0000-00000AC10000}"/>
    <cellStyle name="Процентный 5 3 67 10" xfId="50844" xr:uid="{00000000-0005-0000-0000-00000BC10000}"/>
    <cellStyle name="Процентный 5 3 67 2" xfId="8123" xr:uid="{00000000-0005-0000-0000-00000CC10000}"/>
    <cellStyle name="Процентный 5 3 67 2 2" xfId="56185" xr:uid="{00000000-0005-0000-0000-00000DC10000}"/>
    <cellStyle name="Процентный 5 3 67 3" xfId="13464" xr:uid="{00000000-0005-0000-0000-00000EC10000}"/>
    <cellStyle name="Процентный 5 3 67 4" xfId="18804" xr:uid="{00000000-0005-0000-0000-00000FC10000}"/>
    <cellStyle name="Процентный 5 3 67 5" xfId="24144" xr:uid="{00000000-0005-0000-0000-000010C10000}"/>
    <cellStyle name="Процентный 5 3 67 6" xfId="29484" xr:uid="{00000000-0005-0000-0000-000011C10000}"/>
    <cellStyle name="Процентный 5 3 67 7" xfId="34824" xr:uid="{00000000-0005-0000-0000-000012C10000}"/>
    <cellStyle name="Процентный 5 3 67 8" xfId="40164" xr:uid="{00000000-0005-0000-0000-000013C10000}"/>
    <cellStyle name="Процентный 5 3 67 9" xfId="45504" xr:uid="{00000000-0005-0000-0000-000014C10000}"/>
    <cellStyle name="Процентный 5 3 68" xfId="2812" xr:uid="{00000000-0005-0000-0000-000015C10000}"/>
    <cellStyle name="Процентный 5 3 68 10" xfId="50876" xr:uid="{00000000-0005-0000-0000-000016C10000}"/>
    <cellStyle name="Процентный 5 3 68 2" xfId="8155" xr:uid="{00000000-0005-0000-0000-000017C10000}"/>
    <cellStyle name="Процентный 5 3 68 2 2" xfId="56217" xr:uid="{00000000-0005-0000-0000-000018C10000}"/>
    <cellStyle name="Процентный 5 3 68 3" xfId="13496" xr:uid="{00000000-0005-0000-0000-000019C10000}"/>
    <cellStyle name="Процентный 5 3 68 4" xfId="18836" xr:uid="{00000000-0005-0000-0000-00001AC10000}"/>
    <cellStyle name="Процентный 5 3 68 5" xfId="24176" xr:uid="{00000000-0005-0000-0000-00001BC10000}"/>
    <cellStyle name="Процентный 5 3 68 6" xfId="29516" xr:uid="{00000000-0005-0000-0000-00001CC10000}"/>
    <cellStyle name="Процентный 5 3 68 7" xfId="34856" xr:uid="{00000000-0005-0000-0000-00001DC10000}"/>
    <cellStyle name="Процентный 5 3 68 8" xfId="40196" xr:uid="{00000000-0005-0000-0000-00001EC10000}"/>
    <cellStyle name="Процентный 5 3 68 9" xfId="45536" xr:uid="{00000000-0005-0000-0000-00001FC10000}"/>
    <cellStyle name="Процентный 5 3 69" xfId="2844" xr:uid="{00000000-0005-0000-0000-000020C10000}"/>
    <cellStyle name="Процентный 5 3 69 10" xfId="50908" xr:uid="{00000000-0005-0000-0000-000021C10000}"/>
    <cellStyle name="Процентный 5 3 69 2" xfId="8187" xr:uid="{00000000-0005-0000-0000-000022C10000}"/>
    <cellStyle name="Процентный 5 3 69 2 2" xfId="56249" xr:uid="{00000000-0005-0000-0000-000023C10000}"/>
    <cellStyle name="Процентный 5 3 69 3" xfId="13528" xr:uid="{00000000-0005-0000-0000-000024C10000}"/>
    <cellStyle name="Процентный 5 3 69 4" xfId="18868" xr:uid="{00000000-0005-0000-0000-000025C10000}"/>
    <cellStyle name="Процентный 5 3 69 5" xfId="24208" xr:uid="{00000000-0005-0000-0000-000026C10000}"/>
    <cellStyle name="Процентный 5 3 69 6" xfId="29548" xr:uid="{00000000-0005-0000-0000-000027C10000}"/>
    <cellStyle name="Процентный 5 3 69 7" xfId="34888" xr:uid="{00000000-0005-0000-0000-000028C10000}"/>
    <cellStyle name="Процентный 5 3 69 8" xfId="40228" xr:uid="{00000000-0005-0000-0000-000029C10000}"/>
    <cellStyle name="Процентный 5 3 69 9" xfId="45568" xr:uid="{00000000-0005-0000-0000-00002AC10000}"/>
    <cellStyle name="Процентный 5 3 7" xfId="1101" xr:uid="{00000000-0005-0000-0000-00002BC10000}"/>
    <cellStyle name="Процентный 5 3 7 10" xfId="49164" xr:uid="{00000000-0005-0000-0000-00002CC10000}"/>
    <cellStyle name="Процентный 5 3 7 2" xfId="6443" xr:uid="{00000000-0005-0000-0000-00002DC10000}"/>
    <cellStyle name="Процентный 5 3 7 2 2" xfId="54505" xr:uid="{00000000-0005-0000-0000-00002EC10000}"/>
    <cellStyle name="Процентный 5 3 7 3" xfId="11784" xr:uid="{00000000-0005-0000-0000-00002FC10000}"/>
    <cellStyle name="Процентный 5 3 7 4" xfId="17124" xr:uid="{00000000-0005-0000-0000-000030C10000}"/>
    <cellStyle name="Процентный 5 3 7 5" xfId="22464" xr:uid="{00000000-0005-0000-0000-000031C10000}"/>
    <cellStyle name="Процентный 5 3 7 6" xfId="27804" xr:uid="{00000000-0005-0000-0000-000032C10000}"/>
    <cellStyle name="Процентный 5 3 7 7" xfId="33144" xr:uid="{00000000-0005-0000-0000-000033C10000}"/>
    <cellStyle name="Процентный 5 3 7 8" xfId="38484" xr:uid="{00000000-0005-0000-0000-000034C10000}"/>
    <cellStyle name="Процентный 5 3 7 9" xfId="43824" xr:uid="{00000000-0005-0000-0000-000035C10000}"/>
    <cellStyle name="Процентный 5 3 70" xfId="2876" xr:uid="{00000000-0005-0000-0000-000036C10000}"/>
    <cellStyle name="Процентный 5 3 70 10" xfId="50940" xr:uid="{00000000-0005-0000-0000-000037C10000}"/>
    <cellStyle name="Процентный 5 3 70 2" xfId="8219" xr:uid="{00000000-0005-0000-0000-000038C10000}"/>
    <cellStyle name="Процентный 5 3 70 2 2" xfId="56281" xr:uid="{00000000-0005-0000-0000-000039C10000}"/>
    <cellStyle name="Процентный 5 3 70 3" xfId="13560" xr:uid="{00000000-0005-0000-0000-00003AC10000}"/>
    <cellStyle name="Процентный 5 3 70 4" xfId="18900" xr:uid="{00000000-0005-0000-0000-00003BC10000}"/>
    <cellStyle name="Процентный 5 3 70 5" xfId="24240" xr:uid="{00000000-0005-0000-0000-00003CC10000}"/>
    <cellStyle name="Процентный 5 3 70 6" xfId="29580" xr:uid="{00000000-0005-0000-0000-00003DC10000}"/>
    <cellStyle name="Процентный 5 3 70 7" xfId="34920" xr:uid="{00000000-0005-0000-0000-00003EC10000}"/>
    <cellStyle name="Процентный 5 3 70 8" xfId="40260" xr:uid="{00000000-0005-0000-0000-00003FC10000}"/>
    <cellStyle name="Процентный 5 3 70 9" xfId="45600" xr:uid="{00000000-0005-0000-0000-000040C10000}"/>
    <cellStyle name="Процентный 5 3 71" xfId="2908" xr:uid="{00000000-0005-0000-0000-000041C10000}"/>
    <cellStyle name="Процентный 5 3 71 10" xfId="50972" xr:uid="{00000000-0005-0000-0000-000042C10000}"/>
    <cellStyle name="Процентный 5 3 71 2" xfId="8251" xr:uid="{00000000-0005-0000-0000-000043C10000}"/>
    <cellStyle name="Процентный 5 3 71 2 2" xfId="56313" xr:uid="{00000000-0005-0000-0000-000044C10000}"/>
    <cellStyle name="Процентный 5 3 71 3" xfId="13592" xr:uid="{00000000-0005-0000-0000-000045C10000}"/>
    <cellStyle name="Процентный 5 3 71 4" xfId="18932" xr:uid="{00000000-0005-0000-0000-000046C10000}"/>
    <cellStyle name="Процентный 5 3 71 5" xfId="24272" xr:uid="{00000000-0005-0000-0000-000047C10000}"/>
    <cellStyle name="Процентный 5 3 71 6" xfId="29612" xr:uid="{00000000-0005-0000-0000-000048C10000}"/>
    <cellStyle name="Процентный 5 3 71 7" xfId="34952" xr:uid="{00000000-0005-0000-0000-000049C10000}"/>
    <cellStyle name="Процентный 5 3 71 8" xfId="40292" xr:uid="{00000000-0005-0000-0000-00004AC10000}"/>
    <cellStyle name="Процентный 5 3 71 9" xfId="45632" xr:uid="{00000000-0005-0000-0000-00004BC10000}"/>
    <cellStyle name="Процентный 5 3 72" xfId="2940" xr:uid="{00000000-0005-0000-0000-00004CC10000}"/>
    <cellStyle name="Процентный 5 3 72 10" xfId="51004" xr:uid="{00000000-0005-0000-0000-00004DC10000}"/>
    <cellStyle name="Процентный 5 3 72 2" xfId="8283" xr:uid="{00000000-0005-0000-0000-00004EC10000}"/>
    <cellStyle name="Процентный 5 3 72 2 2" xfId="56345" xr:uid="{00000000-0005-0000-0000-00004FC10000}"/>
    <cellStyle name="Процентный 5 3 72 3" xfId="13624" xr:uid="{00000000-0005-0000-0000-000050C10000}"/>
    <cellStyle name="Процентный 5 3 72 4" xfId="18964" xr:uid="{00000000-0005-0000-0000-000051C10000}"/>
    <cellStyle name="Процентный 5 3 72 5" xfId="24304" xr:uid="{00000000-0005-0000-0000-000052C10000}"/>
    <cellStyle name="Процентный 5 3 72 6" xfId="29644" xr:uid="{00000000-0005-0000-0000-000053C10000}"/>
    <cellStyle name="Процентный 5 3 72 7" xfId="34984" xr:uid="{00000000-0005-0000-0000-000054C10000}"/>
    <cellStyle name="Процентный 5 3 72 8" xfId="40324" xr:uid="{00000000-0005-0000-0000-000055C10000}"/>
    <cellStyle name="Процентный 5 3 72 9" xfId="45664" xr:uid="{00000000-0005-0000-0000-000056C10000}"/>
    <cellStyle name="Процентный 5 3 73" xfId="2972" xr:uid="{00000000-0005-0000-0000-000057C10000}"/>
    <cellStyle name="Процентный 5 3 73 10" xfId="51036" xr:uid="{00000000-0005-0000-0000-000058C10000}"/>
    <cellStyle name="Процентный 5 3 73 2" xfId="8315" xr:uid="{00000000-0005-0000-0000-000059C10000}"/>
    <cellStyle name="Процентный 5 3 73 2 2" xfId="56377" xr:uid="{00000000-0005-0000-0000-00005AC10000}"/>
    <cellStyle name="Процентный 5 3 73 3" xfId="13656" xr:uid="{00000000-0005-0000-0000-00005BC10000}"/>
    <cellStyle name="Процентный 5 3 73 4" xfId="18996" xr:uid="{00000000-0005-0000-0000-00005CC10000}"/>
    <cellStyle name="Процентный 5 3 73 5" xfId="24336" xr:uid="{00000000-0005-0000-0000-00005DC10000}"/>
    <cellStyle name="Процентный 5 3 73 6" xfId="29676" xr:uid="{00000000-0005-0000-0000-00005EC10000}"/>
    <cellStyle name="Процентный 5 3 73 7" xfId="35016" xr:uid="{00000000-0005-0000-0000-00005FC10000}"/>
    <cellStyle name="Процентный 5 3 73 8" xfId="40356" xr:uid="{00000000-0005-0000-0000-000060C10000}"/>
    <cellStyle name="Процентный 5 3 73 9" xfId="45696" xr:uid="{00000000-0005-0000-0000-000061C10000}"/>
    <cellStyle name="Процентный 5 3 74" xfId="3004" xr:uid="{00000000-0005-0000-0000-000062C10000}"/>
    <cellStyle name="Процентный 5 3 74 10" xfId="51068" xr:uid="{00000000-0005-0000-0000-000063C10000}"/>
    <cellStyle name="Процентный 5 3 74 2" xfId="8347" xr:uid="{00000000-0005-0000-0000-000064C10000}"/>
    <cellStyle name="Процентный 5 3 74 2 2" xfId="56409" xr:uid="{00000000-0005-0000-0000-000065C10000}"/>
    <cellStyle name="Процентный 5 3 74 3" xfId="13688" xr:uid="{00000000-0005-0000-0000-000066C10000}"/>
    <cellStyle name="Процентный 5 3 74 4" xfId="19028" xr:uid="{00000000-0005-0000-0000-000067C10000}"/>
    <cellStyle name="Процентный 5 3 74 5" xfId="24368" xr:uid="{00000000-0005-0000-0000-000068C10000}"/>
    <cellStyle name="Процентный 5 3 74 6" xfId="29708" xr:uid="{00000000-0005-0000-0000-000069C10000}"/>
    <cellStyle name="Процентный 5 3 74 7" xfId="35048" xr:uid="{00000000-0005-0000-0000-00006AC10000}"/>
    <cellStyle name="Процентный 5 3 74 8" xfId="40388" xr:uid="{00000000-0005-0000-0000-00006BC10000}"/>
    <cellStyle name="Процентный 5 3 74 9" xfId="45728" xr:uid="{00000000-0005-0000-0000-00006CC10000}"/>
    <cellStyle name="Процентный 5 3 75" xfId="3036" xr:uid="{00000000-0005-0000-0000-00006DC10000}"/>
    <cellStyle name="Процентный 5 3 75 10" xfId="51100" xr:uid="{00000000-0005-0000-0000-00006EC10000}"/>
    <cellStyle name="Процентный 5 3 75 2" xfId="8379" xr:uid="{00000000-0005-0000-0000-00006FC10000}"/>
    <cellStyle name="Процентный 5 3 75 2 2" xfId="56441" xr:uid="{00000000-0005-0000-0000-000070C10000}"/>
    <cellStyle name="Процентный 5 3 75 3" xfId="13720" xr:uid="{00000000-0005-0000-0000-000071C10000}"/>
    <cellStyle name="Процентный 5 3 75 4" xfId="19060" xr:uid="{00000000-0005-0000-0000-000072C10000}"/>
    <cellStyle name="Процентный 5 3 75 5" xfId="24400" xr:uid="{00000000-0005-0000-0000-000073C10000}"/>
    <cellStyle name="Процентный 5 3 75 6" xfId="29740" xr:uid="{00000000-0005-0000-0000-000074C10000}"/>
    <cellStyle name="Процентный 5 3 75 7" xfId="35080" xr:uid="{00000000-0005-0000-0000-000075C10000}"/>
    <cellStyle name="Процентный 5 3 75 8" xfId="40420" xr:uid="{00000000-0005-0000-0000-000076C10000}"/>
    <cellStyle name="Процентный 5 3 75 9" xfId="45760" xr:uid="{00000000-0005-0000-0000-000077C10000}"/>
    <cellStyle name="Процентный 5 3 76" xfId="3068" xr:uid="{00000000-0005-0000-0000-000078C10000}"/>
    <cellStyle name="Процентный 5 3 76 10" xfId="51132" xr:uid="{00000000-0005-0000-0000-000079C10000}"/>
    <cellStyle name="Процентный 5 3 76 2" xfId="8411" xr:uid="{00000000-0005-0000-0000-00007AC10000}"/>
    <cellStyle name="Процентный 5 3 76 2 2" xfId="56473" xr:uid="{00000000-0005-0000-0000-00007BC10000}"/>
    <cellStyle name="Процентный 5 3 76 3" xfId="13752" xr:uid="{00000000-0005-0000-0000-00007CC10000}"/>
    <cellStyle name="Процентный 5 3 76 4" xfId="19092" xr:uid="{00000000-0005-0000-0000-00007DC10000}"/>
    <cellStyle name="Процентный 5 3 76 5" xfId="24432" xr:uid="{00000000-0005-0000-0000-00007EC10000}"/>
    <cellStyle name="Процентный 5 3 76 6" xfId="29772" xr:uid="{00000000-0005-0000-0000-00007FC10000}"/>
    <cellStyle name="Процентный 5 3 76 7" xfId="35112" xr:uid="{00000000-0005-0000-0000-000080C10000}"/>
    <cellStyle name="Процентный 5 3 76 8" xfId="40452" xr:uid="{00000000-0005-0000-0000-000081C10000}"/>
    <cellStyle name="Процентный 5 3 76 9" xfId="45792" xr:uid="{00000000-0005-0000-0000-000082C10000}"/>
    <cellStyle name="Процентный 5 3 77" xfId="3100" xr:uid="{00000000-0005-0000-0000-000083C10000}"/>
    <cellStyle name="Процентный 5 3 77 10" xfId="51164" xr:uid="{00000000-0005-0000-0000-000084C10000}"/>
    <cellStyle name="Процентный 5 3 77 2" xfId="8443" xr:uid="{00000000-0005-0000-0000-000085C10000}"/>
    <cellStyle name="Процентный 5 3 77 2 2" xfId="56505" xr:uid="{00000000-0005-0000-0000-000086C10000}"/>
    <cellStyle name="Процентный 5 3 77 3" xfId="13784" xr:uid="{00000000-0005-0000-0000-000087C10000}"/>
    <cellStyle name="Процентный 5 3 77 4" xfId="19124" xr:uid="{00000000-0005-0000-0000-000088C10000}"/>
    <cellStyle name="Процентный 5 3 77 5" xfId="24464" xr:uid="{00000000-0005-0000-0000-000089C10000}"/>
    <cellStyle name="Процентный 5 3 77 6" xfId="29804" xr:uid="{00000000-0005-0000-0000-00008AC10000}"/>
    <cellStyle name="Процентный 5 3 77 7" xfId="35144" xr:uid="{00000000-0005-0000-0000-00008BC10000}"/>
    <cellStyle name="Процентный 5 3 77 8" xfId="40484" xr:uid="{00000000-0005-0000-0000-00008CC10000}"/>
    <cellStyle name="Процентный 5 3 77 9" xfId="45824" xr:uid="{00000000-0005-0000-0000-00008DC10000}"/>
    <cellStyle name="Процентный 5 3 78" xfId="3133" xr:uid="{00000000-0005-0000-0000-00008EC10000}"/>
    <cellStyle name="Процентный 5 3 78 10" xfId="51196" xr:uid="{00000000-0005-0000-0000-00008FC10000}"/>
    <cellStyle name="Процентный 5 3 78 2" xfId="8476" xr:uid="{00000000-0005-0000-0000-000090C10000}"/>
    <cellStyle name="Процентный 5 3 78 2 2" xfId="56537" xr:uid="{00000000-0005-0000-0000-000091C10000}"/>
    <cellStyle name="Процентный 5 3 78 3" xfId="13816" xr:uid="{00000000-0005-0000-0000-000092C10000}"/>
    <cellStyle name="Процентный 5 3 78 4" xfId="19156" xr:uid="{00000000-0005-0000-0000-000093C10000}"/>
    <cellStyle name="Процентный 5 3 78 5" xfId="24496" xr:uid="{00000000-0005-0000-0000-000094C10000}"/>
    <cellStyle name="Процентный 5 3 78 6" xfId="29836" xr:uid="{00000000-0005-0000-0000-000095C10000}"/>
    <cellStyle name="Процентный 5 3 78 7" xfId="35176" xr:uid="{00000000-0005-0000-0000-000096C10000}"/>
    <cellStyle name="Процентный 5 3 78 8" xfId="40516" xr:uid="{00000000-0005-0000-0000-000097C10000}"/>
    <cellStyle name="Процентный 5 3 78 9" xfId="45856" xr:uid="{00000000-0005-0000-0000-000098C10000}"/>
    <cellStyle name="Процентный 5 3 79" xfId="3165" xr:uid="{00000000-0005-0000-0000-000099C10000}"/>
    <cellStyle name="Процентный 5 3 79 10" xfId="51228" xr:uid="{00000000-0005-0000-0000-00009AC10000}"/>
    <cellStyle name="Процентный 5 3 79 2" xfId="8508" xr:uid="{00000000-0005-0000-0000-00009BC10000}"/>
    <cellStyle name="Процентный 5 3 79 2 2" xfId="56569" xr:uid="{00000000-0005-0000-0000-00009CC10000}"/>
    <cellStyle name="Процентный 5 3 79 3" xfId="13848" xr:uid="{00000000-0005-0000-0000-00009DC10000}"/>
    <cellStyle name="Процентный 5 3 79 4" xfId="19188" xr:uid="{00000000-0005-0000-0000-00009EC10000}"/>
    <cellStyle name="Процентный 5 3 79 5" xfId="24528" xr:uid="{00000000-0005-0000-0000-00009FC10000}"/>
    <cellStyle name="Процентный 5 3 79 6" xfId="29868" xr:uid="{00000000-0005-0000-0000-0000A0C10000}"/>
    <cellStyle name="Процентный 5 3 79 7" xfId="35208" xr:uid="{00000000-0005-0000-0000-0000A1C10000}"/>
    <cellStyle name="Процентный 5 3 79 8" xfId="40548" xr:uid="{00000000-0005-0000-0000-0000A2C10000}"/>
    <cellStyle name="Процентный 5 3 79 9" xfId="45888" xr:uid="{00000000-0005-0000-0000-0000A3C10000}"/>
    <cellStyle name="Процентный 5 3 8" xfId="1127" xr:uid="{00000000-0005-0000-0000-0000A4C10000}"/>
    <cellStyle name="Процентный 5 3 8 10" xfId="49190" xr:uid="{00000000-0005-0000-0000-0000A5C10000}"/>
    <cellStyle name="Процентный 5 3 8 2" xfId="6469" xr:uid="{00000000-0005-0000-0000-0000A6C10000}"/>
    <cellStyle name="Процентный 5 3 8 2 2" xfId="54531" xr:uid="{00000000-0005-0000-0000-0000A7C10000}"/>
    <cellStyle name="Процентный 5 3 8 3" xfId="11810" xr:uid="{00000000-0005-0000-0000-0000A8C10000}"/>
    <cellStyle name="Процентный 5 3 8 4" xfId="17150" xr:uid="{00000000-0005-0000-0000-0000A9C10000}"/>
    <cellStyle name="Процентный 5 3 8 5" xfId="22490" xr:uid="{00000000-0005-0000-0000-0000AAC10000}"/>
    <cellStyle name="Процентный 5 3 8 6" xfId="27830" xr:uid="{00000000-0005-0000-0000-0000ABC10000}"/>
    <cellStyle name="Процентный 5 3 8 7" xfId="33170" xr:uid="{00000000-0005-0000-0000-0000ACC10000}"/>
    <cellStyle name="Процентный 5 3 8 8" xfId="38510" xr:uid="{00000000-0005-0000-0000-0000ADC10000}"/>
    <cellStyle name="Процентный 5 3 8 9" xfId="43850" xr:uid="{00000000-0005-0000-0000-0000AEC10000}"/>
    <cellStyle name="Процентный 5 3 80" xfId="3197" xr:uid="{00000000-0005-0000-0000-0000AFC10000}"/>
    <cellStyle name="Процентный 5 3 80 10" xfId="51260" xr:uid="{00000000-0005-0000-0000-0000B0C10000}"/>
    <cellStyle name="Процентный 5 3 80 2" xfId="8540" xr:uid="{00000000-0005-0000-0000-0000B1C10000}"/>
    <cellStyle name="Процентный 5 3 80 2 2" xfId="56601" xr:uid="{00000000-0005-0000-0000-0000B2C10000}"/>
    <cellStyle name="Процентный 5 3 80 3" xfId="13880" xr:uid="{00000000-0005-0000-0000-0000B3C10000}"/>
    <cellStyle name="Процентный 5 3 80 4" xfId="19220" xr:uid="{00000000-0005-0000-0000-0000B4C10000}"/>
    <cellStyle name="Процентный 5 3 80 5" xfId="24560" xr:uid="{00000000-0005-0000-0000-0000B5C10000}"/>
    <cellStyle name="Процентный 5 3 80 6" xfId="29900" xr:uid="{00000000-0005-0000-0000-0000B6C10000}"/>
    <cellStyle name="Процентный 5 3 80 7" xfId="35240" xr:uid="{00000000-0005-0000-0000-0000B7C10000}"/>
    <cellStyle name="Процентный 5 3 80 8" xfId="40580" xr:uid="{00000000-0005-0000-0000-0000B8C10000}"/>
    <cellStyle name="Процентный 5 3 80 9" xfId="45920" xr:uid="{00000000-0005-0000-0000-0000B9C10000}"/>
    <cellStyle name="Процентный 5 3 81" xfId="3229" xr:uid="{00000000-0005-0000-0000-0000BAC10000}"/>
    <cellStyle name="Процентный 5 3 81 10" xfId="51292" xr:uid="{00000000-0005-0000-0000-0000BBC10000}"/>
    <cellStyle name="Процентный 5 3 81 2" xfId="8572" xr:uid="{00000000-0005-0000-0000-0000BCC10000}"/>
    <cellStyle name="Процентный 5 3 81 2 2" xfId="56633" xr:uid="{00000000-0005-0000-0000-0000BDC10000}"/>
    <cellStyle name="Процентный 5 3 81 3" xfId="13912" xr:uid="{00000000-0005-0000-0000-0000BEC10000}"/>
    <cellStyle name="Процентный 5 3 81 4" xfId="19252" xr:uid="{00000000-0005-0000-0000-0000BFC10000}"/>
    <cellStyle name="Процентный 5 3 81 5" xfId="24592" xr:uid="{00000000-0005-0000-0000-0000C0C10000}"/>
    <cellStyle name="Процентный 5 3 81 6" xfId="29932" xr:uid="{00000000-0005-0000-0000-0000C1C10000}"/>
    <cellStyle name="Процентный 5 3 81 7" xfId="35272" xr:uid="{00000000-0005-0000-0000-0000C2C10000}"/>
    <cellStyle name="Процентный 5 3 81 8" xfId="40612" xr:uid="{00000000-0005-0000-0000-0000C3C10000}"/>
    <cellStyle name="Процентный 5 3 81 9" xfId="45952" xr:uid="{00000000-0005-0000-0000-0000C4C10000}"/>
    <cellStyle name="Процентный 5 3 82" xfId="3261" xr:uid="{00000000-0005-0000-0000-0000C5C10000}"/>
    <cellStyle name="Процентный 5 3 82 10" xfId="51324" xr:uid="{00000000-0005-0000-0000-0000C6C10000}"/>
    <cellStyle name="Процентный 5 3 82 2" xfId="8604" xr:uid="{00000000-0005-0000-0000-0000C7C10000}"/>
    <cellStyle name="Процентный 5 3 82 2 2" xfId="56665" xr:uid="{00000000-0005-0000-0000-0000C8C10000}"/>
    <cellStyle name="Процентный 5 3 82 3" xfId="13944" xr:uid="{00000000-0005-0000-0000-0000C9C10000}"/>
    <cellStyle name="Процентный 5 3 82 4" xfId="19284" xr:uid="{00000000-0005-0000-0000-0000CAC10000}"/>
    <cellStyle name="Процентный 5 3 82 5" xfId="24624" xr:uid="{00000000-0005-0000-0000-0000CBC10000}"/>
    <cellStyle name="Процентный 5 3 82 6" xfId="29964" xr:uid="{00000000-0005-0000-0000-0000CCC10000}"/>
    <cellStyle name="Процентный 5 3 82 7" xfId="35304" xr:uid="{00000000-0005-0000-0000-0000CDC10000}"/>
    <cellStyle name="Процентный 5 3 82 8" xfId="40644" xr:uid="{00000000-0005-0000-0000-0000CEC10000}"/>
    <cellStyle name="Процентный 5 3 82 9" xfId="45984" xr:uid="{00000000-0005-0000-0000-0000CFC10000}"/>
    <cellStyle name="Процентный 5 3 83" xfId="3293" xr:uid="{00000000-0005-0000-0000-0000D0C10000}"/>
    <cellStyle name="Процентный 5 3 83 10" xfId="51356" xr:uid="{00000000-0005-0000-0000-0000D1C10000}"/>
    <cellStyle name="Процентный 5 3 83 2" xfId="8636" xr:uid="{00000000-0005-0000-0000-0000D2C10000}"/>
    <cellStyle name="Процентный 5 3 83 2 2" xfId="56697" xr:uid="{00000000-0005-0000-0000-0000D3C10000}"/>
    <cellStyle name="Процентный 5 3 83 3" xfId="13976" xr:uid="{00000000-0005-0000-0000-0000D4C10000}"/>
    <cellStyle name="Процентный 5 3 83 4" xfId="19316" xr:uid="{00000000-0005-0000-0000-0000D5C10000}"/>
    <cellStyle name="Процентный 5 3 83 5" xfId="24656" xr:uid="{00000000-0005-0000-0000-0000D6C10000}"/>
    <cellStyle name="Процентный 5 3 83 6" xfId="29996" xr:uid="{00000000-0005-0000-0000-0000D7C10000}"/>
    <cellStyle name="Процентный 5 3 83 7" xfId="35336" xr:uid="{00000000-0005-0000-0000-0000D8C10000}"/>
    <cellStyle name="Процентный 5 3 83 8" xfId="40676" xr:uid="{00000000-0005-0000-0000-0000D9C10000}"/>
    <cellStyle name="Процентный 5 3 83 9" xfId="46016" xr:uid="{00000000-0005-0000-0000-0000DAC10000}"/>
    <cellStyle name="Процентный 5 3 84" xfId="3325" xr:uid="{00000000-0005-0000-0000-0000DBC10000}"/>
    <cellStyle name="Процентный 5 3 84 10" xfId="51388" xr:uid="{00000000-0005-0000-0000-0000DCC10000}"/>
    <cellStyle name="Процентный 5 3 84 2" xfId="8668" xr:uid="{00000000-0005-0000-0000-0000DDC10000}"/>
    <cellStyle name="Процентный 5 3 84 2 2" xfId="56729" xr:uid="{00000000-0005-0000-0000-0000DEC10000}"/>
    <cellStyle name="Процентный 5 3 84 3" xfId="14008" xr:uid="{00000000-0005-0000-0000-0000DFC10000}"/>
    <cellStyle name="Процентный 5 3 84 4" xfId="19348" xr:uid="{00000000-0005-0000-0000-0000E0C10000}"/>
    <cellStyle name="Процентный 5 3 84 5" xfId="24688" xr:uid="{00000000-0005-0000-0000-0000E1C10000}"/>
    <cellStyle name="Процентный 5 3 84 6" xfId="30028" xr:uid="{00000000-0005-0000-0000-0000E2C10000}"/>
    <cellStyle name="Процентный 5 3 84 7" xfId="35368" xr:uid="{00000000-0005-0000-0000-0000E3C10000}"/>
    <cellStyle name="Процентный 5 3 84 8" xfId="40708" xr:uid="{00000000-0005-0000-0000-0000E4C10000}"/>
    <cellStyle name="Процентный 5 3 84 9" xfId="46048" xr:uid="{00000000-0005-0000-0000-0000E5C10000}"/>
    <cellStyle name="Процентный 5 3 85" xfId="3357" xr:uid="{00000000-0005-0000-0000-0000E6C10000}"/>
    <cellStyle name="Процентный 5 3 85 10" xfId="51420" xr:uid="{00000000-0005-0000-0000-0000E7C10000}"/>
    <cellStyle name="Процентный 5 3 85 2" xfId="8700" xr:uid="{00000000-0005-0000-0000-0000E8C10000}"/>
    <cellStyle name="Процентный 5 3 85 2 2" xfId="56761" xr:uid="{00000000-0005-0000-0000-0000E9C10000}"/>
    <cellStyle name="Процентный 5 3 85 3" xfId="14040" xr:uid="{00000000-0005-0000-0000-0000EAC10000}"/>
    <cellStyle name="Процентный 5 3 85 4" xfId="19380" xr:uid="{00000000-0005-0000-0000-0000EBC10000}"/>
    <cellStyle name="Процентный 5 3 85 5" xfId="24720" xr:uid="{00000000-0005-0000-0000-0000ECC10000}"/>
    <cellStyle name="Процентный 5 3 85 6" xfId="30060" xr:uid="{00000000-0005-0000-0000-0000EDC10000}"/>
    <cellStyle name="Процентный 5 3 85 7" xfId="35400" xr:uid="{00000000-0005-0000-0000-0000EEC10000}"/>
    <cellStyle name="Процентный 5 3 85 8" xfId="40740" xr:uid="{00000000-0005-0000-0000-0000EFC10000}"/>
    <cellStyle name="Процентный 5 3 85 9" xfId="46080" xr:uid="{00000000-0005-0000-0000-0000F0C10000}"/>
    <cellStyle name="Процентный 5 3 86" xfId="3389" xr:uid="{00000000-0005-0000-0000-0000F1C10000}"/>
    <cellStyle name="Процентный 5 3 86 10" xfId="51452" xr:uid="{00000000-0005-0000-0000-0000F2C10000}"/>
    <cellStyle name="Процентный 5 3 86 2" xfId="8732" xr:uid="{00000000-0005-0000-0000-0000F3C10000}"/>
    <cellStyle name="Процентный 5 3 86 2 2" xfId="56793" xr:uid="{00000000-0005-0000-0000-0000F4C10000}"/>
    <cellStyle name="Процентный 5 3 86 3" xfId="14072" xr:uid="{00000000-0005-0000-0000-0000F5C10000}"/>
    <cellStyle name="Процентный 5 3 86 4" xfId="19412" xr:uid="{00000000-0005-0000-0000-0000F6C10000}"/>
    <cellStyle name="Процентный 5 3 86 5" xfId="24752" xr:uid="{00000000-0005-0000-0000-0000F7C10000}"/>
    <cellStyle name="Процентный 5 3 86 6" xfId="30092" xr:uid="{00000000-0005-0000-0000-0000F8C10000}"/>
    <cellStyle name="Процентный 5 3 86 7" xfId="35432" xr:uid="{00000000-0005-0000-0000-0000F9C10000}"/>
    <cellStyle name="Процентный 5 3 86 8" xfId="40772" xr:uid="{00000000-0005-0000-0000-0000FAC10000}"/>
    <cellStyle name="Процентный 5 3 86 9" xfId="46112" xr:uid="{00000000-0005-0000-0000-0000FBC10000}"/>
    <cellStyle name="Процентный 5 3 87" xfId="3421" xr:uid="{00000000-0005-0000-0000-0000FCC10000}"/>
    <cellStyle name="Процентный 5 3 87 10" xfId="51484" xr:uid="{00000000-0005-0000-0000-0000FDC10000}"/>
    <cellStyle name="Процентный 5 3 87 2" xfId="8764" xr:uid="{00000000-0005-0000-0000-0000FEC10000}"/>
    <cellStyle name="Процентный 5 3 87 2 2" xfId="56825" xr:uid="{00000000-0005-0000-0000-0000FFC10000}"/>
    <cellStyle name="Процентный 5 3 87 3" xfId="14104" xr:uid="{00000000-0005-0000-0000-000000C20000}"/>
    <cellStyle name="Процентный 5 3 87 4" xfId="19444" xr:uid="{00000000-0005-0000-0000-000001C20000}"/>
    <cellStyle name="Процентный 5 3 87 5" xfId="24784" xr:uid="{00000000-0005-0000-0000-000002C20000}"/>
    <cellStyle name="Процентный 5 3 87 6" xfId="30124" xr:uid="{00000000-0005-0000-0000-000003C20000}"/>
    <cellStyle name="Процентный 5 3 87 7" xfId="35464" xr:uid="{00000000-0005-0000-0000-000004C20000}"/>
    <cellStyle name="Процентный 5 3 87 8" xfId="40804" xr:uid="{00000000-0005-0000-0000-000005C20000}"/>
    <cellStyle name="Процентный 5 3 87 9" xfId="46144" xr:uid="{00000000-0005-0000-0000-000006C20000}"/>
    <cellStyle name="Процентный 5 3 88" xfId="3453" xr:uid="{00000000-0005-0000-0000-000007C20000}"/>
    <cellStyle name="Процентный 5 3 88 10" xfId="51516" xr:uid="{00000000-0005-0000-0000-000008C20000}"/>
    <cellStyle name="Процентный 5 3 88 2" xfId="8796" xr:uid="{00000000-0005-0000-0000-000009C20000}"/>
    <cellStyle name="Процентный 5 3 88 2 2" xfId="56857" xr:uid="{00000000-0005-0000-0000-00000AC20000}"/>
    <cellStyle name="Процентный 5 3 88 3" xfId="14136" xr:uid="{00000000-0005-0000-0000-00000BC20000}"/>
    <cellStyle name="Процентный 5 3 88 4" xfId="19476" xr:uid="{00000000-0005-0000-0000-00000CC20000}"/>
    <cellStyle name="Процентный 5 3 88 5" xfId="24816" xr:uid="{00000000-0005-0000-0000-00000DC20000}"/>
    <cellStyle name="Процентный 5 3 88 6" xfId="30156" xr:uid="{00000000-0005-0000-0000-00000EC20000}"/>
    <cellStyle name="Процентный 5 3 88 7" xfId="35496" xr:uid="{00000000-0005-0000-0000-00000FC20000}"/>
    <cellStyle name="Процентный 5 3 88 8" xfId="40836" xr:uid="{00000000-0005-0000-0000-000010C20000}"/>
    <cellStyle name="Процентный 5 3 88 9" xfId="46176" xr:uid="{00000000-0005-0000-0000-000011C20000}"/>
    <cellStyle name="Процентный 5 3 89" xfId="3485" xr:uid="{00000000-0005-0000-0000-000012C20000}"/>
    <cellStyle name="Процентный 5 3 89 10" xfId="51548" xr:uid="{00000000-0005-0000-0000-000013C20000}"/>
    <cellStyle name="Процентный 5 3 89 2" xfId="8828" xr:uid="{00000000-0005-0000-0000-000014C20000}"/>
    <cellStyle name="Процентный 5 3 89 2 2" xfId="56889" xr:uid="{00000000-0005-0000-0000-000015C20000}"/>
    <cellStyle name="Процентный 5 3 89 3" xfId="14168" xr:uid="{00000000-0005-0000-0000-000016C20000}"/>
    <cellStyle name="Процентный 5 3 89 4" xfId="19508" xr:uid="{00000000-0005-0000-0000-000017C20000}"/>
    <cellStyle name="Процентный 5 3 89 5" xfId="24848" xr:uid="{00000000-0005-0000-0000-000018C20000}"/>
    <cellStyle name="Процентный 5 3 89 6" xfId="30188" xr:uid="{00000000-0005-0000-0000-000019C20000}"/>
    <cellStyle name="Процентный 5 3 89 7" xfId="35528" xr:uid="{00000000-0005-0000-0000-00001AC20000}"/>
    <cellStyle name="Процентный 5 3 89 8" xfId="40868" xr:uid="{00000000-0005-0000-0000-00001BC20000}"/>
    <cellStyle name="Процентный 5 3 89 9" xfId="46208" xr:uid="{00000000-0005-0000-0000-00001CC20000}"/>
    <cellStyle name="Процентный 5 3 9" xfId="1153" xr:uid="{00000000-0005-0000-0000-00001DC20000}"/>
    <cellStyle name="Процентный 5 3 9 10" xfId="49216" xr:uid="{00000000-0005-0000-0000-00001EC20000}"/>
    <cellStyle name="Процентный 5 3 9 2" xfId="6495" xr:uid="{00000000-0005-0000-0000-00001FC20000}"/>
    <cellStyle name="Процентный 5 3 9 2 2" xfId="54557" xr:uid="{00000000-0005-0000-0000-000020C20000}"/>
    <cellStyle name="Процентный 5 3 9 3" xfId="11836" xr:uid="{00000000-0005-0000-0000-000021C20000}"/>
    <cellStyle name="Процентный 5 3 9 4" xfId="17176" xr:uid="{00000000-0005-0000-0000-000022C20000}"/>
    <cellStyle name="Процентный 5 3 9 5" xfId="22516" xr:uid="{00000000-0005-0000-0000-000023C20000}"/>
    <cellStyle name="Процентный 5 3 9 6" xfId="27856" xr:uid="{00000000-0005-0000-0000-000024C20000}"/>
    <cellStyle name="Процентный 5 3 9 7" xfId="33196" xr:uid="{00000000-0005-0000-0000-000025C20000}"/>
    <cellStyle name="Процентный 5 3 9 8" xfId="38536" xr:uid="{00000000-0005-0000-0000-000026C20000}"/>
    <cellStyle name="Процентный 5 3 9 9" xfId="43876" xr:uid="{00000000-0005-0000-0000-000027C20000}"/>
    <cellStyle name="Процентный 5 3 90" xfId="3517" xr:uid="{00000000-0005-0000-0000-000028C20000}"/>
    <cellStyle name="Процентный 5 3 90 10" xfId="51580" xr:uid="{00000000-0005-0000-0000-000029C20000}"/>
    <cellStyle name="Процентный 5 3 90 2" xfId="8860" xr:uid="{00000000-0005-0000-0000-00002AC20000}"/>
    <cellStyle name="Процентный 5 3 90 2 2" xfId="56921" xr:uid="{00000000-0005-0000-0000-00002BC20000}"/>
    <cellStyle name="Процентный 5 3 90 3" xfId="14200" xr:uid="{00000000-0005-0000-0000-00002CC20000}"/>
    <cellStyle name="Процентный 5 3 90 4" xfId="19540" xr:uid="{00000000-0005-0000-0000-00002DC20000}"/>
    <cellStyle name="Процентный 5 3 90 5" xfId="24880" xr:uid="{00000000-0005-0000-0000-00002EC20000}"/>
    <cellStyle name="Процентный 5 3 90 6" xfId="30220" xr:uid="{00000000-0005-0000-0000-00002FC20000}"/>
    <cellStyle name="Процентный 5 3 90 7" xfId="35560" xr:uid="{00000000-0005-0000-0000-000030C20000}"/>
    <cellStyle name="Процентный 5 3 90 8" xfId="40900" xr:uid="{00000000-0005-0000-0000-000031C20000}"/>
    <cellStyle name="Процентный 5 3 90 9" xfId="46240" xr:uid="{00000000-0005-0000-0000-000032C20000}"/>
    <cellStyle name="Процентный 5 3 91" xfId="3549" xr:uid="{00000000-0005-0000-0000-000033C20000}"/>
    <cellStyle name="Процентный 5 3 91 10" xfId="51612" xr:uid="{00000000-0005-0000-0000-000034C20000}"/>
    <cellStyle name="Процентный 5 3 91 2" xfId="8892" xr:uid="{00000000-0005-0000-0000-000035C20000}"/>
    <cellStyle name="Процентный 5 3 91 2 2" xfId="56953" xr:uid="{00000000-0005-0000-0000-000036C20000}"/>
    <cellStyle name="Процентный 5 3 91 3" xfId="14232" xr:uid="{00000000-0005-0000-0000-000037C20000}"/>
    <cellStyle name="Процентный 5 3 91 4" xfId="19572" xr:uid="{00000000-0005-0000-0000-000038C20000}"/>
    <cellStyle name="Процентный 5 3 91 5" xfId="24912" xr:uid="{00000000-0005-0000-0000-000039C20000}"/>
    <cellStyle name="Процентный 5 3 91 6" xfId="30252" xr:uid="{00000000-0005-0000-0000-00003AC20000}"/>
    <cellStyle name="Процентный 5 3 91 7" xfId="35592" xr:uid="{00000000-0005-0000-0000-00003BC20000}"/>
    <cellStyle name="Процентный 5 3 91 8" xfId="40932" xr:uid="{00000000-0005-0000-0000-00003CC20000}"/>
    <cellStyle name="Процентный 5 3 91 9" xfId="46272" xr:uid="{00000000-0005-0000-0000-00003DC20000}"/>
    <cellStyle name="Процентный 5 3 92" xfId="3581" xr:uid="{00000000-0005-0000-0000-00003EC20000}"/>
    <cellStyle name="Процентный 5 3 92 10" xfId="51644" xr:uid="{00000000-0005-0000-0000-00003FC20000}"/>
    <cellStyle name="Процентный 5 3 92 2" xfId="8924" xr:uid="{00000000-0005-0000-0000-000040C20000}"/>
    <cellStyle name="Процентный 5 3 92 2 2" xfId="56985" xr:uid="{00000000-0005-0000-0000-000041C20000}"/>
    <cellStyle name="Процентный 5 3 92 3" xfId="14264" xr:uid="{00000000-0005-0000-0000-000042C20000}"/>
    <cellStyle name="Процентный 5 3 92 4" xfId="19604" xr:uid="{00000000-0005-0000-0000-000043C20000}"/>
    <cellStyle name="Процентный 5 3 92 5" xfId="24944" xr:uid="{00000000-0005-0000-0000-000044C20000}"/>
    <cellStyle name="Процентный 5 3 92 6" xfId="30284" xr:uid="{00000000-0005-0000-0000-000045C20000}"/>
    <cellStyle name="Процентный 5 3 92 7" xfId="35624" xr:uid="{00000000-0005-0000-0000-000046C20000}"/>
    <cellStyle name="Процентный 5 3 92 8" xfId="40964" xr:uid="{00000000-0005-0000-0000-000047C20000}"/>
    <cellStyle name="Процентный 5 3 92 9" xfId="46304" xr:uid="{00000000-0005-0000-0000-000048C20000}"/>
    <cellStyle name="Процентный 5 3 93" xfId="3613" xr:uid="{00000000-0005-0000-0000-000049C20000}"/>
    <cellStyle name="Процентный 5 3 93 10" xfId="51676" xr:uid="{00000000-0005-0000-0000-00004AC20000}"/>
    <cellStyle name="Процентный 5 3 93 2" xfId="8956" xr:uid="{00000000-0005-0000-0000-00004BC20000}"/>
    <cellStyle name="Процентный 5 3 93 2 2" xfId="57017" xr:uid="{00000000-0005-0000-0000-00004CC20000}"/>
    <cellStyle name="Процентный 5 3 93 3" xfId="14296" xr:uid="{00000000-0005-0000-0000-00004DC20000}"/>
    <cellStyle name="Процентный 5 3 93 4" xfId="19636" xr:uid="{00000000-0005-0000-0000-00004EC20000}"/>
    <cellStyle name="Процентный 5 3 93 5" xfId="24976" xr:uid="{00000000-0005-0000-0000-00004FC20000}"/>
    <cellStyle name="Процентный 5 3 93 6" xfId="30316" xr:uid="{00000000-0005-0000-0000-000050C20000}"/>
    <cellStyle name="Процентный 5 3 93 7" xfId="35656" xr:uid="{00000000-0005-0000-0000-000051C20000}"/>
    <cellStyle name="Процентный 5 3 93 8" xfId="40996" xr:uid="{00000000-0005-0000-0000-000052C20000}"/>
    <cellStyle name="Процентный 5 3 93 9" xfId="46336" xr:uid="{00000000-0005-0000-0000-000053C20000}"/>
    <cellStyle name="Процентный 5 3 94" xfId="3645" xr:uid="{00000000-0005-0000-0000-000054C20000}"/>
    <cellStyle name="Процентный 5 3 94 10" xfId="51708" xr:uid="{00000000-0005-0000-0000-000055C20000}"/>
    <cellStyle name="Процентный 5 3 94 2" xfId="8988" xr:uid="{00000000-0005-0000-0000-000056C20000}"/>
    <cellStyle name="Процентный 5 3 94 2 2" xfId="57049" xr:uid="{00000000-0005-0000-0000-000057C20000}"/>
    <cellStyle name="Процентный 5 3 94 3" xfId="14328" xr:uid="{00000000-0005-0000-0000-000058C20000}"/>
    <cellStyle name="Процентный 5 3 94 4" xfId="19668" xr:uid="{00000000-0005-0000-0000-000059C20000}"/>
    <cellStyle name="Процентный 5 3 94 5" xfId="25008" xr:uid="{00000000-0005-0000-0000-00005AC20000}"/>
    <cellStyle name="Процентный 5 3 94 6" xfId="30348" xr:uid="{00000000-0005-0000-0000-00005BC20000}"/>
    <cellStyle name="Процентный 5 3 94 7" xfId="35688" xr:uid="{00000000-0005-0000-0000-00005CC20000}"/>
    <cellStyle name="Процентный 5 3 94 8" xfId="41028" xr:uid="{00000000-0005-0000-0000-00005DC20000}"/>
    <cellStyle name="Процентный 5 3 94 9" xfId="46368" xr:uid="{00000000-0005-0000-0000-00005EC20000}"/>
    <cellStyle name="Процентный 5 3 95" xfId="3677" xr:uid="{00000000-0005-0000-0000-00005FC20000}"/>
    <cellStyle name="Процентный 5 3 95 10" xfId="51740" xr:uid="{00000000-0005-0000-0000-000060C20000}"/>
    <cellStyle name="Процентный 5 3 95 2" xfId="9020" xr:uid="{00000000-0005-0000-0000-000061C20000}"/>
    <cellStyle name="Процентный 5 3 95 2 2" xfId="57081" xr:uid="{00000000-0005-0000-0000-000062C20000}"/>
    <cellStyle name="Процентный 5 3 95 3" xfId="14360" xr:uid="{00000000-0005-0000-0000-000063C20000}"/>
    <cellStyle name="Процентный 5 3 95 4" xfId="19700" xr:uid="{00000000-0005-0000-0000-000064C20000}"/>
    <cellStyle name="Процентный 5 3 95 5" xfId="25040" xr:uid="{00000000-0005-0000-0000-000065C20000}"/>
    <cellStyle name="Процентный 5 3 95 6" xfId="30380" xr:uid="{00000000-0005-0000-0000-000066C20000}"/>
    <cellStyle name="Процентный 5 3 95 7" xfId="35720" xr:uid="{00000000-0005-0000-0000-000067C20000}"/>
    <cellStyle name="Процентный 5 3 95 8" xfId="41060" xr:uid="{00000000-0005-0000-0000-000068C20000}"/>
    <cellStyle name="Процентный 5 3 95 9" xfId="46400" xr:uid="{00000000-0005-0000-0000-000069C20000}"/>
    <cellStyle name="Процентный 5 3 96" xfId="3709" xr:uid="{00000000-0005-0000-0000-00006AC20000}"/>
    <cellStyle name="Процентный 5 3 96 10" xfId="51772" xr:uid="{00000000-0005-0000-0000-00006BC20000}"/>
    <cellStyle name="Процентный 5 3 96 2" xfId="9052" xr:uid="{00000000-0005-0000-0000-00006CC20000}"/>
    <cellStyle name="Процентный 5 3 96 2 2" xfId="57113" xr:uid="{00000000-0005-0000-0000-00006DC20000}"/>
    <cellStyle name="Процентный 5 3 96 3" xfId="14392" xr:uid="{00000000-0005-0000-0000-00006EC20000}"/>
    <cellStyle name="Процентный 5 3 96 4" xfId="19732" xr:uid="{00000000-0005-0000-0000-00006FC20000}"/>
    <cellStyle name="Процентный 5 3 96 5" xfId="25072" xr:uid="{00000000-0005-0000-0000-000070C20000}"/>
    <cellStyle name="Процентный 5 3 96 6" xfId="30412" xr:uid="{00000000-0005-0000-0000-000071C20000}"/>
    <cellStyle name="Процентный 5 3 96 7" xfId="35752" xr:uid="{00000000-0005-0000-0000-000072C20000}"/>
    <cellStyle name="Процентный 5 3 96 8" xfId="41092" xr:uid="{00000000-0005-0000-0000-000073C20000}"/>
    <cellStyle name="Процентный 5 3 96 9" xfId="46432" xr:uid="{00000000-0005-0000-0000-000074C20000}"/>
    <cellStyle name="Процентный 5 3 97" xfId="3741" xr:uid="{00000000-0005-0000-0000-000075C20000}"/>
    <cellStyle name="Процентный 5 3 97 10" xfId="51804" xr:uid="{00000000-0005-0000-0000-000076C20000}"/>
    <cellStyle name="Процентный 5 3 97 2" xfId="9084" xr:uid="{00000000-0005-0000-0000-000077C20000}"/>
    <cellStyle name="Процентный 5 3 97 2 2" xfId="57145" xr:uid="{00000000-0005-0000-0000-000078C20000}"/>
    <cellStyle name="Процентный 5 3 97 3" xfId="14424" xr:uid="{00000000-0005-0000-0000-000079C20000}"/>
    <cellStyle name="Процентный 5 3 97 4" xfId="19764" xr:uid="{00000000-0005-0000-0000-00007AC20000}"/>
    <cellStyle name="Процентный 5 3 97 5" xfId="25104" xr:uid="{00000000-0005-0000-0000-00007BC20000}"/>
    <cellStyle name="Процентный 5 3 97 6" xfId="30444" xr:uid="{00000000-0005-0000-0000-00007CC20000}"/>
    <cellStyle name="Процентный 5 3 97 7" xfId="35784" xr:uid="{00000000-0005-0000-0000-00007DC20000}"/>
    <cellStyle name="Процентный 5 3 97 8" xfId="41124" xr:uid="{00000000-0005-0000-0000-00007EC20000}"/>
    <cellStyle name="Процентный 5 3 97 9" xfId="46464" xr:uid="{00000000-0005-0000-0000-00007FC20000}"/>
    <cellStyle name="Процентный 5 3 98" xfId="3773" xr:uid="{00000000-0005-0000-0000-000080C20000}"/>
    <cellStyle name="Процентный 5 3 98 10" xfId="51836" xr:uid="{00000000-0005-0000-0000-000081C20000}"/>
    <cellStyle name="Процентный 5 3 98 2" xfId="9116" xr:uid="{00000000-0005-0000-0000-000082C20000}"/>
    <cellStyle name="Процентный 5 3 98 2 2" xfId="57177" xr:uid="{00000000-0005-0000-0000-000083C20000}"/>
    <cellStyle name="Процентный 5 3 98 3" xfId="14456" xr:uid="{00000000-0005-0000-0000-000084C20000}"/>
    <cellStyle name="Процентный 5 3 98 4" xfId="19796" xr:uid="{00000000-0005-0000-0000-000085C20000}"/>
    <cellStyle name="Процентный 5 3 98 5" xfId="25136" xr:uid="{00000000-0005-0000-0000-000086C20000}"/>
    <cellStyle name="Процентный 5 3 98 6" xfId="30476" xr:uid="{00000000-0005-0000-0000-000087C20000}"/>
    <cellStyle name="Процентный 5 3 98 7" xfId="35816" xr:uid="{00000000-0005-0000-0000-000088C20000}"/>
    <cellStyle name="Процентный 5 3 98 8" xfId="41156" xr:uid="{00000000-0005-0000-0000-000089C20000}"/>
    <cellStyle name="Процентный 5 3 98 9" xfId="46496" xr:uid="{00000000-0005-0000-0000-00008AC20000}"/>
    <cellStyle name="Процентный 5 3 99" xfId="3805" xr:uid="{00000000-0005-0000-0000-00008BC20000}"/>
    <cellStyle name="Процентный 5 3 99 10" xfId="51868" xr:uid="{00000000-0005-0000-0000-00008CC20000}"/>
    <cellStyle name="Процентный 5 3 99 2" xfId="9148" xr:uid="{00000000-0005-0000-0000-00008DC20000}"/>
    <cellStyle name="Процентный 5 3 99 2 2" xfId="57209" xr:uid="{00000000-0005-0000-0000-00008EC20000}"/>
    <cellStyle name="Процентный 5 3 99 3" xfId="14488" xr:uid="{00000000-0005-0000-0000-00008FC20000}"/>
    <cellStyle name="Процентный 5 3 99 4" xfId="19828" xr:uid="{00000000-0005-0000-0000-000090C20000}"/>
    <cellStyle name="Процентный 5 3 99 5" xfId="25168" xr:uid="{00000000-0005-0000-0000-000091C20000}"/>
    <cellStyle name="Процентный 5 3 99 6" xfId="30508" xr:uid="{00000000-0005-0000-0000-000092C20000}"/>
    <cellStyle name="Процентный 5 3 99 7" xfId="35848" xr:uid="{00000000-0005-0000-0000-000093C20000}"/>
    <cellStyle name="Процентный 5 3 99 8" xfId="41188" xr:uid="{00000000-0005-0000-0000-000094C20000}"/>
    <cellStyle name="Процентный 5 3 99 9" xfId="46528" xr:uid="{00000000-0005-0000-0000-000095C20000}"/>
    <cellStyle name="Процентный 5 30" xfId="315" xr:uid="{00000000-0005-0000-0000-000096C20000}"/>
    <cellStyle name="Процентный 5 30 10" xfId="43037" xr:uid="{00000000-0005-0000-0000-000097C20000}"/>
    <cellStyle name="Процентный 5 30 11" xfId="48377" xr:uid="{00000000-0005-0000-0000-000098C20000}"/>
    <cellStyle name="Процентный 5 30 2" xfId="782" xr:uid="{00000000-0005-0000-0000-000099C20000}"/>
    <cellStyle name="Процентный 5 30 2 10" xfId="48844" xr:uid="{00000000-0005-0000-0000-00009AC20000}"/>
    <cellStyle name="Процентный 5 30 2 2" xfId="6123" xr:uid="{00000000-0005-0000-0000-00009BC20000}"/>
    <cellStyle name="Процентный 5 30 2 2 2" xfId="54185" xr:uid="{00000000-0005-0000-0000-00009CC20000}"/>
    <cellStyle name="Процентный 5 30 2 3" xfId="11464" xr:uid="{00000000-0005-0000-0000-00009DC20000}"/>
    <cellStyle name="Процентный 5 30 2 4" xfId="16804" xr:uid="{00000000-0005-0000-0000-00009EC20000}"/>
    <cellStyle name="Процентный 5 30 2 5" xfId="22144" xr:uid="{00000000-0005-0000-0000-00009FC20000}"/>
    <cellStyle name="Процентный 5 30 2 6" xfId="27484" xr:uid="{00000000-0005-0000-0000-0000A0C20000}"/>
    <cellStyle name="Процентный 5 30 2 7" xfId="32824" xr:uid="{00000000-0005-0000-0000-0000A1C20000}"/>
    <cellStyle name="Процентный 5 30 2 8" xfId="38164" xr:uid="{00000000-0005-0000-0000-0000A2C20000}"/>
    <cellStyle name="Процентный 5 30 2 9" xfId="43504" xr:uid="{00000000-0005-0000-0000-0000A3C20000}"/>
    <cellStyle name="Процентный 5 30 3" xfId="5656" xr:uid="{00000000-0005-0000-0000-0000A4C20000}"/>
    <cellStyle name="Процентный 5 30 3 2" xfId="53718" xr:uid="{00000000-0005-0000-0000-0000A5C20000}"/>
    <cellStyle name="Процентный 5 30 4" xfId="10997" xr:uid="{00000000-0005-0000-0000-0000A6C20000}"/>
    <cellStyle name="Процентный 5 30 5" xfId="16337" xr:uid="{00000000-0005-0000-0000-0000A7C20000}"/>
    <cellStyle name="Процентный 5 30 6" xfId="21677" xr:uid="{00000000-0005-0000-0000-0000A8C20000}"/>
    <cellStyle name="Процентный 5 30 7" xfId="27017" xr:uid="{00000000-0005-0000-0000-0000A9C20000}"/>
    <cellStyle name="Процентный 5 30 8" xfId="32357" xr:uid="{00000000-0005-0000-0000-0000AAC20000}"/>
    <cellStyle name="Процентный 5 30 9" xfId="37697" xr:uid="{00000000-0005-0000-0000-0000ABC20000}"/>
    <cellStyle name="Процентный 5 31" xfId="325" xr:uid="{00000000-0005-0000-0000-0000ACC20000}"/>
    <cellStyle name="Процентный 5 31 10" xfId="43047" xr:uid="{00000000-0005-0000-0000-0000ADC20000}"/>
    <cellStyle name="Процентный 5 31 11" xfId="48387" xr:uid="{00000000-0005-0000-0000-0000AEC20000}"/>
    <cellStyle name="Процентный 5 31 2" xfId="792" xr:uid="{00000000-0005-0000-0000-0000AFC20000}"/>
    <cellStyle name="Процентный 5 31 2 10" xfId="48854" xr:uid="{00000000-0005-0000-0000-0000B0C20000}"/>
    <cellStyle name="Процентный 5 31 2 2" xfId="6133" xr:uid="{00000000-0005-0000-0000-0000B1C20000}"/>
    <cellStyle name="Процентный 5 31 2 2 2" xfId="54195" xr:uid="{00000000-0005-0000-0000-0000B2C20000}"/>
    <cellStyle name="Процентный 5 31 2 3" xfId="11474" xr:uid="{00000000-0005-0000-0000-0000B3C20000}"/>
    <cellStyle name="Процентный 5 31 2 4" xfId="16814" xr:uid="{00000000-0005-0000-0000-0000B4C20000}"/>
    <cellStyle name="Процентный 5 31 2 5" xfId="22154" xr:uid="{00000000-0005-0000-0000-0000B5C20000}"/>
    <cellStyle name="Процентный 5 31 2 6" xfId="27494" xr:uid="{00000000-0005-0000-0000-0000B6C20000}"/>
    <cellStyle name="Процентный 5 31 2 7" xfId="32834" xr:uid="{00000000-0005-0000-0000-0000B7C20000}"/>
    <cellStyle name="Процентный 5 31 2 8" xfId="38174" xr:uid="{00000000-0005-0000-0000-0000B8C20000}"/>
    <cellStyle name="Процентный 5 31 2 9" xfId="43514" xr:uid="{00000000-0005-0000-0000-0000B9C20000}"/>
    <cellStyle name="Процентный 5 31 3" xfId="5666" xr:uid="{00000000-0005-0000-0000-0000BAC20000}"/>
    <cellStyle name="Процентный 5 31 3 2" xfId="53728" xr:uid="{00000000-0005-0000-0000-0000BBC20000}"/>
    <cellStyle name="Процентный 5 31 4" xfId="11007" xr:uid="{00000000-0005-0000-0000-0000BCC20000}"/>
    <cellStyle name="Процентный 5 31 5" xfId="16347" xr:uid="{00000000-0005-0000-0000-0000BDC20000}"/>
    <cellStyle name="Процентный 5 31 6" xfId="21687" xr:uid="{00000000-0005-0000-0000-0000BEC20000}"/>
    <cellStyle name="Процентный 5 31 7" xfId="27027" xr:uid="{00000000-0005-0000-0000-0000BFC20000}"/>
    <cellStyle name="Процентный 5 31 8" xfId="32367" xr:uid="{00000000-0005-0000-0000-0000C0C20000}"/>
    <cellStyle name="Процентный 5 31 9" xfId="37707" xr:uid="{00000000-0005-0000-0000-0000C1C20000}"/>
    <cellStyle name="Процентный 5 32" xfId="335" xr:uid="{00000000-0005-0000-0000-0000C2C20000}"/>
    <cellStyle name="Процентный 5 32 10" xfId="43057" xr:uid="{00000000-0005-0000-0000-0000C3C20000}"/>
    <cellStyle name="Процентный 5 32 11" xfId="48397" xr:uid="{00000000-0005-0000-0000-0000C4C20000}"/>
    <cellStyle name="Процентный 5 32 2" xfId="802" xr:uid="{00000000-0005-0000-0000-0000C5C20000}"/>
    <cellStyle name="Процентный 5 32 2 10" xfId="48864" xr:uid="{00000000-0005-0000-0000-0000C6C20000}"/>
    <cellStyle name="Процентный 5 32 2 2" xfId="6143" xr:uid="{00000000-0005-0000-0000-0000C7C20000}"/>
    <cellStyle name="Процентный 5 32 2 2 2" xfId="54205" xr:uid="{00000000-0005-0000-0000-0000C8C20000}"/>
    <cellStyle name="Процентный 5 32 2 3" xfId="11484" xr:uid="{00000000-0005-0000-0000-0000C9C20000}"/>
    <cellStyle name="Процентный 5 32 2 4" xfId="16824" xr:uid="{00000000-0005-0000-0000-0000CAC20000}"/>
    <cellStyle name="Процентный 5 32 2 5" xfId="22164" xr:uid="{00000000-0005-0000-0000-0000CBC20000}"/>
    <cellStyle name="Процентный 5 32 2 6" xfId="27504" xr:uid="{00000000-0005-0000-0000-0000CCC20000}"/>
    <cellStyle name="Процентный 5 32 2 7" xfId="32844" xr:uid="{00000000-0005-0000-0000-0000CDC20000}"/>
    <cellStyle name="Процентный 5 32 2 8" xfId="38184" xr:uid="{00000000-0005-0000-0000-0000CEC20000}"/>
    <cellStyle name="Процентный 5 32 2 9" xfId="43524" xr:uid="{00000000-0005-0000-0000-0000CFC20000}"/>
    <cellStyle name="Процентный 5 32 3" xfId="5676" xr:uid="{00000000-0005-0000-0000-0000D0C20000}"/>
    <cellStyle name="Процентный 5 32 3 2" xfId="53738" xr:uid="{00000000-0005-0000-0000-0000D1C20000}"/>
    <cellStyle name="Процентный 5 32 4" xfId="11017" xr:uid="{00000000-0005-0000-0000-0000D2C20000}"/>
    <cellStyle name="Процентный 5 32 5" xfId="16357" xr:uid="{00000000-0005-0000-0000-0000D3C20000}"/>
    <cellStyle name="Процентный 5 32 6" xfId="21697" xr:uid="{00000000-0005-0000-0000-0000D4C20000}"/>
    <cellStyle name="Процентный 5 32 7" xfId="27037" xr:uid="{00000000-0005-0000-0000-0000D5C20000}"/>
    <cellStyle name="Процентный 5 32 8" xfId="32377" xr:uid="{00000000-0005-0000-0000-0000D6C20000}"/>
    <cellStyle name="Процентный 5 32 9" xfId="37717" xr:uid="{00000000-0005-0000-0000-0000D7C20000}"/>
    <cellStyle name="Процентный 5 33" xfId="345" xr:uid="{00000000-0005-0000-0000-0000D8C20000}"/>
    <cellStyle name="Процентный 5 33 10" xfId="43067" xr:uid="{00000000-0005-0000-0000-0000D9C20000}"/>
    <cellStyle name="Процентный 5 33 11" xfId="48407" xr:uid="{00000000-0005-0000-0000-0000DAC20000}"/>
    <cellStyle name="Процентный 5 33 2" xfId="812" xr:uid="{00000000-0005-0000-0000-0000DBC20000}"/>
    <cellStyle name="Процентный 5 33 2 10" xfId="48874" xr:uid="{00000000-0005-0000-0000-0000DCC20000}"/>
    <cellStyle name="Процентный 5 33 2 2" xfId="6153" xr:uid="{00000000-0005-0000-0000-0000DDC20000}"/>
    <cellStyle name="Процентный 5 33 2 2 2" xfId="54215" xr:uid="{00000000-0005-0000-0000-0000DEC20000}"/>
    <cellStyle name="Процентный 5 33 2 3" xfId="11494" xr:uid="{00000000-0005-0000-0000-0000DFC20000}"/>
    <cellStyle name="Процентный 5 33 2 4" xfId="16834" xr:uid="{00000000-0005-0000-0000-0000E0C20000}"/>
    <cellStyle name="Процентный 5 33 2 5" xfId="22174" xr:uid="{00000000-0005-0000-0000-0000E1C20000}"/>
    <cellStyle name="Процентный 5 33 2 6" xfId="27514" xr:uid="{00000000-0005-0000-0000-0000E2C20000}"/>
    <cellStyle name="Процентный 5 33 2 7" xfId="32854" xr:uid="{00000000-0005-0000-0000-0000E3C20000}"/>
    <cellStyle name="Процентный 5 33 2 8" xfId="38194" xr:uid="{00000000-0005-0000-0000-0000E4C20000}"/>
    <cellStyle name="Процентный 5 33 2 9" xfId="43534" xr:uid="{00000000-0005-0000-0000-0000E5C20000}"/>
    <cellStyle name="Процентный 5 33 3" xfId="5686" xr:uid="{00000000-0005-0000-0000-0000E6C20000}"/>
    <cellStyle name="Процентный 5 33 3 2" xfId="53748" xr:uid="{00000000-0005-0000-0000-0000E7C20000}"/>
    <cellStyle name="Процентный 5 33 4" xfId="11027" xr:uid="{00000000-0005-0000-0000-0000E8C20000}"/>
    <cellStyle name="Процентный 5 33 5" xfId="16367" xr:uid="{00000000-0005-0000-0000-0000E9C20000}"/>
    <cellStyle name="Процентный 5 33 6" xfId="21707" xr:uid="{00000000-0005-0000-0000-0000EAC20000}"/>
    <cellStyle name="Процентный 5 33 7" xfId="27047" xr:uid="{00000000-0005-0000-0000-0000EBC20000}"/>
    <cellStyle name="Процентный 5 33 8" xfId="32387" xr:uid="{00000000-0005-0000-0000-0000ECC20000}"/>
    <cellStyle name="Процентный 5 33 9" xfId="37727" xr:uid="{00000000-0005-0000-0000-0000EDC20000}"/>
    <cellStyle name="Процентный 5 34" xfId="355" xr:uid="{00000000-0005-0000-0000-0000EEC20000}"/>
    <cellStyle name="Процентный 5 34 10" xfId="43077" xr:uid="{00000000-0005-0000-0000-0000EFC20000}"/>
    <cellStyle name="Процентный 5 34 11" xfId="48417" xr:uid="{00000000-0005-0000-0000-0000F0C20000}"/>
    <cellStyle name="Процентный 5 34 2" xfId="822" xr:uid="{00000000-0005-0000-0000-0000F1C20000}"/>
    <cellStyle name="Процентный 5 34 2 10" xfId="48884" xr:uid="{00000000-0005-0000-0000-0000F2C20000}"/>
    <cellStyle name="Процентный 5 34 2 2" xfId="6163" xr:uid="{00000000-0005-0000-0000-0000F3C20000}"/>
    <cellStyle name="Процентный 5 34 2 2 2" xfId="54225" xr:uid="{00000000-0005-0000-0000-0000F4C20000}"/>
    <cellStyle name="Процентный 5 34 2 3" xfId="11504" xr:uid="{00000000-0005-0000-0000-0000F5C20000}"/>
    <cellStyle name="Процентный 5 34 2 4" xfId="16844" xr:uid="{00000000-0005-0000-0000-0000F6C20000}"/>
    <cellStyle name="Процентный 5 34 2 5" xfId="22184" xr:uid="{00000000-0005-0000-0000-0000F7C20000}"/>
    <cellStyle name="Процентный 5 34 2 6" xfId="27524" xr:uid="{00000000-0005-0000-0000-0000F8C20000}"/>
    <cellStyle name="Процентный 5 34 2 7" xfId="32864" xr:uid="{00000000-0005-0000-0000-0000F9C20000}"/>
    <cellStyle name="Процентный 5 34 2 8" xfId="38204" xr:uid="{00000000-0005-0000-0000-0000FAC20000}"/>
    <cellStyle name="Процентный 5 34 2 9" xfId="43544" xr:uid="{00000000-0005-0000-0000-0000FBC20000}"/>
    <cellStyle name="Процентный 5 34 3" xfId="5696" xr:uid="{00000000-0005-0000-0000-0000FCC20000}"/>
    <cellStyle name="Процентный 5 34 3 2" xfId="53758" xr:uid="{00000000-0005-0000-0000-0000FDC20000}"/>
    <cellStyle name="Процентный 5 34 4" xfId="11037" xr:uid="{00000000-0005-0000-0000-0000FEC20000}"/>
    <cellStyle name="Процентный 5 34 5" xfId="16377" xr:uid="{00000000-0005-0000-0000-0000FFC20000}"/>
    <cellStyle name="Процентный 5 34 6" xfId="21717" xr:uid="{00000000-0005-0000-0000-000000C30000}"/>
    <cellStyle name="Процентный 5 34 7" xfId="27057" xr:uid="{00000000-0005-0000-0000-000001C30000}"/>
    <cellStyle name="Процентный 5 34 8" xfId="32397" xr:uid="{00000000-0005-0000-0000-000002C30000}"/>
    <cellStyle name="Процентный 5 34 9" xfId="37737" xr:uid="{00000000-0005-0000-0000-000003C30000}"/>
    <cellStyle name="Процентный 5 35" xfId="365" xr:uid="{00000000-0005-0000-0000-000004C30000}"/>
    <cellStyle name="Процентный 5 35 10" xfId="43087" xr:uid="{00000000-0005-0000-0000-000005C30000}"/>
    <cellStyle name="Процентный 5 35 11" xfId="48427" xr:uid="{00000000-0005-0000-0000-000006C30000}"/>
    <cellStyle name="Процентный 5 35 2" xfId="832" xr:uid="{00000000-0005-0000-0000-000007C30000}"/>
    <cellStyle name="Процентный 5 35 2 10" xfId="48894" xr:uid="{00000000-0005-0000-0000-000008C30000}"/>
    <cellStyle name="Процентный 5 35 2 2" xfId="6173" xr:uid="{00000000-0005-0000-0000-000009C30000}"/>
    <cellStyle name="Процентный 5 35 2 2 2" xfId="54235" xr:uid="{00000000-0005-0000-0000-00000AC30000}"/>
    <cellStyle name="Процентный 5 35 2 3" xfId="11514" xr:uid="{00000000-0005-0000-0000-00000BC30000}"/>
    <cellStyle name="Процентный 5 35 2 4" xfId="16854" xr:uid="{00000000-0005-0000-0000-00000CC30000}"/>
    <cellStyle name="Процентный 5 35 2 5" xfId="22194" xr:uid="{00000000-0005-0000-0000-00000DC30000}"/>
    <cellStyle name="Процентный 5 35 2 6" xfId="27534" xr:uid="{00000000-0005-0000-0000-00000EC30000}"/>
    <cellStyle name="Процентный 5 35 2 7" xfId="32874" xr:uid="{00000000-0005-0000-0000-00000FC30000}"/>
    <cellStyle name="Процентный 5 35 2 8" xfId="38214" xr:uid="{00000000-0005-0000-0000-000010C30000}"/>
    <cellStyle name="Процентный 5 35 2 9" xfId="43554" xr:uid="{00000000-0005-0000-0000-000011C30000}"/>
    <cellStyle name="Процентный 5 35 3" xfId="5706" xr:uid="{00000000-0005-0000-0000-000012C30000}"/>
    <cellStyle name="Процентный 5 35 3 2" xfId="53768" xr:uid="{00000000-0005-0000-0000-000013C30000}"/>
    <cellStyle name="Процентный 5 35 4" xfId="11047" xr:uid="{00000000-0005-0000-0000-000014C30000}"/>
    <cellStyle name="Процентный 5 35 5" xfId="16387" xr:uid="{00000000-0005-0000-0000-000015C30000}"/>
    <cellStyle name="Процентный 5 35 6" xfId="21727" xr:uid="{00000000-0005-0000-0000-000016C30000}"/>
    <cellStyle name="Процентный 5 35 7" xfId="27067" xr:uid="{00000000-0005-0000-0000-000017C30000}"/>
    <cellStyle name="Процентный 5 35 8" xfId="32407" xr:uid="{00000000-0005-0000-0000-000018C30000}"/>
    <cellStyle name="Процентный 5 35 9" xfId="37747" xr:uid="{00000000-0005-0000-0000-000019C30000}"/>
    <cellStyle name="Процентный 5 36" xfId="375" xr:uid="{00000000-0005-0000-0000-00001AC30000}"/>
    <cellStyle name="Процентный 5 36 10" xfId="43097" xr:uid="{00000000-0005-0000-0000-00001BC30000}"/>
    <cellStyle name="Процентный 5 36 11" xfId="48437" xr:uid="{00000000-0005-0000-0000-00001CC30000}"/>
    <cellStyle name="Процентный 5 36 2" xfId="842" xr:uid="{00000000-0005-0000-0000-00001DC30000}"/>
    <cellStyle name="Процентный 5 36 2 10" xfId="48904" xr:uid="{00000000-0005-0000-0000-00001EC30000}"/>
    <cellStyle name="Процентный 5 36 2 2" xfId="6183" xr:uid="{00000000-0005-0000-0000-00001FC30000}"/>
    <cellStyle name="Процентный 5 36 2 2 2" xfId="54245" xr:uid="{00000000-0005-0000-0000-000020C30000}"/>
    <cellStyle name="Процентный 5 36 2 3" xfId="11524" xr:uid="{00000000-0005-0000-0000-000021C30000}"/>
    <cellStyle name="Процентный 5 36 2 4" xfId="16864" xr:uid="{00000000-0005-0000-0000-000022C30000}"/>
    <cellStyle name="Процентный 5 36 2 5" xfId="22204" xr:uid="{00000000-0005-0000-0000-000023C30000}"/>
    <cellStyle name="Процентный 5 36 2 6" xfId="27544" xr:uid="{00000000-0005-0000-0000-000024C30000}"/>
    <cellStyle name="Процентный 5 36 2 7" xfId="32884" xr:uid="{00000000-0005-0000-0000-000025C30000}"/>
    <cellStyle name="Процентный 5 36 2 8" xfId="38224" xr:uid="{00000000-0005-0000-0000-000026C30000}"/>
    <cellStyle name="Процентный 5 36 2 9" xfId="43564" xr:uid="{00000000-0005-0000-0000-000027C30000}"/>
    <cellStyle name="Процентный 5 36 3" xfId="5716" xr:uid="{00000000-0005-0000-0000-000028C30000}"/>
    <cellStyle name="Процентный 5 36 3 2" xfId="53778" xr:uid="{00000000-0005-0000-0000-000029C30000}"/>
    <cellStyle name="Процентный 5 36 4" xfId="11057" xr:uid="{00000000-0005-0000-0000-00002AC30000}"/>
    <cellStyle name="Процентный 5 36 5" xfId="16397" xr:uid="{00000000-0005-0000-0000-00002BC30000}"/>
    <cellStyle name="Процентный 5 36 6" xfId="21737" xr:uid="{00000000-0005-0000-0000-00002CC30000}"/>
    <cellStyle name="Процентный 5 36 7" xfId="27077" xr:uid="{00000000-0005-0000-0000-00002DC30000}"/>
    <cellStyle name="Процентный 5 36 8" xfId="32417" xr:uid="{00000000-0005-0000-0000-00002EC30000}"/>
    <cellStyle name="Процентный 5 36 9" xfId="37757" xr:uid="{00000000-0005-0000-0000-00002FC30000}"/>
    <cellStyle name="Процентный 5 37" xfId="385" xr:uid="{00000000-0005-0000-0000-000030C30000}"/>
    <cellStyle name="Процентный 5 37 10" xfId="43107" xr:uid="{00000000-0005-0000-0000-000031C30000}"/>
    <cellStyle name="Процентный 5 37 11" xfId="48447" xr:uid="{00000000-0005-0000-0000-000032C30000}"/>
    <cellStyle name="Процентный 5 37 2" xfId="852" xr:uid="{00000000-0005-0000-0000-000033C30000}"/>
    <cellStyle name="Процентный 5 37 2 10" xfId="48914" xr:uid="{00000000-0005-0000-0000-000034C30000}"/>
    <cellStyle name="Процентный 5 37 2 2" xfId="6193" xr:uid="{00000000-0005-0000-0000-000035C30000}"/>
    <cellStyle name="Процентный 5 37 2 2 2" xfId="54255" xr:uid="{00000000-0005-0000-0000-000036C30000}"/>
    <cellStyle name="Процентный 5 37 2 3" xfId="11534" xr:uid="{00000000-0005-0000-0000-000037C30000}"/>
    <cellStyle name="Процентный 5 37 2 4" xfId="16874" xr:uid="{00000000-0005-0000-0000-000038C30000}"/>
    <cellStyle name="Процентный 5 37 2 5" xfId="22214" xr:uid="{00000000-0005-0000-0000-000039C30000}"/>
    <cellStyle name="Процентный 5 37 2 6" xfId="27554" xr:uid="{00000000-0005-0000-0000-00003AC30000}"/>
    <cellStyle name="Процентный 5 37 2 7" xfId="32894" xr:uid="{00000000-0005-0000-0000-00003BC30000}"/>
    <cellStyle name="Процентный 5 37 2 8" xfId="38234" xr:uid="{00000000-0005-0000-0000-00003CC30000}"/>
    <cellStyle name="Процентный 5 37 2 9" xfId="43574" xr:uid="{00000000-0005-0000-0000-00003DC30000}"/>
    <cellStyle name="Процентный 5 37 3" xfId="5726" xr:uid="{00000000-0005-0000-0000-00003EC30000}"/>
    <cellStyle name="Процентный 5 37 3 2" xfId="53788" xr:uid="{00000000-0005-0000-0000-00003FC30000}"/>
    <cellStyle name="Процентный 5 37 4" xfId="11067" xr:uid="{00000000-0005-0000-0000-000040C30000}"/>
    <cellStyle name="Процентный 5 37 5" xfId="16407" xr:uid="{00000000-0005-0000-0000-000041C30000}"/>
    <cellStyle name="Процентный 5 37 6" xfId="21747" xr:uid="{00000000-0005-0000-0000-000042C30000}"/>
    <cellStyle name="Процентный 5 37 7" xfId="27087" xr:uid="{00000000-0005-0000-0000-000043C30000}"/>
    <cellStyle name="Процентный 5 37 8" xfId="32427" xr:uid="{00000000-0005-0000-0000-000044C30000}"/>
    <cellStyle name="Процентный 5 37 9" xfId="37767" xr:uid="{00000000-0005-0000-0000-000045C30000}"/>
    <cellStyle name="Процентный 5 38" xfId="395" xr:uid="{00000000-0005-0000-0000-000046C30000}"/>
    <cellStyle name="Процентный 5 38 10" xfId="43117" xr:uid="{00000000-0005-0000-0000-000047C30000}"/>
    <cellStyle name="Процентный 5 38 11" xfId="48457" xr:uid="{00000000-0005-0000-0000-000048C30000}"/>
    <cellStyle name="Процентный 5 38 2" xfId="862" xr:uid="{00000000-0005-0000-0000-000049C30000}"/>
    <cellStyle name="Процентный 5 38 2 10" xfId="48924" xr:uid="{00000000-0005-0000-0000-00004AC30000}"/>
    <cellStyle name="Процентный 5 38 2 2" xfId="6203" xr:uid="{00000000-0005-0000-0000-00004BC30000}"/>
    <cellStyle name="Процентный 5 38 2 2 2" xfId="54265" xr:uid="{00000000-0005-0000-0000-00004CC30000}"/>
    <cellStyle name="Процентный 5 38 2 3" xfId="11544" xr:uid="{00000000-0005-0000-0000-00004DC30000}"/>
    <cellStyle name="Процентный 5 38 2 4" xfId="16884" xr:uid="{00000000-0005-0000-0000-00004EC30000}"/>
    <cellStyle name="Процентный 5 38 2 5" xfId="22224" xr:uid="{00000000-0005-0000-0000-00004FC30000}"/>
    <cellStyle name="Процентный 5 38 2 6" xfId="27564" xr:uid="{00000000-0005-0000-0000-000050C30000}"/>
    <cellStyle name="Процентный 5 38 2 7" xfId="32904" xr:uid="{00000000-0005-0000-0000-000051C30000}"/>
    <cellStyle name="Процентный 5 38 2 8" xfId="38244" xr:uid="{00000000-0005-0000-0000-000052C30000}"/>
    <cellStyle name="Процентный 5 38 2 9" xfId="43584" xr:uid="{00000000-0005-0000-0000-000053C30000}"/>
    <cellStyle name="Процентный 5 38 3" xfId="5736" xr:uid="{00000000-0005-0000-0000-000054C30000}"/>
    <cellStyle name="Процентный 5 38 3 2" xfId="53798" xr:uid="{00000000-0005-0000-0000-000055C30000}"/>
    <cellStyle name="Процентный 5 38 4" xfId="11077" xr:uid="{00000000-0005-0000-0000-000056C30000}"/>
    <cellStyle name="Процентный 5 38 5" xfId="16417" xr:uid="{00000000-0005-0000-0000-000057C30000}"/>
    <cellStyle name="Процентный 5 38 6" xfId="21757" xr:uid="{00000000-0005-0000-0000-000058C30000}"/>
    <cellStyle name="Процентный 5 38 7" xfId="27097" xr:uid="{00000000-0005-0000-0000-000059C30000}"/>
    <cellStyle name="Процентный 5 38 8" xfId="32437" xr:uid="{00000000-0005-0000-0000-00005AC30000}"/>
    <cellStyle name="Процентный 5 38 9" xfId="37777" xr:uid="{00000000-0005-0000-0000-00005BC30000}"/>
    <cellStyle name="Процентный 5 39" xfId="405" xr:uid="{00000000-0005-0000-0000-00005CC30000}"/>
    <cellStyle name="Процентный 5 39 10" xfId="43127" xr:uid="{00000000-0005-0000-0000-00005DC30000}"/>
    <cellStyle name="Процентный 5 39 11" xfId="48467" xr:uid="{00000000-0005-0000-0000-00005EC30000}"/>
    <cellStyle name="Процентный 5 39 2" xfId="872" xr:uid="{00000000-0005-0000-0000-00005FC30000}"/>
    <cellStyle name="Процентный 5 39 2 10" xfId="48934" xr:uid="{00000000-0005-0000-0000-000060C30000}"/>
    <cellStyle name="Процентный 5 39 2 2" xfId="6213" xr:uid="{00000000-0005-0000-0000-000061C30000}"/>
    <cellStyle name="Процентный 5 39 2 2 2" xfId="54275" xr:uid="{00000000-0005-0000-0000-000062C30000}"/>
    <cellStyle name="Процентный 5 39 2 3" xfId="11554" xr:uid="{00000000-0005-0000-0000-000063C30000}"/>
    <cellStyle name="Процентный 5 39 2 4" xfId="16894" xr:uid="{00000000-0005-0000-0000-000064C30000}"/>
    <cellStyle name="Процентный 5 39 2 5" xfId="22234" xr:uid="{00000000-0005-0000-0000-000065C30000}"/>
    <cellStyle name="Процентный 5 39 2 6" xfId="27574" xr:uid="{00000000-0005-0000-0000-000066C30000}"/>
    <cellStyle name="Процентный 5 39 2 7" xfId="32914" xr:uid="{00000000-0005-0000-0000-000067C30000}"/>
    <cellStyle name="Процентный 5 39 2 8" xfId="38254" xr:uid="{00000000-0005-0000-0000-000068C30000}"/>
    <cellStyle name="Процентный 5 39 2 9" xfId="43594" xr:uid="{00000000-0005-0000-0000-000069C30000}"/>
    <cellStyle name="Процентный 5 39 3" xfId="5746" xr:uid="{00000000-0005-0000-0000-00006AC30000}"/>
    <cellStyle name="Процентный 5 39 3 2" xfId="53808" xr:uid="{00000000-0005-0000-0000-00006BC30000}"/>
    <cellStyle name="Процентный 5 39 4" xfId="11087" xr:uid="{00000000-0005-0000-0000-00006CC30000}"/>
    <cellStyle name="Процентный 5 39 5" xfId="16427" xr:uid="{00000000-0005-0000-0000-00006DC30000}"/>
    <cellStyle name="Процентный 5 39 6" xfId="21767" xr:uid="{00000000-0005-0000-0000-00006EC30000}"/>
    <cellStyle name="Процентный 5 39 7" xfId="27107" xr:uid="{00000000-0005-0000-0000-00006FC30000}"/>
    <cellStyle name="Процентный 5 39 8" xfId="32447" xr:uid="{00000000-0005-0000-0000-000070C30000}"/>
    <cellStyle name="Процентный 5 39 9" xfId="37787" xr:uid="{00000000-0005-0000-0000-000071C30000}"/>
    <cellStyle name="Процентный 5 4" xfId="83" xr:uid="{00000000-0005-0000-0000-000072C30000}"/>
    <cellStyle name="Процентный 5 4 10" xfId="42805" xr:uid="{00000000-0005-0000-0000-000073C30000}"/>
    <cellStyle name="Процентный 5 4 11" xfId="48145" xr:uid="{00000000-0005-0000-0000-000074C30000}"/>
    <cellStyle name="Процентный 5 4 2" xfId="550" xr:uid="{00000000-0005-0000-0000-000075C30000}"/>
    <cellStyle name="Процентный 5 4 2 10" xfId="48612" xr:uid="{00000000-0005-0000-0000-000076C30000}"/>
    <cellStyle name="Процентный 5 4 2 2" xfId="5891" xr:uid="{00000000-0005-0000-0000-000077C30000}"/>
    <cellStyle name="Процентный 5 4 2 2 2" xfId="53953" xr:uid="{00000000-0005-0000-0000-000078C30000}"/>
    <cellStyle name="Процентный 5 4 2 3" xfId="11232" xr:uid="{00000000-0005-0000-0000-000079C30000}"/>
    <cellStyle name="Процентный 5 4 2 4" xfId="16572" xr:uid="{00000000-0005-0000-0000-00007AC30000}"/>
    <cellStyle name="Процентный 5 4 2 5" xfId="21912" xr:uid="{00000000-0005-0000-0000-00007BC30000}"/>
    <cellStyle name="Процентный 5 4 2 6" xfId="27252" xr:uid="{00000000-0005-0000-0000-00007CC30000}"/>
    <cellStyle name="Процентный 5 4 2 7" xfId="32592" xr:uid="{00000000-0005-0000-0000-00007DC30000}"/>
    <cellStyle name="Процентный 5 4 2 8" xfId="37932" xr:uid="{00000000-0005-0000-0000-00007EC30000}"/>
    <cellStyle name="Процентный 5 4 2 9" xfId="43272" xr:uid="{00000000-0005-0000-0000-00007FC30000}"/>
    <cellStyle name="Процентный 5 4 3" xfId="5424" xr:uid="{00000000-0005-0000-0000-000080C30000}"/>
    <cellStyle name="Процентный 5 4 3 2" xfId="53486" xr:uid="{00000000-0005-0000-0000-000081C30000}"/>
    <cellStyle name="Процентный 5 4 4" xfId="10765" xr:uid="{00000000-0005-0000-0000-000082C30000}"/>
    <cellStyle name="Процентный 5 4 5" xfId="16105" xr:uid="{00000000-0005-0000-0000-000083C30000}"/>
    <cellStyle name="Процентный 5 4 6" xfId="21445" xr:uid="{00000000-0005-0000-0000-000084C30000}"/>
    <cellStyle name="Процентный 5 4 7" xfId="26785" xr:uid="{00000000-0005-0000-0000-000085C30000}"/>
    <cellStyle name="Процентный 5 4 8" xfId="32125" xr:uid="{00000000-0005-0000-0000-000086C30000}"/>
    <cellStyle name="Процентный 5 4 9" xfId="37465" xr:uid="{00000000-0005-0000-0000-000087C30000}"/>
    <cellStyle name="Процентный 5 40" xfId="415" xr:uid="{00000000-0005-0000-0000-000088C30000}"/>
    <cellStyle name="Процентный 5 40 10" xfId="43137" xr:uid="{00000000-0005-0000-0000-000089C30000}"/>
    <cellStyle name="Процентный 5 40 11" xfId="48477" xr:uid="{00000000-0005-0000-0000-00008AC30000}"/>
    <cellStyle name="Процентный 5 40 2" xfId="882" xr:uid="{00000000-0005-0000-0000-00008BC30000}"/>
    <cellStyle name="Процентный 5 40 2 10" xfId="48944" xr:uid="{00000000-0005-0000-0000-00008CC30000}"/>
    <cellStyle name="Процентный 5 40 2 2" xfId="6223" xr:uid="{00000000-0005-0000-0000-00008DC30000}"/>
    <cellStyle name="Процентный 5 40 2 2 2" xfId="54285" xr:uid="{00000000-0005-0000-0000-00008EC30000}"/>
    <cellStyle name="Процентный 5 40 2 3" xfId="11564" xr:uid="{00000000-0005-0000-0000-00008FC30000}"/>
    <cellStyle name="Процентный 5 40 2 4" xfId="16904" xr:uid="{00000000-0005-0000-0000-000090C30000}"/>
    <cellStyle name="Процентный 5 40 2 5" xfId="22244" xr:uid="{00000000-0005-0000-0000-000091C30000}"/>
    <cellStyle name="Процентный 5 40 2 6" xfId="27584" xr:uid="{00000000-0005-0000-0000-000092C30000}"/>
    <cellStyle name="Процентный 5 40 2 7" xfId="32924" xr:uid="{00000000-0005-0000-0000-000093C30000}"/>
    <cellStyle name="Процентный 5 40 2 8" xfId="38264" xr:uid="{00000000-0005-0000-0000-000094C30000}"/>
    <cellStyle name="Процентный 5 40 2 9" xfId="43604" xr:uid="{00000000-0005-0000-0000-000095C30000}"/>
    <cellStyle name="Процентный 5 40 3" xfId="5756" xr:uid="{00000000-0005-0000-0000-000096C30000}"/>
    <cellStyle name="Процентный 5 40 3 2" xfId="53818" xr:uid="{00000000-0005-0000-0000-000097C30000}"/>
    <cellStyle name="Процентный 5 40 4" xfId="11097" xr:uid="{00000000-0005-0000-0000-000098C30000}"/>
    <cellStyle name="Процентный 5 40 5" xfId="16437" xr:uid="{00000000-0005-0000-0000-000099C30000}"/>
    <cellStyle name="Процентный 5 40 6" xfId="21777" xr:uid="{00000000-0005-0000-0000-00009AC30000}"/>
    <cellStyle name="Процентный 5 40 7" xfId="27117" xr:uid="{00000000-0005-0000-0000-00009BC30000}"/>
    <cellStyle name="Процентный 5 40 8" xfId="32457" xr:uid="{00000000-0005-0000-0000-00009CC30000}"/>
    <cellStyle name="Процентный 5 40 9" xfId="37797" xr:uid="{00000000-0005-0000-0000-00009DC30000}"/>
    <cellStyle name="Процентный 5 41" xfId="427" xr:uid="{00000000-0005-0000-0000-00009EC30000}"/>
    <cellStyle name="Процентный 5 41 10" xfId="43149" xr:uid="{00000000-0005-0000-0000-00009FC30000}"/>
    <cellStyle name="Процентный 5 41 11" xfId="48489" xr:uid="{00000000-0005-0000-0000-0000A0C30000}"/>
    <cellStyle name="Процентный 5 41 2" xfId="894" xr:uid="{00000000-0005-0000-0000-0000A1C30000}"/>
    <cellStyle name="Процентный 5 41 2 10" xfId="48956" xr:uid="{00000000-0005-0000-0000-0000A2C30000}"/>
    <cellStyle name="Процентный 5 41 2 2" xfId="6235" xr:uid="{00000000-0005-0000-0000-0000A3C30000}"/>
    <cellStyle name="Процентный 5 41 2 2 2" xfId="54297" xr:uid="{00000000-0005-0000-0000-0000A4C30000}"/>
    <cellStyle name="Процентный 5 41 2 3" xfId="11576" xr:uid="{00000000-0005-0000-0000-0000A5C30000}"/>
    <cellStyle name="Процентный 5 41 2 4" xfId="16916" xr:uid="{00000000-0005-0000-0000-0000A6C30000}"/>
    <cellStyle name="Процентный 5 41 2 5" xfId="22256" xr:uid="{00000000-0005-0000-0000-0000A7C30000}"/>
    <cellStyle name="Процентный 5 41 2 6" xfId="27596" xr:uid="{00000000-0005-0000-0000-0000A8C30000}"/>
    <cellStyle name="Процентный 5 41 2 7" xfId="32936" xr:uid="{00000000-0005-0000-0000-0000A9C30000}"/>
    <cellStyle name="Процентный 5 41 2 8" xfId="38276" xr:uid="{00000000-0005-0000-0000-0000AAC30000}"/>
    <cellStyle name="Процентный 5 41 2 9" xfId="43616" xr:uid="{00000000-0005-0000-0000-0000ABC30000}"/>
    <cellStyle name="Процентный 5 41 3" xfId="5768" xr:uid="{00000000-0005-0000-0000-0000ACC30000}"/>
    <cellStyle name="Процентный 5 41 3 2" xfId="53830" xr:uid="{00000000-0005-0000-0000-0000ADC30000}"/>
    <cellStyle name="Процентный 5 41 4" xfId="11109" xr:uid="{00000000-0005-0000-0000-0000AEC30000}"/>
    <cellStyle name="Процентный 5 41 5" xfId="16449" xr:uid="{00000000-0005-0000-0000-0000AFC30000}"/>
    <cellStyle name="Процентный 5 41 6" xfId="21789" xr:uid="{00000000-0005-0000-0000-0000B0C30000}"/>
    <cellStyle name="Процентный 5 41 7" xfId="27129" xr:uid="{00000000-0005-0000-0000-0000B1C30000}"/>
    <cellStyle name="Процентный 5 41 8" xfId="32469" xr:uid="{00000000-0005-0000-0000-0000B2C30000}"/>
    <cellStyle name="Процентный 5 41 9" xfId="37809" xr:uid="{00000000-0005-0000-0000-0000B3C30000}"/>
    <cellStyle name="Процентный 5 42" xfId="439" xr:uid="{00000000-0005-0000-0000-0000B4C30000}"/>
    <cellStyle name="Процентный 5 42 10" xfId="43161" xr:uid="{00000000-0005-0000-0000-0000B5C30000}"/>
    <cellStyle name="Процентный 5 42 11" xfId="48501" xr:uid="{00000000-0005-0000-0000-0000B6C30000}"/>
    <cellStyle name="Процентный 5 42 2" xfId="906" xr:uid="{00000000-0005-0000-0000-0000B7C30000}"/>
    <cellStyle name="Процентный 5 42 2 10" xfId="48968" xr:uid="{00000000-0005-0000-0000-0000B8C30000}"/>
    <cellStyle name="Процентный 5 42 2 2" xfId="6247" xr:uid="{00000000-0005-0000-0000-0000B9C30000}"/>
    <cellStyle name="Процентный 5 42 2 2 2" xfId="54309" xr:uid="{00000000-0005-0000-0000-0000BAC30000}"/>
    <cellStyle name="Процентный 5 42 2 3" xfId="11588" xr:uid="{00000000-0005-0000-0000-0000BBC30000}"/>
    <cellStyle name="Процентный 5 42 2 4" xfId="16928" xr:uid="{00000000-0005-0000-0000-0000BCC30000}"/>
    <cellStyle name="Процентный 5 42 2 5" xfId="22268" xr:uid="{00000000-0005-0000-0000-0000BDC30000}"/>
    <cellStyle name="Процентный 5 42 2 6" xfId="27608" xr:uid="{00000000-0005-0000-0000-0000BEC30000}"/>
    <cellStyle name="Процентный 5 42 2 7" xfId="32948" xr:uid="{00000000-0005-0000-0000-0000BFC30000}"/>
    <cellStyle name="Процентный 5 42 2 8" xfId="38288" xr:uid="{00000000-0005-0000-0000-0000C0C30000}"/>
    <cellStyle name="Процентный 5 42 2 9" xfId="43628" xr:uid="{00000000-0005-0000-0000-0000C1C30000}"/>
    <cellStyle name="Процентный 5 42 3" xfId="5780" xr:uid="{00000000-0005-0000-0000-0000C2C30000}"/>
    <cellStyle name="Процентный 5 42 3 2" xfId="53842" xr:uid="{00000000-0005-0000-0000-0000C3C30000}"/>
    <cellStyle name="Процентный 5 42 4" xfId="11121" xr:uid="{00000000-0005-0000-0000-0000C4C30000}"/>
    <cellStyle name="Процентный 5 42 5" xfId="16461" xr:uid="{00000000-0005-0000-0000-0000C5C30000}"/>
    <cellStyle name="Процентный 5 42 6" xfId="21801" xr:uid="{00000000-0005-0000-0000-0000C6C30000}"/>
    <cellStyle name="Процентный 5 42 7" xfId="27141" xr:uid="{00000000-0005-0000-0000-0000C7C30000}"/>
    <cellStyle name="Процентный 5 42 8" xfId="32481" xr:uid="{00000000-0005-0000-0000-0000C8C30000}"/>
    <cellStyle name="Процентный 5 42 9" xfId="37821" xr:uid="{00000000-0005-0000-0000-0000C9C30000}"/>
    <cellStyle name="Процентный 5 43" xfId="451" xr:uid="{00000000-0005-0000-0000-0000CAC30000}"/>
    <cellStyle name="Процентный 5 43 10" xfId="43173" xr:uid="{00000000-0005-0000-0000-0000CBC30000}"/>
    <cellStyle name="Процентный 5 43 11" xfId="48513" xr:uid="{00000000-0005-0000-0000-0000CCC30000}"/>
    <cellStyle name="Процентный 5 43 2" xfId="918" xr:uid="{00000000-0005-0000-0000-0000CDC30000}"/>
    <cellStyle name="Процентный 5 43 2 10" xfId="48980" xr:uid="{00000000-0005-0000-0000-0000CEC30000}"/>
    <cellStyle name="Процентный 5 43 2 2" xfId="6259" xr:uid="{00000000-0005-0000-0000-0000CFC30000}"/>
    <cellStyle name="Процентный 5 43 2 2 2" xfId="54321" xr:uid="{00000000-0005-0000-0000-0000D0C30000}"/>
    <cellStyle name="Процентный 5 43 2 3" xfId="11600" xr:uid="{00000000-0005-0000-0000-0000D1C30000}"/>
    <cellStyle name="Процентный 5 43 2 4" xfId="16940" xr:uid="{00000000-0005-0000-0000-0000D2C30000}"/>
    <cellStyle name="Процентный 5 43 2 5" xfId="22280" xr:uid="{00000000-0005-0000-0000-0000D3C30000}"/>
    <cellStyle name="Процентный 5 43 2 6" xfId="27620" xr:uid="{00000000-0005-0000-0000-0000D4C30000}"/>
    <cellStyle name="Процентный 5 43 2 7" xfId="32960" xr:uid="{00000000-0005-0000-0000-0000D5C30000}"/>
    <cellStyle name="Процентный 5 43 2 8" xfId="38300" xr:uid="{00000000-0005-0000-0000-0000D6C30000}"/>
    <cellStyle name="Процентный 5 43 2 9" xfId="43640" xr:uid="{00000000-0005-0000-0000-0000D7C30000}"/>
    <cellStyle name="Процентный 5 43 3" xfId="5792" xr:uid="{00000000-0005-0000-0000-0000D8C30000}"/>
    <cellStyle name="Процентный 5 43 3 2" xfId="53854" xr:uid="{00000000-0005-0000-0000-0000D9C30000}"/>
    <cellStyle name="Процентный 5 43 4" xfId="11133" xr:uid="{00000000-0005-0000-0000-0000DAC30000}"/>
    <cellStyle name="Процентный 5 43 5" xfId="16473" xr:uid="{00000000-0005-0000-0000-0000DBC30000}"/>
    <cellStyle name="Процентный 5 43 6" xfId="21813" xr:uid="{00000000-0005-0000-0000-0000DCC30000}"/>
    <cellStyle name="Процентный 5 43 7" xfId="27153" xr:uid="{00000000-0005-0000-0000-0000DDC30000}"/>
    <cellStyle name="Процентный 5 43 8" xfId="32493" xr:uid="{00000000-0005-0000-0000-0000DEC30000}"/>
    <cellStyle name="Процентный 5 43 9" xfId="37833" xr:uid="{00000000-0005-0000-0000-0000DFC30000}"/>
    <cellStyle name="Процентный 5 44" xfId="463" xr:uid="{00000000-0005-0000-0000-0000E0C30000}"/>
    <cellStyle name="Процентный 5 44 10" xfId="43185" xr:uid="{00000000-0005-0000-0000-0000E1C30000}"/>
    <cellStyle name="Процентный 5 44 11" xfId="48525" xr:uid="{00000000-0005-0000-0000-0000E2C30000}"/>
    <cellStyle name="Процентный 5 44 2" xfId="930" xr:uid="{00000000-0005-0000-0000-0000E3C30000}"/>
    <cellStyle name="Процентный 5 44 2 10" xfId="48992" xr:uid="{00000000-0005-0000-0000-0000E4C30000}"/>
    <cellStyle name="Процентный 5 44 2 2" xfId="6271" xr:uid="{00000000-0005-0000-0000-0000E5C30000}"/>
    <cellStyle name="Процентный 5 44 2 2 2" xfId="54333" xr:uid="{00000000-0005-0000-0000-0000E6C30000}"/>
    <cellStyle name="Процентный 5 44 2 3" xfId="11612" xr:uid="{00000000-0005-0000-0000-0000E7C30000}"/>
    <cellStyle name="Процентный 5 44 2 4" xfId="16952" xr:uid="{00000000-0005-0000-0000-0000E8C30000}"/>
    <cellStyle name="Процентный 5 44 2 5" xfId="22292" xr:uid="{00000000-0005-0000-0000-0000E9C30000}"/>
    <cellStyle name="Процентный 5 44 2 6" xfId="27632" xr:uid="{00000000-0005-0000-0000-0000EAC30000}"/>
    <cellStyle name="Процентный 5 44 2 7" xfId="32972" xr:uid="{00000000-0005-0000-0000-0000EBC30000}"/>
    <cellStyle name="Процентный 5 44 2 8" xfId="38312" xr:uid="{00000000-0005-0000-0000-0000ECC30000}"/>
    <cellStyle name="Процентный 5 44 2 9" xfId="43652" xr:uid="{00000000-0005-0000-0000-0000EDC30000}"/>
    <cellStyle name="Процентный 5 44 3" xfId="5804" xr:uid="{00000000-0005-0000-0000-0000EEC30000}"/>
    <cellStyle name="Процентный 5 44 3 2" xfId="53866" xr:uid="{00000000-0005-0000-0000-0000EFC30000}"/>
    <cellStyle name="Процентный 5 44 4" xfId="11145" xr:uid="{00000000-0005-0000-0000-0000F0C30000}"/>
    <cellStyle name="Процентный 5 44 5" xfId="16485" xr:uid="{00000000-0005-0000-0000-0000F1C30000}"/>
    <cellStyle name="Процентный 5 44 6" xfId="21825" xr:uid="{00000000-0005-0000-0000-0000F2C30000}"/>
    <cellStyle name="Процентный 5 44 7" xfId="27165" xr:uid="{00000000-0005-0000-0000-0000F3C30000}"/>
    <cellStyle name="Процентный 5 44 8" xfId="32505" xr:uid="{00000000-0005-0000-0000-0000F4C30000}"/>
    <cellStyle name="Процентный 5 44 9" xfId="37845" xr:uid="{00000000-0005-0000-0000-0000F5C30000}"/>
    <cellStyle name="Процентный 5 45" xfId="475" xr:uid="{00000000-0005-0000-0000-0000F6C30000}"/>
    <cellStyle name="Процентный 5 45 10" xfId="43197" xr:uid="{00000000-0005-0000-0000-0000F7C30000}"/>
    <cellStyle name="Процентный 5 45 11" xfId="48537" xr:uid="{00000000-0005-0000-0000-0000F8C30000}"/>
    <cellStyle name="Процентный 5 45 2" xfId="942" xr:uid="{00000000-0005-0000-0000-0000F9C30000}"/>
    <cellStyle name="Процентный 5 45 2 10" xfId="49004" xr:uid="{00000000-0005-0000-0000-0000FAC30000}"/>
    <cellStyle name="Процентный 5 45 2 2" xfId="6283" xr:uid="{00000000-0005-0000-0000-0000FBC30000}"/>
    <cellStyle name="Процентный 5 45 2 2 2" xfId="54345" xr:uid="{00000000-0005-0000-0000-0000FCC30000}"/>
    <cellStyle name="Процентный 5 45 2 3" xfId="11624" xr:uid="{00000000-0005-0000-0000-0000FDC30000}"/>
    <cellStyle name="Процентный 5 45 2 4" xfId="16964" xr:uid="{00000000-0005-0000-0000-0000FEC30000}"/>
    <cellStyle name="Процентный 5 45 2 5" xfId="22304" xr:uid="{00000000-0005-0000-0000-0000FFC30000}"/>
    <cellStyle name="Процентный 5 45 2 6" xfId="27644" xr:uid="{00000000-0005-0000-0000-000000C40000}"/>
    <cellStyle name="Процентный 5 45 2 7" xfId="32984" xr:uid="{00000000-0005-0000-0000-000001C40000}"/>
    <cellStyle name="Процентный 5 45 2 8" xfId="38324" xr:uid="{00000000-0005-0000-0000-000002C40000}"/>
    <cellStyle name="Процентный 5 45 2 9" xfId="43664" xr:uid="{00000000-0005-0000-0000-000003C40000}"/>
    <cellStyle name="Процентный 5 45 3" xfId="5816" xr:uid="{00000000-0005-0000-0000-000004C40000}"/>
    <cellStyle name="Процентный 5 45 3 2" xfId="53878" xr:uid="{00000000-0005-0000-0000-000005C40000}"/>
    <cellStyle name="Процентный 5 45 4" xfId="11157" xr:uid="{00000000-0005-0000-0000-000006C40000}"/>
    <cellStyle name="Процентный 5 45 5" xfId="16497" xr:uid="{00000000-0005-0000-0000-000007C40000}"/>
    <cellStyle name="Процентный 5 45 6" xfId="21837" xr:uid="{00000000-0005-0000-0000-000008C40000}"/>
    <cellStyle name="Процентный 5 45 7" xfId="27177" xr:uid="{00000000-0005-0000-0000-000009C40000}"/>
    <cellStyle name="Процентный 5 45 8" xfId="32517" xr:uid="{00000000-0005-0000-0000-00000AC40000}"/>
    <cellStyle name="Процентный 5 45 9" xfId="37857" xr:uid="{00000000-0005-0000-0000-00000BC40000}"/>
    <cellStyle name="Процентный 5 46" xfId="487" xr:uid="{00000000-0005-0000-0000-00000CC40000}"/>
    <cellStyle name="Процентный 5 46 10" xfId="43209" xr:uid="{00000000-0005-0000-0000-00000DC40000}"/>
    <cellStyle name="Процентный 5 46 11" xfId="48549" xr:uid="{00000000-0005-0000-0000-00000EC40000}"/>
    <cellStyle name="Процентный 5 46 2" xfId="954" xr:uid="{00000000-0005-0000-0000-00000FC40000}"/>
    <cellStyle name="Процентный 5 46 2 10" xfId="49016" xr:uid="{00000000-0005-0000-0000-000010C40000}"/>
    <cellStyle name="Процентный 5 46 2 2" xfId="6295" xr:uid="{00000000-0005-0000-0000-000011C40000}"/>
    <cellStyle name="Процентный 5 46 2 2 2" xfId="54357" xr:uid="{00000000-0005-0000-0000-000012C40000}"/>
    <cellStyle name="Процентный 5 46 2 3" xfId="11636" xr:uid="{00000000-0005-0000-0000-000013C40000}"/>
    <cellStyle name="Процентный 5 46 2 4" xfId="16976" xr:uid="{00000000-0005-0000-0000-000014C40000}"/>
    <cellStyle name="Процентный 5 46 2 5" xfId="22316" xr:uid="{00000000-0005-0000-0000-000015C40000}"/>
    <cellStyle name="Процентный 5 46 2 6" xfId="27656" xr:uid="{00000000-0005-0000-0000-000016C40000}"/>
    <cellStyle name="Процентный 5 46 2 7" xfId="32996" xr:uid="{00000000-0005-0000-0000-000017C40000}"/>
    <cellStyle name="Процентный 5 46 2 8" xfId="38336" xr:uid="{00000000-0005-0000-0000-000018C40000}"/>
    <cellStyle name="Процентный 5 46 2 9" xfId="43676" xr:uid="{00000000-0005-0000-0000-000019C40000}"/>
    <cellStyle name="Процентный 5 46 3" xfId="5828" xr:uid="{00000000-0005-0000-0000-00001AC40000}"/>
    <cellStyle name="Процентный 5 46 3 2" xfId="53890" xr:uid="{00000000-0005-0000-0000-00001BC40000}"/>
    <cellStyle name="Процентный 5 46 4" xfId="11169" xr:uid="{00000000-0005-0000-0000-00001CC40000}"/>
    <cellStyle name="Процентный 5 46 5" xfId="16509" xr:uid="{00000000-0005-0000-0000-00001DC40000}"/>
    <cellStyle name="Процентный 5 46 6" xfId="21849" xr:uid="{00000000-0005-0000-0000-00001EC40000}"/>
    <cellStyle name="Процентный 5 46 7" xfId="27189" xr:uid="{00000000-0005-0000-0000-00001FC40000}"/>
    <cellStyle name="Процентный 5 46 8" xfId="32529" xr:uid="{00000000-0005-0000-0000-000020C40000}"/>
    <cellStyle name="Процентный 5 46 9" xfId="37869" xr:uid="{00000000-0005-0000-0000-000021C40000}"/>
    <cellStyle name="Процентный 5 47" xfId="499" xr:uid="{00000000-0005-0000-0000-000022C40000}"/>
    <cellStyle name="Процентный 5 47 10" xfId="43221" xr:uid="{00000000-0005-0000-0000-000023C40000}"/>
    <cellStyle name="Процентный 5 47 11" xfId="48561" xr:uid="{00000000-0005-0000-0000-000024C40000}"/>
    <cellStyle name="Процентный 5 47 2" xfId="966" xr:uid="{00000000-0005-0000-0000-000025C40000}"/>
    <cellStyle name="Процентный 5 47 2 10" xfId="49028" xr:uid="{00000000-0005-0000-0000-000026C40000}"/>
    <cellStyle name="Процентный 5 47 2 2" xfId="6307" xr:uid="{00000000-0005-0000-0000-000027C40000}"/>
    <cellStyle name="Процентный 5 47 2 2 2" xfId="54369" xr:uid="{00000000-0005-0000-0000-000028C40000}"/>
    <cellStyle name="Процентный 5 47 2 3" xfId="11648" xr:uid="{00000000-0005-0000-0000-000029C40000}"/>
    <cellStyle name="Процентный 5 47 2 4" xfId="16988" xr:uid="{00000000-0005-0000-0000-00002AC40000}"/>
    <cellStyle name="Процентный 5 47 2 5" xfId="22328" xr:uid="{00000000-0005-0000-0000-00002BC40000}"/>
    <cellStyle name="Процентный 5 47 2 6" xfId="27668" xr:uid="{00000000-0005-0000-0000-00002CC40000}"/>
    <cellStyle name="Процентный 5 47 2 7" xfId="33008" xr:uid="{00000000-0005-0000-0000-00002DC40000}"/>
    <cellStyle name="Процентный 5 47 2 8" xfId="38348" xr:uid="{00000000-0005-0000-0000-00002EC40000}"/>
    <cellStyle name="Процентный 5 47 2 9" xfId="43688" xr:uid="{00000000-0005-0000-0000-00002FC40000}"/>
    <cellStyle name="Процентный 5 47 3" xfId="5840" xr:uid="{00000000-0005-0000-0000-000030C40000}"/>
    <cellStyle name="Процентный 5 47 3 2" xfId="53902" xr:uid="{00000000-0005-0000-0000-000031C40000}"/>
    <cellStyle name="Процентный 5 47 4" xfId="11181" xr:uid="{00000000-0005-0000-0000-000032C40000}"/>
    <cellStyle name="Процентный 5 47 5" xfId="16521" xr:uid="{00000000-0005-0000-0000-000033C40000}"/>
    <cellStyle name="Процентный 5 47 6" xfId="21861" xr:uid="{00000000-0005-0000-0000-000034C40000}"/>
    <cellStyle name="Процентный 5 47 7" xfId="27201" xr:uid="{00000000-0005-0000-0000-000035C40000}"/>
    <cellStyle name="Процентный 5 47 8" xfId="32541" xr:uid="{00000000-0005-0000-0000-000036C40000}"/>
    <cellStyle name="Процентный 5 47 9" xfId="37881" xr:uid="{00000000-0005-0000-0000-000037C40000}"/>
    <cellStyle name="Процентный 5 48" xfId="511" xr:uid="{00000000-0005-0000-0000-000038C40000}"/>
    <cellStyle name="Процентный 5 48 10" xfId="43233" xr:uid="{00000000-0005-0000-0000-000039C40000}"/>
    <cellStyle name="Процентный 5 48 11" xfId="48573" xr:uid="{00000000-0005-0000-0000-00003AC40000}"/>
    <cellStyle name="Процентный 5 48 2" xfId="978" xr:uid="{00000000-0005-0000-0000-00003BC40000}"/>
    <cellStyle name="Процентный 5 48 2 10" xfId="49040" xr:uid="{00000000-0005-0000-0000-00003CC40000}"/>
    <cellStyle name="Процентный 5 48 2 2" xfId="6319" xr:uid="{00000000-0005-0000-0000-00003DC40000}"/>
    <cellStyle name="Процентный 5 48 2 2 2" xfId="54381" xr:uid="{00000000-0005-0000-0000-00003EC40000}"/>
    <cellStyle name="Процентный 5 48 2 3" xfId="11660" xr:uid="{00000000-0005-0000-0000-00003FC40000}"/>
    <cellStyle name="Процентный 5 48 2 4" xfId="17000" xr:uid="{00000000-0005-0000-0000-000040C40000}"/>
    <cellStyle name="Процентный 5 48 2 5" xfId="22340" xr:uid="{00000000-0005-0000-0000-000041C40000}"/>
    <cellStyle name="Процентный 5 48 2 6" xfId="27680" xr:uid="{00000000-0005-0000-0000-000042C40000}"/>
    <cellStyle name="Процентный 5 48 2 7" xfId="33020" xr:uid="{00000000-0005-0000-0000-000043C40000}"/>
    <cellStyle name="Процентный 5 48 2 8" xfId="38360" xr:uid="{00000000-0005-0000-0000-000044C40000}"/>
    <cellStyle name="Процентный 5 48 2 9" xfId="43700" xr:uid="{00000000-0005-0000-0000-000045C40000}"/>
    <cellStyle name="Процентный 5 48 3" xfId="5852" xr:uid="{00000000-0005-0000-0000-000046C40000}"/>
    <cellStyle name="Процентный 5 48 3 2" xfId="53914" xr:uid="{00000000-0005-0000-0000-000047C40000}"/>
    <cellStyle name="Процентный 5 48 4" xfId="11193" xr:uid="{00000000-0005-0000-0000-000048C40000}"/>
    <cellStyle name="Процентный 5 48 5" xfId="16533" xr:uid="{00000000-0005-0000-0000-000049C40000}"/>
    <cellStyle name="Процентный 5 48 6" xfId="21873" xr:uid="{00000000-0005-0000-0000-00004AC40000}"/>
    <cellStyle name="Процентный 5 48 7" xfId="27213" xr:uid="{00000000-0005-0000-0000-00004BC40000}"/>
    <cellStyle name="Процентный 5 48 8" xfId="32553" xr:uid="{00000000-0005-0000-0000-00004CC40000}"/>
    <cellStyle name="Процентный 5 48 9" xfId="37893" xr:uid="{00000000-0005-0000-0000-00004DC40000}"/>
    <cellStyle name="Процентный 5 49" xfId="528" xr:uid="{00000000-0005-0000-0000-00004EC40000}"/>
    <cellStyle name="Процентный 5 49 10" xfId="48590" xr:uid="{00000000-0005-0000-0000-00004FC40000}"/>
    <cellStyle name="Процентный 5 49 2" xfId="5869" xr:uid="{00000000-0005-0000-0000-000050C40000}"/>
    <cellStyle name="Процентный 5 49 2 2" xfId="53931" xr:uid="{00000000-0005-0000-0000-000051C40000}"/>
    <cellStyle name="Процентный 5 49 3" xfId="11210" xr:uid="{00000000-0005-0000-0000-000052C40000}"/>
    <cellStyle name="Процентный 5 49 4" xfId="16550" xr:uid="{00000000-0005-0000-0000-000053C40000}"/>
    <cellStyle name="Процентный 5 49 5" xfId="21890" xr:uid="{00000000-0005-0000-0000-000054C40000}"/>
    <cellStyle name="Процентный 5 49 6" xfId="27230" xr:uid="{00000000-0005-0000-0000-000055C40000}"/>
    <cellStyle name="Процентный 5 49 7" xfId="32570" xr:uid="{00000000-0005-0000-0000-000056C40000}"/>
    <cellStyle name="Процентный 5 49 8" xfId="37910" xr:uid="{00000000-0005-0000-0000-000057C40000}"/>
    <cellStyle name="Процентный 5 49 9" xfId="43250" xr:uid="{00000000-0005-0000-0000-000058C40000}"/>
    <cellStyle name="Процентный 5 5" xfId="87" xr:uid="{00000000-0005-0000-0000-000059C40000}"/>
    <cellStyle name="Процентный 5 5 10" xfId="42809" xr:uid="{00000000-0005-0000-0000-00005AC40000}"/>
    <cellStyle name="Процентный 5 5 11" xfId="48149" xr:uid="{00000000-0005-0000-0000-00005BC40000}"/>
    <cellStyle name="Процентный 5 5 2" xfId="554" xr:uid="{00000000-0005-0000-0000-00005CC40000}"/>
    <cellStyle name="Процентный 5 5 2 10" xfId="48616" xr:uid="{00000000-0005-0000-0000-00005DC40000}"/>
    <cellStyle name="Процентный 5 5 2 2" xfId="5895" xr:uid="{00000000-0005-0000-0000-00005EC40000}"/>
    <cellStyle name="Процентный 5 5 2 2 2" xfId="53957" xr:uid="{00000000-0005-0000-0000-00005FC40000}"/>
    <cellStyle name="Процентный 5 5 2 3" xfId="11236" xr:uid="{00000000-0005-0000-0000-000060C40000}"/>
    <cellStyle name="Процентный 5 5 2 4" xfId="16576" xr:uid="{00000000-0005-0000-0000-000061C40000}"/>
    <cellStyle name="Процентный 5 5 2 5" xfId="21916" xr:uid="{00000000-0005-0000-0000-000062C40000}"/>
    <cellStyle name="Процентный 5 5 2 6" xfId="27256" xr:uid="{00000000-0005-0000-0000-000063C40000}"/>
    <cellStyle name="Процентный 5 5 2 7" xfId="32596" xr:uid="{00000000-0005-0000-0000-000064C40000}"/>
    <cellStyle name="Процентный 5 5 2 8" xfId="37936" xr:uid="{00000000-0005-0000-0000-000065C40000}"/>
    <cellStyle name="Процентный 5 5 2 9" xfId="43276" xr:uid="{00000000-0005-0000-0000-000066C40000}"/>
    <cellStyle name="Процентный 5 5 3" xfId="5428" xr:uid="{00000000-0005-0000-0000-000067C40000}"/>
    <cellStyle name="Процентный 5 5 3 2" xfId="53490" xr:uid="{00000000-0005-0000-0000-000068C40000}"/>
    <cellStyle name="Процентный 5 5 4" xfId="10769" xr:uid="{00000000-0005-0000-0000-000069C40000}"/>
    <cellStyle name="Процентный 5 5 5" xfId="16109" xr:uid="{00000000-0005-0000-0000-00006AC40000}"/>
    <cellStyle name="Процентный 5 5 6" xfId="21449" xr:uid="{00000000-0005-0000-0000-00006BC40000}"/>
    <cellStyle name="Процентный 5 5 7" xfId="26789" xr:uid="{00000000-0005-0000-0000-00006CC40000}"/>
    <cellStyle name="Процентный 5 5 8" xfId="32129" xr:uid="{00000000-0005-0000-0000-00006DC40000}"/>
    <cellStyle name="Процентный 5 5 9" xfId="37469" xr:uid="{00000000-0005-0000-0000-00006EC40000}"/>
    <cellStyle name="Процентный 5 50" xfId="990" xr:uid="{00000000-0005-0000-0000-00006FC40000}"/>
    <cellStyle name="Процентный 5 50 10" xfId="49052" xr:uid="{00000000-0005-0000-0000-000070C40000}"/>
    <cellStyle name="Процентный 5 50 2" xfId="6331" xr:uid="{00000000-0005-0000-0000-000071C40000}"/>
    <cellStyle name="Процентный 5 50 2 2" xfId="54393" xr:uid="{00000000-0005-0000-0000-000072C40000}"/>
    <cellStyle name="Процентный 5 50 3" xfId="11672" xr:uid="{00000000-0005-0000-0000-000073C40000}"/>
    <cellStyle name="Процентный 5 50 4" xfId="17012" xr:uid="{00000000-0005-0000-0000-000074C40000}"/>
    <cellStyle name="Процентный 5 50 5" xfId="22352" xr:uid="{00000000-0005-0000-0000-000075C40000}"/>
    <cellStyle name="Процентный 5 50 6" xfId="27692" xr:uid="{00000000-0005-0000-0000-000076C40000}"/>
    <cellStyle name="Процентный 5 50 7" xfId="33032" xr:uid="{00000000-0005-0000-0000-000077C40000}"/>
    <cellStyle name="Процентный 5 50 8" xfId="38372" xr:uid="{00000000-0005-0000-0000-000078C40000}"/>
    <cellStyle name="Процентный 5 50 9" xfId="43712" xr:uid="{00000000-0005-0000-0000-000079C40000}"/>
    <cellStyle name="Процентный 5 51" xfId="1014" xr:uid="{00000000-0005-0000-0000-00007AC40000}"/>
    <cellStyle name="Процентный 5 51 10" xfId="49076" xr:uid="{00000000-0005-0000-0000-00007BC40000}"/>
    <cellStyle name="Процентный 5 51 2" xfId="6355" xr:uid="{00000000-0005-0000-0000-00007CC40000}"/>
    <cellStyle name="Процентный 5 51 2 2" xfId="54417" xr:uid="{00000000-0005-0000-0000-00007DC40000}"/>
    <cellStyle name="Процентный 5 51 3" xfId="11696" xr:uid="{00000000-0005-0000-0000-00007EC40000}"/>
    <cellStyle name="Процентный 5 51 4" xfId="17036" xr:uid="{00000000-0005-0000-0000-00007FC40000}"/>
    <cellStyle name="Процентный 5 51 5" xfId="22376" xr:uid="{00000000-0005-0000-0000-000080C40000}"/>
    <cellStyle name="Процентный 5 51 6" xfId="27716" xr:uid="{00000000-0005-0000-0000-000081C40000}"/>
    <cellStyle name="Процентный 5 51 7" xfId="33056" xr:uid="{00000000-0005-0000-0000-000082C40000}"/>
    <cellStyle name="Процентный 5 51 8" xfId="38396" xr:uid="{00000000-0005-0000-0000-000083C40000}"/>
    <cellStyle name="Процентный 5 51 9" xfId="43736" xr:uid="{00000000-0005-0000-0000-000084C40000}"/>
    <cellStyle name="Процентный 5 52" xfId="1038" xr:uid="{00000000-0005-0000-0000-000085C40000}"/>
    <cellStyle name="Процентный 5 52 10" xfId="49100" xr:uid="{00000000-0005-0000-0000-000086C40000}"/>
    <cellStyle name="Процентный 5 52 2" xfId="6379" xr:uid="{00000000-0005-0000-0000-000087C40000}"/>
    <cellStyle name="Процентный 5 52 2 2" xfId="54441" xr:uid="{00000000-0005-0000-0000-000088C40000}"/>
    <cellStyle name="Процентный 5 52 3" xfId="11720" xr:uid="{00000000-0005-0000-0000-000089C40000}"/>
    <cellStyle name="Процентный 5 52 4" xfId="17060" xr:uid="{00000000-0005-0000-0000-00008AC40000}"/>
    <cellStyle name="Процентный 5 52 5" xfId="22400" xr:uid="{00000000-0005-0000-0000-00008BC40000}"/>
    <cellStyle name="Процентный 5 52 6" xfId="27740" xr:uid="{00000000-0005-0000-0000-00008CC40000}"/>
    <cellStyle name="Процентный 5 52 7" xfId="33080" xr:uid="{00000000-0005-0000-0000-00008DC40000}"/>
    <cellStyle name="Процентный 5 52 8" xfId="38420" xr:uid="{00000000-0005-0000-0000-00008EC40000}"/>
    <cellStyle name="Процентный 5 52 9" xfId="43760" xr:uid="{00000000-0005-0000-0000-00008FC40000}"/>
    <cellStyle name="Процентный 5 53" xfId="1063" xr:uid="{00000000-0005-0000-0000-000090C40000}"/>
    <cellStyle name="Процентный 5 53 10" xfId="49126" xr:uid="{00000000-0005-0000-0000-000091C40000}"/>
    <cellStyle name="Процентный 5 53 2" xfId="6405" xr:uid="{00000000-0005-0000-0000-000092C40000}"/>
    <cellStyle name="Процентный 5 53 2 2" xfId="54467" xr:uid="{00000000-0005-0000-0000-000093C40000}"/>
    <cellStyle name="Процентный 5 53 3" xfId="11746" xr:uid="{00000000-0005-0000-0000-000094C40000}"/>
    <cellStyle name="Процентный 5 53 4" xfId="17086" xr:uid="{00000000-0005-0000-0000-000095C40000}"/>
    <cellStyle name="Процентный 5 53 5" xfId="22426" xr:uid="{00000000-0005-0000-0000-000096C40000}"/>
    <cellStyle name="Процентный 5 53 6" xfId="27766" xr:uid="{00000000-0005-0000-0000-000097C40000}"/>
    <cellStyle name="Процентный 5 53 7" xfId="33106" xr:uid="{00000000-0005-0000-0000-000098C40000}"/>
    <cellStyle name="Процентный 5 53 8" xfId="38446" xr:uid="{00000000-0005-0000-0000-000099C40000}"/>
    <cellStyle name="Процентный 5 53 9" xfId="43786" xr:uid="{00000000-0005-0000-0000-00009AC40000}"/>
    <cellStyle name="Процентный 5 54" xfId="1089" xr:uid="{00000000-0005-0000-0000-00009BC40000}"/>
    <cellStyle name="Процентный 5 54 10" xfId="49152" xr:uid="{00000000-0005-0000-0000-00009CC40000}"/>
    <cellStyle name="Процентный 5 54 2" xfId="6431" xr:uid="{00000000-0005-0000-0000-00009DC40000}"/>
    <cellStyle name="Процентный 5 54 2 2" xfId="54493" xr:uid="{00000000-0005-0000-0000-00009EC40000}"/>
    <cellStyle name="Процентный 5 54 3" xfId="11772" xr:uid="{00000000-0005-0000-0000-00009FC40000}"/>
    <cellStyle name="Процентный 5 54 4" xfId="17112" xr:uid="{00000000-0005-0000-0000-0000A0C40000}"/>
    <cellStyle name="Процентный 5 54 5" xfId="22452" xr:uid="{00000000-0005-0000-0000-0000A1C40000}"/>
    <cellStyle name="Процентный 5 54 6" xfId="27792" xr:uid="{00000000-0005-0000-0000-0000A2C40000}"/>
    <cellStyle name="Процентный 5 54 7" xfId="33132" xr:uid="{00000000-0005-0000-0000-0000A3C40000}"/>
    <cellStyle name="Процентный 5 54 8" xfId="38472" xr:uid="{00000000-0005-0000-0000-0000A4C40000}"/>
    <cellStyle name="Процентный 5 54 9" xfId="43812" xr:uid="{00000000-0005-0000-0000-0000A5C40000}"/>
    <cellStyle name="Процентный 5 55" xfId="1115" xr:uid="{00000000-0005-0000-0000-0000A6C40000}"/>
    <cellStyle name="Процентный 5 55 10" xfId="49178" xr:uid="{00000000-0005-0000-0000-0000A7C40000}"/>
    <cellStyle name="Процентный 5 55 2" xfId="6457" xr:uid="{00000000-0005-0000-0000-0000A8C40000}"/>
    <cellStyle name="Процентный 5 55 2 2" xfId="54519" xr:uid="{00000000-0005-0000-0000-0000A9C40000}"/>
    <cellStyle name="Процентный 5 55 3" xfId="11798" xr:uid="{00000000-0005-0000-0000-0000AAC40000}"/>
    <cellStyle name="Процентный 5 55 4" xfId="17138" xr:uid="{00000000-0005-0000-0000-0000ABC40000}"/>
    <cellStyle name="Процентный 5 55 5" xfId="22478" xr:uid="{00000000-0005-0000-0000-0000ACC40000}"/>
    <cellStyle name="Процентный 5 55 6" xfId="27818" xr:uid="{00000000-0005-0000-0000-0000ADC40000}"/>
    <cellStyle name="Процентный 5 55 7" xfId="33158" xr:uid="{00000000-0005-0000-0000-0000AEC40000}"/>
    <cellStyle name="Процентный 5 55 8" xfId="38498" xr:uid="{00000000-0005-0000-0000-0000AFC40000}"/>
    <cellStyle name="Процентный 5 55 9" xfId="43838" xr:uid="{00000000-0005-0000-0000-0000B0C40000}"/>
    <cellStyle name="Процентный 5 56" xfId="1141" xr:uid="{00000000-0005-0000-0000-0000B1C40000}"/>
    <cellStyle name="Процентный 5 56 10" xfId="49204" xr:uid="{00000000-0005-0000-0000-0000B2C40000}"/>
    <cellStyle name="Процентный 5 56 2" xfId="6483" xr:uid="{00000000-0005-0000-0000-0000B3C40000}"/>
    <cellStyle name="Процентный 5 56 2 2" xfId="54545" xr:uid="{00000000-0005-0000-0000-0000B4C40000}"/>
    <cellStyle name="Процентный 5 56 3" xfId="11824" xr:uid="{00000000-0005-0000-0000-0000B5C40000}"/>
    <cellStyle name="Процентный 5 56 4" xfId="17164" xr:uid="{00000000-0005-0000-0000-0000B6C40000}"/>
    <cellStyle name="Процентный 5 56 5" xfId="22504" xr:uid="{00000000-0005-0000-0000-0000B7C40000}"/>
    <cellStyle name="Процентный 5 56 6" xfId="27844" xr:uid="{00000000-0005-0000-0000-0000B8C40000}"/>
    <cellStyle name="Процентный 5 56 7" xfId="33184" xr:uid="{00000000-0005-0000-0000-0000B9C40000}"/>
    <cellStyle name="Процентный 5 56 8" xfId="38524" xr:uid="{00000000-0005-0000-0000-0000BAC40000}"/>
    <cellStyle name="Процентный 5 56 9" xfId="43864" xr:uid="{00000000-0005-0000-0000-0000BBC40000}"/>
    <cellStyle name="Процентный 5 57" xfId="1167" xr:uid="{00000000-0005-0000-0000-0000BCC40000}"/>
    <cellStyle name="Процентный 5 57 10" xfId="49230" xr:uid="{00000000-0005-0000-0000-0000BDC40000}"/>
    <cellStyle name="Процентный 5 57 2" xfId="6509" xr:uid="{00000000-0005-0000-0000-0000BEC40000}"/>
    <cellStyle name="Процентный 5 57 2 2" xfId="54571" xr:uid="{00000000-0005-0000-0000-0000BFC40000}"/>
    <cellStyle name="Процентный 5 57 3" xfId="11850" xr:uid="{00000000-0005-0000-0000-0000C0C40000}"/>
    <cellStyle name="Процентный 5 57 4" xfId="17190" xr:uid="{00000000-0005-0000-0000-0000C1C40000}"/>
    <cellStyle name="Процентный 5 57 5" xfId="22530" xr:uid="{00000000-0005-0000-0000-0000C2C40000}"/>
    <cellStyle name="Процентный 5 57 6" xfId="27870" xr:uid="{00000000-0005-0000-0000-0000C3C40000}"/>
    <cellStyle name="Процентный 5 57 7" xfId="33210" xr:uid="{00000000-0005-0000-0000-0000C4C40000}"/>
    <cellStyle name="Процентный 5 57 8" xfId="38550" xr:uid="{00000000-0005-0000-0000-0000C5C40000}"/>
    <cellStyle name="Процентный 5 57 9" xfId="43890" xr:uid="{00000000-0005-0000-0000-0000C6C40000}"/>
    <cellStyle name="Процентный 5 58" xfId="1193" xr:uid="{00000000-0005-0000-0000-0000C7C40000}"/>
    <cellStyle name="Процентный 5 58 10" xfId="49256" xr:uid="{00000000-0005-0000-0000-0000C8C40000}"/>
    <cellStyle name="Процентный 5 58 2" xfId="6535" xr:uid="{00000000-0005-0000-0000-0000C9C40000}"/>
    <cellStyle name="Процентный 5 58 2 2" xfId="54597" xr:uid="{00000000-0005-0000-0000-0000CAC40000}"/>
    <cellStyle name="Процентный 5 58 3" xfId="11876" xr:uid="{00000000-0005-0000-0000-0000CBC40000}"/>
    <cellStyle name="Процентный 5 58 4" xfId="17216" xr:uid="{00000000-0005-0000-0000-0000CCC40000}"/>
    <cellStyle name="Процентный 5 58 5" xfId="22556" xr:uid="{00000000-0005-0000-0000-0000CDC40000}"/>
    <cellStyle name="Процентный 5 58 6" xfId="27896" xr:uid="{00000000-0005-0000-0000-0000CEC40000}"/>
    <cellStyle name="Процентный 5 58 7" xfId="33236" xr:uid="{00000000-0005-0000-0000-0000CFC40000}"/>
    <cellStyle name="Процентный 5 58 8" xfId="38576" xr:uid="{00000000-0005-0000-0000-0000D0C40000}"/>
    <cellStyle name="Процентный 5 58 9" xfId="43916" xr:uid="{00000000-0005-0000-0000-0000D1C40000}"/>
    <cellStyle name="Процентный 5 59" xfId="1219" xr:uid="{00000000-0005-0000-0000-0000D2C40000}"/>
    <cellStyle name="Процентный 5 59 10" xfId="49282" xr:uid="{00000000-0005-0000-0000-0000D3C40000}"/>
    <cellStyle name="Процентный 5 59 2" xfId="6561" xr:uid="{00000000-0005-0000-0000-0000D4C40000}"/>
    <cellStyle name="Процентный 5 59 2 2" xfId="54623" xr:uid="{00000000-0005-0000-0000-0000D5C40000}"/>
    <cellStyle name="Процентный 5 59 3" xfId="11902" xr:uid="{00000000-0005-0000-0000-0000D6C40000}"/>
    <cellStyle name="Процентный 5 59 4" xfId="17242" xr:uid="{00000000-0005-0000-0000-0000D7C40000}"/>
    <cellStyle name="Процентный 5 59 5" xfId="22582" xr:uid="{00000000-0005-0000-0000-0000D8C40000}"/>
    <cellStyle name="Процентный 5 59 6" xfId="27922" xr:uid="{00000000-0005-0000-0000-0000D9C40000}"/>
    <cellStyle name="Процентный 5 59 7" xfId="33262" xr:uid="{00000000-0005-0000-0000-0000DAC40000}"/>
    <cellStyle name="Процентный 5 59 8" xfId="38602" xr:uid="{00000000-0005-0000-0000-0000DBC40000}"/>
    <cellStyle name="Процентный 5 59 9" xfId="43942" xr:uid="{00000000-0005-0000-0000-0000DCC40000}"/>
    <cellStyle name="Процентный 5 6" xfId="91" xr:uid="{00000000-0005-0000-0000-0000DDC40000}"/>
    <cellStyle name="Процентный 5 6 10" xfId="42813" xr:uid="{00000000-0005-0000-0000-0000DEC40000}"/>
    <cellStyle name="Процентный 5 6 11" xfId="48153" xr:uid="{00000000-0005-0000-0000-0000DFC40000}"/>
    <cellStyle name="Процентный 5 6 2" xfId="558" xr:uid="{00000000-0005-0000-0000-0000E0C40000}"/>
    <cellStyle name="Процентный 5 6 2 10" xfId="48620" xr:uid="{00000000-0005-0000-0000-0000E1C40000}"/>
    <cellStyle name="Процентный 5 6 2 2" xfId="5899" xr:uid="{00000000-0005-0000-0000-0000E2C40000}"/>
    <cellStyle name="Процентный 5 6 2 2 2" xfId="53961" xr:uid="{00000000-0005-0000-0000-0000E3C40000}"/>
    <cellStyle name="Процентный 5 6 2 3" xfId="11240" xr:uid="{00000000-0005-0000-0000-0000E4C40000}"/>
    <cellStyle name="Процентный 5 6 2 4" xfId="16580" xr:uid="{00000000-0005-0000-0000-0000E5C40000}"/>
    <cellStyle name="Процентный 5 6 2 5" xfId="21920" xr:uid="{00000000-0005-0000-0000-0000E6C40000}"/>
    <cellStyle name="Процентный 5 6 2 6" xfId="27260" xr:uid="{00000000-0005-0000-0000-0000E7C40000}"/>
    <cellStyle name="Процентный 5 6 2 7" xfId="32600" xr:uid="{00000000-0005-0000-0000-0000E8C40000}"/>
    <cellStyle name="Процентный 5 6 2 8" xfId="37940" xr:uid="{00000000-0005-0000-0000-0000E9C40000}"/>
    <cellStyle name="Процентный 5 6 2 9" xfId="43280" xr:uid="{00000000-0005-0000-0000-0000EAC40000}"/>
    <cellStyle name="Процентный 5 6 3" xfId="5432" xr:uid="{00000000-0005-0000-0000-0000EBC40000}"/>
    <cellStyle name="Процентный 5 6 3 2" xfId="53494" xr:uid="{00000000-0005-0000-0000-0000ECC40000}"/>
    <cellStyle name="Процентный 5 6 4" xfId="10773" xr:uid="{00000000-0005-0000-0000-0000EDC40000}"/>
    <cellStyle name="Процентный 5 6 5" xfId="16113" xr:uid="{00000000-0005-0000-0000-0000EEC40000}"/>
    <cellStyle name="Процентный 5 6 6" xfId="21453" xr:uid="{00000000-0005-0000-0000-0000EFC40000}"/>
    <cellStyle name="Процентный 5 6 7" xfId="26793" xr:uid="{00000000-0005-0000-0000-0000F0C40000}"/>
    <cellStyle name="Процентный 5 6 8" xfId="32133" xr:uid="{00000000-0005-0000-0000-0000F1C40000}"/>
    <cellStyle name="Процентный 5 6 9" xfId="37473" xr:uid="{00000000-0005-0000-0000-0000F2C40000}"/>
    <cellStyle name="Процентный 5 60" xfId="1245" xr:uid="{00000000-0005-0000-0000-0000F3C40000}"/>
    <cellStyle name="Процентный 5 60 10" xfId="49308" xr:uid="{00000000-0005-0000-0000-0000F4C40000}"/>
    <cellStyle name="Процентный 5 60 2" xfId="6587" xr:uid="{00000000-0005-0000-0000-0000F5C40000}"/>
    <cellStyle name="Процентный 5 60 2 2" xfId="54649" xr:uid="{00000000-0005-0000-0000-0000F6C40000}"/>
    <cellStyle name="Процентный 5 60 3" xfId="11928" xr:uid="{00000000-0005-0000-0000-0000F7C40000}"/>
    <cellStyle name="Процентный 5 60 4" xfId="17268" xr:uid="{00000000-0005-0000-0000-0000F8C40000}"/>
    <cellStyle name="Процентный 5 60 5" xfId="22608" xr:uid="{00000000-0005-0000-0000-0000F9C40000}"/>
    <cellStyle name="Процентный 5 60 6" xfId="27948" xr:uid="{00000000-0005-0000-0000-0000FAC40000}"/>
    <cellStyle name="Процентный 5 60 7" xfId="33288" xr:uid="{00000000-0005-0000-0000-0000FBC40000}"/>
    <cellStyle name="Процентный 5 60 8" xfId="38628" xr:uid="{00000000-0005-0000-0000-0000FCC40000}"/>
    <cellStyle name="Процентный 5 60 9" xfId="43968" xr:uid="{00000000-0005-0000-0000-0000FDC40000}"/>
    <cellStyle name="Процентный 5 61" xfId="1271" xr:uid="{00000000-0005-0000-0000-0000FEC40000}"/>
    <cellStyle name="Процентный 5 61 10" xfId="49334" xr:uid="{00000000-0005-0000-0000-0000FFC40000}"/>
    <cellStyle name="Процентный 5 61 2" xfId="6613" xr:uid="{00000000-0005-0000-0000-000000C50000}"/>
    <cellStyle name="Процентный 5 61 2 2" xfId="54675" xr:uid="{00000000-0005-0000-0000-000001C50000}"/>
    <cellStyle name="Процентный 5 61 3" xfId="11954" xr:uid="{00000000-0005-0000-0000-000002C50000}"/>
    <cellStyle name="Процентный 5 61 4" xfId="17294" xr:uid="{00000000-0005-0000-0000-000003C50000}"/>
    <cellStyle name="Процентный 5 61 5" xfId="22634" xr:uid="{00000000-0005-0000-0000-000004C50000}"/>
    <cellStyle name="Процентный 5 61 6" xfId="27974" xr:uid="{00000000-0005-0000-0000-000005C50000}"/>
    <cellStyle name="Процентный 5 61 7" xfId="33314" xr:uid="{00000000-0005-0000-0000-000006C50000}"/>
    <cellStyle name="Процентный 5 61 8" xfId="38654" xr:uid="{00000000-0005-0000-0000-000007C50000}"/>
    <cellStyle name="Процентный 5 61 9" xfId="43994" xr:uid="{00000000-0005-0000-0000-000008C50000}"/>
    <cellStyle name="Процентный 5 62" xfId="1297" xr:uid="{00000000-0005-0000-0000-000009C50000}"/>
    <cellStyle name="Процентный 5 62 10" xfId="49360" xr:uid="{00000000-0005-0000-0000-00000AC50000}"/>
    <cellStyle name="Процентный 5 62 2" xfId="6639" xr:uid="{00000000-0005-0000-0000-00000BC50000}"/>
    <cellStyle name="Процентный 5 62 2 2" xfId="54701" xr:uid="{00000000-0005-0000-0000-00000CC50000}"/>
    <cellStyle name="Процентный 5 62 3" xfId="11980" xr:uid="{00000000-0005-0000-0000-00000DC50000}"/>
    <cellStyle name="Процентный 5 62 4" xfId="17320" xr:uid="{00000000-0005-0000-0000-00000EC50000}"/>
    <cellStyle name="Процентный 5 62 5" xfId="22660" xr:uid="{00000000-0005-0000-0000-00000FC50000}"/>
    <cellStyle name="Процентный 5 62 6" xfId="28000" xr:uid="{00000000-0005-0000-0000-000010C50000}"/>
    <cellStyle name="Процентный 5 62 7" xfId="33340" xr:uid="{00000000-0005-0000-0000-000011C50000}"/>
    <cellStyle name="Процентный 5 62 8" xfId="38680" xr:uid="{00000000-0005-0000-0000-000012C50000}"/>
    <cellStyle name="Процентный 5 62 9" xfId="44020" xr:uid="{00000000-0005-0000-0000-000013C50000}"/>
    <cellStyle name="Процентный 5 63" xfId="1323" xr:uid="{00000000-0005-0000-0000-000014C50000}"/>
    <cellStyle name="Процентный 5 63 10" xfId="49386" xr:uid="{00000000-0005-0000-0000-000015C50000}"/>
    <cellStyle name="Процентный 5 63 2" xfId="6665" xr:uid="{00000000-0005-0000-0000-000016C50000}"/>
    <cellStyle name="Процентный 5 63 2 2" xfId="54727" xr:uid="{00000000-0005-0000-0000-000017C50000}"/>
    <cellStyle name="Процентный 5 63 3" xfId="12006" xr:uid="{00000000-0005-0000-0000-000018C50000}"/>
    <cellStyle name="Процентный 5 63 4" xfId="17346" xr:uid="{00000000-0005-0000-0000-000019C50000}"/>
    <cellStyle name="Процентный 5 63 5" xfId="22686" xr:uid="{00000000-0005-0000-0000-00001AC50000}"/>
    <cellStyle name="Процентный 5 63 6" xfId="28026" xr:uid="{00000000-0005-0000-0000-00001BC50000}"/>
    <cellStyle name="Процентный 5 63 7" xfId="33366" xr:uid="{00000000-0005-0000-0000-00001CC50000}"/>
    <cellStyle name="Процентный 5 63 8" xfId="38706" xr:uid="{00000000-0005-0000-0000-00001DC50000}"/>
    <cellStyle name="Процентный 5 63 9" xfId="44046" xr:uid="{00000000-0005-0000-0000-00001EC50000}"/>
    <cellStyle name="Процентный 5 64" xfId="1349" xr:uid="{00000000-0005-0000-0000-00001FC50000}"/>
    <cellStyle name="Процентный 5 64 10" xfId="49412" xr:uid="{00000000-0005-0000-0000-000020C50000}"/>
    <cellStyle name="Процентный 5 64 2" xfId="6691" xr:uid="{00000000-0005-0000-0000-000021C50000}"/>
    <cellStyle name="Процентный 5 64 2 2" xfId="54753" xr:uid="{00000000-0005-0000-0000-000022C50000}"/>
    <cellStyle name="Процентный 5 64 3" xfId="12032" xr:uid="{00000000-0005-0000-0000-000023C50000}"/>
    <cellStyle name="Процентный 5 64 4" xfId="17372" xr:uid="{00000000-0005-0000-0000-000024C50000}"/>
    <cellStyle name="Процентный 5 64 5" xfId="22712" xr:uid="{00000000-0005-0000-0000-000025C50000}"/>
    <cellStyle name="Процентный 5 64 6" xfId="28052" xr:uid="{00000000-0005-0000-0000-000026C50000}"/>
    <cellStyle name="Процентный 5 64 7" xfId="33392" xr:uid="{00000000-0005-0000-0000-000027C50000}"/>
    <cellStyle name="Процентный 5 64 8" xfId="38732" xr:uid="{00000000-0005-0000-0000-000028C50000}"/>
    <cellStyle name="Процентный 5 64 9" xfId="44072" xr:uid="{00000000-0005-0000-0000-000029C50000}"/>
    <cellStyle name="Процентный 5 65" xfId="1375" xr:uid="{00000000-0005-0000-0000-00002AC50000}"/>
    <cellStyle name="Процентный 5 65 10" xfId="49438" xr:uid="{00000000-0005-0000-0000-00002BC50000}"/>
    <cellStyle name="Процентный 5 65 2" xfId="6717" xr:uid="{00000000-0005-0000-0000-00002CC50000}"/>
    <cellStyle name="Процентный 5 65 2 2" xfId="54779" xr:uid="{00000000-0005-0000-0000-00002DC50000}"/>
    <cellStyle name="Процентный 5 65 3" xfId="12058" xr:uid="{00000000-0005-0000-0000-00002EC50000}"/>
    <cellStyle name="Процентный 5 65 4" xfId="17398" xr:uid="{00000000-0005-0000-0000-00002FC50000}"/>
    <cellStyle name="Процентный 5 65 5" xfId="22738" xr:uid="{00000000-0005-0000-0000-000030C50000}"/>
    <cellStyle name="Процентный 5 65 6" xfId="28078" xr:uid="{00000000-0005-0000-0000-000031C50000}"/>
    <cellStyle name="Процентный 5 65 7" xfId="33418" xr:uid="{00000000-0005-0000-0000-000032C50000}"/>
    <cellStyle name="Процентный 5 65 8" xfId="38758" xr:uid="{00000000-0005-0000-0000-000033C50000}"/>
    <cellStyle name="Процентный 5 65 9" xfId="44098" xr:uid="{00000000-0005-0000-0000-000034C50000}"/>
    <cellStyle name="Процентный 5 66" xfId="1401" xr:uid="{00000000-0005-0000-0000-000035C50000}"/>
    <cellStyle name="Процентный 5 66 10" xfId="49464" xr:uid="{00000000-0005-0000-0000-000036C50000}"/>
    <cellStyle name="Процентный 5 66 2" xfId="6743" xr:uid="{00000000-0005-0000-0000-000037C50000}"/>
    <cellStyle name="Процентный 5 66 2 2" xfId="54805" xr:uid="{00000000-0005-0000-0000-000038C50000}"/>
    <cellStyle name="Процентный 5 66 3" xfId="12084" xr:uid="{00000000-0005-0000-0000-000039C50000}"/>
    <cellStyle name="Процентный 5 66 4" xfId="17424" xr:uid="{00000000-0005-0000-0000-00003AC50000}"/>
    <cellStyle name="Процентный 5 66 5" xfId="22764" xr:uid="{00000000-0005-0000-0000-00003BC50000}"/>
    <cellStyle name="Процентный 5 66 6" xfId="28104" xr:uid="{00000000-0005-0000-0000-00003CC50000}"/>
    <cellStyle name="Процентный 5 66 7" xfId="33444" xr:uid="{00000000-0005-0000-0000-00003DC50000}"/>
    <cellStyle name="Процентный 5 66 8" xfId="38784" xr:uid="{00000000-0005-0000-0000-00003EC50000}"/>
    <cellStyle name="Процентный 5 66 9" xfId="44124" xr:uid="{00000000-0005-0000-0000-00003FC50000}"/>
    <cellStyle name="Процентный 5 67" xfId="1427" xr:uid="{00000000-0005-0000-0000-000040C50000}"/>
    <cellStyle name="Процентный 5 67 10" xfId="49490" xr:uid="{00000000-0005-0000-0000-000041C50000}"/>
    <cellStyle name="Процентный 5 67 2" xfId="6769" xr:uid="{00000000-0005-0000-0000-000042C50000}"/>
    <cellStyle name="Процентный 5 67 2 2" xfId="54831" xr:uid="{00000000-0005-0000-0000-000043C50000}"/>
    <cellStyle name="Процентный 5 67 3" xfId="12110" xr:uid="{00000000-0005-0000-0000-000044C50000}"/>
    <cellStyle name="Процентный 5 67 4" xfId="17450" xr:uid="{00000000-0005-0000-0000-000045C50000}"/>
    <cellStyle name="Процентный 5 67 5" xfId="22790" xr:uid="{00000000-0005-0000-0000-000046C50000}"/>
    <cellStyle name="Процентный 5 67 6" xfId="28130" xr:uid="{00000000-0005-0000-0000-000047C50000}"/>
    <cellStyle name="Процентный 5 67 7" xfId="33470" xr:uid="{00000000-0005-0000-0000-000048C50000}"/>
    <cellStyle name="Процентный 5 67 8" xfId="38810" xr:uid="{00000000-0005-0000-0000-000049C50000}"/>
    <cellStyle name="Процентный 5 67 9" xfId="44150" xr:uid="{00000000-0005-0000-0000-00004AC50000}"/>
    <cellStyle name="Процентный 5 68" xfId="1453" xr:uid="{00000000-0005-0000-0000-00004BC50000}"/>
    <cellStyle name="Процентный 5 68 10" xfId="49516" xr:uid="{00000000-0005-0000-0000-00004CC50000}"/>
    <cellStyle name="Процентный 5 68 2" xfId="6795" xr:uid="{00000000-0005-0000-0000-00004DC50000}"/>
    <cellStyle name="Процентный 5 68 2 2" xfId="54857" xr:uid="{00000000-0005-0000-0000-00004EC50000}"/>
    <cellStyle name="Процентный 5 68 3" xfId="12136" xr:uid="{00000000-0005-0000-0000-00004FC50000}"/>
    <cellStyle name="Процентный 5 68 4" xfId="17476" xr:uid="{00000000-0005-0000-0000-000050C50000}"/>
    <cellStyle name="Процентный 5 68 5" xfId="22816" xr:uid="{00000000-0005-0000-0000-000051C50000}"/>
    <cellStyle name="Процентный 5 68 6" xfId="28156" xr:uid="{00000000-0005-0000-0000-000052C50000}"/>
    <cellStyle name="Процентный 5 68 7" xfId="33496" xr:uid="{00000000-0005-0000-0000-000053C50000}"/>
    <cellStyle name="Процентный 5 68 8" xfId="38836" xr:uid="{00000000-0005-0000-0000-000054C50000}"/>
    <cellStyle name="Процентный 5 68 9" xfId="44176" xr:uid="{00000000-0005-0000-0000-000055C50000}"/>
    <cellStyle name="Процентный 5 69" xfId="1479" xr:uid="{00000000-0005-0000-0000-000056C50000}"/>
    <cellStyle name="Процентный 5 69 10" xfId="49542" xr:uid="{00000000-0005-0000-0000-000057C50000}"/>
    <cellStyle name="Процентный 5 69 2" xfId="6821" xr:uid="{00000000-0005-0000-0000-000058C50000}"/>
    <cellStyle name="Процентный 5 69 2 2" xfId="54883" xr:uid="{00000000-0005-0000-0000-000059C50000}"/>
    <cellStyle name="Процентный 5 69 3" xfId="12162" xr:uid="{00000000-0005-0000-0000-00005AC50000}"/>
    <cellStyle name="Процентный 5 69 4" xfId="17502" xr:uid="{00000000-0005-0000-0000-00005BC50000}"/>
    <cellStyle name="Процентный 5 69 5" xfId="22842" xr:uid="{00000000-0005-0000-0000-00005CC50000}"/>
    <cellStyle name="Процентный 5 69 6" xfId="28182" xr:uid="{00000000-0005-0000-0000-00005DC50000}"/>
    <cellStyle name="Процентный 5 69 7" xfId="33522" xr:uid="{00000000-0005-0000-0000-00005EC50000}"/>
    <cellStyle name="Процентный 5 69 8" xfId="38862" xr:uid="{00000000-0005-0000-0000-00005FC50000}"/>
    <cellStyle name="Процентный 5 69 9" xfId="44202" xr:uid="{00000000-0005-0000-0000-000060C50000}"/>
    <cellStyle name="Процентный 5 7" xfId="95" xr:uid="{00000000-0005-0000-0000-000061C50000}"/>
    <cellStyle name="Процентный 5 7 10" xfId="42817" xr:uid="{00000000-0005-0000-0000-000062C50000}"/>
    <cellStyle name="Процентный 5 7 11" xfId="48157" xr:uid="{00000000-0005-0000-0000-000063C50000}"/>
    <cellStyle name="Процентный 5 7 2" xfId="562" xr:uid="{00000000-0005-0000-0000-000064C50000}"/>
    <cellStyle name="Процентный 5 7 2 10" xfId="48624" xr:uid="{00000000-0005-0000-0000-000065C50000}"/>
    <cellStyle name="Процентный 5 7 2 2" xfId="5903" xr:uid="{00000000-0005-0000-0000-000066C50000}"/>
    <cellStyle name="Процентный 5 7 2 2 2" xfId="53965" xr:uid="{00000000-0005-0000-0000-000067C50000}"/>
    <cellStyle name="Процентный 5 7 2 3" xfId="11244" xr:uid="{00000000-0005-0000-0000-000068C50000}"/>
    <cellStyle name="Процентный 5 7 2 4" xfId="16584" xr:uid="{00000000-0005-0000-0000-000069C50000}"/>
    <cellStyle name="Процентный 5 7 2 5" xfId="21924" xr:uid="{00000000-0005-0000-0000-00006AC50000}"/>
    <cellStyle name="Процентный 5 7 2 6" xfId="27264" xr:uid="{00000000-0005-0000-0000-00006BC50000}"/>
    <cellStyle name="Процентный 5 7 2 7" xfId="32604" xr:uid="{00000000-0005-0000-0000-00006CC50000}"/>
    <cellStyle name="Процентный 5 7 2 8" xfId="37944" xr:uid="{00000000-0005-0000-0000-00006DC50000}"/>
    <cellStyle name="Процентный 5 7 2 9" xfId="43284" xr:uid="{00000000-0005-0000-0000-00006EC50000}"/>
    <cellStyle name="Процентный 5 7 3" xfId="5436" xr:uid="{00000000-0005-0000-0000-00006FC50000}"/>
    <cellStyle name="Процентный 5 7 3 2" xfId="53498" xr:uid="{00000000-0005-0000-0000-000070C50000}"/>
    <cellStyle name="Процентный 5 7 4" xfId="10777" xr:uid="{00000000-0005-0000-0000-000071C50000}"/>
    <cellStyle name="Процентный 5 7 5" xfId="16117" xr:uid="{00000000-0005-0000-0000-000072C50000}"/>
    <cellStyle name="Процентный 5 7 6" xfId="21457" xr:uid="{00000000-0005-0000-0000-000073C50000}"/>
    <cellStyle name="Процентный 5 7 7" xfId="26797" xr:uid="{00000000-0005-0000-0000-000074C50000}"/>
    <cellStyle name="Процентный 5 7 8" xfId="32137" xr:uid="{00000000-0005-0000-0000-000075C50000}"/>
    <cellStyle name="Процентный 5 7 9" xfId="37477" xr:uid="{00000000-0005-0000-0000-000076C50000}"/>
    <cellStyle name="Процентный 5 70" xfId="1505" xr:uid="{00000000-0005-0000-0000-000077C50000}"/>
    <cellStyle name="Процентный 5 70 10" xfId="49568" xr:uid="{00000000-0005-0000-0000-000078C50000}"/>
    <cellStyle name="Процентный 5 70 2" xfId="6847" xr:uid="{00000000-0005-0000-0000-000079C50000}"/>
    <cellStyle name="Процентный 5 70 2 2" xfId="54909" xr:uid="{00000000-0005-0000-0000-00007AC50000}"/>
    <cellStyle name="Процентный 5 70 3" xfId="12188" xr:uid="{00000000-0005-0000-0000-00007BC50000}"/>
    <cellStyle name="Процентный 5 70 4" xfId="17528" xr:uid="{00000000-0005-0000-0000-00007CC50000}"/>
    <cellStyle name="Процентный 5 70 5" xfId="22868" xr:uid="{00000000-0005-0000-0000-00007DC50000}"/>
    <cellStyle name="Процентный 5 70 6" xfId="28208" xr:uid="{00000000-0005-0000-0000-00007EC50000}"/>
    <cellStyle name="Процентный 5 70 7" xfId="33548" xr:uid="{00000000-0005-0000-0000-00007FC50000}"/>
    <cellStyle name="Процентный 5 70 8" xfId="38888" xr:uid="{00000000-0005-0000-0000-000080C50000}"/>
    <cellStyle name="Процентный 5 70 9" xfId="44228" xr:uid="{00000000-0005-0000-0000-000081C50000}"/>
    <cellStyle name="Процентный 5 71" xfId="1531" xr:uid="{00000000-0005-0000-0000-000082C50000}"/>
    <cellStyle name="Процентный 5 71 10" xfId="49594" xr:uid="{00000000-0005-0000-0000-000083C50000}"/>
    <cellStyle name="Процентный 5 71 2" xfId="6873" xr:uid="{00000000-0005-0000-0000-000084C50000}"/>
    <cellStyle name="Процентный 5 71 2 2" xfId="54935" xr:uid="{00000000-0005-0000-0000-000085C50000}"/>
    <cellStyle name="Процентный 5 71 3" xfId="12214" xr:uid="{00000000-0005-0000-0000-000086C50000}"/>
    <cellStyle name="Процентный 5 71 4" xfId="17554" xr:uid="{00000000-0005-0000-0000-000087C50000}"/>
    <cellStyle name="Процентный 5 71 5" xfId="22894" xr:uid="{00000000-0005-0000-0000-000088C50000}"/>
    <cellStyle name="Процентный 5 71 6" xfId="28234" xr:uid="{00000000-0005-0000-0000-000089C50000}"/>
    <cellStyle name="Процентный 5 71 7" xfId="33574" xr:uid="{00000000-0005-0000-0000-00008AC50000}"/>
    <cellStyle name="Процентный 5 71 8" xfId="38914" xr:uid="{00000000-0005-0000-0000-00008BC50000}"/>
    <cellStyle name="Процентный 5 71 9" xfId="44254" xr:uid="{00000000-0005-0000-0000-00008CC50000}"/>
    <cellStyle name="Процентный 5 72" xfId="1557" xr:uid="{00000000-0005-0000-0000-00008DC50000}"/>
    <cellStyle name="Процентный 5 72 10" xfId="49620" xr:uid="{00000000-0005-0000-0000-00008EC50000}"/>
    <cellStyle name="Процентный 5 72 2" xfId="6899" xr:uid="{00000000-0005-0000-0000-00008FC50000}"/>
    <cellStyle name="Процентный 5 72 2 2" xfId="54961" xr:uid="{00000000-0005-0000-0000-000090C50000}"/>
    <cellStyle name="Процентный 5 72 3" xfId="12240" xr:uid="{00000000-0005-0000-0000-000091C50000}"/>
    <cellStyle name="Процентный 5 72 4" xfId="17580" xr:uid="{00000000-0005-0000-0000-000092C50000}"/>
    <cellStyle name="Процентный 5 72 5" xfId="22920" xr:uid="{00000000-0005-0000-0000-000093C50000}"/>
    <cellStyle name="Процентный 5 72 6" xfId="28260" xr:uid="{00000000-0005-0000-0000-000094C50000}"/>
    <cellStyle name="Процентный 5 72 7" xfId="33600" xr:uid="{00000000-0005-0000-0000-000095C50000}"/>
    <cellStyle name="Процентный 5 72 8" xfId="38940" xr:uid="{00000000-0005-0000-0000-000096C50000}"/>
    <cellStyle name="Процентный 5 72 9" xfId="44280" xr:uid="{00000000-0005-0000-0000-000097C50000}"/>
    <cellStyle name="Процентный 5 73" xfId="1583" xr:uid="{00000000-0005-0000-0000-000098C50000}"/>
    <cellStyle name="Процентный 5 73 10" xfId="49646" xr:uid="{00000000-0005-0000-0000-000099C50000}"/>
    <cellStyle name="Процентный 5 73 2" xfId="6925" xr:uid="{00000000-0005-0000-0000-00009AC50000}"/>
    <cellStyle name="Процентный 5 73 2 2" xfId="54987" xr:uid="{00000000-0005-0000-0000-00009BC50000}"/>
    <cellStyle name="Процентный 5 73 3" xfId="12266" xr:uid="{00000000-0005-0000-0000-00009CC50000}"/>
    <cellStyle name="Процентный 5 73 4" xfId="17606" xr:uid="{00000000-0005-0000-0000-00009DC50000}"/>
    <cellStyle name="Процентный 5 73 5" xfId="22946" xr:uid="{00000000-0005-0000-0000-00009EC50000}"/>
    <cellStyle name="Процентный 5 73 6" xfId="28286" xr:uid="{00000000-0005-0000-0000-00009FC50000}"/>
    <cellStyle name="Процентный 5 73 7" xfId="33626" xr:uid="{00000000-0005-0000-0000-0000A0C50000}"/>
    <cellStyle name="Процентный 5 73 8" xfId="38966" xr:uid="{00000000-0005-0000-0000-0000A1C50000}"/>
    <cellStyle name="Процентный 5 73 9" xfId="44306" xr:uid="{00000000-0005-0000-0000-0000A2C50000}"/>
    <cellStyle name="Процентный 5 74" xfId="1609" xr:uid="{00000000-0005-0000-0000-0000A3C50000}"/>
    <cellStyle name="Процентный 5 74 10" xfId="49672" xr:uid="{00000000-0005-0000-0000-0000A4C50000}"/>
    <cellStyle name="Процентный 5 74 2" xfId="6951" xr:uid="{00000000-0005-0000-0000-0000A5C50000}"/>
    <cellStyle name="Процентный 5 74 2 2" xfId="55013" xr:uid="{00000000-0005-0000-0000-0000A6C50000}"/>
    <cellStyle name="Процентный 5 74 3" xfId="12292" xr:uid="{00000000-0005-0000-0000-0000A7C50000}"/>
    <cellStyle name="Процентный 5 74 4" xfId="17632" xr:uid="{00000000-0005-0000-0000-0000A8C50000}"/>
    <cellStyle name="Процентный 5 74 5" xfId="22972" xr:uid="{00000000-0005-0000-0000-0000A9C50000}"/>
    <cellStyle name="Процентный 5 74 6" xfId="28312" xr:uid="{00000000-0005-0000-0000-0000AAC50000}"/>
    <cellStyle name="Процентный 5 74 7" xfId="33652" xr:uid="{00000000-0005-0000-0000-0000ABC50000}"/>
    <cellStyle name="Процентный 5 74 8" xfId="38992" xr:uid="{00000000-0005-0000-0000-0000ACC50000}"/>
    <cellStyle name="Процентный 5 74 9" xfId="44332" xr:uid="{00000000-0005-0000-0000-0000ADC50000}"/>
    <cellStyle name="Процентный 5 75" xfId="1635" xr:uid="{00000000-0005-0000-0000-0000AEC50000}"/>
    <cellStyle name="Процентный 5 75 10" xfId="49698" xr:uid="{00000000-0005-0000-0000-0000AFC50000}"/>
    <cellStyle name="Процентный 5 75 2" xfId="6977" xr:uid="{00000000-0005-0000-0000-0000B0C50000}"/>
    <cellStyle name="Процентный 5 75 2 2" xfId="55039" xr:uid="{00000000-0005-0000-0000-0000B1C50000}"/>
    <cellStyle name="Процентный 5 75 3" xfId="12318" xr:uid="{00000000-0005-0000-0000-0000B2C50000}"/>
    <cellStyle name="Процентный 5 75 4" xfId="17658" xr:uid="{00000000-0005-0000-0000-0000B3C50000}"/>
    <cellStyle name="Процентный 5 75 5" xfId="22998" xr:uid="{00000000-0005-0000-0000-0000B4C50000}"/>
    <cellStyle name="Процентный 5 75 6" xfId="28338" xr:uid="{00000000-0005-0000-0000-0000B5C50000}"/>
    <cellStyle name="Процентный 5 75 7" xfId="33678" xr:uid="{00000000-0005-0000-0000-0000B6C50000}"/>
    <cellStyle name="Процентный 5 75 8" xfId="39018" xr:uid="{00000000-0005-0000-0000-0000B7C50000}"/>
    <cellStyle name="Процентный 5 75 9" xfId="44358" xr:uid="{00000000-0005-0000-0000-0000B8C50000}"/>
    <cellStyle name="Процентный 5 76" xfId="1661" xr:uid="{00000000-0005-0000-0000-0000B9C50000}"/>
    <cellStyle name="Процентный 5 76 10" xfId="49724" xr:uid="{00000000-0005-0000-0000-0000BAC50000}"/>
    <cellStyle name="Процентный 5 76 2" xfId="7003" xr:uid="{00000000-0005-0000-0000-0000BBC50000}"/>
    <cellStyle name="Процентный 5 76 2 2" xfId="55065" xr:uid="{00000000-0005-0000-0000-0000BCC50000}"/>
    <cellStyle name="Процентный 5 76 3" xfId="12344" xr:uid="{00000000-0005-0000-0000-0000BDC50000}"/>
    <cellStyle name="Процентный 5 76 4" xfId="17684" xr:uid="{00000000-0005-0000-0000-0000BEC50000}"/>
    <cellStyle name="Процентный 5 76 5" xfId="23024" xr:uid="{00000000-0005-0000-0000-0000BFC50000}"/>
    <cellStyle name="Процентный 5 76 6" xfId="28364" xr:uid="{00000000-0005-0000-0000-0000C0C50000}"/>
    <cellStyle name="Процентный 5 76 7" xfId="33704" xr:uid="{00000000-0005-0000-0000-0000C1C50000}"/>
    <cellStyle name="Процентный 5 76 8" xfId="39044" xr:uid="{00000000-0005-0000-0000-0000C2C50000}"/>
    <cellStyle name="Процентный 5 76 9" xfId="44384" xr:uid="{00000000-0005-0000-0000-0000C3C50000}"/>
    <cellStyle name="Процентный 5 77" xfId="1687" xr:uid="{00000000-0005-0000-0000-0000C4C50000}"/>
    <cellStyle name="Процентный 5 77 10" xfId="49750" xr:uid="{00000000-0005-0000-0000-0000C5C50000}"/>
    <cellStyle name="Процентный 5 77 2" xfId="7029" xr:uid="{00000000-0005-0000-0000-0000C6C50000}"/>
    <cellStyle name="Процентный 5 77 2 2" xfId="55091" xr:uid="{00000000-0005-0000-0000-0000C7C50000}"/>
    <cellStyle name="Процентный 5 77 3" xfId="12370" xr:uid="{00000000-0005-0000-0000-0000C8C50000}"/>
    <cellStyle name="Процентный 5 77 4" xfId="17710" xr:uid="{00000000-0005-0000-0000-0000C9C50000}"/>
    <cellStyle name="Процентный 5 77 5" xfId="23050" xr:uid="{00000000-0005-0000-0000-0000CAC50000}"/>
    <cellStyle name="Процентный 5 77 6" xfId="28390" xr:uid="{00000000-0005-0000-0000-0000CBC50000}"/>
    <cellStyle name="Процентный 5 77 7" xfId="33730" xr:uid="{00000000-0005-0000-0000-0000CCC50000}"/>
    <cellStyle name="Процентный 5 77 8" xfId="39070" xr:uid="{00000000-0005-0000-0000-0000CDC50000}"/>
    <cellStyle name="Процентный 5 77 9" xfId="44410" xr:uid="{00000000-0005-0000-0000-0000CEC50000}"/>
    <cellStyle name="Процентный 5 78" xfId="1713" xr:uid="{00000000-0005-0000-0000-0000CFC50000}"/>
    <cellStyle name="Процентный 5 78 10" xfId="49776" xr:uid="{00000000-0005-0000-0000-0000D0C50000}"/>
    <cellStyle name="Процентный 5 78 2" xfId="7055" xr:uid="{00000000-0005-0000-0000-0000D1C50000}"/>
    <cellStyle name="Процентный 5 78 2 2" xfId="55117" xr:uid="{00000000-0005-0000-0000-0000D2C50000}"/>
    <cellStyle name="Процентный 5 78 3" xfId="12396" xr:uid="{00000000-0005-0000-0000-0000D3C50000}"/>
    <cellStyle name="Процентный 5 78 4" xfId="17736" xr:uid="{00000000-0005-0000-0000-0000D4C50000}"/>
    <cellStyle name="Процентный 5 78 5" xfId="23076" xr:uid="{00000000-0005-0000-0000-0000D5C50000}"/>
    <cellStyle name="Процентный 5 78 6" xfId="28416" xr:uid="{00000000-0005-0000-0000-0000D6C50000}"/>
    <cellStyle name="Процентный 5 78 7" xfId="33756" xr:uid="{00000000-0005-0000-0000-0000D7C50000}"/>
    <cellStyle name="Процентный 5 78 8" xfId="39096" xr:uid="{00000000-0005-0000-0000-0000D8C50000}"/>
    <cellStyle name="Процентный 5 78 9" xfId="44436" xr:uid="{00000000-0005-0000-0000-0000D9C50000}"/>
    <cellStyle name="Процентный 5 79" xfId="1739" xr:uid="{00000000-0005-0000-0000-0000DAC50000}"/>
    <cellStyle name="Процентный 5 79 10" xfId="49802" xr:uid="{00000000-0005-0000-0000-0000DBC50000}"/>
    <cellStyle name="Процентный 5 79 2" xfId="7081" xr:uid="{00000000-0005-0000-0000-0000DCC50000}"/>
    <cellStyle name="Процентный 5 79 2 2" xfId="55143" xr:uid="{00000000-0005-0000-0000-0000DDC50000}"/>
    <cellStyle name="Процентный 5 79 3" xfId="12422" xr:uid="{00000000-0005-0000-0000-0000DEC50000}"/>
    <cellStyle name="Процентный 5 79 4" xfId="17762" xr:uid="{00000000-0005-0000-0000-0000DFC50000}"/>
    <cellStyle name="Процентный 5 79 5" xfId="23102" xr:uid="{00000000-0005-0000-0000-0000E0C50000}"/>
    <cellStyle name="Процентный 5 79 6" xfId="28442" xr:uid="{00000000-0005-0000-0000-0000E1C50000}"/>
    <cellStyle name="Процентный 5 79 7" xfId="33782" xr:uid="{00000000-0005-0000-0000-0000E2C50000}"/>
    <cellStyle name="Процентный 5 79 8" xfId="39122" xr:uid="{00000000-0005-0000-0000-0000E3C50000}"/>
    <cellStyle name="Процентный 5 79 9" xfId="44462" xr:uid="{00000000-0005-0000-0000-0000E4C50000}"/>
    <cellStyle name="Процентный 5 8" xfId="99" xr:uid="{00000000-0005-0000-0000-0000E5C50000}"/>
    <cellStyle name="Процентный 5 8 10" xfId="42821" xr:uid="{00000000-0005-0000-0000-0000E6C50000}"/>
    <cellStyle name="Процентный 5 8 11" xfId="48161" xr:uid="{00000000-0005-0000-0000-0000E7C50000}"/>
    <cellStyle name="Процентный 5 8 2" xfId="566" xr:uid="{00000000-0005-0000-0000-0000E8C50000}"/>
    <cellStyle name="Процентный 5 8 2 10" xfId="48628" xr:uid="{00000000-0005-0000-0000-0000E9C50000}"/>
    <cellStyle name="Процентный 5 8 2 2" xfId="5907" xr:uid="{00000000-0005-0000-0000-0000EAC50000}"/>
    <cellStyle name="Процентный 5 8 2 2 2" xfId="53969" xr:uid="{00000000-0005-0000-0000-0000EBC50000}"/>
    <cellStyle name="Процентный 5 8 2 3" xfId="11248" xr:uid="{00000000-0005-0000-0000-0000ECC50000}"/>
    <cellStyle name="Процентный 5 8 2 4" xfId="16588" xr:uid="{00000000-0005-0000-0000-0000EDC50000}"/>
    <cellStyle name="Процентный 5 8 2 5" xfId="21928" xr:uid="{00000000-0005-0000-0000-0000EEC50000}"/>
    <cellStyle name="Процентный 5 8 2 6" xfId="27268" xr:uid="{00000000-0005-0000-0000-0000EFC50000}"/>
    <cellStyle name="Процентный 5 8 2 7" xfId="32608" xr:uid="{00000000-0005-0000-0000-0000F0C50000}"/>
    <cellStyle name="Процентный 5 8 2 8" xfId="37948" xr:uid="{00000000-0005-0000-0000-0000F1C50000}"/>
    <cellStyle name="Процентный 5 8 2 9" xfId="43288" xr:uid="{00000000-0005-0000-0000-0000F2C50000}"/>
    <cellStyle name="Процентный 5 8 3" xfId="5440" xr:uid="{00000000-0005-0000-0000-0000F3C50000}"/>
    <cellStyle name="Процентный 5 8 3 2" xfId="53502" xr:uid="{00000000-0005-0000-0000-0000F4C50000}"/>
    <cellStyle name="Процентный 5 8 4" xfId="10781" xr:uid="{00000000-0005-0000-0000-0000F5C50000}"/>
    <cellStyle name="Процентный 5 8 5" xfId="16121" xr:uid="{00000000-0005-0000-0000-0000F6C50000}"/>
    <cellStyle name="Процентный 5 8 6" xfId="21461" xr:uid="{00000000-0005-0000-0000-0000F7C50000}"/>
    <cellStyle name="Процентный 5 8 7" xfId="26801" xr:uid="{00000000-0005-0000-0000-0000F8C50000}"/>
    <cellStyle name="Процентный 5 8 8" xfId="32141" xr:uid="{00000000-0005-0000-0000-0000F9C50000}"/>
    <cellStyle name="Процентный 5 8 9" xfId="37481" xr:uid="{00000000-0005-0000-0000-0000FAC50000}"/>
    <cellStyle name="Процентный 5 80" xfId="1765" xr:uid="{00000000-0005-0000-0000-0000FBC50000}"/>
    <cellStyle name="Процентный 5 80 10" xfId="49828" xr:uid="{00000000-0005-0000-0000-0000FCC50000}"/>
    <cellStyle name="Процентный 5 80 2" xfId="7107" xr:uid="{00000000-0005-0000-0000-0000FDC50000}"/>
    <cellStyle name="Процентный 5 80 2 2" xfId="55169" xr:uid="{00000000-0005-0000-0000-0000FEC50000}"/>
    <cellStyle name="Процентный 5 80 3" xfId="12448" xr:uid="{00000000-0005-0000-0000-0000FFC50000}"/>
    <cellStyle name="Процентный 5 80 4" xfId="17788" xr:uid="{00000000-0005-0000-0000-000000C60000}"/>
    <cellStyle name="Процентный 5 80 5" xfId="23128" xr:uid="{00000000-0005-0000-0000-000001C60000}"/>
    <cellStyle name="Процентный 5 80 6" xfId="28468" xr:uid="{00000000-0005-0000-0000-000002C60000}"/>
    <cellStyle name="Процентный 5 80 7" xfId="33808" xr:uid="{00000000-0005-0000-0000-000003C60000}"/>
    <cellStyle name="Процентный 5 80 8" xfId="39148" xr:uid="{00000000-0005-0000-0000-000004C60000}"/>
    <cellStyle name="Процентный 5 80 9" xfId="44488" xr:uid="{00000000-0005-0000-0000-000005C60000}"/>
    <cellStyle name="Процентный 5 81" xfId="1791" xr:uid="{00000000-0005-0000-0000-000006C60000}"/>
    <cellStyle name="Процентный 5 81 10" xfId="49854" xr:uid="{00000000-0005-0000-0000-000007C60000}"/>
    <cellStyle name="Процентный 5 81 2" xfId="7133" xr:uid="{00000000-0005-0000-0000-000008C60000}"/>
    <cellStyle name="Процентный 5 81 2 2" xfId="55195" xr:uid="{00000000-0005-0000-0000-000009C60000}"/>
    <cellStyle name="Процентный 5 81 3" xfId="12474" xr:uid="{00000000-0005-0000-0000-00000AC60000}"/>
    <cellStyle name="Процентный 5 81 4" xfId="17814" xr:uid="{00000000-0005-0000-0000-00000BC60000}"/>
    <cellStyle name="Процентный 5 81 5" xfId="23154" xr:uid="{00000000-0005-0000-0000-00000CC60000}"/>
    <cellStyle name="Процентный 5 81 6" xfId="28494" xr:uid="{00000000-0005-0000-0000-00000DC60000}"/>
    <cellStyle name="Процентный 5 81 7" xfId="33834" xr:uid="{00000000-0005-0000-0000-00000EC60000}"/>
    <cellStyle name="Процентный 5 81 8" xfId="39174" xr:uid="{00000000-0005-0000-0000-00000FC60000}"/>
    <cellStyle name="Процентный 5 81 9" xfId="44514" xr:uid="{00000000-0005-0000-0000-000010C60000}"/>
    <cellStyle name="Процентный 5 82" xfId="1817" xr:uid="{00000000-0005-0000-0000-000011C60000}"/>
    <cellStyle name="Процентный 5 82 10" xfId="49880" xr:uid="{00000000-0005-0000-0000-000012C60000}"/>
    <cellStyle name="Процентный 5 82 2" xfId="7159" xr:uid="{00000000-0005-0000-0000-000013C60000}"/>
    <cellStyle name="Процентный 5 82 2 2" xfId="55221" xr:uid="{00000000-0005-0000-0000-000014C60000}"/>
    <cellStyle name="Процентный 5 82 3" xfId="12500" xr:uid="{00000000-0005-0000-0000-000015C60000}"/>
    <cellStyle name="Процентный 5 82 4" xfId="17840" xr:uid="{00000000-0005-0000-0000-000016C60000}"/>
    <cellStyle name="Процентный 5 82 5" xfId="23180" xr:uid="{00000000-0005-0000-0000-000017C60000}"/>
    <cellStyle name="Процентный 5 82 6" xfId="28520" xr:uid="{00000000-0005-0000-0000-000018C60000}"/>
    <cellStyle name="Процентный 5 82 7" xfId="33860" xr:uid="{00000000-0005-0000-0000-000019C60000}"/>
    <cellStyle name="Процентный 5 82 8" xfId="39200" xr:uid="{00000000-0005-0000-0000-00001AC60000}"/>
    <cellStyle name="Процентный 5 82 9" xfId="44540" xr:uid="{00000000-0005-0000-0000-00001BC60000}"/>
    <cellStyle name="Процентный 5 83" xfId="1843" xr:uid="{00000000-0005-0000-0000-00001CC60000}"/>
    <cellStyle name="Процентный 5 83 10" xfId="49906" xr:uid="{00000000-0005-0000-0000-00001DC60000}"/>
    <cellStyle name="Процентный 5 83 2" xfId="7185" xr:uid="{00000000-0005-0000-0000-00001EC60000}"/>
    <cellStyle name="Процентный 5 83 2 2" xfId="55247" xr:uid="{00000000-0005-0000-0000-00001FC60000}"/>
    <cellStyle name="Процентный 5 83 3" xfId="12526" xr:uid="{00000000-0005-0000-0000-000020C60000}"/>
    <cellStyle name="Процентный 5 83 4" xfId="17866" xr:uid="{00000000-0005-0000-0000-000021C60000}"/>
    <cellStyle name="Процентный 5 83 5" xfId="23206" xr:uid="{00000000-0005-0000-0000-000022C60000}"/>
    <cellStyle name="Процентный 5 83 6" xfId="28546" xr:uid="{00000000-0005-0000-0000-000023C60000}"/>
    <cellStyle name="Процентный 5 83 7" xfId="33886" xr:uid="{00000000-0005-0000-0000-000024C60000}"/>
    <cellStyle name="Процентный 5 83 8" xfId="39226" xr:uid="{00000000-0005-0000-0000-000025C60000}"/>
    <cellStyle name="Процентный 5 83 9" xfId="44566" xr:uid="{00000000-0005-0000-0000-000026C60000}"/>
    <cellStyle name="Процентный 5 84" xfId="1869" xr:uid="{00000000-0005-0000-0000-000027C60000}"/>
    <cellStyle name="Процентный 5 84 10" xfId="49932" xr:uid="{00000000-0005-0000-0000-000028C60000}"/>
    <cellStyle name="Процентный 5 84 2" xfId="7211" xr:uid="{00000000-0005-0000-0000-000029C60000}"/>
    <cellStyle name="Процентный 5 84 2 2" xfId="55273" xr:uid="{00000000-0005-0000-0000-00002AC60000}"/>
    <cellStyle name="Процентный 5 84 3" xfId="12552" xr:uid="{00000000-0005-0000-0000-00002BC60000}"/>
    <cellStyle name="Процентный 5 84 4" xfId="17892" xr:uid="{00000000-0005-0000-0000-00002CC60000}"/>
    <cellStyle name="Процентный 5 84 5" xfId="23232" xr:uid="{00000000-0005-0000-0000-00002DC60000}"/>
    <cellStyle name="Процентный 5 84 6" xfId="28572" xr:uid="{00000000-0005-0000-0000-00002EC60000}"/>
    <cellStyle name="Процентный 5 84 7" xfId="33912" xr:uid="{00000000-0005-0000-0000-00002FC60000}"/>
    <cellStyle name="Процентный 5 84 8" xfId="39252" xr:uid="{00000000-0005-0000-0000-000030C60000}"/>
    <cellStyle name="Процентный 5 84 9" xfId="44592" xr:uid="{00000000-0005-0000-0000-000031C60000}"/>
    <cellStyle name="Процентный 5 85" xfId="1895" xr:uid="{00000000-0005-0000-0000-000032C60000}"/>
    <cellStyle name="Процентный 5 85 10" xfId="49958" xr:uid="{00000000-0005-0000-0000-000033C60000}"/>
    <cellStyle name="Процентный 5 85 2" xfId="7237" xr:uid="{00000000-0005-0000-0000-000034C60000}"/>
    <cellStyle name="Процентный 5 85 2 2" xfId="55299" xr:uid="{00000000-0005-0000-0000-000035C60000}"/>
    <cellStyle name="Процентный 5 85 3" xfId="12578" xr:uid="{00000000-0005-0000-0000-000036C60000}"/>
    <cellStyle name="Процентный 5 85 4" xfId="17918" xr:uid="{00000000-0005-0000-0000-000037C60000}"/>
    <cellStyle name="Процентный 5 85 5" xfId="23258" xr:uid="{00000000-0005-0000-0000-000038C60000}"/>
    <cellStyle name="Процентный 5 85 6" xfId="28598" xr:uid="{00000000-0005-0000-0000-000039C60000}"/>
    <cellStyle name="Процентный 5 85 7" xfId="33938" xr:uid="{00000000-0005-0000-0000-00003AC60000}"/>
    <cellStyle name="Процентный 5 85 8" xfId="39278" xr:uid="{00000000-0005-0000-0000-00003BC60000}"/>
    <cellStyle name="Процентный 5 85 9" xfId="44618" xr:uid="{00000000-0005-0000-0000-00003CC60000}"/>
    <cellStyle name="Процентный 5 86" xfId="1921" xr:uid="{00000000-0005-0000-0000-00003DC60000}"/>
    <cellStyle name="Процентный 5 86 10" xfId="49984" xr:uid="{00000000-0005-0000-0000-00003EC60000}"/>
    <cellStyle name="Процентный 5 86 2" xfId="7263" xr:uid="{00000000-0005-0000-0000-00003FC60000}"/>
    <cellStyle name="Процентный 5 86 2 2" xfId="55325" xr:uid="{00000000-0005-0000-0000-000040C60000}"/>
    <cellStyle name="Процентный 5 86 3" xfId="12604" xr:uid="{00000000-0005-0000-0000-000041C60000}"/>
    <cellStyle name="Процентный 5 86 4" xfId="17944" xr:uid="{00000000-0005-0000-0000-000042C60000}"/>
    <cellStyle name="Процентный 5 86 5" xfId="23284" xr:uid="{00000000-0005-0000-0000-000043C60000}"/>
    <cellStyle name="Процентный 5 86 6" xfId="28624" xr:uid="{00000000-0005-0000-0000-000044C60000}"/>
    <cellStyle name="Процентный 5 86 7" xfId="33964" xr:uid="{00000000-0005-0000-0000-000045C60000}"/>
    <cellStyle name="Процентный 5 86 8" xfId="39304" xr:uid="{00000000-0005-0000-0000-000046C60000}"/>
    <cellStyle name="Процентный 5 86 9" xfId="44644" xr:uid="{00000000-0005-0000-0000-000047C60000}"/>
    <cellStyle name="Процентный 5 87" xfId="1949" xr:uid="{00000000-0005-0000-0000-000048C60000}"/>
    <cellStyle name="Процентный 5 87 10" xfId="50012" xr:uid="{00000000-0005-0000-0000-000049C60000}"/>
    <cellStyle name="Процентный 5 87 2" xfId="7291" xr:uid="{00000000-0005-0000-0000-00004AC60000}"/>
    <cellStyle name="Процентный 5 87 2 2" xfId="55353" xr:uid="{00000000-0005-0000-0000-00004BC60000}"/>
    <cellStyle name="Процентный 5 87 3" xfId="12632" xr:uid="{00000000-0005-0000-0000-00004CC60000}"/>
    <cellStyle name="Процентный 5 87 4" xfId="17972" xr:uid="{00000000-0005-0000-0000-00004DC60000}"/>
    <cellStyle name="Процентный 5 87 5" xfId="23312" xr:uid="{00000000-0005-0000-0000-00004EC60000}"/>
    <cellStyle name="Процентный 5 87 6" xfId="28652" xr:uid="{00000000-0005-0000-0000-00004FC60000}"/>
    <cellStyle name="Процентный 5 87 7" xfId="33992" xr:uid="{00000000-0005-0000-0000-000050C60000}"/>
    <cellStyle name="Процентный 5 87 8" xfId="39332" xr:uid="{00000000-0005-0000-0000-000051C60000}"/>
    <cellStyle name="Процентный 5 87 9" xfId="44672" xr:uid="{00000000-0005-0000-0000-000052C60000}"/>
    <cellStyle name="Процентный 5 88" xfId="1976" xr:uid="{00000000-0005-0000-0000-000053C60000}"/>
    <cellStyle name="Процентный 5 88 10" xfId="50040" xr:uid="{00000000-0005-0000-0000-000054C60000}"/>
    <cellStyle name="Процентный 5 88 2" xfId="7319" xr:uid="{00000000-0005-0000-0000-000055C60000}"/>
    <cellStyle name="Процентный 5 88 2 2" xfId="55381" xr:uid="{00000000-0005-0000-0000-000056C60000}"/>
    <cellStyle name="Процентный 5 88 3" xfId="12660" xr:uid="{00000000-0005-0000-0000-000057C60000}"/>
    <cellStyle name="Процентный 5 88 4" xfId="18000" xr:uid="{00000000-0005-0000-0000-000058C60000}"/>
    <cellStyle name="Процентный 5 88 5" xfId="23340" xr:uid="{00000000-0005-0000-0000-000059C60000}"/>
    <cellStyle name="Процентный 5 88 6" xfId="28680" xr:uid="{00000000-0005-0000-0000-00005AC60000}"/>
    <cellStyle name="Процентный 5 88 7" xfId="34020" xr:uid="{00000000-0005-0000-0000-00005BC60000}"/>
    <cellStyle name="Процентный 5 88 8" xfId="39360" xr:uid="{00000000-0005-0000-0000-00005CC60000}"/>
    <cellStyle name="Процентный 5 88 9" xfId="44700" xr:uid="{00000000-0005-0000-0000-00005DC60000}"/>
    <cellStyle name="Процентный 5 89" xfId="2004" xr:uid="{00000000-0005-0000-0000-00005EC60000}"/>
    <cellStyle name="Процентный 5 89 10" xfId="50068" xr:uid="{00000000-0005-0000-0000-00005FC60000}"/>
    <cellStyle name="Процентный 5 89 2" xfId="7347" xr:uid="{00000000-0005-0000-0000-000060C60000}"/>
    <cellStyle name="Процентный 5 89 2 2" xfId="55409" xr:uid="{00000000-0005-0000-0000-000061C60000}"/>
    <cellStyle name="Процентный 5 89 3" xfId="12688" xr:uid="{00000000-0005-0000-0000-000062C60000}"/>
    <cellStyle name="Процентный 5 89 4" xfId="18028" xr:uid="{00000000-0005-0000-0000-000063C60000}"/>
    <cellStyle name="Процентный 5 89 5" xfId="23368" xr:uid="{00000000-0005-0000-0000-000064C60000}"/>
    <cellStyle name="Процентный 5 89 6" xfId="28708" xr:uid="{00000000-0005-0000-0000-000065C60000}"/>
    <cellStyle name="Процентный 5 89 7" xfId="34048" xr:uid="{00000000-0005-0000-0000-000066C60000}"/>
    <cellStyle name="Процентный 5 89 8" xfId="39388" xr:uid="{00000000-0005-0000-0000-000067C60000}"/>
    <cellStyle name="Процентный 5 89 9" xfId="44728" xr:uid="{00000000-0005-0000-0000-000068C60000}"/>
    <cellStyle name="Процентный 5 9" xfId="107" xr:uid="{00000000-0005-0000-0000-000069C60000}"/>
    <cellStyle name="Процентный 5 9 10" xfId="42829" xr:uid="{00000000-0005-0000-0000-00006AC60000}"/>
    <cellStyle name="Процентный 5 9 11" xfId="48169" xr:uid="{00000000-0005-0000-0000-00006BC60000}"/>
    <cellStyle name="Процентный 5 9 2" xfId="574" xr:uid="{00000000-0005-0000-0000-00006CC60000}"/>
    <cellStyle name="Процентный 5 9 2 10" xfId="48636" xr:uid="{00000000-0005-0000-0000-00006DC60000}"/>
    <cellStyle name="Процентный 5 9 2 2" xfId="5915" xr:uid="{00000000-0005-0000-0000-00006EC60000}"/>
    <cellStyle name="Процентный 5 9 2 2 2" xfId="53977" xr:uid="{00000000-0005-0000-0000-00006FC60000}"/>
    <cellStyle name="Процентный 5 9 2 3" xfId="11256" xr:uid="{00000000-0005-0000-0000-000070C60000}"/>
    <cellStyle name="Процентный 5 9 2 4" xfId="16596" xr:uid="{00000000-0005-0000-0000-000071C60000}"/>
    <cellStyle name="Процентный 5 9 2 5" xfId="21936" xr:uid="{00000000-0005-0000-0000-000072C60000}"/>
    <cellStyle name="Процентный 5 9 2 6" xfId="27276" xr:uid="{00000000-0005-0000-0000-000073C60000}"/>
    <cellStyle name="Процентный 5 9 2 7" xfId="32616" xr:uid="{00000000-0005-0000-0000-000074C60000}"/>
    <cellStyle name="Процентный 5 9 2 8" xfId="37956" xr:uid="{00000000-0005-0000-0000-000075C60000}"/>
    <cellStyle name="Процентный 5 9 2 9" xfId="43296" xr:uid="{00000000-0005-0000-0000-000076C60000}"/>
    <cellStyle name="Процентный 5 9 3" xfId="5448" xr:uid="{00000000-0005-0000-0000-000077C60000}"/>
    <cellStyle name="Процентный 5 9 3 2" xfId="53510" xr:uid="{00000000-0005-0000-0000-000078C60000}"/>
    <cellStyle name="Процентный 5 9 4" xfId="10789" xr:uid="{00000000-0005-0000-0000-000079C60000}"/>
    <cellStyle name="Процентный 5 9 5" xfId="16129" xr:uid="{00000000-0005-0000-0000-00007AC60000}"/>
    <cellStyle name="Процентный 5 9 6" xfId="21469" xr:uid="{00000000-0005-0000-0000-00007BC60000}"/>
    <cellStyle name="Процентный 5 9 7" xfId="26809" xr:uid="{00000000-0005-0000-0000-00007CC60000}"/>
    <cellStyle name="Процентный 5 9 8" xfId="32149" xr:uid="{00000000-0005-0000-0000-00007DC60000}"/>
    <cellStyle name="Процентный 5 9 9" xfId="37489" xr:uid="{00000000-0005-0000-0000-00007EC60000}"/>
    <cellStyle name="Процентный 5 90" xfId="2032" xr:uid="{00000000-0005-0000-0000-00007FC60000}"/>
    <cellStyle name="Процентный 5 90 10" xfId="50096" xr:uid="{00000000-0005-0000-0000-000080C60000}"/>
    <cellStyle name="Процентный 5 90 2" xfId="7375" xr:uid="{00000000-0005-0000-0000-000081C60000}"/>
    <cellStyle name="Процентный 5 90 2 2" xfId="55437" xr:uid="{00000000-0005-0000-0000-000082C60000}"/>
    <cellStyle name="Процентный 5 90 3" xfId="12716" xr:uid="{00000000-0005-0000-0000-000083C60000}"/>
    <cellStyle name="Процентный 5 90 4" xfId="18056" xr:uid="{00000000-0005-0000-0000-000084C60000}"/>
    <cellStyle name="Процентный 5 90 5" xfId="23396" xr:uid="{00000000-0005-0000-0000-000085C60000}"/>
    <cellStyle name="Процентный 5 90 6" xfId="28736" xr:uid="{00000000-0005-0000-0000-000086C60000}"/>
    <cellStyle name="Процентный 5 90 7" xfId="34076" xr:uid="{00000000-0005-0000-0000-000087C60000}"/>
    <cellStyle name="Процентный 5 90 8" xfId="39416" xr:uid="{00000000-0005-0000-0000-000088C60000}"/>
    <cellStyle name="Процентный 5 90 9" xfId="44756" xr:uid="{00000000-0005-0000-0000-000089C60000}"/>
    <cellStyle name="Процентный 5 91" xfId="2060" xr:uid="{00000000-0005-0000-0000-00008AC60000}"/>
    <cellStyle name="Процентный 5 91 10" xfId="50124" xr:uid="{00000000-0005-0000-0000-00008BC60000}"/>
    <cellStyle name="Процентный 5 91 2" xfId="7403" xr:uid="{00000000-0005-0000-0000-00008CC60000}"/>
    <cellStyle name="Процентный 5 91 2 2" xfId="55465" xr:uid="{00000000-0005-0000-0000-00008DC60000}"/>
    <cellStyle name="Процентный 5 91 3" xfId="12744" xr:uid="{00000000-0005-0000-0000-00008EC60000}"/>
    <cellStyle name="Процентный 5 91 4" xfId="18084" xr:uid="{00000000-0005-0000-0000-00008FC60000}"/>
    <cellStyle name="Процентный 5 91 5" xfId="23424" xr:uid="{00000000-0005-0000-0000-000090C60000}"/>
    <cellStyle name="Процентный 5 91 6" xfId="28764" xr:uid="{00000000-0005-0000-0000-000091C60000}"/>
    <cellStyle name="Процентный 5 91 7" xfId="34104" xr:uid="{00000000-0005-0000-0000-000092C60000}"/>
    <cellStyle name="Процентный 5 91 8" xfId="39444" xr:uid="{00000000-0005-0000-0000-000093C60000}"/>
    <cellStyle name="Процентный 5 91 9" xfId="44784" xr:uid="{00000000-0005-0000-0000-000094C60000}"/>
    <cellStyle name="Процентный 5 92" xfId="2088" xr:uid="{00000000-0005-0000-0000-000095C60000}"/>
    <cellStyle name="Процентный 5 92 10" xfId="50152" xr:uid="{00000000-0005-0000-0000-000096C60000}"/>
    <cellStyle name="Процентный 5 92 2" xfId="7431" xr:uid="{00000000-0005-0000-0000-000097C60000}"/>
    <cellStyle name="Процентный 5 92 2 2" xfId="55493" xr:uid="{00000000-0005-0000-0000-000098C60000}"/>
    <cellStyle name="Процентный 5 92 3" xfId="12772" xr:uid="{00000000-0005-0000-0000-000099C60000}"/>
    <cellStyle name="Процентный 5 92 4" xfId="18112" xr:uid="{00000000-0005-0000-0000-00009AC60000}"/>
    <cellStyle name="Процентный 5 92 5" xfId="23452" xr:uid="{00000000-0005-0000-0000-00009BC60000}"/>
    <cellStyle name="Процентный 5 92 6" xfId="28792" xr:uid="{00000000-0005-0000-0000-00009CC60000}"/>
    <cellStyle name="Процентный 5 92 7" xfId="34132" xr:uid="{00000000-0005-0000-0000-00009DC60000}"/>
    <cellStyle name="Процентный 5 92 8" xfId="39472" xr:uid="{00000000-0005-0000-0000-00009EC60000}"/>
    <cellStyle name="Процентный 5 92 9" xfId="44812" xr:uid="{00000000-0005-0000-0000-00009FC60000}"/>
    <cellStyle name="Процентный 5 93" xfId="2116" xr:uid="{00000000-0005-0000-0000-0000A0C60000}"/>
    <cellStyle name="Процентный 5 93 10" xfId="50180" xr:uid="{00000000-0005-0000-0000-0000A1C60000}"/>
    <cellStyle name="Процентный 5 93 2" xfId="7459" xr:uid="{00000000-0005-0000-0000-0000A2C60000}"/>
    <cellStyle name="Процентный 5 93 2 2" xfId="55521" xr:uid="{00000000-0005-0000-0000-0000A3C60000}"/>
    <cellStyle name="Процентный 5 93 3" xfId="12800" xr:uid="{00000000-0005-0000-0000-0000A4C60000}"/>
    <cellStyle name="Процентный 5 93 4" xfId="18140" xr:uid="{00000000-0005-0000-0000-0000A5C60000}"/>
    <cellStyle name="Процентный 5 93 5" xfId="23480" xr:uid="{00000000-0005-0000-0000-0000A6C60000}"/>
    <cellStyle name="Процентный 5 93 6" xfId="28820" xr:uid="{00000000-0005-0000-0000-0000A7C60000}"/>
    <cellStyle name="Процентный 5 93 7" xfId="34160" xr:uid="{00000000-0005-0000-0000-0000A8C60000}"/>
    <cellStyle name="Процентный 5 93 8" xfId="39500" xr:uid="{00000000-0005-0000-0000-0000A9C60000}"/>
    <cellStyle name="Процентный 5 93 9" xfId="44840" xr:uid="{00000000-0005-0000-0000-0000AAC60000}"/>
    <cellStyle name="Процентный 5 94" xfId="2146" xr:uid="{00000000-0005-0000-0000-0000ABC60000}"/>
    <cellStyle name="Процентный 5 94 10" xfId="50210" xr:uid="{00000000-0005-0000-0000-0000ACC60000}"/>
    <cellStyle name="Процентный 5 94 2" xfId="7489" xr:uid="{00000000-0005-0000-0000-0000ADC60000}"/>
    <cellStyle name="Процентный 5 94 2 2" xfId="55551" xr:uid="{00000000-0005-0000-0000-0000AEC60000}"/>
    <cellStyle name="Процентный 5 94 3" xfId="12830" xr:uid="{00000000-0005-0000-0000-0000AFC60000}"/>
    <cellStyle name="Процентный 5 94 4" xfId="18170" xr:uid="{00000000-0005-0000-0000-0000B0C60000}"/>
    <cellStyle name="Процентный 5 94 5" xfId="23510" xr:uid="{00000000-0005-0000-0000-0000B1C60000}"/>
    <cellStyle name="Процентный 5 94 6" xfId="28850" xr:uid="{00000000-0005-0000-0000-0000B2C60000}"/>
    <cellStyle name="Процентный 5 94 7" xfId="34190" xr:uid="{00000000-0005-0000-0000-0000B3C60000}"/>
    <cellStyle name="Процентный 5 94 8" xfId="39530" xr:uid="{00000000-0005-0000-0000-0000B4C60000}"/>
    <cellStyle name="Процентный 5 94 9" xfId="44870" xr:uid="{00000000-0005-0000-0000-0000B5C60000}"/>
    <cellStyle name="Процентный 5 95" xfId="2176" xr:uid="{00000000-0005-0000-0000-0000B6C60000}"/>
    <cellStyle name="Процентный 5 95 10" xfId="50240" xr:uid="{00000000-0005-0000-0000-0000B7C60000}"/>
    <cellStyle name="Процентный 5 95 2" xfId="7519" xr:uid="{00000000-0005-0000-0000-0000B8C60000}"/>
    <cellStyle name="Процентный 5 95 2 2" xfId="55581" xr:uid="{00000000-0005-0000-0000-0000B9C60000}"/>
    <cellStyle name="Процентный 5 95 3" xfId="12860" xr:uid="{00000000-0005-0000-0000-0000BAC60000}"/>
    <cellStyle name="Процентный 5 95 4" xfId="18200" xr:uid="{00000000-0005-0000-0000-0000BBC60000}"/>
    <cellStyle name="Процентный 5 95 5" xfId="23540" xr:uid="{00000000-0005-0000-0000-0000BCC60000}"/>
    <cellStyle name="Процентный 5 95 6" xfId="28880" xr:uid="{00000000-0005-0000-0000-0000BDC60000}"/>
    <cellStyle name="Процентный 5 95 7" xfId="34220" xr:uid="{00000000-0005-0000-0000-0000BEC60000}"/>
    <cellStyle name="Процентный 5 95 8" xfId="39560" xr:uid="{00000000-0005-0000-0000-0000BFC60000}"/>
    <cellStyle name="Процентный 5 95 9" xfId="44900" xr:uid="{00000000-0005-0000-0000-0000C0C60000}"/>
    <cellStyle name="Процентный 5 96" xfId="2206" xr:uid="{00000000-0005-0000-0000-0000C1C60000}"/>
    <cellStyle name="Процентный 5 96 10" xfId="50270" xr:uid="{00000000-0005-0000-0000-0000C2C60000}"/>
    <cellStyle name="Процентный 5 96 2" xfId="7549" xr:uid="{00000000-0005-0000-0000-0000C3C60000}"/>
    <cellStyle name="Процентный 5 96 2 2" xfId="55611" xr:uid="{00000000-0005-0000-0000-0000C4C60000}"/>
    <cellStyle name="Процентный 5 96 3" xfId="12890" xr:uid="{00000000-0005-0000-0000-0000C5C60000}"/>
    <cellStyle name="Процентный 5 96 4" xfId="18230" xr:uid="{00000000-0005-0000-0000-0000C6C60000}"/>
    <cellStyle name="Процентный 5 96 5" xfId="23570" xr:uid="{00000000-0005-0000-0000-0000C7C60000}"/>
    <cellStyle name="Процентный 5 96 6" xfId="28910" xr:uid="{00000000-0005-0000-0000-0000C8C60000}"/>
    <cellStyle name="Процентный 5 96 7" xfId="34250" xr:uid="{00000000-0005-0000-0000-0000C9C60000}"/>
    <cellStyle name="Процентный 5 96 8" xfId="39590" xr:uid="{00000000-0005-0000-0000-0000CAC60000}"/>
    <cellStyle name="Процентный 5 96 9" xfId="44930" xr:uid="{00000000-0005-0000-0000-0000CBC60000}"/>
    <cellStyle name="Процентный 5 97" xfId="2236" xr:uid="{00000000-0005-0000-0000-0000CCC60000}"/>
    <cellStyle name="Процентный 5 97 10" xfId="50300" xr:uid="{00000000-0005-0000-0000-0000CDC60000}"/>
    <cellStyle name="Процентный 5 97 2" xfId="7579" xr:uid="{00000000-0005-0000-0000-0000CEC60000}"/>
    <cellStyle name="Процентный 5 97 2 2" xfId="55641" xr:uid="{00000000-0005-0000-0000-0000CFC60000}"/>
    <cellStyle name="Процентный 5 97 3" xfId="12920" xr:uid="{00000000-0005-0000-0000-0000D0C60000}"/>
    <cellStyle name="Процентный 5 97 4" xfId="18260" xr:uid="{00000000-0005-0000-0000-0000D1C60000}"/>
    <cellStyle name="Процентный 5 97 5" xfId="23600" xr:uid="{00000000-0005-0000-0000-0000D2C60000}"/>
    <cellStyle name="Процентный 5 97 6" xfId="28940" xr:uid="{00000000-0005-0000-0000-0000D3C60000}"/>
    <cellStyle name="Процентный 5 97 7" xfId="34280" xr:uid="{00000000-0005-0000-0000-0000D4C60000}"/>
    <cellStyle name="Процентный 5 97 8" xfId="39620" xr:uid="{00000000-0005-0000-0000-0000D5C60000}"/>
    <cellStyle name="Процентный 5 97 9" xfId="44960" xr:uid="{00000000-0005-0000-0000-0000D6C60000}"/>
    <cellStyle name="Процентный 5 98" xfId="2266" xr:uid="{00000000-0005-0000-0000-0000D7C60000}"/>
    <cellStyle name="Процентный 5 98 10" xfId="50330" xr:uid="{00000000-0005-0000-0000-0000D8C60000}"/>
    <cellStyle name="Процентный 5 98 2" xfId="7609" xr:uid="{00000000-0005-0000-0000-0000D9C60000}"/>
    <cellStyle name="Процентный 5 98 2 2" xfId="55671" xr:uid="{00000000-0005-0000-0000-0000DAC60000}"/>
    <cellStyle name="Процентный 5 98 3" xfId="12950" xr:uid="{00000000-0005-0000-0000-0000DBC60000}"/>
    <cellStyle name="Процентный 5 98 4" xfId="18290" xr:uid="{00000000-0005-0000-0000-0000DCC60000}"/>
    <cellStyle name="Процентный 5 98 5" xfId="23630" xr:uid="{00000000-0005-0000-0000-0000DDC60000}"/>
    <cellStyle name="Процентный 5 98 6" xfId="28970" xr:uid="{00000000-0005-0000-0000-0000DEC60000}"/>
    <cellStyle name="Процентный 5 98 7" xfId="34310" xr:uid="{00000000-0005-0000-0000-0000DFC60000}"/>
    <cellStyle name="Процентный 5 98 8" xfId="39650" xr:uid="{00000000-0005-0000-0000-0000E0C60000}"/>
    <cellStyle name="Процентный 5 98 9" xfId="44990" xr:uid="{00000000-0005-0000-0000-0000E1C60000}"/>
    <cellStyle name="Процентный 5 99" xfId="2296" xr:uid="{00000000-0005-0000-0000-0000E2C60000}"/>
    <cellStyle name="Процентный 5 99 10" xfId="50360" xr:uid="{00000000-0005-0000-0000-0000E3C60000}"/>
    <cellStyle name="Процентный 5 99 2" xfId="7639" xr:uid="{00000000-0005-0000-0000-0000E4C60000}"/>
    <cellStyle name="Процентный 5 99 2 2" xfId="55701" xr:uid="{00000000-0005-0000-0000-0000E5C60000}"/>
    <cellStyle name="Процентный 5 99 3" xfId="12980" xr:uid="{00000000-0005-0000-0000-0000E6C60000}"/>
    <cellStyle name="Процентный 5 99 4" xfId="18320" xr:uid="{00000000-0005-0000-0000-0000E7C60000}"/>
    <cellStyle name="Процентный 5 99 5" xfId="23660" xr:uid="{00000000-0005-0000-0000-0000E8C60000}"/>
    <cellStyle name="Процентный 5 99 6" xfId="29000" xr:uid="{00000000-0005-0000-0000-0000E9C60000}"/>
    <cellStyle name="Процентный 5 99 7" xfId="34340" xr:uid="{00000000-0005-0000-0000-0000EAC60000}"/>
    <cellStyle name="Процентный 5 99 8" xfId="39680" xr:uid="{00000000-0005-0000-0000-0000EBC60000}"/>
    <cellStyle name="Процентный 5 99 9" xfId="45020" xr:uid="{00000000-0005-0000-0000-0000ECC60000}"/>
    <cellStyle name="Процентный 6" xfId="121" xr:uid="{00000000-0005-0000-0000-0000EDC60000}"/>
    <cellStyle name="Процентный 6 10" xfId="211" xr:uid="{00000000-0005-0000-0000-0000EEC60000}"/>
    <cellStyle name="Процентный 6 10 10" xfId="42933" xr:uid="{00000000-0005-0000-0000-0000EFC60000}"/>
    <cellStyle name="Процентный 6 10 11" xfId="48273" xr:uid="{00000000-0005-0000-0000-0000F0C60000}"/>
    <cellStyle name="Процентный 6 10 2" xfId="678" xr:uid="{00000000-0005-0000-0000-0000F1C60000}"/>
    <cellStyle name="Процентный 6 10 2 10" xfId="48740" xr:uid="{00000000-0005-0000-0000-0000F2C60000}"/>
    <cellStyle name="Процентный 6 10 2 2" xfId="6019" xr:uid="{00000000-0005-0000-0000-0000F3C60000}"/>
    <cellStyle name="Процентный 6 10 2 2 2" xfId="54081" xr:uid="{00000000-0005-0000-0000-0000F4C60000}"/>
    <cellStyle name="Процентный 6 10 2 3" xfId="11360" xr:uid="{00000000-0005-0000-0000-0000F5C60000}"/>
    <cellStyle name="Процентный 6 10 2 4" xfId="16700" xr:uid="{00000000-0005-0000-0000-0000F6C60000}"/>
    <cellStyle name="Процентный 6 10 2 5" xfId="22040" xr:uid="{00000000-0005-0000-0000-0000F7C60000}"/>
    <cellStyle name="Процентный 6 10 2 6" xfId="27380" xr:uid="{00000000-0005-0000-0000-0000F8C60000}"/>
    <cellStyle name="Процентный 6 10 2 7" xfId="32720" xr:uid="{00000000-0005-0000-0000-0000F9C60000}"/>
    <cellStyle name="Процентный 6 10 2 8" xfId="38060" xr:uid="{00000000-0005-0000-0000-0000FAC60000}"/>
    <cellStyle name="Процентный 6 10 2 9" xfId="43400" xr:uid="{00000000-0005-0000-0000-0000FBC60000}"/>
    <cellStyle name="Процентный 6 10 3" xfId="5552" xr:uid="{00000000-0005-0000-0000-0000FCC60000}"/>
    <cellStyle name="Процентный 6 10 3 2" xfId="53614" xr:uid="{00000000-0005-0000-0000-0000FDC60000}"/>
    <cellStyle name="Процентный 6 10 4" xfId="10893" xr:uid="{00000000-0005-0000-0000-0000FEC60000}"/>
    <cellStyle name="Процентный 6 10 5" xfId="16233" xr:uid="{00000000-0005-0000-0000-0000FFC60000}"/>
    <cellStyle name="Процентный 6 10 6" xfId="21573" xr:uid="{00000000-0005-0000-0000-000000C70000}"/>
    <cellStyle name="Процентный 6 10 7" xfId="26913" xr:uid="{00000000-0005-0000-0000-000001C70000}"/>
    <cellStyle name="Процентный 6 10 8" xfId="32253" xr:uid="{00000000-0005-0000-0000-000002C70000}"/>
    <cellStyle name="Процентный 6 10 9" xfId="37593" xr:uid="{00000000-0005-0000-0000-000003C70000}"/>
    <cellStyle name="Процентный 6 100" xfId="2612" xr:uid="{00000000-0005-0000-0000-000004C70000}"/>
    <cellStyle name="Процентный 6 100 10" xfId="50676" xr:uid="{00000000-0005-0000-0000-000005C70000}"/>
    <cellStyle name="Процентный 6 100 2" xfId="7955" xr:uid="{00000000-0005-0000-0000-000006C70000}"/>
    <cellStyle name="Процентный 6 100 2 2" xfId="56017" xr:uid="{00000000-0005-0000-0000-000007C70000}"/>
    <cellStyle name="Процентный 6 100 3" xfId="13296" xr:uid="{00000000-0005-0000-0000-000008C70000}"/>
    <cellStyle name="Процентный 6 100 4" xfId="18636" xr:uid="{00000000-0005-0000-0000-000009C70000}"/>
    <cellStyle name="Процентный 6 100 5" xfId="23976" xr:uid="{00000000-0005-0000-0000-00000AC70000}"/>
    <cellStyle name="Процентный 6 100 6" xfId="29316" xr:uid="{00000000-0005-0000-0000-00000BC70000}"/>
    <cellStyle name="Процентный 6 100 7" xfId="34656" xr:uid="{00000000-0005-0000-0000-00000CC70000}"/>
    <cellStyle name="Процентный 6 100 8" xfId="39996" xr:uid="{00000000-0005-0000-0000-00000DC70000}"/>
    <cellStyle name="Процентный 6 100 9" xfId="45336" xr:uid="{00000000-0005-0000-0000-00000EC70000}"/>
    <cellStyle name="Процентный 6 101" xfId="2644" xr:uid="{00000000-0005-0000-0000-00000FC70000}"/>
    <cellStyle name="Процентный 6 101 10" xfId="50708" xr:uid="{00000000-0005-0000-0000-000010C70000}"/>
    <cellStyle name="Процентный 6 101 2" xfId="7987" xr:uid="{00000000-0005-0000-0000-000011C70000}"/>
    <cellStyle name="Процентный 6 101 2 2" xfId="56049" xr:uid="{00000000-0005-0000-0000-000012C70000}"/>
    <cellStyle name="Процентный 6 101 3" xfId="13328" xr:uid="{00000000-0005-0000-0000-000013C70000}"/>
    <cellStyle name="Процентный 6 101 4" xfId="18668" xr:uid="{00000000-0005-0000-0000-000014C70000}"/>
    <cellStyle name="Процентный 6 101 5" xfId="24008" xr:uid="{00000000-0005-0000-0000-000015C70000}"/>
    <cellStyle name="Процентный 6 101 6" xfId="29348" xr:uid="{00000000-0005-0000-0000-000016C70000}"/>
    <cellStyle name="Процентный 6 101 7" xfId="34688" xr:uid="{00000000-0005-0000-0000-000017C70000}"/>
    <cellStyle name="Процентный 6 101 8" xfId="40028" xr:uid="{00000000-0005-0000-0000-000018C70000}"/>
    <cellStyle name="Процентный 6 101 9" xfId="45368" xr:uid="{00000000-0005-0000-0000-000019C70000}"/>
    <cellStyle name="Процентный 6 102" xfId="2676" xr:uid="{00000000-0005-0000-0000-00001AC70000}"/>
    <cellStyle name="Процентный 6 102 10" xfId="50740" xr:uid="{00000000-0005-0000-0000-00001BC70000}"/>
    <cellStyle name="Процентный 6 102 2" xfId="8019" xr:uid="{00000000-0005-0000-0000-00001CC70000}"/>
    <cellStyle name="Процентный 6 102 2 2" xfId="56081" xr:uid="{00000000-0005-0000-0000-00001DC70000}"/>
    <cellStyle name="Процентный 6 102 3" xfId="13360" xr:uid="{00000000-0005-0000-0000-00001EC70000}"/>
    <cellStyle name="Процентный 6 102 4" xfId="18700" xr:uid="{00000000-0005-0000-0000-00001FC70000}"/>
    <cellStyle name="Процентный 6 102 5" xfId="24040" xr:uid="{00000000-0005-0000-0000-000020C70000}"/>
    <cellStyle name="Процентный 6 102 6" xfId="29380" xr:uid="{00000000-0005-0000-0000-000021C70000}"/>
    <cellStyle name="Процентный 6 102 7" xfId="34720" xr:uid="{00000000-0005-0000-0000-000022C70000}"/>
    <cellStyle name="Процентный 6 102 8" xfId="40060" xr:uid="{00000000-0005-0000-0000-000023C70000}"/>
    <cellStyle name="Процентный 6 102 9" xfId="45400" xr:uid="{00000000-0005-0000-0000-000024C70000}"/>
    <cellStyle name="Процентный 6 103" xfId="2708" xr:uid="{00000000-0005-0000-0000-000025C70000}"/>
    <cellStyle name="Процентный 6 103 10" xfId="50772" xr:uid="{00000000-0005-0000-0000-000026C70000}"/>
    <cellStyle name="Процентный 6 103 2" xfId="8051" xr:uid="{00000000-0005-0000-0000-000027C70000}"/>
    <cellStyle name="Процентный 6 103 2 2" xfId="56113" xr:uid="{00000000-0005-0000-0000-000028C70000}"/>
    <cellStyle name="Процентный 6 103 3" xfId="13392" xr:uid="{00000000-0005-0000-0000-000029C70000}"/>
    <cellStyle name="Процентный 6 103 4" xfId="18732" xr:uid="{00000000-0005-0000-0000-00002AC70000}"/>
    <cellStyle name="Процентный 6 103 5" xfId="24072" xr:uid="{00000000-0005-0000-0000-00002BC70000}"/>
    <cellStyle name="Процентный 6 103 6" xfId="29412" xr:uid="{00000000-0005-0000-0000-00002CC70000}"/>
    <cellStyle name="Процентный 6 103 7" xfId="34752" xr:uid="{00000000-0005-0000-0000-00002DC70000}"/>
    <cellStyle name="Процентный 6 103 8" xfId="40092" xr:uid="{00000000-0005-0000-0000-00002EC70000}"/>
    <cellStyle name="Процентный 6 103 9" xfId="45432" xr:uid="{00000000-0005-0000-0000-00002FC70000}"/>
    <cellStyle name="Процентный 6 104" xfId="2740" xr:uid="{00000000-0005-0000-0000-000030C70000}"/>
    <cellStyle name="Процентный 6 104 10" xfId="50804" xr:uid="{00000000-0005-0000-0000-000031C70000}"/>
    <cellStyle name="Процентный 6 104 2" xfId="8083" xr:uid="{00000000-0005-0000-0000-000032C70000}"/>
    <cellStyle name="Процентный 6 104 2 2" xfId="56145" xr:uid="{00000000-0005-0000-0000-000033C70000}"/>
    <cellStyle name="Процентный 6 104 3" xfId="13424" xr:uid="{00000000-0005-0000-0000-000034C70000}"/>
    <cellStyle name="Процентный 6 104 4" xfId="18764" xr:uid="{00000000-0005-0000-0000-000035C70000}"/>
    <cellStyle name="Процентный 6 104 5" xfId="24104" xr:uid="{00000000-0005-0000-0000-000036C70000}"/>
    <cellStyle name="Процентный 6 104 6" xfId="29444" xr:uid="{00000000-0005-0000-0000-000037C70000}"/>
    <cellStyle name="Процентный 6 104 7" xfId="34784" xr:uid="{00000000-0005-0000-0000-000038C70000}"/>
    <cellStyle name="Процентный 6 104 8" xfId="40124" xr:uid="{00000000-0005-0000-0000-000039C70000}"/>
    <cellStyle name="Процентный 6 104 9" xfId="45464" xr:uid="{00000000-0005-0000-0000-00003AC70000}"/>
    <cellStyle name="Процентный 6 105" xfId="2774" xr:uid="{00000000-0005-0000-0000-00003BC70000}"/>
    <cellStyle name="Процентный 6 105 10" xfId="50838" xr:uid="{00000000-0005-0000-0000-00003CC70000}"/>
    <cellStyle name="Процентный 6 105 2" xfId="8117" xr:uid="{00000000-0005-0000-0000-00003DC70000}"/>
    <cellStyle name="Процентный 6 105 2 2" xfId="56179" xr:uid="{00000000-0005-0000-0000-00003EC70000}"/>
    <cellStyle name="Процентный 6 105 3" xfId="13458" xr:uid="{00000000-0005-0000-0000-00003FC70000}"/>
    <cellStyle name="Процентный 6 105 4" xfId="18798" xr:uid="{00000000-0005-0000-0000-000040C70000}"/>
    <cellStyle name="Процентный 6 105 5" xfId="24138" xr:uid="{00000000-0005-0000-0000-000041C70000}"/>
    <cellStyle name="Процентный 6 105 6" xfId="29478" xr:uid="{00000000-0005-0000-0000-000042C70000}"/>
    <cellStyle name="Процентный 6 105 7" xfId="34818" xr:uid="{00000000-0005-0000-0000-000043C70000}"/>
    <cellStyle name="Процентный 6 105 8" xfId="40158" xr:uid="{00000000-0005-0000-0000-000044C70000}"/>
    <cellStyle name="Процентный 6 105 9" xfId="45498" xr:uid="{00000000-0005-0000-0000-000045C70000}"/>
    <cellStyle name="Процентный 6 106" xfId="2806" xr:uid="{00000000-0005-0000-0000-000046C70000}"/>
    <cellStyle name="Процентный 6 106 10" xfId="50870" xr:uid="{00000000-0005-0000-0000-000047C70000}"/>
    <cellStyle name="Процентный 6 106 2" xfId="8149" xr:uid="{00000000-0005-0000-0000-000048C70000}"/>
    <cellStyle name="Процентный 6 106 2 2" xfId="56211" xr:uid="{00000000-0005-0000-0000-000049C70000}"/>
    <cellStyle name="Процентный 6 106 3" xfId="13490" xr:uid="{00000000-0005-0000-0000-00004AC70000}"/>
    <cellStyle name="Процентный 6 106 4" xfId="18830" xr:uid="{00000000-0005-0000-0000-00004BC70000}"/>
    <cellStyle name="Процентный 6 106 5" xfId="24170" xr:uid="{00000000-0005-0000-0000-00004CC70000}"/>
    <cellStyle name="Процентный 6 106 6" xfId="29510" xr:uid="{00000000-0005-0000-0000-00004DC70000}"/>
    <cellStyle name="Процентный 6 106 7" xfId="34850" xr:uid="{00000000-0005-0000-0000-00004EC70000}"/>
    <cellStyle name="Процентный 6 106 8" xfId="40190" xr:uid="{00000000-0005-0000-0000-00004FC70000}"/>
    <cellStyle name="Процентный 6 106 9" xfId="45530" xr:uid="{00000000-0005-0000-0000-000050C70000}"/>
    <cellStyle name="Процентный 6 107" xfId="2838" xr:uid="{00000000-0005-0000-0000-000051C70000}"/>
    <cellStyle name="Процентный 6 107 10" xfId="50902" xr:uid="{00000000-0005-0000-0000-000052C70000}"/>
    <cellStyle name="Процентный 6 107 2" xfId="8181" xr:uid="{00000000-0005-0000-0000-000053C70000}"/>
    <cellStyle name="Процентный 6 107 2 2" xfId="56243" xr:uid="{00000000-0005-0000-0000-000054C70000}"/>
    <cellStyle name="Процентный 6 107 3" xfId="13522" xr:uid="{00000000-0005-0000-0000-000055C70000}"/>
    <cellStyle name="Процентный 6 107 4" xfId="18862" xr:uid="{00000000-0005-0000-0000-000056C70000}"/>
    <cellStyle name="Процентный 6 107 5" xfId="24202" xr:uid="{00000000-0005-0000-0000-000057C70000}"/>
    <cellStyle name="Процентный 6 107 6" xfId="29542" xr:uid="{00000000-0005-0000-0000-000058C70000}"/>
    <cellStyle name="Процентный 6 107 7" xfId="34882" xr:uid="{00000000-0005-0000-0000-000059C70000}"/>
    <cellStyle name="Процентный 6 107 8" xfId="40222" xr:uid="{00000000-0005-0000-0000-00005AC70000}"/>
    <cellStyle name="Процентный 6 107 9" xfId="45562" xr:uid="{00000000-0005-0000-0000-00005BC70000}"/>
    <cellStyle name="Процентный 6 108" xfId="2870" xr:uid="{00000000-0005-0000-0000-00005CC70000}"/>
    <cellStyle name="Процентный 6 108 10" xfId="50934" xr:uid="{00000000-0005-0000-0000-00005DC70000}"/>
    <cellStyle name="Процентный 6 108 2" xfId="8213" xr:uid="{00000000-0005-0000-0000-00005EC70000}"/>
    <cellStyle name="Процентный 6 108 2 2" xfId="56275" xr:uid="{00000000-0005-0000-0000-00005FC70000}"/>
    <cellStyle name="Процентный 6 108 3" xfId="13554" xr:uid="{00000000-0005-0000-0000-000060C70000}"/>
    <cellStyle name="Процентный 6 108 4" xfId="18894" xr:uid="{00000000-0005-0000-0000-000061C70000}"/>
    <cellStyle name="Процентный 6 108 5" xfId="24234" xr:uid="{00000000-0005-0000-0000-000062C70000}"/>
    <cellStyle name="Процентный 6 108 6" xfId="29574" xr:uid="{00000000-0005-0000-0000-000063C70000}"/>
    <cellStyle name="Процентный 6 108 7" xfId="34914" xr:uid="{00000000-0005-0000-0000-000064C70000}"/>
    <cellStyle name="Процентный 6 108 8" xfId="40254" xr:uid="{00000000-0005-0000-0000-000065C70000}"/>
    <cellStyle name="Процентный 6 108 9" xfId="45594" xr:uid="{00000000-0005-0000-0000-000066C70000}"/>
    <cellStyle name="Процентный 6 109" xfId="2902" xr:uid="{00000000-0005-0000-0000-000067C70000}"/>
    <cellStyle name="Процентный 6 109 10" xfId="50966" xr:uid="{00000000-0005-0000-0000-000068C70000}"/>
    <cellStyle name="Процентный 6 109 2" xfId="8245" xr:uid="{00000000-0005-0000-0000-000069C70000}"/>
    <cellStyle name="Процентный 6 109 2 2" xfId="56307" xr:uid="{00000000-0005-0000-0000-00006AC70000}"/>
    <cellStyle name="Процентный 6 109 3" xfId="13586" xr:uid="{00000000-0005-0000-0000-00006BC70000}"/>
    <cellStyle name="Процентный 6 109 4" xfId="18926" xr:uid="{00000000-0005-0000-0000-00006CC70000}"/>
    <cellStyle name="Процентный 6 109 5" xfId="24266" xr:uid="{00000000-0005-0000-0000-00006DC70000}"/>
    <cellStyle name="Процентный 6 109 6" xfId="29606" xr:uid="{00000000-0005-0000-0000-00006EC70000}"/>
    <cellStyle name="Процентный 6 109 7" xfId="34946" xr:uid="{00000000-0005-0000-0000-00006FC70000}"/>
    <cellStyle name="Процентный 6 109 8" xfId="40286" xr:uid="{00000000-0005-0000-0000-000070C70000}"/>
    <cellStyle name="Процентный 6 109 9" xfId="45626" xr:uid="{00000000-0005-0000-0000-000071C70000}"/>
    <cellStyle name="Процентный 6 11" xfId="221" xr:uid="{00000000-0005-0000-0000-000072C70000}"/>
    <cellStyle name="Процентный 6 11 10" xfId="42943" xr:uid="{00000000-0005-0000-0000-000073C70000}"/>
    <cellStyle name="Процентный 6 11 11" xfId="48283" xr:uid="{00000000-0005-0000-0000-000074C70000}"/>
    <cellStyle name="Процентный 6 11 2" xfId="688" xr:uid="{00000000-0005-0000-0000-000075C70000}"/>
    <cellStyle name="Процентный 6 11 2 10" xfId="48750" xr:uid="{00000000-0005-0000-0000-000076C70000}"/>
    <cellStyle name="Процентный 6 11 2 2" xfId="6029" xr:uid="{00000000-0005-0000-0000-000077C70000}"/>
    <cellStyle name="Процентный 6 11 2 2 2" xfId="54091" xr:uid="{00000000-0005-0000-0000-000078C70000}"/>
    <cellStyle name="Процентный 6 11 2 3" xfId="11370" xr:uid="{00000000-0005-0000-0000-000079C70000}"/>
    <cellStyle name="Процентный 6 11 2 4" xfId="16710" xr:uid="{00000000-0005-0000-0000-00007AC70000}"/>
    <cellStyle name="Процентный 6 11 2 5" xfId="22050" xr:uid="{00000000-0005-0000-0000-00007BC70000}"/>
    <cellStyle name="Процентный 6 11 2 6" xfId="27390" xr:uid="{00000000-0005-0000-0000-00007CC70000}"/>
    <cellStyle name="Процентный 6 11 2 7" xfId="32730" xr:uid="{00000000-0005-0000-0000-00007DC70000}"/>
    <cellStyle name="Процентный 6 11 2 8" xfId="38070" xr:uid="{00000000-0005-0000-0000-00007EC70000}"/>
    <cellStyle name="Процентный 6 11 2 9" xfId="43410" xr:uid="{00000000-0005-0000-0000-00007FC70000}"/>
    <cellStyle name="Процентный 6 11 3" xfId="5562" xr:uid="{00000000-0005-0000-0000-000080C70000}"/>
    <cellStyle name="Процентный 6 11 3 2" xfId="53624" xr:uid="{00000000-0005-0000-0000-000081C70000}"/>
    <cellStyle name="Процентный 6 11 4" xfId="10903" xr:uid="{00000000-0005-0000-0000-000082C70000}"/>
    <cellStyle name="Процентный 6 11 5" xfId="16243" xr:uid="{00000000-0005-0000-0000-000083C70000}"/>
    <cellStyle name="Процентный 6 11 6" xfId="21583" xr:uid="{00000000-0005-0000-0000-000084C70000}"/>
    <cellStyle name="Процентный 6 11 7" xfId="26923" xr:uid="{00000000-0005-0000-0000-000085C70000}"/>
    <cellStyle name="Процентный 6 11 8" xfId="32263" xr:uid="{00000000-0005-0000-0000-000086C70000}"/>
    <cellStyle name="Процентный 6 11 9" xfId="37603" xr:uid="{00000000-0005-0000-0000-000087C70000}"/>
    <cellStyle name="Процентный 6 110" xfId="2934" xr:uid="{00000000-0005-0000-0000-000088C70000}"/>
    <cellStyle name="Процентный 6 110 10" xfId="50998" xr:uid="{00000000-0005-0000-0000-000089C70000}"/>
    <cellStyle name="Процентный 6 110 2" xfId="8277" xr:uid="{00000000-0005-0000-0000-00008AC70000}"/>
    <cellStyle name="Процентный 6 110 2 2" xfId="56339" xr:uid="{00000000-0005-0000-0000-00008BC70000}"/>
    <cellStyle name="Процентный 6 110 3" xfId="13618" xr:uid="{00000000-0005-0000-0000-00008CC70000}"/>
    <cellStyle name="Процентный 6 110 4" xfId="18958" xr:uid="{00000000-0005-0000-0000-00008DC70000}"/>
    <cellStyle name="Процентный 6 110 5" xfId="24298" xr:uid="{00000000-0005-0000-0000-00008EC70000}"/>
    <cellStyle name="Процентный 6 110 6" xfId="29638" xr:uid="{00000000-0005-0000-0000-00008FC70000}"/>
    <cellStyle name="Процентный 6 110 7" xfId="34978" xr:uid="{00000000-0005-0000-0000-000090C70000}"/>
    <cellStyle name="Процентный 6 110 8" xfId="40318" xr:uid="{00000000-0005-0000-0000-000091C70000}"/>
    <cellStyle name="Процентный 6 110 9" xfId="45658" xr:uid="{00000000-0005-0000-0000-000092C70000}"/>
    <cellStyle name="Процентный 6 111" xfId="2966" xr:uid="{00000000-0005-0000-0000-000093C70000}"/>
    <cellStyle name="Процентный 6 111 10" xfId="51030" xr:uid="{00000000-0005-0000-0000-000094C70000}"/>
    <cellStyle name="Процентный 6 111 2" xfId="8309" xr:uid="{00000000-0005-0000-0000-000095C70000}"/>
    <cellStyle name="Процентный 6 111 2 2" xfId="56371" xr:uid="{00000000-0005-0000-0000-000096C70000}"/>
    <cellStyle name="Процентный 6 111 3" xfId="13650" xr:uid="{00000000-0005-0000-0000-000097C70000}"/>
    <cellStyle name="Процентный 6 111 4" xfId="18990" xr:uid="{00000000-0005-0000-0000-000098C70000}"/>
    <cellStyle name="Процентный 6 111 5" xfId="24330" xr:uid="{00000000-0005-0000-0000-000099C70000}"/>
    <cellStyle name="Процентный 6 111 6" xfId="29670" xr:uid="{00000000-0005-0000-0000-00009AC70000}"/>
    <cellStyle name="Процентный 6 111 7" xfId="35010" xr:uid="{00000000-0005-0000-0000-00009BC70000}"/>
    <cellStyle name="Процентный 6 111 8" xfId="40350" xr:uid="{00000000-0005-0000-0000-00009CC70000}"/>
    <cellStyle name="Процентный 6 111 9" xfId="45690" xr:uid="{00000000-0005-0000-0000-00009DC70000}"/>
    <cellStyle name="Процентный 6 112" xfId="2998" xr:uid="{00000000-0005-0000-0000-00009EC70000}"/>
    <cellStyle name="Процентный 6 112 10" xfId="51062" xr:uid="{00000000-0005-0000-0000-00009FC70000}"/>
    <cellStyle name="Процентный 6 112 2" xfId="8341" xr:uid="{00000000-0005-0000-0000-0000A0C70000}"/>
    <cellStyle name="Процентный 6 112 2 2" xfId="56403" xr:uid="{00000000-0005-0000-0000-0000A1C70000}"/>
    <cellStyle name="Процентный 6 112 3" xfId="13682" xr:uid="{00000000-0005-0000-0000-0000A2C70000}"/>
    <cellStyle name="Процентный 6 112 4" xfId="19022" xr:uid="{00000000-0005-0000-0000-0000A3C70000}"/>
    <cellStyle name="Процентный 6 112 5" xfId="24362" xr:uid="{00000000-0005-0000-0000-0000A4C70000}"/>
    <cellStyle name="Процентный 6 112 6" xfId="29702" xr:uid="{00000000-0005-0000-0000-0000A5C70000}"/>
    <cellStyle name="Процентный 6 112 7" xfId="35042" xr:uid="{00000000-0005-0000-0000-0000A6C70000}"/>
    <cellStyle name="Процентный 6 112 8" xfId="40382" xr:uid="{00000000-0005-0000-0000-0000A7C70000}"/>
    <cellStyle name="Процентный 6 112 9" xfId="45722" xr:uid="{00000000-0005-0000-0000-0000A8C70000}"/>
    <cellStyle name="Процентный 6 113" xfId="3030" xr:uid="{00000000-0005-0000-0000-0000A9C70000}"/>
    <cellStyle name="Процентный 6 113 10" xfId="51094" xr:uid="{00000000-0005-0000-0000-0000AAC70000}"/>
    <cellStyle name="Процентный 6 113 2" xfId="8373" xr:uid="{00000000-0005-0000-0000-0000ABC70000}"/>
    <cellStyle name="Процентный 6 113 2 2" xfId="56435" xr:uid="{00000000-0005-0000-0000-0000ACC70000}"/>
    <cellStyle name="Процентный 6 113 3" xfId="13714" xr:uid="{00000000-0005-0000-0000-0000ADC70000}"/>
    <cellStyle name="Процентный 6 113 4" xfId="19054" xr:uid="{00000000-0005-0000-0000-0000AEC70000}"/>
    <cellStyle name="Процентный 6 113 5" xfId="24394" xr:uid="{00000000-0005-0000-0000-0000AFC70000}"/>
    <cellStyle name="Процентный 6 113 6" xfId="29734" xr:uid="{00000000-0005-0000-0000-0000B0C70000}"/>
    <cellStyle name="Процентный 6 113 7" xfId="35074" xr:uid="{00000000-0005-0000-0000-0000B1C70000}"/>
    <cellStyle name="Процентный 6 113 8" xfId="40414" xr:uid="{00000000-0005-0000-0000-0000B2C70000}"/>
    <cellStyle name="Процентный 6 113 9" xfId="45754" xr:uid="{00000000-0005-0000-0000-0000B3C70000}"/>
    <cellStyle name="Процентный 6 114" xfId="3062" xr:uid="{00000000-0005-0000-0000-0000B4C70000}"/>
    <cellStyle name="Процентный 6 114 10" xfId="51126" xr:uid="{00000000-0005-0000-0000-0000B5C70000}"/>
    <cellStyle name="Процентный 6 114 2" xfId="8405" xr:uid="{00000000-0005-0000-0000-0000B6C70000}"/>
    <cellStyle name="Процентный 6 114 2 2" xfId="56467" xr:uid="{00000000-0005-0000-0000-0000B7C70000}"/>
    <cellStyle name="Процентный 6 114 3" xfId="13746" xr:uid="{00000000-0005-0000-0000-0000B8C70000}"/>
    <cellStyle name="Процентный 6 114 4" xfId="19086" xr:uid="{00000000-0005-0000-0000-0000B9C70000}"/>
    <cellStyle name="Процентный 6 114 5" xfId="24426" xr:uid="{00000000-0005-0000-0000-0000BAC70000}"/>
    <cellStyle name="Процентный 6 114 6" xfId="29766" xr:uid="{00000000-0005-0000-0000-0000BBC70000}"/>
    <cellStyle name="Процентный 6 114 7" xfId="35106" xr:uid="{00000000-0005-0000-0000-0000BCC70000}"/>
    <cellStyle name="Процентный 6 114 8" xfId="40446" xr:uid="{00000000-0005-0000-0000-0000BDC70000}"/>
    <cellStyle name="Процентный 6 114 9" xfId="45786" xr:uid="{00000000-0005-0000-0000-0000BEC70000}"/>
    <cellStyle name="Процентный 6 115" xfId="3094" xr:uid="{00000000-0005-0000-0000-0000BFC70000}"/>
    <cellStyle name="Процентный 6 115 10" xfId="51158" xr:uid="{00000000-0005-0000-0000-0000C0C70000}"/>
    <cellStyle name="Процентный 6 115 2" xfId="8437" xr:uid="{00000000-0005-0000-0000-0000C1C70000}"/>
    <cellStyle name="Процентный 6 115 2 2" xfId="56499" xr:uid="{00000000-0005-0000-0000-0000C2C70000}"/>
    <cellStyle name="Процентный 6 115 3" xfId="13778" xr:uid="{00000000-0005-0000-0000-0000C3C70000}"/>
    <cellStyle name="Процентный 6 115 4" xfId="19118" xr:uid="{00000000-0005-0000-0000-0000C4C70000}"/>
    <cellStyle name="Процентный 6 115 5" xfId="24458" xr:uid="{00000000-0005-0000-0000-0000C5C70000}"/>
    <cellStyle name="Процентный 6 115 6" xfId="29798" xr:uid="{00000000-0005-0000-0000-0000C6C70000}"/>
    <cellStyle name="Процентный 6 115 7" xfId="35138" xr:uid="{00000000-0005-0000-0000-0000C7C70000}"/>
    <cellStyle name="Процентный 6 115 8" xfId="40478" xr:uid="{00000000-0005-0000-0000-0000C8C70000}"/>
    <cellStyle name="Процентный 6 115 9" xfId="45818" xr:uid="{00000000-0005-0000-0000-0000C9C70000}"/>
    <cellStyle name="Процентный 6 116" xfId="3127" xr:uid="{00000000-0005-0000-0000-0000CAC70000}"/>
    <cellStyle name="Процентный 6 116 10" xfId="51190" xr:uid="{00000000-0005-0000-0000-0000CBC70000}"/>
    <cellStyle name="Процентный 6 116 2" xfId="8470" xr:uid="{00000000-0005-0000-0000-0000CCC70000}"/>
    <cellStyle name="Процентный 6 116 2 2" xfId="56531" xr:uid="{00000000-0005-0000-0000-0000CDC70000}"/>
    <cellStyle name="Процентный 6 116 3" xfId="13810" xr:uid="{00000000-0005-0000-0000-0000CEC70000}"/>
    <cellStyle name="Процентный 6 116 4" xfId="19150" xr:uid="{00000000-0005-0000-0000-0000CFC70000}"/>
    <cellStyle name="Процентный 6 116 5" xfId="24490" xr:uid="{00000000-0005-0000-0000-0000D0C70000}"/>
    <cellStyle name="Процентный 6 116 6" xfId="29830" xr:uid="{00000000-0005-0000-0000-0000D1C70000}"/>
    <cellStyle name="Процентный 6 116 7" xfId="35170" xr:uid="{00000000-0005-0000-0000-0000D2C70000}"/>
    <cellStyle name="Процентный 6 116 8" xfId="40510" xr:uid="{00000000-0005-0000-0000-0000D3C70000}"/>
    <cellStyle name="Процентный 6 116 9" xfId="45850" xr:uid="{00000000-0005-0000-0000-0000D4C70000}"/>
    <cellStyle name="Процентный 6 117" xfId="3159" xr:uid="{00000000-0005-0000-0000-0000D5C70000}"/>
    <cellStyle name="Процентный 6 117 10" xfId="51222" xr:uid="{00000000-0005-0000-0000-0000D6C70000}"/>
    <cellStyle name="Процентный 6 117 2" xfId="8502" xr:uid="{00000000-0005-0000-0000-0000D7C70000}"/>
    <cellStyle name="Процентный 6 117 2 2" xfId="56563" xr:uid="{00000000-0005-0000-0000-0000D8C70000}"/>
    <cellStyle name="Процентный 6 117 3" xfId="13842" xr:uid="{00000000-0005-0000-0000-0000D9C70000}"/>
    <cellStyle name="Процентный 6 117 4" xfId="19182" xr:uid="{00000000-0005-0000-0000-0000DAC70000}"/>
    <cellStyle name="Процентный 6 117 5" xfId="24522" xr:uid="{00000000-0005-0000-0000-0000DBC70000}"/>
    <cellStyle name="Процентный 6 117 6" xfId="29862" xr:uid="{00000000-0005-0000-0000-0000DCC70000}"/>
    <cellStyle name="Процентный 6 117 7" xfId="35202" xr:uid="{00000000-0005-0000-0000-0000DDC70000}"/>
    <cellStyle name="Процентный 6 117 8" xfId="40542" xr:uid="{00000000-0005-0000-0000-0000DEC70000}"/>
    <cellStyle name="Процентный 6 117 9" xfId="45882" xr:uid="{00000000-0005-0000-0000-0000DFC70000}"/>
    <cellStyle name="Процентный 6 118" xfId="3191" xr:uid="{00000000-0005-0000-0000-0000E0C70000}"/>
    <cellStyle name="Процентный 6 118 10" xfId="51254" xr:uid="{00000000-0005-0000-0000-0000E1C70000}"/>
    <cellStyle name="Процентный 6 118 2" xfId="8534" xr:uid="{00000000-0005-0000-0000-0000E2C70000}"/>
    <cellStyle name="Процентный 6 118 2 2" xfId="56595" xr:uid="{00000000-0005-0000-0000-0000E3C70000}"/>
    <cellStyle name="Процентный 6 118 3" xfId="13874" xr:uid="{00000000-0005-0000-0000-0000E4C70000}"/>
    <cellStyle name="Процентный 6 118 4" xfId="19214" xr:uid="{00000000-0005-0000-0000-0000E5C70000}"/>
    <cellStyle name="Процентный 6 118 5" xfId="24554" xr:uid="{00000000-0005-0000-0000-0000E6C70000}"/>
    <cellStyle name="Процентный 6 118 6" xfId="29894" xr:uid="{00000000-0005-0000-0000-0000E7C70000}"/>
    <cellStyle name="Процентный 6 118 7" xfId="35234" xr:uid="{00000000-0005-0000-0000-0000E8C70000}"/>
    <cellStyle name="Процентный 6 118 8" xfId="40574" xr:uid="{00000000-0005-0000-0000-0000E9C70000}"/>
    <cellStyle name="Процентный 6 118 9" xfId="45914" xr:uid="{00000000-0005-0000-0000-0000EAC70000}"/>
    <cellStyle name="Процентный 6 119" xfId="3223" xr:uid="{00000000-0005-0000-0000-0000EBC70000}"/>
    <cellStyle name="Процентный 6 119 10" xfId="51286" xr:uid="{00000000-0005-0000-0000-0000ECC70000}"/>
    <cellStyle name="Процентный 6 119 2" xfId="8566" xr:uid="{00000000-0005-0000-0000-0000EDC70000}"/>
    <cellStyle name="Процентный 6 119 2 2" xfId="56627" xr:uid="{00000000-0005-0000-0000-0000EEC70000}"/>
    <cellStyle name="Процентный 6 119 3" xfId="13906" xr:uid="{00000000-0005-0000-0000-0000EFC70000}"/>
    <cellStyle name="Процентный 6 119 4" xfId="19246" xr:uid="{00000000-0005-0000-0000-0000F0C70000}"/>
    <cellStyle name="Процентный 6 119 5" xfId="24586" xr:uid="{00000000-0005-0000-0000-0000F1C70000}"/>
    <cellStyle name="Процентный 6 119 6" xfId="29926" xr:uid="{00000000-0005-0000-0000-0000F2C70000}"/>
    <cellStyle name="Процентный 6 119 7" xfId="35266" xr:uid="{00000000-0005-0000-0000-0000F3C70000}"/>
    <cellStyle name="Процентный 6 119 8" xfId="40606" xr:uid="{00000000-0005-0000-0000-0000F4C70000}"/>
    <cellStyle name="Процентный 6 119 9" xfId="45946" xr:uid="{00000000-0005-0000-0000-0000F5C70000}"/>
    <cellStyle name="Процентный 6 12" xfId="231" xr:uid="{00000000-0005-0000-0000-0000F6C70000}"/>
    <cellStyle name="Процентный 6 12 10" xfId="42953" xr:uid="{00000000-0005-0000-0000-0000F7C70000}"/>
    <cellStyle name="Процентный 6 12 11" xfId="48293" xr:uid="{00000000-0005-0000-0000-0000F8C70000}"/>
    <cellStyle name="Процентный 6 12 2" xfId="698" xr:uid="{00000000-0005-0000-0000-0000F9C70000}"/>
    <cellStyle name="Процентный 6 12 2 10" xfId="48760" xr:uid="{00000000-0005-0000-0000-0000FAC70000}"/>
    <cellStyle name="Процентный 6 12 2 2" xfId="6039" xr:uid="{00000000-0005-0000-0000-0000FBC70000}"/>
    <cellStyle name="Процентный 6 12 2 2 2" xfId="54101" xr:uid="{00000000-0005-0000-0000-0000FCC70000}"/>
    <cellStyle name="Процентный 6 12 2 3" xfId="11380" xr:uid="{00000000-0005-0000-0000-0000FDC70000}"/>
    <cellStyle name="Процентный 6 12 2 4" xfId="16720" xr:uid="{00000000-0005-0000-0000-0000FEC70000}"/>
    <cellStyle name="Процентный 6 12 2 5" xfId="22060" xr:uid="{00000000-0005-0000-0000-0000FFC70000}"/>
    <cellStyle name="Процентный 6 12 2 6" xfId="27400" xr:uid="{00000000-0005-0000-0000-000000C80000}"/>
    <cellStyle name="Процентный 6 12 2 7" xfId="32740" xr:uid="{00000000-0005-0000-0000-000001C80000}"/>
    <cellStyle name="Процентный 6 12 2 8" xfId="38080" xr:uid="{00000000-0005-0000-0000-000002C80000}"/>
    <cellStyle name="Процентный 6 12 2 9" xfId="43420" xr:uid="{00000000-0005-0000-0000-000003C80000}"/>
    <cellStyle name="Процентный 6 12 3" xfId="5572" xr:uid="{00000000-0005-0000-0000-000004C80000}"/>
    <cellStyle name="Процентный 6 12 3 2" xfId="53634" xr:uid="{00000000-0005-0000-0000-000005C80000}"/>
    <cellStyle name="Процентный 6 12 4" xfId="10913" xr:uid="{00000000-0005-0000-0000-000006C80000}"/>
    <cellStyle name="Процентный 6 12 5" xfId="16253" xr:uid="{00000000-0005-0000-0000-000007C80000}"/>
    <cellStyle name="Процентный 6 12 6" xfId="21593" xr:uid="{00000000-0005-0000-0000-000008C80000}"/>
    <cellStyle name="Процентный 6 12 7" xfId="26933" xr:uid="{00000000-0005-0000-0000-000009C80000}"/>
    <cellStyle name="Процентный 6 12 8" xfId="32273" xr:uid="{00000000-0005-0000-0000-00000AC80000}"/>
    <cellStyle name="Процентный 6 12 9" xfId="37613" xr:uid="{00000000-0005-0000-0000-00000BC80000}"/>
    <cellStyle name="Процентный 6 120" xfId="3255" xr:uid="{00000000-0005-0000-0000-00000CC80000}"/>
    <cellStyle name="Процентный 6 120 10" xfId="51318" xr:uid="{00000000-0005-0000-0000-00000DC80000}"/>
    <cellStyle name="Процентный 6 120 2" xfId="8598" xr:uid="{00000000-0005-0000-0000-00000EC80000}"/>
    <cellStyle name="Процентный 6 120 2 2" xfId="56659" xr:uid="{00000000-0005-0000-0000-00000FC80000}"/>
    <cellStyle name="Процентный 6 120 3" xfId="13938" xr:uid="{00000000-0005-0000-0000-000010C80000}"/>
    <cellStyle name="Процентный 6 120 4" xfId="19278" xr:uid="{00000000-0005-0000-0000-000011C80000}"/>
    <cellStyle name="Процентный 6 120 5" xfId="24618" xr:uid="{00000000-0005-0000-0000-000012C80000}"/>
    <cellStyle name="Процентный 6 120 6" xfId="29958" xr:uid="{00000000-0005-0000-0000-000013C80000}"/>
    <cellStyle name="Процентный 6 120 7" xfId="35298" xr:uid="{00000000-0005-0000-0000-000014C80000}"/>
    <cellStyle name="Процентный 6 120 8" xfId="40638" xr:uid="{00000000-0005-0000-0000-000015C80000}"/>
    <cellStyle name="Процентный 6 120 9" xfId="45978" xr:uid="{00000000-0005-0000-0000-000016C80000}"/>
    <cellStyle name="Процентный 6 121" xfId="3287" xr:uid="{00000000-0005-0000-0000-000017C80000}"/>
    <cellStyle name="Процентный 6 121 10" xfId="51350" xr:uid="{00000000-0005-0000-0000-000018C80000}"/>
    <cellStyle name="Процентный 6 121 2" xfId="8630" xr:uid="{00000000-0005-0000-0000-000019C80000}"/>
    <cellStyle name="Процентный 6 121 2 2" xfId="56691" xr:uid="{00000000-0005-0000-0000-00001AC80000}"/>
    <cellStyle name="Процентный 6 121 3" xfId="13970" xr:uid="{00000000-0005-0000-0000-00001BC80000}"/>
    <cellStyle name="Процентный 6 121 4" xfId="19310" xr:uid="{00000000-0005-0000-0000-00001CC80000}"/>
    <cellStyle name="Процентный 6 121 5" xfId="24650" xr:uid="{00000000-0005-0000-0000-00001DC80000}"/>
    <cellStyle name="Процентный 6 121 6" xfId="29990" xr:uid="{00000000-0005-0000-0000-00001EC80000}"/>
    <cellStyle name="Процентный 6 121 7" xfId="35330" xr:uid="{00000000-0005-0000-0000-00001FC80000}"/>
    <cellStyle name="Процентный 6 121 8" xfId="40670" xr:uid="{00000000-0005-0000-0000-000020C80000}"/>
    <cellStyle name="Процентный 6 121 9" xfId="46010" xr:uid="{00000000-0005-0000-0000-000021C80000}"/>
    <cellStyle name="Процентный 6 122" xfId="3319" xr:uid="{00000000-0005-0000-0000-000022C80000}"/>
    <cellStyle name="Процентный 6 122 10" xfId="51382" xr:uid="{00000000-0005-0000-0000-000023C80000}"/>
    <cellStyle name="Процентный 6 122 2" xfId="8662" xr:uid="{00000000-0005-0000-0000-000024C80000}"/>
    <cellStyle name="Процентный 6 122 2 2" xfId="56723" xr:uid="{00000000-0005-0000-0000-000025C80000}"/>
    <cellStyle name="Процентный 6 122 3" xfId="14002" xr:uid="{00000000-0005-0000-0000-000026C80000}"/>
    <cellStyle name="Процентный 6 122 4" xfId="19342" xr:uid="{00000000-0005-0000-0000-000027C80000}"/>
    <cellStyle name="Процентный 6 122 5" xfId="24682" xr:uid="{00000000-0005-0000-0000-000028C80000}"/>
    <cellStyle name="Процентный 6 122 6" xfId="30022" xr:uid="{00000000-0005-0000-0000-000029C80000}"/>
    <cellStyle name="Процентный 6 122 7" xfId="35362" xr:uid="{00000000-0005-0000-0000-00002AC80000}"/>
    <cellStyle name="Процентный 6 122 8" xfId="40702" xr:uid="{00000000-0005-0000-0000-00002BC80000}"/>
    <cellStyle name="Процентный 6 122 9" xfId="46042" xr:uid="{00000000-0005-0000-0000-00002CC80000}"/>
    <cellStyle name="Процентный 6 123" xfId="3351" xr:uid="{00000000-0005-0000-0000-00002DC80000}"/>
    <cellStyle name="Процентный 6 123 10" xfId="51414" xr:uid="{00000000-0005-0000-0000-00002EC80000}"/>
    <cellStyle name="Процентный 6 123 2" xfId="8694" xr:uid="{00000000-0005-0000-0000-00002FC80000}"/>
    <cellStyle name="Процентный 6 123 2 2" xfId="56755" xr:uid="{00000000-0005-0000-0000-000030C80000}"/>
    <cellStyle name="Процентный 6 123 3" xfId="14034" xr:uid="{00000000-0005-0000-0000-000031C80000}"/>
    <cellStyle name="Процентный 6 123 4" xfId="19374" xr:uid="{00000000-0005-0000-0000-000032C80000}"/>
    <cellStyle name="Процентный 6 123 5" xfId="24714" xr:uid="{00000000-0005-0000-0000-000033C80000}"/>
    <cellStyle name="Процентный 6 123 6" xfId="30054" xr:uid="{00000000-0005-0000-0000-000034C80000}"/>
    <cellStyle name="Процентный 6 123 7" xfId="35394" xr:uid="{00000000-0005-0000-0000-000035C80000}"/>
    <cellStyle name="Процентный 6 123 8" xfId="40734" xr:uid="{00000000-0005-0000-0000-000036C80000}"/>
    <cellStyle name="Процентный 6 123 9" xfId="46074" xr:uid="{00000000-0005-0000-0000-000037C80000}"/>
    <cellStyle name="Процентный 6 124" xfId="3383" xr:uid="{00000000-0005-0000-0000-000038C80000}"/>
    <cellStyle name="Процентный 6 124 10" xfId="51446" xr:uid="{00000000-0005-0000-0000-000039C80000}"/>
    <cellStyle name="Процентный 6 124 2" xfId="8726" xr:uid="{00000000-0005-0000-0000-00003AC80000}"/>
    <cellStyle name="Процентный 6 124 2 2" xfId="56787" xr:uid="{00000000-0005-0000-0000-00003BC80000}"/>
    <cellStyle name="Процентный 6 124 3" xfId="14066" xr:uid="{00000000-0005-0000-0000-00003CC80000}"/>
    <cellStyle name="Процентный 6 124 4" xfId="19406" xr:uid="{00000000-0005-0000-0000-00003DC80000}"/>
    <cellStyle name="Процентный 6 124 5" xfId="24746" xr:uid="{00000000-0005-0000-0000-00003EC80000}"/>
    <cellStyle name="Процентный 6 124 6" xfId="30086" xr:uid="{00000000-0005-0000-0000-00003FC80000}"/>
    <cellStyle name="Процентный 6 124 7" xfId="35426" xr:uid="{00000000-0005-0000-0000-000040C80000}"/>
    <cellStyle name="Процентный 6 124 8" xfId="40766" xr:uid="{00000000-0005-0000-0000-000041C80000}"/>
    <cellStyle name="Процентный 6 124 9" xfId="46106" xr:uid="{00000000-0005-0000-0000-000042C80000}"/>
    <cellStyle name="Процентный 6 125" xfId="3415" xr:uid="{00000000-0005-0000-0000-000043C80000}"/>
    <cellStyle name="Процентный 6 125 10" xfId="51478" xr:uid="{00000000-0005-0000-0000-000044C80000}"/>
    <cellStyle name="Процентный 6 125 2" xfId="8758" xr:uid="{00000000-0005-0000-0000-000045C80000}"/>
    <cellStyle name="Процентный 6 125 2 2" xfId="56819" xr:uid="{00000000-0005-0000-0000-000046C80000}"/>
    <cellStyle name="Процентный 6 125 3" xfId="14098" xr:uid="{00000000-0005-0000-0000-000047C80000}"/>
    <cellStyle name="Процентный 6 125 4" xfId="19438" xr:uid="{00000000-0005-0000-0000-000048C80000}"/>
    <cellStyle name="Процентный 6 125 5" xfId="24778" xr:uid="{00000000-0005-0000-0000-000049C80000}"/>
    <cellStyle name="Процентный 6 125 6" xfId="30118" xr:uid="{00000000-0005-0000-0000-00004AC80000}"/>
    <cellStyle name="Процентный 6 125 7" xfId="35458" xr:uid="{00000000-0005-0000-0000-00004BC80000}"/>
    <cellStyle name="Процентный 6 125 8" xfId="40798" xr:uid="{00000000-0005-0000-0000-00004CC80000}"/>
    <cellStyle name="Процентный 6 125 9" xfId="46138" xr:uid="{00000000-0005-0000-0000-00004DC80000}"/>
    <cellStyle name="Процентный 6 126" xfId="3447" xr:uid="{00000000-0005-0000-0000-00004EC80000}"/>
    <cellStyle name="Процентный 6 126 10" xfId="51510" xr:uid="{00000000-0005-0000-0000-00004FC80000}"/>
    <cellStyle name="Процентный 6 126 2" xfId="8790" xr:uid="{00000000-0005-0000-0000-000050C80000}"/>
    <cellStyle name="Процентный 6 126 2 2" xfId="56851" xr:uid="{00000000-0005-0000-0000-000051C80000}"/>
    <cellStyle name="Процентный 6 126 3" xfId="14130" xr:uid="{00000000-0005-0000-0000-000052C80000}"/>
    <cellStyle name="Процентный 6 126 4" xfId="19470" xr:uid="{00000000-0005-0000-0000-000053C80000}"/>
    <cellStyle name="Процентный 6 126 5" xfId="24810" xr:uid="{00000000-0005-0000-0000-000054C80000}"/>
    <cellStyle name="Процентный 6 126 6" xfId="30150" xr:uid="{00000000-0005-0000-0000-000055C80000}"/>
    <cellStyle name="Процентный 6 126 7" xfId="35490" xr:uid="{00000000-0005-0000-0000-000056C80000}"/>
    <cellStyle name="Процентный 6 126 8" xfId="40830" xr:uid="{00000000-0005-0000-0000-000057C80000}"/>
    <cellStyle name="Процентный 6 126 9" xfId="46170" xr:uid="{00000000-0005-0000-0000-000058C80000}"/>
    <cellStyle name="Процентный 6 127" xfId="3479" xr:uid="{00000000-0005-0000-0000-000059C80000}"/>
    <cellStyle name="Процентный 6 127 10" xfId="51542" xr:uid="{00000000-0005-0000-0000-00005AC80000}"/>
    <cellStyle name="Процентный 6 127 2" xfId="8822" xr:uid="{00000000-0005-0000-0000-00005BC80000}"/>
    <cellStyle name="Процентный 6 127 2 2" xfId="56883" xr:uid="{00000000-0005-0000-0000-00005CC80000}"/>
    <cellStyle name="Процентный 6 127 3" xfId="14162" xr:uid="{00000000-0005-0000-0000-00005DC80000}"/>
    <cellStyle name="Процентный 6 127 4" xfId="19502" xr:uid="{00000000-0005-0000-0000-00005EC80000}"/>
    <cellStyle name="Процентный 6 127 5" xfId="24842" xr:uid="{00000000-0005-0000-0000-00005FC80000}"/>
    <cellStyle name="Процентный 6 127 6" xfId="30182" xr:uid="{00000000-0005-0000-0000-000060C80000}"/>
    <cellStyle name="Процентный 6 127 7" xfId="35522" xr:uid="{00000000-0005-0000-0000-000061C80000}"/>
    <cellStyle name="Процентный 6 127 8" xfId="40862" xr:uid="{00000000-0005-0000-0000-000062C80000}"/>
    <cellStyle name="Процентный 6 127 9" xfId="46202" xr:uid="{00000000-0005-0000-0000-000063C80000}"/>
    <cellStyle name="Процентный 6 128" xfId="3511" xr:uid="{00000000-0005-0000-0000-000064C80000}"/>
    <cellStyle name="Процентный 6 128 10" xfId="51574" xr:uid="{00000000-0005-0000-0000-000065C80000}"/>
    <cellStyle name="Процентный 6 128 2" xfId="8854" xr:uid="{00000000-0005-0000-0000-000066C80000}"/>
    <cellStyle name="Процентный 6 128 2 2" xfId="56915" xr:uid="{00000000-0005-0000-0000-000067C80000}"/>
    <cellStyle name="Процентный 6 128 3" xfId="14194" xr:uid="{00000000-0005-0000-0000-000068C80000}"/>
    <cellStyle name="Процентный 6 128 4" xfId="19534" xr:uid="{00000000-0005-0000-0000-000069C80000}"/>
    <cellStyle name="Процентный 6 128 5" xfId="24874" xr:uid="{00000000-0005-0000-0000-00006AC80000}"/>
    <cellStyle name="Процентный 6 128 6" xfId="30214" xr:uid="{00000000-0005-0000-0000-00006BC80000}"/>
    <cellStyle name="Процентный 6 128 7" xfId="35554" xr:uid="{00000000-0005-0000-0000-00006CC80000}"/>
    <cellStyle name="Процентный 6 128 8" xfId="40894" xr:uid="{00000000-0005-0000-0000-00006DC80000}"/>
    <cellStyle name="Процентный 6 128 9" xfId="46234" xr:uid="{00000000-0005-0000-0000-00006EC80000}"/>
    <cellStyle name="Процентный 6 129" xfId="3543" xr:uid="{00000000-0005-0000-0000-00006FC80000}"/>
    <cellStyle name="Процентный 6 129 10" xfId="51606" xr:uid="{00000000-0005-0000-0000-000070C80000}"/>
    <cellStyle name="Процентный 6 129 2" xfId="8886" xr:uid="{00000000-0005-0000-0000-000071C80000}"/>
    <cellStyle name="Процентный 6 129 2 2" xfId="56947" xr:uid="{00000000-0005-0000-0000-000072C80000}"/>
    <cellStyle name="Процентный 6 129 3" xfId="14226" xr:uid="{00000000-0005-0000-0000-000073C80000}"/>
    <cellStyle name="Процентный 6 129 4" xfId="19566" xr:uid="{00000000-0005-0000-0000-000074C80000}"/>
    <cellStyle name="Процентный 6 129 5" xfId="24906" xr:uid="{00000000-0005-0000-0000-000075C80000}"/>
    <cellStyle name="Процентный 6 129 6" xfId="30246" xr:uid="{00000000-0005-0000-0000-000076C80000}"/>
    <cellStyle name="Процентный 6 129 7" xfId="35586" xr:uid="{00000000-0005-0000-0000-000077C80000}"/>
    <cellStyle name="Процентный 6 129 8" xfId="40926" xr:uid="{00000000-0005-0000-0000-000078C80000}"/>
    <cellStyle name="Процентный 6 129 9" xfId="46266" xr:uid="{00000000-0005-0000-0000-000079C80000}"/>
    <cellStyle name="Процентный 6 13" xfId="241" xr:uid="{00000000-0005-0000-0000-00007AC80000}"/>
    <cellStyle name="Процентный 6 13 10" xfId="42963" xr:uid="{00000000-0005-0000-0000-00007BC80000}"/>
    <cellStyle name="Процентный 6 13 11" xfId="48303" xr:uid="{00000000-0005-0000-0000-00007CC80000}"/>
    <cellStyle name="Процентный 6 13 2" xfId="708" xr:uid="{00000000-0005-0000-0000-00007DC80000}"/>
    <cellStyle name="Процентный 6 13 2 10" xfId="48770" xr:uid="{00000000-0005-0000-0000-00007EC80000}"/>
    <cellStyle name="Процентный 6 13 2 2" xfId="6049" xr:uid="{00000000-0005-0000-0000-00007FC80000}"/>
    <cellStyle name="Процентный 6 13 2 2 2" xfId="54111" xr:uid="{00000000-0005-0000-0000-000080C80000}"/>
    <cellStyle name="Процентный 6 13 2 3" xfId="11390" xr:uid="{00000000-0005-0000-0000-000081C80000}"/>
    <cellStyle name="Процентный 6 13 2 4" xfId="16730" xr:uid="{00000000-0005-0000-0000-000082C80000}"/>
    <cellStyle name="Процентный 6 13 2 5" xfId="22070" xr:uid="{00000000-0005-0000-0000-000083C80000}"/>
    <cellStyle name="Процентный 6 13 2 6" xfId="27410" xr:uid="{00000000-0005-0000-0000-000084C80000}"/>
    <cellStyle name="Процентный 6 13 2 7" xfId="32750" xr:uid="{00000000-0005-0000-0000-000085C80000}"/>
    <cellStyle name="Процентный 6 13 2 8" xfId="38090" xr:uid="{00000000-0005-0000-0000-000086C80000}"/>
    <cellStyle name="Процентный 6 13 2 9" xfId="43430" xr:uid="{00000000-0005-0000-0000-000087C80000}"/>
    <cellStyle name="Процентный 6 13 3" xfId="5582" xr:uid="{00000000-0005-0000-0000-000088C80000}"/>
    <cellStyle name="Процентный 6 13 3 2" xfId="53644" xr:uid="{00000000-0005-0000-0000-000089C80000}"/>
    <cellStyle name="Процентный 6 13 4" xfId="10923" xr:uid="{00000000-0005-0000-0000-00008AC80000}"/>
    <cellStyle name="Процентный 6 13 5" xfId="16263" xr:uid="{00000000-0005-0000-0000-00008BC80000}"/>
    <cellStyle name="Процентный 6 13 6" xfId="21603" xr:uid="{00000000-0005-0000-0000-00008CC80000}"/>
    <cellStyle name="Процентный 6 13 7" xfId="26943" xr:uid="{00000000-0005-0000-0000-00008DC80000}"/>
    <cellStyle name="Процентный 6 13 8" xfId="32283" xr:uid="{00000000-0005-0000-0000-00008EC80000}"/>
    <cellStyle name="Процентный 6 13 9" xfId="37623" xr:uid="{00000000-0005-0000-0000-00008FC80000}"/>
    <cellStyle name="Процентный 6 130" xfId="3575" xr:uid="{00000000-0005-0000-0000-000090C80000}"/>
    <cellStyle name="Процентный 6 130 10" xfId="51638" xr:uid="{00000000-0005-0000-0000-000091C80000}"/>
    <cellStyle name="Процентный 6 130 2" xfId="8918" xr:uid="{00000000-0005-0000-0000-000092C80000}"/>
    <cellStyle name="Процентный 6 130 2 2" xfId="56979" xr:uid="{00000000-0005-0000-0000-000093C80000}"/>
    <cellStyle name="Процентный 6 130 3" xfId="14258" xr:uid="{00000000-0005-0000-0000-000094C80000}"/>
    <cellStyle name="Процентный 6 130 4" xfId="19598" xr:uid="{00000000-0005-0000-0000-000095C80000}"/>
    <cellStyle name="Процентный 6 130 5" xfId="24938" xr:uid="{00000000-0005-0000-0000-000096C80000}"/>
    <cellStyle name="Процентный 6 130 6" xfId="30278" xr:uid="{00000000-0005-0000-0000-000097C80000}"/>
    <cellStyle name="Процентный 6 130 7" xfId="35618" xr:uid="{00000000-0005-0000-0000-000098C80000}"/>
    <cellStyle name="Процентный 6 130 8" xfId="40958" xr:uid="{00000000-0005-0000-0000-000099C80000}"/>
    <cellStyle name="Процентный 6 130 9" xfId="46298" xr:uid="{00000000-0005-0000-0000-00009AC80000}"/>
    <cellStyle name="Процентный 6 131" xfId="3607" xr:uid="{00000000-0005-0000-0000-00009BC80000}"/>
    <cellStyle name="Процентный 6 131 10" xfId="51670" xr:uid="{00000000-0005-0000-0000-00009CC80000}"/>
    <cellStyle name="Процентный 6 131 2" xfId="8950" xr:uid="{00000000-0005-0000-0000-00009DC80000}"/>
    <cellStyle name="Процентный 6 131 2 2" xfId="57011" xr:uid="{00000000-0005-0000-0000-00009EC80000}"/>
    <cellStyle name="Процентный 6 131 3" xfId="14290" xr:uid="{00000000-0005-0000-0000-00009FC80000}"/>
    <cellStyle name="Процентный 6 131 4" xfId="19630" xr:uid="{00000000-0005-0000-0000-0000A0C80000}"/>
    <cellStyle name="Процентный 6 131 5" xfId="24970" xr:uid="{00000000-0005-0000-0000-0000A1C80000}"/>
    <cellStyle name="Процентный 6 131 6" xfId="30310" xr:uid="{00000000-0005-0000-0000-0000A2C80000}"/>
    <cellStyle name="Процентный 6 131 7" xfId="35650" xr:uid="{00000000-0005-0000-0000-0000A3C80000}"/>
    <cellStyle name="Процентный 6 131 8" xfId="40990" xr:uid="{00000000-0005-0000-0000-0000A4C80000}"/>
    <cellStyle name="Процентный 6 131 9" xfId="46330" xr:uid="{00000000-0005-0000-0000-0000A5C80000}"/>
    <cellStyle name="Процентный 6 132" xfId="3639" xr:uid="{00000000-0005-0000-0000-0000A6C80000}"/>
    <cellStyle name="Процентный 6 132 10" xfId="51702" xr:uid="{00000000-0005-0000-0000-0000A7C80000}"/>
    <cellStyle name="Процентный 6 132 2" xfId="8982" xr:uid="{00000000-0005-0000-0000-0000A8C80000}"/>
    <cellStyle name="Процентный 6 132 2 2" xfId="57043" xr:uid="{00000000-0005-0000-0000-0000A9C80000}"/>
    <cellStyle name="Процентный 6 132 3" xfId="14322" xr:uid="{00000000-0005-0000-0000-0000AAC80000}"/>
    <cellStyle name="Процентный 6 132 4" xfId="19662" xr:uid="{00000000-0005-0000-0000-0000ABC80000}"/>
    <cellStyle name="Процентный 6 132 5" xfId="25002" xr:uid="{00000000-0005-0000-0000-0000ACC80000}"/>
    <cellStyle name="Процентный 6 132 6" xfId="30342" xr:uid="{00000000-0005-0000-0000-0000ADC80000}"/>
    <cellStyle name="Процентный 6 132 7" xfId="35682" xr:uid="{00000000-0005-0000-0000-0000AEC80000}"/>
    <cellStyle name="Процентный 6 132 8" xfId="41022" xr:uid="{00000000-0005-0000-0000-0000AFC80000}"/>
    <cellStyle name="Процентный 6 132 9" xfId="46362" xr:uid="{00000000-0005-0000-0000-0000B0C80000}"/>
    <cellStyle name="Процентный 6 133" xfId="3671" xr:uid="{00000000-0005-0000-0000-0000B1C80000}"/>
    <cellStyle name="Процентный 6 133 10" xfId="51734" xr:uid="{00000000-0005-0000-0000-0000B2C80000}"/>
    <cellStyle name="Процентный 6 133 2" xfId="9014" xr:uid="{00000000-0005-0000-0000-0000B3C80000}"/>
    <cellStyle name="Процентный 6 133 2 2" xfId="57075" xr:uid="{00000000-0005-0000-0000-0000B4C80000}"/>
    <cellStyle name="Процентный 6 133 3" xfId="14354" xr:uid="{00000000-0005-0000-0000-0000B5C80000}"/>
    <cellStyle name="Процентный 6 133 4" xfId="19694" xr:uid="{00000000-0005-0000-0000-0000B6C80000}"/>
    <cellStyle name="Процентный 6 133 5" xfId="25034" xr:uid="{00000000-0005-0000-0000-0000B7C80000}"/>
    <cellStyle name="Процентный 6 133 6" xfId="30374" xr:uid="{00000000-0005-0000-0000-0000B8C80000}"/>
    <cellStyle name="Процентный 6 133 7" xfId="35714" xr:uid="{00000000-0005-0000-0000-0000B9C80000}"/>
    <cellStyle name="Процентный 6 133 8" xfId="41054" xr:uid="{00000000-0005-0000-0000-0000BAC80000}"/>
    <cellStyle name="Процентный 6 133 9" xfId="46394" xr:uid="{00000000-0005-0000-0000-0000BBC80000}"/>
    <cellStyle name="Процентный 6 134" xfId="3703" xr:uid="{00000000-0005-0000-0000-0000BCC80000}"/>
    <cellStyle name="Процентный 6 134 10" xfId="51766" xr:uid="{00000000-0005-0000-0000-0000BDC80000}"/>
    <cellStyle name="Процентный 6 134 2" xfId="9046" xr:uid="{00000000-0005-0000-0000-0000BEC80000}"/>
    <cellStyle name="Процентный 6 134 2 2" xfId="57107" xr:uid="{00000000-0005-0000-0000-0000BFC80000}"/>
    <cellStyle name="Процентный 6 134 3" xfId="14386" xr:uid="{00000000-0005-0000-0000-0000C0C80000}"/>
    <cellStyle name="Процентный 6 134 4" xfId="19726" xr:uid="{00000000-0005-0000-0000-0000C1C80000}"/>
    <cellStyle name="Процентный 6 134 5" xfId="25066" xr:uid="{00000000-0005-0000-0000-0000C2C80000}"/>
    <cellStyle name="Процентный 6 134 6" xfId="30406" xr:uid="{00000000-0005-0000-0000-0000C3C80000}"/>
    <cellStyle name="Процентный 6 134 7" xfId="35746" xr:uid="{00000000-0005-0000-0000-0000C4C80000}"/>
    <cellStyle name="Процентный 6 134 8" xfId="41086" xr:uid="{00000000-0005-0000-0000-0000C5C80000}"/>
    <cellStyle name="Процентный 6 134 9" xfId="46426" xr:uid="{00000000-0005-0000-0000-0000C6C80000}"/>
    <cellStyle name="Процентный 6 135" xfId="3735" xr:uid="{00000000-0005-0000-0000-0000C7C80000}"/>
    <cellStyle name="Процентный 6 135 10" xfId="51798" xr:uid="{00000000-0005-0000-0000-0000C8C80000}"/>
    <cellStyle name="Процентный 6 135 2" xfId="9078" xr:uid="{00000000-0005-0000-0000-0000C9C80000}"/>
    <cellStyle name="Процентный 6 135 2 2" xfId="57139" xr:uid="{00000000-0005-0000-0000-0000CAC80000}"/>
    <cellStyle name="Процентный 6 135 3" xfId="14418" xr:uid="{00000000-0005-0000-0000-0000CBC80000}"/>
    <cellStyle name="Процентный 6 135 4" xfId="19758" xr:uid="{00000000-0005-0000-0000-0000CCC80000}"/>
    <cellStyle name="Процентный 6 135 5" xfId="25098" xr:uid="{00000000-0005-0000-0000-0000CDC80000}"/>
    <cellStyle name="Процентный 6 135 6" xfId="30438" xr:uid="{00000000-0005-0000-0000-0000CEC80000}"/>
    <cellStyle name="Процентный 6 135 7" xfId="35778" xr:uid="{00000000-0005-0000-0000-0000CFC80000}"/>
    <cellStyle name="Процентный 6 135 8" xfId="41118" xr:uid="{00000000-0005-0000-0000-0000D0C80000}"/>
    <cellStyle name="Процентный 6 135 9" xfId="46458" xr:uid="{00000000-0005-0000-0000-0000D1C80000}"/>
    <cellStyle name="Процентный 6 136" xfId="3767" xr:uid="{00000000-0005-0000-0000-0000D2C80000}"/>
    <cellStyle name="Процентный 6 136 10" xfId="51830" xr:uid="{00000000-0005-0000-0000-0000D3C80000}"/>
    <cellStyle name="Процентный 6 136 2" xfId="9110" xr:uid="{00000000-0005-0000-0000-0000D4C80000}"/>
    <cellStyle name="Процентный 6 136 2 2" xfId="57171" xr:uid="{00000000-0005-0000-0000-0000D5C80000}"/>
    <cellStyle name="Процентный 6 136 3" xfId="14450" xr:uid="{00000000-0005-0000-0000-0000D6C80000}"/>
    <cellStyle name="Процентный 6 136 4" xfId="19790" xr:uid="{00000000-0005-0000-0000-0000D7C80000}"/>
    <cellStyle name="Процентный 6 136 5" xfId="25130" xr:uid="{00000000-0005-0000-0000-0000D8C80000}"/>
    <cellStyle name="Процентный 6 136 6" xfId="30470" xr:uid="{00000000-0005-0000-0000-0000D9C80000}"/>
    <cellStyle name="Процентный 6 136 7" xfId="35810" xr:uid="{00000000-0005-0000-0000-0000DAC80000}"/>
    <cellStyle name="Процентный 6 136 8" xfId="41150" xr:uid="{00000000-0005-0000-0000-0000DBC80000}"/>
    <cellStyle name="Процентный 6 136 9" xfId="46490" xr:uid="{00000000-0005-0000-0000-0000DCC80000}"/>
    <cellStyle name="Процентный 6 137" xfId="3799" xr:uid="{00000000-0005-0000-0000-0000DDC80000}"/>
    <cellStyle name="Процентный 6 137 10" xfId="51862" xr:uid="{00000000-0005-0000-0000-0000DEC80000}"/>
    <cellStyle name="Процентный 6 137 2" xfId="9142" xr:uid="{00000000-0005-0000-0000-0000DFC80000}"/>
    <cellStyle name="Процентный 6 137 2 2" xfId="57203" xr:uid="{00000000-0005-0000-0000-0000E0C80000}"/>
    <cellStyle name="Процентный 6 137 3" xfId="14482" xr:uid="{00000000-0005-0000-0000-0000E1C80000}"/>
    <cellStyle name="Процентный 6 137 4" xfId="19822" xr:uid="{00000000-0005-0000-0000-0000E2C80000}"/>
    <cellStyle name="Процентный 6 137 5" xfId="25162" xr:uid="{00000000-0005-0000-0000-0000E3C80000}"/>
    <cellStyle name="Процентный 6 137 6" xfId="30502" xr:uid="{00000000-0005-0000-0000-0000E4C80000}"/>
    <cellStyle name="Процентный 6 137 7" xfId="35842" xr:uid="{00000000-0005-0000-0000-0000E5C80000}"/>
    <cellStyle name="Процентный 6 137 8" xfId="41182" xr:uid="{00000000-0005-0000-0000-0000E6C80000}"/>
    <cellStyle name="Процентный 6 137 9" xfId="46522" xr:uid="{00000000-0005-0000-0000-0000E7C80000}"/>
    <cellStyle name="Процентный 6 138" xfId="3831" xr:uid="{00000000-0005-0000-0000-0000E8C80000}"/>
    <cellStyle name="Процентный 6 138 10" xfId="51894" xr:uid="{00000000-0005-0000-0000-0000E9C80000}"/>
    <cellStyle name="Процентный 6 138 2" xfId="9174" xr:uid="{00000000-0005-0000-0000-0000EAC80000}"/>
    <cellStyle name="Процентный 6 138 2 2" xfId="57235" xr:uid="{00000000-0005-0000-0000-0000EBC80000}"/>
    <cellStyle name="Процентный 6 138 3" xfId="14514" xr:uid="{00000000-0005-0000-0000-0000ECC80000}"/>
    <cellStyle name="Процентный 6 138 4" xfId="19854" xr:uid="{00000000-0005-0000-0000-0000EDC80000}"/>
    <cellStyle name="Процентный 6 138 5" xfId="25194" xr:uid="{00000000-0005-0000-0000-0000EEC80000}"/>
    <cellStyle name="Процентный 6 138 6" xfId="30534" xr:uid="{00000000-0005-0000-0000-0000EFC80000}"/>
    <cellStyle name="Процентный 6 138 7" xfId="35874" xr:uid="{00000000-0005-0000-0000-0000F0C80000}"/>
    <cellStyle name="Процентный 6 138 8" xfId="41214" xr:uid="{00000000-0005-0000-0000-0000F1C80000}"/>
    <cellStyle name="Процентный 6 138 9" xfId="46554" xr:uid="{00000000-0005-0000-0000-0000F2C80000}"/>
    <cellStyle name="Процентный 6 139" xfId="3863" xr:uid="{00000000-0005-0000-0000-0000F3C80000}"/>
    <cellStyle name="Процентный 6 139 10" xfId="51926" xr:uid="{00000000-0005-0000-0000-0000F4C80000}"/>
    <cellStyle name="Процентный 6 139 2" xfId="9206" xr:uid="{00000000-0005-0000-0000-0000F5C80000}"/>
    <cellStyle name="Процентный 6 139 2 2" xfId="57267" xr:uid="{00000000-0005-0000-0000-0000F6C80000}"/>
    <cellStyle name="Процентный 6 139 3" xfId="14546" xr:uid="{00000000-0005-0000-0000-0000F7C80000}"/>
    <cellStyle name="Процентный 6 139 4" xfId="19886" xr:uid="{00000000-0005-0000-0000-0000F8C80000}"/>
    <cellStyle name="Процентный 6 139 5" xfId="25226" xr:uid="{00000000-0005-0000-0000-0000F9C80000}"/>
    <cellStyle name="Процентный 6 139 6" xfId="30566" xr:uid="{00000000-0005-0000-0000-0000FAC80000}"/>
    <cellStyle name="Процентный 6 139 7" xfId="35906" xr:uid="{00000000-0005-0000-0000-0000FBC80000}"/>
    <cellStyle name="Процентный 6 139 8" xfId="41246" xr:uid="{00000000-0005-0000-0000-0000FCC80000}"/>
    <cellStyle name="Процентный 6 139 9" xfId="46586" xr:uid="{00000000-0005-0000-0000-0000FDC80000}"/>
    <cellStyle name="Процентный 6 14" xfId="251" xr:uid="{00000000-0005-0000-0000-0000FEC80000}"/>
    <cellStyle name="Процентный 6 14 10" xfId="42973" xr:uid="{00000000-0005-0000-0000-0000FFC80000}"/>
    <cellStyle name="Процентный 6 14 11" xfId="48313" xr:uid="{00000000-0005-0000-0000-000000C90000}"/>
    <cellStyle name="Процентный 6 14 2" xfId="718" xr:uid="{00000000-0005-0000-0000-000001C90000}"/>
    <cellStyle name="Процентный 6 14 2 10" xfId="48780" xr:uid="{00000000-0005-0000-0000-000002C90000}"/>
    <cellStyle name="Процентный 6 14 2 2" xfId="6059" xr:uid="{00000000-0005-0000-0000-000003C90000}"/>
    <cellStyle name="Процентный 6 14 2 2 2" xfId="54121" xr:uid="{00000000-0005-0000-0000-000004C90000}"/>
    <cellStyle name="Процентный 6 14 2 3" xfId="11400" xr:uid="{00000000-0005-0000-0000-000005C90000}"/>
    <cellStyle name="Процентный 6 14 2 4" xfId="16740" xr:uid="{00000000-0005-0000-0000-000006C90000}"/>
    <cellStyle name="Процентный 6 14 2 5" xfId="22080" xr:uid="{00000000-0005-0000-0000-000007C90000}"/>
    <cellStyle name="Процентный 6 14 2 6" xfId="27420" xr:uid="{00000000-0005-0000-0000-000008C90000}"/>
    <cellStyle name="Процентный 6 14 2 7" xfId="32760" xr:uid="{00000000-0005-0000-0000-000009C90000}"/>
    <cellStyle name="Процентный 6 14 2 8" xfId="38100" xr:uid="{00000000-0005-0000-0000-00000AC90000}"/>
    <cellStyle name="Процентный 6 14 2 9" xfId="43440" xr:uid="{00000000-0005-0000-0000-00000BC90000}"/>
    <cellStyle name="Процентный 6 14 3" xfId="5592" xr:uid="{00000000-0005-0000-0000-00000CC90000}"/>
    <cellStyle name="Процентный 6 14 3 2" xfId="53654" xr:uid="{00000000-0005-0000-0000-00000DC90000}"/>
    <cellStyle name="Процентный 6 14 4" xfId="10933" xr:uid="{00000000-0005-0000-0000-00000EC90000}"/>
    <cellStyle name="Процентный 6 14 5" xfId="16273" xr:uid="{00000000-0005-0000-0000-00000FC90000}"/>
    <cellStyle name="Процентный 6 14 6" xfId="21613" xr:uid="{00000000-0005-0000-0000-000010C90000}"/>
    <cellStyle name="Процентный 6 14 7" xfId="26953" xr:uid="{00000000-0005-0000-0000-000011C90000}"/>
    <cellStyle name="Процентный 6 14 8" xfId="32293" xr:uid="{00000000-0005-0000-0000-000012C90000}"/>
    <cellStyle name="Процентный 6 14 9" xfId="37633" xr:uid="{00000000-0005-0000-0000-000013C90000}"/>
    <cellStyle name="Процентный 6 140" xfId="3895" xr:uid="{00000000-0005-0000-0000-000014C90000}"/>
    <cellStyle name="Процентный 6 140 10" xfId="51958" xr:uid="{00000000-0005-0000-0000-000015C90000}"/>
    <cellStyle name="Процентный 6 140 2" xfId="9238" xr:uid="{00000000-0005-0000-0000-000016C90000}"/>
    <cellStyle name="Процентный 6 140 2 2" xfId="57299" xr:uid="{00000000-0005-0000-0000-000017C90000}"/>
    <cellStyle name="Процентный 6 140 3" xfId="14578" xr:uid="{00000000-0005-0000-0000-000018C90000}"/>
    <cellStyle name="Процентный 6 140 4" xfId="19918" xr:uid="{00000000-0005-0000-0000-000019C90000}"/>
    <cellStyle name="Процентный 6 140 5" xfId="25258" xr:uid="{00000000-0005-0000-0000-00001AC90000}"/>
    <cellStyle name="Процентный 6 140 6" xfId="30598" xr:uid="{00000000-0005-0000-0000-00001BC90000}"/>
    <cellStyle name="Процентный 6 140 7" xfId="35938" xr:uid="{00000000-0005-0000-0000-00001CC90000}"/>
    <cellStyle name="Процентный 6 140 8" xfId="41278" xr:uid="{00000000-0005-0000-0000-00001DC90000}"/>
    <cellStyle name="Процентный 6 140 9" xfId="46618" xr:uid="{00000000-0005-0000-0000-00001EC90000}"/>
    <cellStyle name="Процентный 6 141" xfId="3927" xr:uid="{00000000-0005-0000-0000-00001FC90000}"/>
    <cellStyle name="Процентный 6 141 10" xfId="51990" xr:uid="{00000000-0005-0000-0000-000020C90000}"/>
    <cellStyle name="Процентный 6 141 2" xfId="9270" xr:uid="{00000000-0005-0000-0000-000021C90000}"/>
    <cellStyle name="Процентный 6 141 2 2" xfId="57331" xr:uid="{00000000-0005-0000-0000-000022C90000}"/>
    <cellStyle name="Процентный 6 141 3" xfId="14610" xr:uid="{00000000-0005-0000-0000-000023C90000}"/>
    <cellStyle name="Процентный 6 141 4" xfId="19950" xr:uid="{00000000-0005-0000-0000-000024C90000}"/>
    <cellStyle name="Процентный 6 141 5" xfId="25290" xr:uid="{00000000-0005-0000-0000-000025C90000}"/>
    <cellStyle name="Процентный 6 141 6" xfId="30630" xr:uid="{00000000-0005-0000-0000-000026C90000}"/>
    <cellStyle name="Процентный 6 141 7" xfId="35970" xr:uid="{00000000-0005-0000-0000-000027C90000}"/>
    <cellStyle name="Процентный 6 141 8" xfId="41310" xr:uid="{00000000-0005-0000-0000-000028C90000}"/>
    <cellStyle name="Процентный 6 141 9" xfId="46650" xr:uid="{00000000-0005-0000-0000-000029C90000}"/>
    <cellStyle name="Процентный 6 142" xfId="3959" xr:uid="{00000000-0005-0000-0000-00002AC90000}"/>
    <cellStyle name="Процентный 6 142 10" xfId="52022" xr:uid="{00000000-0005-0000-0000-00002BC90000}"/>
    <cellStyle name="Процентный 6 142 2" xfId="9302" xr:uid="{00000000-0005-0000-0000-00002CC90000}"/>
    <cellStyle name="Процентный 6 142 2 2" xfId="57363" xr:uid="{00000000-0005-0000-0000-00002DC90000}"/>
    <cellStyle name="Процентный 6 142 3" xfId="14642" xr:uid="{00000000-0005-0000-0000-00002EC90000}"/>
    <cellStyle name="Процентный 6 142 4" xfId="19982" xr:uid="{00000000-0005-0000-0000-00002FC90000}"/>
    <cellStyle name="Процентный 6 142 5" xfId="25322" xr:uid="{00000000-0005-0000-0000-000030C90000}"/>
    <cellStyle name="Процентный 6 142 6" xfId="30662" xr:uid="{00000000-0005-0000-0000-000031C90000}"/>
    <cellStyle name="Процентный 6 142 7" xfId="36002" xr:uid="{00000000-0005-0000-0000-000032C90000}"/>
    <cellStyle name="Процентный 6 142 8" xfId="41342" xr:uid="{00000000-0005-0000-0000-000033C90000}"/>
    <cellStyle name="Процентный 6 142 9" xfId="46682" xr:uid="{00000000-0005-0000-0000-000034C90000}"/>
    <cellStyle name="Процентный 6 143" xfId="3991" xr:uid="{00000000-0005-0000-0000-000035C90000}"/>
    <cellStyle name="Процентный 6 143 10" xfId="52054" xr:uid="{00000000-0005-0000-0000-000036C90000}"/>
    <cellStyle name="Процентный 6 143 2" xfId="9334" xr:uid="{00000000-0005-0000-0000-000037C90000}"/>
    <cellStyle name="Процентный 6 143 2 2" xfId="57395" xr:uid="{00000000-0005-0000-0000-000038C90000}"/>
    <cellStyle name="Процентный 6 143 3" xfId="14674" xr:uid="{00000000-0005-0000-0000-000039C90000}"/>
    <cellStyle name="Процентный 6 143 4" xfId="20014" xr:uid="{00000000-0005-0000-0000-00003AC90000}"/>
    <cellStyle name="Процентный 6 143 5" xfId="25354" xr:uid="{00000000-0005-0000-0000-00003BC90000}"/>
    <cellStyle name="Процентный 6 143 6" xfId="30694" xr:uid="{00000000-0005-0000-0000-00003CC90000}"/>
    <cellStyle name="Процентный 6 143 7" xfId="36034" xr:uid="{00000000-0005-0000-0000-00003DC90000}"/>
    <cellStyle name="Процентный 6 143 8" xfId="41374" xr:uid="{00000000-0005-0000-0000-00003EC90000}"/>
    <cellStyle name="Процентный 6 143 9" xfId="46714" xr:uid="{00000000-0005-0000-0000-00003FC90000}"/>
    <cellStyle name="Процентный 6 144" xfId="4023" xr:uid="{00000000-0005-0000-0000-000040C90000}"/>
    <cellStyle name="Процентный 6 144 10" xfId="52086" xr:uid="{00000000-0005-0000-0000-000041C90000}"/>
    <cellStyle name="Процентный 6 144 2" xfId="9366" xr:uid="{00000000-0005-0000-0000-000042C90000}"/>
    <cellStyle name="Процентный 6 144 2 2" xfId="57427" xr:uid="{00000000-0005-0000-0000-000043C90000}"/>
    <cellStyle name="Процентный 6 144 3" xfId="14706" xr:uid="{00000000-0005-0000-0000-000044C90000}"/>
    <cellStyle name="Процентный 6 144 4" xfId="20046" xr:uid="{00000000-0005-0000-0000-000045C90000}"/>
    <cellStyle name="Процентный 6 144 5" xfId="25386" xr:uid="{00000000-0005-0000-0000-000046C90000}"/>
    <cellStyle name="Процентный 6 144 6" xfId="30726" xr:uid="{00000000-0005-0000-0000-000047C90000}"/>
    <cellStyle name="Процентный 6 144 7" xfId="36066" xr:uid="{00000000-0005-0000-0000-000048C90000}"/>
    <cellStyle name="Процентный 6 144 8" xfId="41406" xr:uid="{00000000-0005-0000-0000-000049C90000}"/>
    <cellStyle name="Процентный 6 144 9" xfId="46746" xr:uid="{00000000-0005-0000-0000-00004AC90000}"/>
    <cellStyle name="Процентный 6 145" xfId="4055" xr:uid="{00000000-0005-0000-0000-00004BC90000}"/>
    <cellStyle name="Процентный 6 145 10" xfId="52118" xr:uid="{00000000-0005-0000-0000-00004CC90000}"/>
    <cellStyle name="Процентный 6 145 2" xfId="9398" xr:uid="{00000000-0005-0000-0000-00004DC90000}"/>
    <cellStyle name="Процентный 6 145 2 2" xfId="57459" xr:uid="{00000000-0005-0000-0000-00004EC90000}"/>
    <cellStyle name="Процентный 6 145 3" xfId="14738" xr:uid="{00000000-0005-0000-0000-00004FC90000}"/>
    <cellStyle name="Процентный 6 145 4" xfId="20078" xr:uid="{00000000-0005-0000-0000-000050C90000}"/>
    <cellStyle name="Процентный 6 145 5" xfId="25418" xr:uid="{00000000-0005-0000-0000-000051C90000}"/>
    <cellStyle name="Процентный 6 145 6" xfId="30758" xr:uid="{00000000-0005-0000-0000-000052C90000}"/>
    <cellStyle name="Процентный 6 145 7" xfId="36098" xr:uid="{00000000-0005-0000-0000-000053C90000}"/>
    <cellStyle name="Процентный 6 145 8" xfId="41438" xr:uid="{00000000-0005-0000-0000-000054C90000}"/>
    <cellStyle name="Процентный 6 145 9" xfId="46778" xr:uid="{00000000-0005-0000-0000-000055C90000}"/>
    <cellStyle name="Процентный 6 146" xfId="4087" xr:uid="{00000000-0005-0000-0000-000056C90000}"/>
    <cellStyle name="Процентный 6 146 10" xfId="52150" xr:uid="{00000000-0005-0000-0000-000057C90000}"/>
    <cellStyle name="Процентный 6 146 2" xfId="9430" xr:uid="{00000000-0005-0000-0000-000058C90000}"/>
    <cellStyle name="Процентный 6 146 2 2" xfId="57491" xr:uid="{00000000-0005-0000-0000-000059C90000}"/>
    <cellStyle name="Процентный 6 146 3" xfId="14770" xr:uid="{00000000-0005-0000-0000-00005AC90000}"/>
    <cellStyle name="Процентный 6 146 4" xfId="20110" xr:uid="{00000000-0005-0000-0000-00005BC90000}"/>
    <cellStyle name="Процентный 6 146 5" xfId="25450" xr:uid="{00000000-0005-0000-0000-00005CC90000}"/>
    <cellStyle name="Процентный 6 146 6" xfId="30790" xr:uid="{00000000-0005-0000-0000-00005DC90000}"/>
    <cellStyle name="Процентный 6 146 7" xfId="36130" xr:uid="{00000000-0005-0000-0000-00005EC90000}"/>
    <cellStyle name="Процентный 6 146 8" xfId="41470" xr:uid="{00000000-0005-0000-0000-00005FC90000}"/>
    <cellStyle name="Процентный 6 146 9" xfId="46810" xr:uid="{00000000-0005-0000-0000-000060C90000}"/>
    <cellStyle name="Процентный 6 147" xfId="4119" xr:uid="{00000000-0005-0000-0000-000061C90000}"/>
    <cellStyle name="Процентный 6 147 10" xfId="52182" xr:uid="{00000000-0005-0000-0000-000062C90000}"/>
    <cellStyle name="Процентный 6 147 2" xfId="9462" xr:uid="{00000000-0005-0000-0000-000063C90000}"/>
    <cellStyle name="Процентный 6 147 2 2" xfId="57523" xr:uid="{00000000-0005-0000-0000-000064C90000}"/>
    <cellStyle name="Процентный 6 147 3" xfId="14802" xr:uid="{00000000-0005-0000-0000-000065C90000}"/>
    <cellStyle name="Процентный 6 147 4" xfId="20142" xr:uid="{00000000-0005-0000-0000-000066C90000}"/>
    <cellStyle name="Процентный 6 147 5" xfId="25482" xr:uid="{00000000-0005-0000-0000-000067C90000}"/>
    <cellStyle name="Процентный 6 147 6" xfId="30822" xr:uid="{00000000-0005-0000-0000-000068C90000}"/>
    <cellStyle name="Процентный 6 147 7" xfId="36162" xr:uid="{00000000-0005-0000-0000-000069C90000}"/>
    <cellStyle name="Процентный 6 147 8" xfId="41502" xr:uid="{00000000-0005-0000-0000-00006AC90000}"/>
    <cellStyle name="Процентный 6 147 9" xfId="46842" xr:uid="{00000000-0005-0000-0000-00006BC90000}"/>
    <cellStyle name="Процентный 6 148" xfId="4151" xr:uid="{00000000-0005-0000-0000-00006CC90000}"/>
    <cellStyle name="Процентный 6 148 10" xfId="52214" xr:uid="{00000000-0005-0000-0000-00006DC90000}"/>
    <cellStyle name="Процентный 6 148 2" xfId="9494" xr:uid="{00000000-0005-0000-0000-00006EC90000}"/>
    <cellStyle name="Процентный 6 148 2 2" xfId="57555" xr:uid="{00000000-0005-0000-0000-00006FC90000}"/>
    <cellStyle name="Процентный 6 148 3" xfId="14834" xr:uid="{00000000-0005-0000-0000-000070C90000}"/>
    <cellStyle name="Процентный 6 148 4" xfId="20174" xr:uid="{00000000-0005-0000-0000-000071C90000}"/>
    <cellStyle name="Процентный 6 148 5" xfId="25514" xr:uid="{00000000-0005-0000-0000-000072C90000}"/>
    <cellStyle name="Процентный 6 148 6" xfId="30854" xr:uid="{00000000-0005-0000-0000-000073C90000}"/>
    <cellStyle name="Процентный 6 148 7" xfId="36194" xr:uid="{00000000-0005-0000-0000-000074C90000}"/>
    <cellStyle name="Процентный 6 148 8" xfId="41534" xr:uid="{00000000-0005-0000-0000-000075C90000}"/>
    <cellStyle name="Процентный 6 148 9" xfId="46874" xr:uid="{00000000-0005-0000-0000-000076C90000}"/>
    <cellStyle name="Процентный 6 149" xfId="4183" xr:uid="{00000000-0005-0000-0000-000077C90000}"/>
    <cellStyle name="Процентный 6 149 10" xfId="52246" xr:uid="{00000000-0005-0000-0000-000078C90000}"/>
    <cellStyle name="Процентный 6 149 2" xfId="9526" xr:uid="{00000000-0005-0000-0000-000079C90000}"/>
    <cellStyle name="Процентный 6 149 2 2" xfId="57587" xr:uid="{00000000-0005-0000-0000-00007AC90000}"/>
    <cellStyle name="Процентный 6 149 3" xfId="14866" xr:uid="{00000000-0005-0000-0000-00007BC90000}"/>
    <cellStyle name="Процентный 6 149 4" xfId="20206" xr:uid="{00000000-0005-0000-0000-00007CC90000}"/>
    <cellStyle name="Процентный 6 149 5" xfId="25546" xr:uid="{00000000-0005-0000-0000-00007DC90000}"/>
    <cellStyle name="Процентный 6 149 6" xfId="30886" xr:uid="{00000000-0005-0000-0000-00007EC90000}"/>
    <cellStyle name="Процентный 6 149 7" xfId="36226" xr:uid="{00000000-0005-0000-0000-00007FC90000}"/>
    <cellStyle name="Процентный 6 149 8" xfId="41566" xr:uid="{00000000-0005-0000-0000-000080C90000}"/>
    <cellStyle name="Процентный 6 149 9" xfId="46906" xr:uid="{00000000-0005-0000-0000-000081C90000}"/>
    <cellStyle name="Процентный 6 15" xfId="261" xr:uid="{00000000-0005-0000-0000-000082C90000}"/>
    <cellStyle name="Процентный 6 15 10" xfId="42983" xr:uid="{00000000-0005-0000-0000-000083C90000}"/>
    <cellStyle name="Процентный 6 15 11" xfId="48323" xr:uid="{00000000-0005-0000-0000-000084C90000}"/>
    <cellStyle name="Процентный 6 15 2" xfId="728" xr:uid="{00000000-0005-0000-0000-000085C90000}"/>
    <cellStyle name="Процентный 6 15 2 10" xfId="48790" xr:uid="{00000000-0005-0000-0000-000086C90000}"/>
    <cellStyle name="Процентный 6 15 2 2" xfId="6069" xr:uid="{00000000-0005-0000-0000-000087C90000}"/>
    <cellStyle name="Процентный 6 15 2 2 2" xfId="54131" xr:uid="{00000000-0005-0000-0000-000088C90000}"/>
    <cellStyle name="Процентный 6 15 2 3" xfId="11410" xr:uid="{00000000-0005-0000-0000-000089C90000}"/>
    <cellStyle name="Процентный 6 15 2 4" xfId="16750" xr:uid="{00000000-0005-0000-0000-00008AC90000}"/>
    <cellStyle name="Процентный 6 15 2 5" xfId="22090" xr:uid="{00000000-0005-0000-0000-00008BC90000}"/>
    <cellStyle name="Процентный 6 15 2 6" xfId="27430" xr:uid="{00000000-0005-0000-0000-00008CC90000}"/>
    <cellStyle name="Процентный 6 15 2 7" xfId="32770" xr:uid="{00000000-0005-0000-0000-00008DC90000}"/>
    <cellStyle name="Процентный 6 15 2 8" xfId="38110" xr:uid="{00000000-0005-0000-0000-00008EC90000}"/>
    <cellStyle name="Процентный 6 15 2 9" xfId="43450" xr:uid="{00000000-0005-0000-0000-00008FC90000}"/>
    <cellStyle name="Процентный 6 15 3" xfId="5602" xr:uid="{00000000-0005-0000-0000-000090C90000}"/>
    <cellStyle name="Процентный 6 15 3 2" xfId="53664" xr:uid="{00000000-0005-0000-0000-000091C90000}"/>
    <cellStyle name="Процентный 6 15 4" xfId="10943" xr:uid="{00000000-0005-0000-0000-000092C90000}"/>
    <cellStyle name="Процентный 6 15 5" xfId="16283" xr:uid="{00000000-0005-0000-0000-000093C90000}"/>
    <cellStyle name="Процентный 6 15 6" xfId="21623" xr:uid="{00000000-0005-0000-0000-000094C90000}"/>
    <cellStyle name="Процентный 6 15 7" xfId="26963" xr:uid="{00000000-0005-0000-0000-000095C90000}"/>
    <cellStyle name="Процентный 6 15 8" xfId="32303" xr:uid="{00000000-0005-0000-0000-000096C90000}"/>
    <cellStyle name="Процентный 6 15 9" xfId="37643" xr:uid="{00000000-0005-0000-0000-000097C90000}"/>
    <cellStyle name="Процентный 6 150" xfId="4215" xr:uid="{00000000-0005-0000-0000-000098C90000}"/>
    <cellStyle name="Процентный 6 150 10" xfId="52278" xr:uid="{00000000-0005-0000-0000-000099C90000}"/>
    <cellStyle name="Процентный 6 150 2" xfId="9558" xr:uid="{00000000-0005-0000-0000-00009AC90000}"/>
    <cellStyle name="Процентный 6 150 2 2" xfId="57619" xr:uid="{00000000-0005-0000-0000-00009BC90000}"/>
    <cellStyle name="Процентный 6 150 3" xfId="14898" xr:uid="{00000000-0005-0000-0000-00009CC90000}"/>
    <cellStyle name="Процентный 6 150 4" xfId="20238" xr:uid="{00000000-0005-0000-0000-00009DC90000}"/>
    <cellStyle name="Процентный 6 150 5" xfId="25578" xr:uid="{00000000-0005-0000-0000-00009EC90000}"/>
    <cellStyle name="Процентный 6 150 6" xfId="30918" xr:uid="{00000000-0005-0000-0000-00009FC90000}"/>
    <cellStyle name="Процентный 6 150 7" xfId="36258" xr:uid="{00000000-0005-0000-0000-0000A0C90000}"/>
    <cellStyle name="Процентный 6 150 8" xfId="41598" xr:uid="{00000000-0005-0000-0000-0000A1C90000}"/>
    <cellStyle name="Процентный 6 150 9" xfId="46938" xr:uid="{00000000-0005-0000-0000-0000A2C90000}"/>
    <cellStyle name="Процентный 6 151" xfId="4247" xr:uid="{00000000-0005-0000-0000-0000A3C90000}"/>
    <cellStyle name="Процентный 6 151 10" xfId="52310" xr:uid="{00000000-0005-0000-0000-0000A4C90000}"/>
    <cellStyle name="Процентный 6 151 2" xfId="9590" xr:uid="{00000000-0005-0000-0000-0000A5C90000}"/>
    <cellStyle name="Процентный 6 151 2 2" xfId="57651" xr:uid="{00000000-0005-0000-0000-0000A6C90000}"/>
    <cellStyle name="Процентный 6 151 3" xfId="14930" xr:uid="{00000000-0005-0000-0000-0000A7C90000}"/>
    <cellStyle name="Процентный 6 151 4" xfId="20270" xr:uid="{00000000-0005-0000-0000-0000A8C90000}"/>
    <cellStyle name="Процентный 6 151 5" xfId="25610" xr:uid="{00000000-0005-0000-0000-0000A9C90000}"/>
    <cellStyle name="Процентный 6 151 6" xfId="30950" xr:uid="{00000000-0005-0000-0000-0000AAC90000}"/>
    <cellStyle name="Процентный 6 151 7" xfId="36290" xr:uid="{00000000-0005-0000-0000-0000ABC90000}"/>
    <cellStyle name="Процентный 6 151 8" xfId="41630" xr:uid="{00000000-0005-0000-0000-0000ACC90000}"/>
    <cellStyle name="Процентный 6 151 9" xfId="46970" xr:uid="{00000000-0005-0000-0000-0000ADC90000}"/>
    <cellStyle name="Процентный 6 152" xfId="4279" xr:uid="{00000000-0005-0000-0000-0000AEC90000}"/>
    <cellStyle name="Процентный 6 152 10" xfId="52342" xr:uid="{00000000-0005-0000-0000-0000AFC90000}"/>
    <cellStyle name="Процентный 6 152 2" xfId="9622" xr:uid="{00000000-0005-0000-0000-0000B0C90000}"/>
    <cellStyle name="Процентный 6 152 2 2" xfId="57683" xr:uid="{00000000-0005-0000-0000-0000B1C90000}"/>
    <cellStyle name="Процентный 6 152 3" xfId="14962" xr:uid="{00000000-0005-0000-0000-0000B2C90000}"/>
    <cellStyle name="Процентный 6 152 4" xfId="20302" xr:uid="{00000000-0005-0000-0000-0000B3C90000}"/>
    <cellStyle name="Процентный 6 152 5" xfId="25642" xr:uid="{00000000-0005-0000-0000-0000B4C90000}"/>
    <cellStyle name="Процентный 6 152 6" xfId="30982" xr:uid="{00000000-0005-0000-0000-0000B5C90000}"/>
    <cellStyle name="Процентный 6 152 7" xfId="36322" xr:uid="{00000000-0005-0000-0000-0000B6C90000}"/>
    <cellStyle name="Процентный 6 152 8" xfId="41662" xr:uid="{00000000-0005-0000-0000-0000B7C90000}"/>
    <cellStyle name="Процентный 6 152 9" xfId="47002" xr:uid="{00000000-0005-0000-0000-0000B8C90000}"/>
    <cellStyle name="Процентный 6 153" xfId="4311" xr:uid="{00000000-0005-0000-0000-0000B9C90000}"/>
    <cellStyle name="Процентный 6 153 10" xfId="52374" xr:uid="{00000000-0005-0000-0000-0000BAC90000}"/>
    <cellStyle name="Процентный 6 153 2" xfId="9654" xr:uid="{00000000-0005-0000-0000-0000BBC90000}"/>
    <cellStyle name="Процентный 6 153 2 2" xfId="57715" xr:uid="{00000000-0005-0000-0000-0000BCC90000}"/>
    <cellStyle name="Процентный 6 153 3" xfId="14994" xr:uid="{00000000-0005-0000-0000-0000BDC90000}"/>
    <cellStyle name="Процентный 6 153 4" xfId="20334" xr:uid="{00000000-0005-0000-0000-0000BEC90000}"/>
    <cellStyle name="Процентный 6 153 5" xfId="25674" xr:uid="{00000000-0005-0000-0000-0000BFC90000}"/>
    <cellStyle name="Процентный 6 153 6" xfId="31014" xr:uid="{00000000-0005-0000-0000-0000C0C90000}"/>
    <cellStyle name="Процентный 6 153 7" xfId="36354" xr:uid="{00000000-0005-0000-0000-0000C1C90000}"/>
    <cellStyle name="Процентный 6 153 8" xfId="41694" xr:uid="{00000000-0005-0000-0000-0000C2C90000}"/>
    <cellStyle name="Процентный 6 153 9" xfId="47034" xr:uid="{00000000-0005-0000-0000-0000C3C90000}"/>
    <cellStyle name="Процентный 6 154" xfId="4343" xr:uid="{00000000-0005-0000-0000-0000C4C90000}"/>
    <cellStyle name="Процентный 6 154 10" xfId="52406" xr:uid="{00000000-0005-0000-0000-0000C5C90000}"/>
    <cellStyle name="Процентный 6 154 2" xfId="9686" xr:uid="{00000000-0005-0000-0000-0000C6C90000}"/>
    <cellStyle name="Процентный 6 154 2 2" xfId="57747" xr:uid="{00000000-0005-0000-0000-0000C7C90000}"/>
    <cellStyle name="Процентный 6 154 3" xfId="15026" xr:uid="{00000000-0005-0000-0000-0000C8C90000}"/>
    <cellStyle name="Процентный 6 154 4" xfId="20366" xr:uid="{00000000-0005-0000-0000-0000C9C90000}"/>
    <cellStyle name="Процентный 6 154 5" xfId="25706" xr:uid="{00000000-0005-0000-0000-0000CAC90000}"/>
    <cellStyle name="Процентный 6 154 6" xfId="31046" xr:uid="{00000000-0005-0000-0000-0000CBC90000}"/>
    <cellStyle name="Процентный 6 154 7" xfId="36386" xr:uid="{00000000-0005-0000-0000-0000CCC90000}"/>
    <cellStyle name="Процентный 6 154 8" xfId="41726" xr:uid="{00000000-0005-0000-0000-0000CDC90000}"/>
    <cellStyle name="Процентный 6 154 9" xfId="47066" xr:uid="{00000000-0005-0000-0000-0000CEC90000}"/>
    <cellStyle name="Процентный 6 155" xfId="4375" xr:uid="{00000000-0005-0000-0000-0000CFC90000}"/>
    <cellStyle name="Процентный 6 155 10" xfId="52438" xr:uid="{00000000-0005-0000-0000-0000D0C90000}"/>
    <cellStyle name="Процентный 6 155 2" xfId="9718" xr:uid="{00000000-0005-0000-0000-0000D1C90000}"/>
    <cellStyle name="Процентный 6 155 2 2" xfId="57779" xr:uid="{00000000-0005-0000-0000-0000D2C90000}"/>
    <cellStyle name="Процентный 6 155 3" xfId="15058" xr:uid="{00000000-0005-0000-0000-0000D3C90000}"/>
    <cellStyle name="Процентный 6 155 4" xfId="20398" xr:uid="{00000000-0005-0000-0000-0000D4C90000}"/>
    <cellStyle name="Процентный 6 155 5" xfId="25738" xr:uid="{00000000-0005-0000-0000-0000D5C90000}"/>
    <cellStyle name="Процентный 6 155 6" xfId="31078" xr:uid="{00000000-0005-0000-0000-0000D6C90000}"/>
    <cellStyle name="Процентный 6 155 7" xfId="36418" xr:uid="{00000000-0005-0000-0000-0000D7C90000}"/>
    <cellStyle name="Процентный 6 155 8" xfId="41758" xr:uid="{00000000-0005-0000-0000-0000D8C90000}"/>
    <cellStyle name="Процентный 6 155 9" xfId="47098" xr:uid="{00000000-0005-0000-0000-0000D9C90000}"/>
    <cellStyle name="Процентный 6 156" xfId="4407" xr:uid="{00000000-0005-0000-0000-0000DAC90000}"/>
    <cellStyle name="Процентный 6 156 10" xfId="52470" xr:uid="{00000000-0005-0000-0000-0000DBC90000}"/>
    <cellStyle name="Процентный 6 156 2" xfId="9750" xr:uid="{00000000-0005-0000-0000-0000DCC90000}"/>
    <cellStyle name="Процентный 6 156 2 2" xfId="57811" xr:uid="{00000000-0005-0000-0000-0000DDC90000}"/>
    <cellStyle name="Процентный 6 156 3" xfId="15090" xr:uid="{00000000-0005-0000-0000-0000DEC90000}"/>
    <cellStyle name="Процентный 6 156 4" xfId="20430" xr:uid="{00000000-0005-0000-0000-0000DFC90000}"/>
    <cellStyle name="Процентный 6 156 5" xfId="25770" xr:uid="{00000000-0005-0000-0000-0000E0C90000}"/>
    <cellStyle name="Процентный 6 156 6" xfId="31110" xr:uid="{00000000-0005-0000-0000-0000E1C90000}"/>
    <cellStyle name="Процентный 6 156 7" xfId="36450" xr:uid="{00000000-0005-0000-0000-0000E2C90000}"/>
    <cellStyle name="Процентный 6 156 8" xfId="41790" xr:uid="{00000000-0005-0000-0000-0000E3C90000}"/>
    <cellStyle name="Процентный 6 156 9" xfId="47130" xr:uid="{00000000-0005-0000-0000-0000E4C90000}"/>
    <cellStyle name="Процентный 6 157" xfId="4439" xr:uid="{00000000-0005-0000-0000-0000E5C90000}"/>
    <cellStyle name="Процентный 6 157 10" xfId="52502" xr:uid="{00000000-0005-0000-0000-0000E6C90000}"/>
    <cellStyle name="Процентный 6 157 2" xfId="9782" xr:uid="{00000000-0005-0000-0000-0000E7C90000}"/>
    <cellStyle name="Процентный 6 157 2 2" xfId="57843" xr:uid="{00000000-0005-0000-0000-0000E8C90000}"/>
    <cellStyle name="Процентный 6 157 3" xfId="15122" xr:uid="{00000000-0005-0000-0000-0000E9C90000}"/>
    <cellStyle name="Процентный 6 157 4" xfId="20462" xr:uid="{00000000-0005-0000-0000-0000EAC90000}"/>
    <cellStyle name="Процентный 6 157 5" xfId="25802" xr:uid="{00000000-0005-0000-0000-0000EBC90000}"/>
    <cellStyle name="Процентный 6 157 6" xfId="31142" xr:uid="{00000000-0005-0000-0000-0000ECC90000}"/>
    <cellStyle name="Процентный 6 157 7" xfId="36482" xr:uid="{00000000-0005-0000-0000-0000EDC90000}"/>
    <cellStyle name="Процентный 6 157 8" xfId="41822" xr:uid="{00000000-0005-0000-0000-0000EEC90000}"/>
    <cellStyle name="Процентный 6 157 9" xfId="47162" xr:uid="{00000000-0005-0000-0000-0000EFC90000}"/>
    <cellStyle name="Процентный 6 158" xfId="4471" xr:uid="{00000000-0005-0000-0000-0000F0C90000}"/>
    <cellStyle name="Процентный 6 158 10" xfId="52534" xr:uid="{00000000-0005-0000-0000-0000F1C90000}"/>
    <cellStyle name="Процентный 6 158 2" xfId="9814" xr:uid="{00000000-0005-0000-0000-0000F2C90000}"/>
    <cellStyle name="Процентный 6 158 2 2" xfId="57875" xr:uid="{00000000-0005-0000-0000-0000F3C90000}"/>
    <cellStyle name="Процентный 6 158 3" xfId="15154" xr:uid="{00000000-0005-0000-0000-0000F4C90000}"/>
    <cellStyle name="Процентный 6 158 4" xfId="20494" xr:uid="{00000000-0005-0000-0000-0000F5C90000}"/>
    <cellStyle name="Процентный 6 158 5" xfId="25834" xr:uid="{00000000-0005-0000-0000-0000F6C90000}"/>
    <cellStyle name="Процентный 6 158 6" xfId="31174" xr:uid="{00000000-0005-0000-0000-0000F7C90000}"/>
    <cellStyle name="Процентный 6 158 7" xfId="36514" xr:uid="{00000000-0005-0000-0000-0000F8C90000}"/>
    <cellStyle name="Процентный 6 158 8" xfId="41854" xr:uid="{00000000-0005-0000-0000-0000F9C90000}"/>
    <cellStyle name="Процентный 6 158 9" xfId="47194" xr:uid="{00000000-0005-0000-0000-0000FAC90000}"/>
    <cellStyle name="Процентный 6 159" xfId="4503" xr:uid="{00000000-0005-0000-0000-0000FBC90000}"/>
    <cellStyle name="Процентный 6 159 10" xfId="52566" xr:uid="{00000000-0005-0000-0000-0000FCC90000}"/>
    <cellStyle name="Процентный 6 159 2" xfId="9846" xr:uid="{00000000-0005-0000-0000-0000FDC90000}"/>
    <cellStyle name="Процентный 6 159 2 2" xfId="57907" xr:uid="{00000000-0005-0000-0000-0000FEC90000}"/>
    <cellStyle name="Процентный 6 159 3" xfId="15186" xr:uid="{00000000-0005-0000-0000-0000FFC90000}"/>
    <cellStyle name="Процентный 6 159 4" xfId="20526" xr:uid="{00000000-0005-0000-0000-000000CA0000}"/>
    <cellStyle name="Процентный 6 159 5" xfId="25866" xr:uid="{00000000-0005-0000-0000-000001CA0000}"/>
    <cellStyle name="Процентный 6 159 6" xfId="31206" xr:uid="{00000000-0005-0000-0000-000002CA0000}"/>
    <cellStyle name="Процентный 6 159 7" xfId="36546" xr:uid="{00000000-0005-0000-0000-000003CA0000}"/>
    <cellStyle name="Процентный 6 159 8" xfId="41886" xr:uid="{00000000-0005-0000-0000-000004CA0000}"/>
    <cellStyle name="Процентный 6 159 9" xfId="47226" xr:uid="{00000000-0005-0000-0000-000005CA0000}"/>
    <cellStyle name="Процентный 6 16" xfId="271" xr:uid="{00000000-0005-0000-0000-000006CA0000}"/>
    <cellStyle name="Процентный 6 16 10" xfId="42993" xr:uid="{00000000-0005-0000-0000-000007CA0000}"/>
    <cellStyle name="Процентный 6 16 11" xfId="48333" xr:uid="{00000000-0005-0000-0000-000008CA0000}"/>
    <cellStyle name="Процентный 6 16 2" xfId="738" xr:uid="{00000000-0005-0000-0000-000009CA0000}"/>
    <cellStyle name="Процентный 6 16 2 10" xfId="48800" xr:uid="{00000000-0005-0000-0000-00000ACA0000}"/>
    <cellStyle name="Процентный 6 16 2 2" xfId="6079" xr:uid="{00000000-0005-0000-0000-00000BCA0000}"/>
    <cellStyle name="Процентный 6 16 2 2 2" xfId="54141" xr:uid="{00000000-0005-0000-0000-00000CCA0000}"/>
    <cellStyle name="Процентный 6 16 2 3" xfId="11420" xr:uid="{00000000-0005-0000-0000-00000DCA0000}"/>
    <cellStyle name="Процентный 6 16 2 4" xfId="16760" xr:uid="{00000000-0005-0000-0000-00000ECA0000}"/>
    <cellStyle name="Процентный 6 16 2 5" xfId="22100" xr:uid="{00000000-0005-0000-0000-00000FCA0000}"/>
    <cellStyle name="Процентный 6 16 2 6" xfId="27440" xr:uid="{00000000-0005-0000-0000-000010CA0000}"/>
    <cellStyle name="Процентный 6 16 2 7" xfId="32780" xr:uid="{00000000-0005-0000-0000-000011CA0000}"/>
    <cellStyle name="Процентный 6 16 2 8" xfId="38120" xr:uid="{00000000-0005-0000-0000-000012CA0000}"/>
    <cellStyle name="Процентный 6 16 2 9" xfId="43460" xr:uid="{00000000-0005-0000-0000-000013CA0000}"/>
    <cellStyle name="Процентный 6 16 3" xfId="5612" xr:uid="{00000000-0005-0000-0000-000014CA0000}"/>
    <cellStyle name="Процентный 6 16 3 2" xfId="53674" xr:uid="{00000000-0005-0000-0000-000015CA0000}"/>
    <cellStyle name="Процентный 6 16 4" xfId="10953" xr:uid="{00000000-0005-0000-0000-000016CA0000}"/>
    <cellStyle name="Процентный 6 16 5" xfId="16293" xr:uid="{00000000-0005-0000-0000-000017CA0000}"/>
    <cellStyle name="Процентный 6 16 6" xfId="21633" xr:uid="{00000000-0005-0000-0000-000018CA0000}"/>
    <cellStyle name="Процентный 6 16 7" xfId="26973" xr:uid="{00000000-0005-0000-0000-000019CA0000}"/>
    <cellStyle name="Процентный 6 16 8" xfId="32313" xr:uid="{00000000-0005-0000-0000-00001ACA0000}"/>
    <cellStyle name="Процентный 6 16 9" xfId="37653" xr:uid="{00000000-0005-0000-0000-00001BCA0000}"/>
    <cellStyle name="Процентный 6 160" xfId="4535" xr:uid="{00000000-0005-0000-0000-00001CCA0000}"/>
    <cellStyle name="Процентный 6 160 10" xfId="52598" xr:uid="{00000000-0005-0000-0000-00001DCA0000}"/>
    <cellStyle name="Процентный 6 160 2" xfId="9878" xr:uid="{00000000-0005-0000-0000-00001ECA0000}"/>
    <cellStyle name="Процентный 6 160 2 2" xfId="57939" xr:uid="{00000000-0005-0000-0000-00001FCA0000}"/>
    <cellStyle name="Процентный 6 160 3" xfId="15218" xr:uid="{00000000-0005-0000-0000-000020CA0000}"/>
    <cellStyle name="Процентный 6 160 4" xfId="20558" xr:uid="{00000000-0005-0000-0000-000021CA0000}"/>
    <cellStyle name="Процентный 6 160 5" xfId="25898" xr:uid="{00000000-0005-0000-0000-000022CA0000}"/>
    <cellStyle name="Процентный 6 160 6" xfId="31238" xr:uid="{00000000-0005-0000-0000-000023CA0000}"/>
    <cellStyle name="Процентный 6 160 7" xfId="36578" xr:uid="{00000000-0005-0000-0000-000024CA0000}"/>
    <cellStyle name="Процентный 6 160 8" xfId="41918" xr:uid="{00000000-0005-0000-0000-000025CA0000}"/>
    <cellStyle name="Процентный 6 160 9" xfId="47258" xr:uid="{00000000-0005-0000-0000-000026CA0000}"/>
    <cellStyle name="Процентный 6 161" xfId="4567" xr:uid="{00000000-0005-0000-0000-000027CA0000}"/>
    <cellStyle name="Процентный 6 161 10" xfId="52630" xr:uid="{00000000-0005-0000-0000-000028CA0000}"/>
    <cellStyle name="Процентный 6 161 2" xfId="9910" xr:uid="{00000000-0005-0000-0000-000029CA0000}"/>
    <cellStyle name="Процентный 6 161 2 2" xfId="57971" xr:uid="{00000000-0005-0000-0000-00002ACA0000}"/>
    <cellStyle name="Процентный 6 161 3" xfId="15250" xr:uid="{00000000-0005-0000-0000-00002BCA0000}"/>
    <cellStyle name="Процентный 6 161 4" xfId="20590" xr:uid="{00000000-0005-0000-0000-00002CCA0000}"/>
    <cellStyle name="Процентный 6 161 5" xfId="25930" xr:uid="{00000000-0005-0000-0000-00002DCA0000}"/>
    <cellStyle name="Процентный 6 161 6" xfId="31270" xr:uid="{00000000-0005-0000-0000-00002ECA0000}"/>
    <cellStyle name="Процентный 6 161 7" xfId="36610" xr:uid="{00000000-0005-0000-0000-00002FCA0000}"/>
    <cellStyle name="Процентный 6 161 8" xfId="41950" xr:uid="{00000000-0005-0000-0000-000030CA0000}"/>
    <cellStyle name="Процентный 6 161 9" xfId="47290" xr:uid="{00000000-0005-0000-0000-000031CA0000}"/>
    <cellStyle name="Процентный 6 162" xfId="4599" xr:uid="{00000000-0005-0000-0000-000032CA0000}"/>
    <cellStyle name="Процентный 6 162 10" xfId="52662" xr:uid="{00000000-0005-0000-0000-000033CA0000}"/>
    <cellStyle name="Процентный 6 162 2" xfId="9942" xr:uid="{00000000-0005-0000-0000-000034CA0000}"/>
    <cellStyle name="Процентный 6 162 2 2" xfId="58003" xr:uid="{00000000-0005-0000-0000-000035CA0000}"/>
    <cellStyle name="Процентный 6 162 3" xfId="15282" xr:uid="{00000000-0005-0000-0000-000036CA0000}"/>
    <cellStyle name="Процентный 6 162 4" xfId="20622" xr:uid="{00000000-0005-0000-0000-000037CA0000}"/>
    <cellStyle name="Процентный 6 162 5" xfId="25962" xr:uid="{00000000-0005-0000-0000-000038CA0000}"/>
    <cellStyle name="Процентный 6 162 6" xfId="31302" xr:uid="{00000000-0005-0000-0000-000039CA0000}"/>
    <cellStyle name="Процентный 6 162 7" xfId="36642" xr:uid="{00000000-0005-0000-0000-00003ACA0000}"/>
    <cellStyle name="Процентный 6 162 8" xfId="41982" xr:uid="{00000000-0005-0000-0000-00003BCA0000}"/>
    <cellStyle name="Процентный 6 162 9" xfId="47322" xr:uid="{00000000-0005-0000-0000-00003CCA0000}"/>
    <cellStyle name="Процентный 6 163" xfId="4631" xr:uid="{00000000-0005-0000-0000-00003DCA0000}"/>
    <cellStyle name="Процентный 6 163 10" xfId="52694" xr:uid="{00000000-0005-0000-0000-00003ECA0000}"/>
    <cellStyle name="Процентный 6 163 2" xfId="9974" xr:uid="{00000000-0005-0000-0000-00003FCA0000}"/>
    <cellStyle name="Процентный 6 163 2 2" xfId="58035" xr:uid="{00000000-0005-0000-0000-000040CA0000}"/>
    <cellStyle name="Процентный 6 163 3" xfId="15314" xr:uid="{00000000-0005-0000-0000-000041CA0000}"/>
    <cellStyle name="Процентный 6 163 4" xfId="20654" xr:uid="{00000000-0005-0000-0000-000042CA0000}"/>
    <cellStyle name="Процентный 6 163 5" xfId="25994" xr:uid="{00000000-0005-0000-0000-000043CA0000}"/>
    <cellStyle name="Процентный 6 163 6" xfId="31334" xr:uid="{00000000-0005-0000-0000-000044CA0000}"/>
    <cellStyle name="Процентный 6 163 7" xfId="36674" xr:uid="{00000000-0005-0000-0000-000045CA0000}"/>
    <cellStyle name="Процентный 6 163 8" xfId="42014" xr:uid="{00000000-0005-0000-0000-000046CA0000}"/>
    <cellStyle name="Процентный 6 163 9" xfId="47354" xr:uid="{00000000-0005-0000-0000-000047CA0000}"/>
    <cellStyle name="Процентный 6 164" xfId="4663" xr:uid="{00000000-0005-0000-0000-000048CA0000}"/>
    <cellStyle name="Процентный 6 164 10" xfId="52726" xr:uid="{00000000-0005-0000-0000-000049CA0000}"/>
    <cellStyle name="Процентный 6 164 2" xfId="10006" xr:uid="{00000000-0005-0000-0000-00004ACA0000}"/>
    <cellStyle name="Процентный 6 164 2 2" xfId="58067" xr:uid="{00000000-0005-0000-0000-00004BCA0000}"/>
    <cellStyle name="Процентный 6 164 3" xfId="15346" xr:uid="{00000000-0005-0000-0000-00004CCA0000}"/>
    <cellStyle name="Процентный 6 164 4" xfId="20686" xr:uid="{00000000-0005-0000-0000-00004DCA0000}"/>
    <cellStyle name="Процентный 6 164 5" xfId="26026" xr:uid="{00000000-0005-0000-0000-00004ECA0000}"/>
    <cellStyle name="Процентный 6 164 6" xfId="31366" xr:uid="{00000000-0005-0000-0000-00004FCA0000}"/>
    <cellStyle name="Процентный 6 164 7" xfId="36706" xr:uid="{00000000-0005-0000-0000-000050CA0000}"/>
    <cellStyle name="Процентный 6 164 8" xfId="42046" xr:uid="{00000000-0005-0000-0000-000051CA0000}"/>
    <cellStyle name="Процентный 6 164 9" xfId="47386" xr:uid="{00000000-0005-0000-0000-000052CA0000}"/>
    <cellStyle name="Процентный 6 165" xfId="4695" xr:uid="{00000000-0005-0000-0000-000053CA0000}"/>
    <cellStyle name="Процентный 6 165 10" xfId="52758" xr:uid="{00000000-0005-0000-0000-000054CA0000}"/>
    <cellStyle name="Процентный 6 165 2" xfId="10038" xr:uid="{00000000-0005-0000-0000-000055CA0000}"/>
    <cellStyle name="Процентный 6 165 2 2" xfId="58099" xr:uid="{00000000-0005-0000-0000-000056CA0000}"/>
    <cellStyle name="Процентный 6 165 3" xfId="15378" xr:uid="{00000000-0005-0000-0000-000057CA0000}"/>
    <cellStyle name="Процентный 6 165 4" xfId="20718" xr:uid="{00000000-0005-0000-0000-000058CA0000}"/>
    <cellStyle name="Процентный 6 165 5" xfId="26058" xr:uid="{00000000-0005-0000-0000-000059CA0000}"/>
    <cellStyle name="Процентный 6 165 6" xfId="31398" xr:uid="{00000000-0005-0000-0000-00005ACA0000}"/>
    <cellStyle name="Процентный 6 165 7" xfId="36738" xr:uid="{00000000-0005-0000-0000-00005BCA0000}"/>
    <cellStyle name="Процентный 6 165 8" xfId="42078" xr:uid="{00000000-0005-0000-0000-00005CCA0000}"/>
    <cellStyle name="Процентный 6 165 9" xfId="47418" xr:uid="{00000000-0005-0000-0000-00005DCA0000}"/>
    <cellStyle name="Процентный 6 166" xfId="4729" xr:uid="{00000000-0005-0000-0000-00005ECA0000}"/>
    <cellStyle name="Процентный 6 166 10" xfId="52792" xr:uid="{00000000-0005-0000-0000-00005FCA0000}"/>
    <cellStyle name="Процентный 6 166 2" xfId="10072" xr:uid="{00000000-0005-0000-0000-000060CA0000}"/>
    <cellStyle name="Процентный 6 166 2 2" xfId="58133" xr:uid="{00000000-0005-0000-0000-000061CA0000}"/>
    <cellStyle name="Процентный 6 166 3" xfId="15412" xr:uid="{00000000-0005-0000-0000-000062CA0000}"/>
    <cellStyle name="Процентный 6 166 4" xfId="20752" xr:uid="{00000000-0005-0000-0000-000063CA0000}"/>
    <cellStyle name="Процентный 6 166 5" xfId="26092" xr:uid="{00000000-0005-0000-0000-000064CA0000}"/>
    <cellStyle name="Процентный 6 166 6" xfId="31432" xr:uid="{00000000-0005-0000-0000-000065CA0000}"/>
    <cellStyle name="Процентный 6 166 7" xfId="36772" xr:uid="{00000000-0005-0000-0000-000066CA0000}"/>
    <cellStyle name="Процентный 6 166 8" xfId="42112" xr:uid="{00000000-0005-0000-0000-000067CA0000}"/>
    <cellStyle name="Процентный 6 166 9" xfId="47452" xr:uid="{00000000-0005-0000-0000-000068CA0000}"/>
    <cellStyle name="Процентный 6 167" xfId="4761" xr:uid="{00000000-0005-0000-0000-000069CA0000}"/>
    <cellStyle name="Процентный 6 167 10" xfId="52824" xr:uid="{00000000-0005-0000-0000-00006ACA0000}"/>
    <cellStyle name="Процентный 6 167 2" xfId="10104" xr:uid="{00000000-0005-0000-0000-00006BCA0000}"/>
    <cellStyle name="Процентный 6 167 2 2" xfId="58165" xr:uid="{00000000-0005-0000-0000-00006CCA0000}"/>
    <cellStyle name="Процентный 6 167 3" xfId="15444" xr:uid="{00000000-0005-0000-0000-00006DCA0000}"/>
    <cellStyle name="Процентный 6 167 4" xfId="20784" xr:uid="{00000000-0005-0000-0000-00006ECA0000}"/>
    <cellStyle name="Процентный 6 167 5" xfId="26124" xr:uid="{00000000-0005-0000-0000-00006FCA0000}"/>
    <cellStyle name="Процентный 6 167 6" xfId="31464" xr:uid="{00000000-0005-0000-0000-000070CA0000}"/>
    <cellStyle name="Процентный 6 167 7" xfId="36804" xr:uid="{00000000-0005-0000-0000-000071CA0000}"/>
    <cellStyle name="Процентный 6 167 8" xfId="42144" xr:uid="{00000000-0005-0000-0000-000072CA0000}"/>
    <cellStyle name="Процентный 6 167 9" xfId="47484" xr:uid="{00000000-0005-0000-0000-000073CA0000}"/>
    <cellStyle name="Процентный 6 168" xfId="4793" xr:uid="{00000000-0005-0000-0000-000074CA0000}"/>
    <cellStyle name="Процентный 6 168 10" xfId="52856" xr:uid="{00000000-0005-0000-0000-000075CA0000}"/>
    <cellStyle name="Процентный 6 168 2" xfId="10136" xr:uid="{00000000-0005-0000-0000-000076CA0000}"/>
    <cellStyle name="Процентный 6 168 2 2" xfId="58197" xr:uid="{00000000-0005-0000-0000-000077CA0000}"/>
    <cellStyle name="Процентный 6 168 3" xfId="15476" xr:uid="{00000000-0005-0000-0000-000078CA0000}"/>
    <cellStyle name="Процентный 6 168 4" xfId="20816" xr:uid="{00000000-0005-0000-0000-000079CA0000}"/>
    <cellStyle name="Процентный 6 168 5" xfId="26156" xr:uid="{00000000-0005-0000-0000-00007ACA0000}"/>
    <cellStyle name="Процентный 6 168 6" xfId="31496" xr:uid="{00000000-0005-0000-0000-00007BCA0000}"/>
    <cellStyle name="Процентный 6 168 7" xfId="36836" xr:uid="{00000000-0005-0000-0000-00007CCA0000}"/>
    <cellStyle name="Процентный 6 168 8" xfId="42176" xr:uid="{00000000-0005-0000-0000-00007DCA0000}"/>
    <cellStyle name="Процентный 6 168 9" xfId="47516" xr:uid="{00000000-0005-0000-0000-00007ECA0000}"/>
    <cellStyle name="Процентный 6 169" xfId="4825" xr:uid="{00000000-0005-0000-0000-00007FCA0000}"/>
    <cellStyle name="Процентный 6 169 10" xfId="52888" xr:uid="{00000000-0005-0000-0000-000080CA0000}"/>
    <cellStyle name="Процентный 6 169 2" xfId="10168" xr:uid="{00000000-0005-0000-0000-000081CA0000}"/>
    <cellStyle name="Процентный 6 169 2 2" xfId="58229" xr:uid="{00000000-0005-0000-0000-000082CA0000}"/>
    <cellStyle name="Процентный 6 169 3" xfId="15508" xr:uid="{00000000-0005-0000-0000-000083CA0000}"/>
    <cellStyle name="Процентный 6 169 4" xfId="20848" xr:uid="{00000000-0005-0000-0000-000084CA0000}"/>
    <cellStyle name="Процентный 6 169 5" xfId="26188" xr:uid="{00000000-0005-0000-0000-000085CA0000}"/>
    <cellStyle name="Процентный 6 169 6" xfId="31528" xr:uid="{00000000-0005-0000-0000-000086CA0000}"/>
    <cellStyle name="Процентный 6 169 7" xfId="36868" xr:uid="{00000000-0005-0000-0000-000087CA0000}"/>
    <cellStyle name="Процентный 6 169 8" xfId="42208" xr:uid="{00000000-0005-0000-0000-000088CA0000}"/>
    <cellStyle name="Процентный 6 169 9" xfId="47548" xr:uid="{00000000-0005-0000-0000-000089CA0000}"/>
    <cellStyle name="Процентный 6 17" xfId="281" xr:uid="{00000000-0005-0000-0000-00008ACA0000}"/>
    <cellStyle name="Процентный 6 17 10" xfId="43003" xr:uid="{00000000-0005-0000-0000-00008BCA0000}"/>
    <cellStyle name="Процентный 6 17 11" xfId="48343" xr:uid="{00000000-0005-0000-0000-00008CCA0000}"/>
    <cellStyle name="Процентный 6 17 2" xfId="748" xr:uid="{00000000-0005-0000-0000-00008DCA0000}"/>
    <cellStyle name="Процентный 6 17 2 10" xfId="48810" xr:uid="{00000000-0005-0000-0000-00008ECA0000}"/>
    <cellStyle name="Процентный 6 17 2 2" xfId="6089" xr:uid="{00000000-0005-0000-0000-00008FCA0000}"/>
    <cellStyle name="Процентный 6 17 2 2 2" xfId="54151" xr:uid="{00000000-0005-0000-0000-000090CA0000}"/>
    <cellStyle name="Процентный 6 17 2 3" xfId="11430" xr:uid="{00000000-0005-0000-0000-000091CA0000}"/>
    <cellStyle name="Процентный 6 17 2 4" xfId="16770" xr:uid="{00000000-0005-0000-0000-000092CA0000}"/>
    <cellStyle name="Процентный 6 17 2 5" xfId="22110" xr:uid="{00000000-0005-0000-0000-000093CA0000}"/>
    <cellStyle name="Процентный 6 17 2 6" xfId="27450" xr:uid="{00000000-0005-0000-0000-000094CA0000}"/>
    <cellStyle name="Процентный 6 17 2 7" xfId="32790" xr:uid="{00000000-0005-0000-0000-000095CA0000}"/>
    <cellStyle name="Процентный 6 17 2 8" xfId="38130" xr:uid="{00000000-0005-0000-0000-000096CA0000}"/>
    <cellStyle name="Процентный 6 17 2 9" xfId="43470" xr:uid="{00000000-0005-0000-0000-000097CA0000}"/>
    <cellStyle name="Процентный 6 17 3" xfId="5622" xr:uid="{00000000-0005-0000-0000-000098CA0000}"/>
    <cellStyle name="Процентный 6 17 3 2" xfId="53684" xr:uid="{00000000-0005-0000-0000-000099CA0000}"/>
    <cellStyle name="Процентный 6 17 4" xfId="10963" xr:uid="{00000000-0005-0000-0000-00009ACA0000}"/>
    <cellStyle name="Процентный 6 17 5" xfId="16303" xr:uid="{00000000-0005-0000-0000-00009BCA0000}"/>
    <cellStyle name="Процентный 6 17 6" xfId="21643" xr:uid="{00000000-0005-0000-0000-00009CCA0000}"/>
    <cellStyle name="Процентный 6 17 7" xfId="26983" xr:uid="{00000000-0005-0000-0000-00009DCA0000}"/>
    <cellStyle name="Процентный 6 17 8" xfId="32323" xr:uid="{00000000-0005-0000-0000-00009ECA0000}"/>
    <cellStyle name="Процентный 6 17 9" xfId="37663" xr:uid="{00000000-0005-0000-0000-00009FCA0000}"/>
    <cellStyle name="Процентный 6 170" xfId="4857" xr:uid="{00000000-0005-0000-0000-0000A0CA0000}"/>
    <cellStyle name="Процентный 6 170 10" xfId="52920" xr:uid="{00000000-0005-0000-0000-0000A1CA0000}"/>
    <cellStyle name="Процентный 6 170 2" xfId="10200" xr:uid="{00000000-0005-0000-0000-0000A2CA0000}"/>
    <cellStyle name="Процентный 6 170 2 2" xfId="58261" xr:uid="{00000000-0005-0000-0000-0000A3CA0000}"/>
    <cellStyle name="Процентный 6 170 3" xfId="15540" xr:uid="{00000000-0005-0000-0000-0000A4CA0000}"/>
    <cellStyle name="Процентный 6 170 4" xfId="20880" xr:uid="{00000000-0005-0000-0000-0000A5CA0000}"/>
    <cellStyle name="Процентный 6 170 5" xfId="26220" xr:uid="{00000000-0005-0000-0000-0000A6CA0000}"/>
    <cellStyle name="Процентный 6 170 6" xfId="31560" xr:uid="{00000000-0005-0000-0000-0000A7CA0000}"/>
    <cellStyle name="Процентный 6 170 7" xfId="36900" xr:uid="{00000000-0005-0000-0000-0000A8CA0000}"/>
    <cellStyle name="Процентный 6 170 8" xfId="42240" xr:uid="{00000000-0005-0000-0000-0000A9CA0000}"/>
    <cellStyle name="Процентный 6 170 9" xfId="47580" xr:uid="{00000000-0005-0000-0000-0000AACA0000}"/>
    <cellStyle name="Процентный 6 171" xfId="4889" xr:uid="{00000000-0005-0000-0000-0000ABCA0000}"/>
    <cellStyle name="Процентный 6 171 10" xfId="52952" xr:uid="{00000000-0005-0000-0000-0000ACCA0000}"/>
    <cellStyle name="Процентный 6 171 2" xfId="10232" xr:uid="{00000000-0005-0000-0000-0000ADCA0000}"/>
    <cellStyle name="Процентный 6 171 2 2" xfId="58293" xr:uid="{00000000-0005-0000-0000-0000AECA0000}"/>
    <cellStyle name="Процентный 6 171 3" xfId="15572" xr:uid="{00000000-0005-0000-0000-0000AFCA0000}"/>
    <cellStyle name="Процентный 6 171 4" xfId="20912" xr:uid="{00000000-0005-0000-0000-0000B0CA0000}"/>
    <cellStyle name="Процентный 6 171 5" xfId="26252" xr:uid="{00000000-0005-0000-0000-0000B1CA0000}"/>
    <cellStyle name="Процентный 6 171 6" xfId="31592" xr:uid="{00000000-0005-0000-0000-0000B2CA0000}"/>
    <cellStyle name="Процентный 6 171 7" xfId="36932" xr:uid="{00000000-0005-0000-0000-0000B3CA0000}"/>
    <cellStyle name="Процентный 6 171 8" xfId="42272" xr:uid="{00000000-0005-0000-0000-0000B4CA0000}"/>
    <cellStyle name="Процентный 6 171 9" xfId="47612" xr:uid="{00000000-0005-0000-0000-0000B5CA0000}"/>
    <cellStyle name="Процентный 6 172" xfId="4921" xr:uid="{00000000-0005-0000-0000-0000B6CA0000}"/>
    <cellStyle name="Процентный 6 172 10" xfId="52984" xr:uid="{00000000-0005-0000-0000-0000B7CA0000}"/>
    <cellStyle name="Процентный 6 172 2" xfId="10264" xr:uid="{00000000-0005-0000-0000-0000B8CA0000}"/>
    <cellStyle name="Процентный 6 172 2 2" xfId="58325" xr:uid="{00000000-0005-0000-0000-0000B9CA0000}"/>
    <cellStyle name="Процентный 6 172 3" xfId="15604" xr:uid="{00000000-0005-0000-0000-0000BACA0000}"/>
    <cellStyle name="Процентный 6 172 4" xfId="20944" xr:uid="{00000000-0005-0000-0000-0000BBCA0000}"/>
    <cellStyle name="Процентный 6 172 5" xfId="26284" xr:uid="{00000000-0005-0000-0000-0000BCCA0000}"/>
    <cellStyle name="Процентный 6 172 6" xfId="31624" xr:uid="{00000000-0005-0000-0000-0000BDCA0000}"/>
    <cellStyle name="Процентный 6 172 7" xfId="36964" xr:uid="{00000000-0005-0000-0000-0000BECA0000}"/>
    <cellStyle name="Процентный 6 172 8" xfId="42304" xr:uid="{00000000-0005-0000-0000-0000BFCA0000}"/>
    <cellStyle name="Процентный 6 172 9" xfId="47644" xr:uid="{00000000-0005-0000-0000-0000C0CA0000}"/>
    <cellStyle name="Процентный 6 173" xfId="4953" xr:uid="{00000000-0005-0000-0000-0000C1CA0000}"/>
    <cellStyle name="Процентный 6 173 10" xfId="53016" xr:uid="{00000000-0005-0000-0000-0000C2CA0000}"/>
    <cellStyle name="Процентный 6 173 2" xfId="10296" xr:uid="{00000000-0005-0000-0000-0000C3CA0000}"/>
    <cellStyle name="Процентный 6 173 2 2" xfId="58357" xr:uid="{00000000-0005-0000-0000-0000C4CA0000}"/>
    <cellStyle name="Процентный 6 173 3" xfId="15636" xr:uid="{00000000-0005-0000-0000-0000C5CA0000}"/>
    <cellStyle name="Процентный 6 173 4" xfId="20976" xr:uid="{00000000-0005-0000-0000-0000C6CA0000}"/>
    <cellStyle name="Процентный 6 173 5" xfId="26316" xr:uid="{00000000-0005-0000-0000-0000C7CA0000}"/>
    <cellStyle name="Процентный 6 173 6" xfId="31656" xr:uid="{00000000-0005-0000-0000-0000C8CA0000}"/>
    <cellStyle name="Процентный 6 173 7" xfId="36996" xr:uid="{00000000-0005-0000-0000-0000C9CA0000}"/>
    <cellStyle name="Процентный 6 173 8" xfId="42336" xr:uid="{00000000-0005-0000-0000-0000CACA0000}"/>
    <cellStyle name="Процентный 6 173 9" xfId="47676" xr:uid="{00000000-0005-0000-0000-0000CBCA0000}"/>
    <cellStyle name="Процентный 6 174" xfId="4985" xr:uid="{00000000-0005-0000-0000-0000CCCA0000}"/>
    <cellStyle name="Процентный 6 174 10" xfId="53048" xr:uid="{00000000-0005-0000-0000-0000CDCA0000}"/>
    <cellStyle name="Процентный 6 174 2" xfId="10328" xr:uid="{00000000-0005-0000-0000-0000CECA0000}"/>
    <cellStyle name="Процентный 6 174 2 2" xfId="58389" xr:uid="{00000000-0005-0000-0000-0000CFCA0000}"/>
    <cellStyle name="Процентный 6 174 3" xfId="15668" xr:uid="{00000000-0005-0000-0000-0000D0CA0000}"/>
    <cellStyle name="Процентный 6 174 4" xfId="21008" xr:uid="{00000000-0005-0000-0000-0000D1CA0000}"/>
    <cellStyle name="Процентный 6 174 5" xfId="26348" xr:uid="{00000000-0005-0000-0000-0000D2CA0000}"/>
    <cellStyle name="Процентный 6 174 6" xfId="31688" xr:uid="{00000000-0005-0000-0000-0000D3CA0000}"/>
    <cellStyle name="Процентный 6 174 7" xfId="37028" xr:uid="{00000000-0005-0000-0000-0000D4CA0000}"/>
    <cellStyle name="Процентный 6 174 8" xfId="42368" xr:uid="{00000000-0005-0000-0000-0000D5CA0000}"/>
    <cellStyle name="Процентный 6 174 9" xfId="47708" xr:uid="{00000000-0005-0000-0000-0000D6CA0000}"/>
    <cellStyle name="Процентный 6 175" xfId="5017" xr:uid="{00000000-0005-0000-0000-0000D7CA0000}"/>
    <cellStyle name="Процентный 6 175 10" xfId="53080" xr:uid="{00000000-0005-0000-0000-0000D8CA0000}"/>
    <cellStyle name="Процентный 6 175 2" xfId="10360" xr:uid="{00000000-0005-0000-0000-0000D9CA0000}"/>
    <cellStyle name="Процентный 6 175 2 2" xfId="58421" xr:uid="{00000000-0005-0000-0000-0000DACA0000}"/>
    <cellStyle name="Процентный 6 175 3" xfId="15700" xr:uid="{00000000-0005-0000-0000-0000DBCA0000}"/>
    <cellStyle name="Процентный 6 175 4" xfId="21040" xr:uid="{00000000-0005-0000-0000-0000DCCA0000}"/>
    <cellStyle name="Процентный 6 175 5" xfId="26380" xr:uid="{00000000-0005-0000-0000-0000DDCA0000}"/>
    <cellStyle name="Процентный 6 175 6" xfId="31720" xr:uid="{00000000-0005-0000-0000-0000DECA0000}"/>
    <cellStyle name="Процентный 6 175 7" xfId="37060" xr:uid="{00000000-0005-0000-0000-0000DFCA0000}"/>
    <cellStyle name="Процентный 6 175 8" xfId="42400" xr:uid="{00000000-0005-0000-0000-0000E0CA0000}"/>
    <cellStyle name="Процентный 6 175 9" xfId="47740" xr:uid="{00000000-0005-0000-0000-0000E1CA0000}"/>
    <cellStyle name="Процентный 6 176" xfId="5049" xr:uid="{00000000-0005-0000-0000-0000E2CA0000}"/>
    <cellStyle name="Процентный 6 176 10" xfId="53112" xr:uid="{00000000-0005-0000-0000-0000E3CA0000}"/>
    <cellStyle name="Процентный 6 176 2" xfId="10392" xr:uid="{00000000-0005-0000-0000-0000E4CA0000}"/>
    <cellStyle name="Процентный 6 176 2 2" xfId="58453" xr:uid="{00000000-0005-0000-0000-0000E5CA0000}"/>
    <cellStyle name="Процентный 6 176 3" xfId="15732" xr:uid="{00000000-0005-0000-0000-0000E6CA0000}"/>
    <cellStyle name="Процентный 6 176 4" xfId="21072" xr:uid="{00000000-0005-0000-0000-0000E7CA0000}"/>
    <cellStyle name="Процентный 6 176 5" xfId="26412" xr:uid="{00000000-0005-0000-0000-0000E8CA0000}"/>
    <cellStyle name="Процентный 6 176 6" xfId="31752" xr:uid="{00000000-0005-0000-0000-0000E9CA0000}"/>
    <cellStyle name="Процентный 6 176 7" xfId="37092" xr:uid="{00000000-0005-0000-0000-0000EACA0000}"/>
    <cellStyle name="Процентный 6 176 8" xfId="42432" xr:uid="{00000000-0005-0000-0000-0000EBCA0000}"/>
    <cellStyle name="Процентный 6 176 9" xfId="47772" xr:uid="{00000000-0005-0000-0000-0000ECCA0000}"/>
    <cellStyle name="Процентный 6 177" xfId="5081" xr:uid="{00000000-0005-0000-0000-0000EDCA0000}"/>
    <cellStyle name="Процентный 6 177 10" xfId="53144" xr:uid="{00000000-0005-0000-0000-0000EECA0000}"/>
    <cellStyle name="Процентный 6 177 2" xfId="10424" xr:uid="{00000000-0005-0000-0000-0000EFCA0000}"/>
    <cellStyle name="Процентный 6 177 2 2" xfId="58485" xr:uid="{00000000-0005-0000-0000-0000F0CA0000}"/>
    <cellStyle name="Процентный 6 177 3" xfId="15764" xr:uid="{00000000-0005-0000-0000-0000F1CA0000}"/>
    <cellStyle name="Процентный 6 177 4" xfId="21104" xr:uid="{00000000-0005-0000-0000-0000F2CA0000}"/>
    <cellStyle name="Процентный 6 177 5" xfId="26444" xr:uid="{00000000-0005-0000-0000-0000F3CA0000}"/>
    <cellStyle name="Процентный 6 177 6" xfId="31784" xr:uid="{00000000-0005-0000-0000-0000F4CA0000}"/>
    <cellStyle name="Процентный 6 177 7" xfId="37124" xr:uid="{00000000-0005-0000-0000-0000F5CA0000}"/>
    <cellStyle name="Процентный 6 177 8" xfId="42464" xr:uid="{00000000-0005-0000-0000-0000F6CA0000}"/>
    <cellStyle name="Процентный 6 177 9" xfId="47804" xr:uid="{00000000-0005-0000-0000-0000F7CA0000}"/>
    <cellStyle name="Процентный 6 178" xfId="5113" xr:uid="{00000000-0005-0000-0000-0000F8CA0000}"/>
    <cellStyle name="Процентный 6 178 10" xfId="53176" xr:uid="{00000000-0005-0000-0000-0000F9CA0000}"/>
    <cellStyle name="Процентный 6 178 2" xfId="10456" xr:uid="{00000000-0005-0000-0000-0000FACA0000}"/>
    <cellStyle name="Процентный 6 178 2 2" xfId="58517" xr:uid="{00000000-0005-0000-0000-0000FBCA0000}"/>
    <cellStyle name="Процентный 6 178 3" xfId="15796" xr:uid="{00000000-0005-0000-0000-0000FCCA0000}"/>
    <cellStyle name="Процентный 6 178 4" xfId="21136" xr:uid="{00000000-0005-0000-0000-0000FDCA0000}"/>
    <cellStyle name="Процентный 6 178 5" xfId="26476" xr:uid="{00000000-0005-0000-0000-0000FECA0000}"/>
    <cellStyle name="Процентный 6 178 6" xfId="31816" xr:uid="{00000000-0005-0000-0000-0000FFCA0000}"/>
    <cellStyle name="Процентный 6 178 7" xfId="37156" xr:uid="{00000000-0005-0000-0000-000000CB0000}"/>
    <cellStyle name="Процентный 6 178 8" xfId="42496" xr:uid="{00000000-0005-0000-0000-000001CB0000}"/>
    <cellStyle name="Процентный 6 178 9" xfId="47836" xr:uid="{00000000-0005-0000-0000-000002CB0000}"/>
    <cellStyle name="Процентный 6 179" xfId="5145" xr:uid="{00000000-0005-0000-0000-000003CB0000}"/>
    <cellStyle name="Процентный 6 179 10" xfId="53208" xr:uid="{00000000-0005-0000-0000-000004CB0000}"/>
    <cellStyle name="Процентный 6 179 2" xfId="10488" xr:uid="{00000000-0005-0000-0000-000005CB0000}"/>
    <cellStyle name="Процентный 6 179 2 2" xfId="58549" xr:uid="{00000000-0005-0000-0000-000006CB0000}"/>
    <cellStyle name="Процентный 6 179 3" xfId="15828" xr:uid="{00000000-0005-0000-0000-000007CB0000}"/>
    <cellStyle name="Процентный 6 179 4" xfId="21168" xr:uid="{00000000-0005-0000-0000-000008CB0000}"/>
    <cellStyle name="Процентный 6 179 5" xfId="26508" xr:uid="{00000000-0005-0000-0000-000009CB0000}"/>
    <cellStyle name="Процентный 6 179 6" xfId="31848" xr:uid="{00000000-0005-0000-0000-00000ACB0000}"/>
    <cellStyle name="Процентный 6 179 7" xfId="37188" xr:uid="{00000000-0005-0000-0000-00000BCB0000}"/>
    <cellStyle name="Процентный 6 179 8" xfId="42528" xr:uid="{00000000-0005-0000-0000-00000CCB0000}"/>
    <cellStyle name="Процентный 6 179 9" xfId="47868" xr:uid="{00000000-0005-0000-0000-00000DCB0000}"/>
    <cellStyle name="Процентный 6 18" xfId="291" xr:uid="{00000000-0005-0000-0000-00000ECB0000}"/>
    <cellStyle name="Процентный 6 18 10" xfId="43013" xr:uid="{00000000-0005-0000-0000-00000FCB0000}"/>
    <cellStyle name="Процентный 6 18 11" xfId="48353" xr:uid="{00000000-0005-0000-0000-000010CB0000}"/>
    <cellStyle name="Процентный 6 18 2" xfId="758" xr:uid="{00000000-0005-0000-0000-000011CB0000}"/>
    <cellStyle name="Процентный 6 18 2 10" xfId="48820" xr:uid="{00000000-0005-0000-0000-000012CB0000}"/>
    <cellStyle name="Процентный 6 18 2 2" xfId="6099" xr:uid="{00000000-0005-0000-0000-000013CB0000}"/>
    <cellStyle name="Процентный 6 18 2 2 2" xfId="54161" xr:uid="{00000000-0005-0000-0000-000014CB0000}"/>
    <cellStyle name="Процентный 6 18 2 3" xfId="11440" xr:uid="{00000000-0005-0000-0000-000015CB0000}"/>
    <cellStyle name="Процентный 6 18 2 4" xfId="16780" xr:uid="{00000000-0005-0000-0000-000016CB0000}"/>
    <cellStyle name="Процентный 6 18 2 5" xfId="22120" xr:uid="{00000000-0005-0000-0000-000017CB0000}"/>
    <cellStyle name="Процентный 6 18 2 6" xfId="27460" xr:uid="{00000000-0005-0000-0000-000018CB0000}"/>
    <cellStyle name="Процентный 6 18 2 7" xfId="32800" xr:uid="{00000000-0005-0000-0000-000019CB0000}"/>
    <cellStyle name="Процентный 6 18 2 8" xfId="38140" xr:uid="{00000000-0005-0000-0000-00001ACB0000}"/>
    <cellStyle name="Процентный 6 18 2 9" xfId="43480" xr:uid="{00000000-0005-0000-0000-00001BCB0000}"/>
    <cellStyle name="Процентный 6 18 3" xfId="5632" xr:uid="{00000000-0005-0000-0000-00001CCB0000}"/>
    <cellStyle name="Процентный 6 18 3 2" xfId="53694" xr:uid="{00000000-0005-0000-0000-00001DCB0000}"/>
    <cellStyle name="Процентный 6 18 4" xfId="10973" xr:uid="{00000000-0005-0000-0000-00001ECB0000}"/>
    <cellStyle name="Процентный 6 18 5" xfId="16313" xr:uid="{00000000-0005-0000-0000-00001FCB0000}"/>
    <cellStyle name="Процентный 6 18 6" xfId="21653" xr:uid="{00000000-0005-0000-0000-000020CB0000}"/>
    <cellStyle name="Процентный 6 18 7" xfId="26993" xr:uid="{00000000-0005-0000-0000-000021CB0000}"/>
    <cellStyle name="Процентный 6 18 8" xfId="32333" xr:uid="{00000000-0005-0000-0000-000022CB0000}"/>
    <cellStyle name="Процентный 6 18 9" xfId="37673" xr:uid="{00000000-0005-0000-0000-000023CB0000}"/>
    <cellStyle name="Процентный 6 180" xfId="5177" xr:uid="{00000000-0005-0000-0000-000024CB0000}"/>
    <cellStyle name="Процентный 6 180 10" xfId="53240" xr:uid="{00000000-0005-0000-0000-000025CB0000}"/>
    <cellStyle name="Процентный 6 180 2" xfId="10520" xr:uid="{00000000-0005-0000-0000-000026CB0000}"/>
    <cellStyle name="Процентный 6 180 2 2" xfId="58581" xr:uid="{00000000-0005-0000-0000-000027CB0000}"/>
    <cellStyle name="Процентный 6 180 3" xfId="15860" xr:uid="{00000000-0005-0000-0000-000028CB0000}"/>
    <cellStyle name="Процентный 6 180 4" xfId="21200" xr:uid="{00000000-0005-0000-0000-000029CB0000}"/>
    <cellStyle name="Процентный 6 180 5" xfId="26540" xr:uid="{00000000-0005-0000-0000-00002ACB0000}"/>
    <cellStyle name="Процентный 6 180 6" xfId="31880" xr:uid="{00000000-0005-0000-0000-00002BCB0000}"/>
    <cellStyle name="Процентный 6 180 7" xfId="37220" xr:uid="{00000000-0005-0000-0000-00002CCB0000}"/>
    <cellStyle name="Процентный 6 180 8" xfId="42560" xr:uid="{00000000-0005-0000-0000-00002DCB0000}"/>
    <cellStyle name="Процентный 6 180 9" xfId="47900" xr:uid="{00000000-0005-0000-0000-00002ECB0000}"/>
    <cellStyle name="Процентный 6 181" xfId="5209" xr:uid="{00000000-0005-0000-0000-00002FCB0000}"/>
    <cellStyle name="Процентный 6 181 10" xfId="53272" xr:uid="{00000000-0005-0000-0000-000030CB0000}"/>
    <cellStyle name="Процентный 6 181 2" xfId="10552" xr:uid="{00000000-0005-0000-0000-000031CB0000}"/>
    <cellStyle name="Процентный 6 181 2 2" xfId="58613" xr:uid="{00000000-0005-0000-0000-000032CB0000}"/>
    <cellStyle name="Процентный 6 181 3" xfId="15892" xr:uid="{00000000-0005-0000-0000-000033CB0000}"/>
    <cellStyle name="Процентный 6 181 4" xfId="21232" xr:uid="{00000000-0005-0000-0000-000034CB0000}"/>
    <cellStyle name="Процентный 6 181 5" xfId="26572" xr:uid="{00000000-0005-0000-0000-000035CB0000}"/>
    <cellStyle name="Процентный 6 181 6" xfId="31912" xr:uid="{00000000-0005-0000-0000-000036CB0000}"/>
    <cellStyle name="Процентный 6 181 7" xfId="37252" xr:uid="{00000000-0005-0000-0000-000037CB0000}"/>
    <cellStyle name="Процентный 6 181 8" xfId="42592" xr:uid="{00000000-0005-0000-0000-000038CB0000}"/>
    <cellStyle name="Процентный 6 181 9" xfId="47932" xr:uid="{00000000-0005-0000-0000-000039CB0000}"/>
    <cellStyle name="Процентный 6 182" xfId="5241" xr:uid="{00000000-0005-0000-0000-00003ACB0000}"/>
    <cellStyle name="Процентный 6 182 10" xfId="53304" xr:uid="{00000000-0005-0000-0000-00003BCB0000}"/>
    <cellStyle name="Процентный 6 182 2" xfId="10584" xr:uid="{00000000-0005-0000-0000-00003CCB0000}"/>
    <cellStyle name="Процентный 6 182 2 2" xfId="58645" xr:uid="{00000000-0005-0000-0000-00003DCB0000}"/>
    <cellStyle name="Процентный 6 182 3" xfId="15924" xr:uid="{00000000-0005-0000-0000-00003ECB0000}"/>
    <cellStyle name="Процентный 6 182 4" xfId="21264" xr:uid="{00000000-0005-0000-0000-00003FCB0000}"/>
    <cellStyle name="Процентный 6 182 5" xfId="26604" xr:uid="{00000000-0005-0000-0000-000040CB0000}"/>
    <cellStyle name="Процентный 6 182 6" xfId="31944" xr:uid="{00000000-0005-0000-0000-000041CB0000}"/>
    <cellStyle name="Процентный 6 182 7" xfId="37284" xr:uid="{00000000-0005-0000-0000-000042CB0000}"/>
    <cellStyle name="Процентный 6 182 8" xfId="42624" xr:uid="{00000000-0005-0000-0000-000043CB0000}"/>
    <cellStyle name="Процентный 6 182 9" xfId="47964" xr:uid="{00000000-0005-0000-0000-000044CB0000}"/>
    <cellStyle name="Процентный 6 183" xfId="5273" xr:uid="{00000000-0005-0000-0000-000045CB0000}"/>
    <cellStyle name="Процентный 6 183 10" xfId="53336" xr:uid="{00000000-0005-0000-0000-000046CB0000}"/>
    <cellStyle name="Процентный 6 183 2" xfId="10616" xr:uid="{00000000-0005-0000-0000-000047CB0000}"/>
    <cellStyle name="Процентный 6 183 2 2" xfId="58677" xr:uid="{00000000-0005-0000-0000-000048CB0000}"/>
    <cellStyle name="Процентный 6 183 3" xfId="15956" xr:uid="{00000000-0005-0000-0000-000049CB0000}"/>
    <cellStyle name="Процентный 6 183 4" xfId="21296" xr:uid="{00000000-0005-0000-0000-00004ACB0000}"/>
    <cellStyle name="Процентный 6 183 5" xfId="26636" xr:uid="{00000000-0005-0000-0000-00004BCB0000}"/>
    <cellStyle name="Процентный 6 183 6" xfId="31976" xr:uid="{00000000-0005-0000-0000-00004CCB0000}"/>
    <cellStyle name="Процентный 6 183 7" xfId="37316" xr:uid="{00000000-0005-0000-0000-00004DCB0000}"/>
    <cellStyle name="Процентный 6 183 8" xfId="42656" xr:uid="{00000000-0005-0000-0000-00004ECB0000}"/>
    <cellStyle name="Процентный 6 183 9" xfId="47996" xr:uid="{00000000-0005-0000-0000-00004FCB0000}"/>
    <cellStyle name="Процентный 6 184" xfId="5305" xr:uid="{00000000-0005-0000-0000-000050CB0000}"/>
    <cellStyle name="Процентный 6 184 10" xfId="53368" xr:uid="{00000000-0005-0000-0000-000051CB0000}"/>
    <cellStyle name="Процентный 6 184 2" xfId="10648" xr:uid="{00000000-0005-0000-0000-000052CB0000}"/>
    <cellStyle name="Процентный 6 184 2 2" xfId="58709" xr:uid="{00000000-0005-0000-0000-000053CB0000}"/>
    <cellStyle name="Процентный 6 184 3" xfId="15988" xr:uid="{00000000-0005-0000-0000-000054CB0000}"/>
    <cellStyle name="Процентный 6 184 4" xfId="21328" xr:uid="{00000000-0005-0000-0000-000055CB0000}"/>
    <cellStyle name="Процентный 6 184 5" xfId="26668" xr:uid="{00000000-0005-0000-0000-000056CB0000}"/>
    <cellStyle name="Процентный 6 184 6" xfId="32008" xr:uid="{00000000-0005-0000-0000-000057CB0000}"/>
    <cellStyle name="Процентный 6 184 7" xfId="37348" xr:uid="{00000000-0005-0000-0000-000058CB0000}"/>
    <cellStyle name="Процентный 6 184 8" xfId="42688" xr:uid="{00000000-0005-0000-0000-000059CB0000}"/>
    <cellStyle name="Процентный 6 184 9" xfId="48028" xr:uid="{00000000-0005-0000-0000-00005ACB0000}"/>
    <cellStyle name="Процентный 6 185" xfId="5337" xr:uid="{00000000-0005-0000-0000-00005BCB0000}"/>
    <cellStyle name="Процентный 6 185 10" xfId="53400" xr:uid="{00000000-0005-0000-0000-00005CCB0000}"/>
    <cellStyle name="Процентный 6 185 2" xfId="10680" xr:uid="{00000000-0005-0000-0000-00005DCB0000}"/>
    <cellStyle name="Процентный 6 185 2 2" xfId="58741" xr:uid="{00000000-0005-0000-0000-00005ECB0000}"/>
    <cellStyle name="Процентный 6 185 3" xfId="16020" xr:uid="{00000000-0005-0000-0000-00005FCB0000}"/>
    <cellStyle name="Процентный 6 185 4" xfId="21360" xr:uid="{00000000-0005-0000-0000-000060CB0000}"/>
    <cellStyle name="Процентный 6 185 5" xfId="26700" xr:uid="{00000000-0005-0000-0000-000061CB0000}"/>
    <cellStyle name="Процентный 6 185 6" xfId="32040" xr:uid="{00000000-0005-0000-0000-000062CB0000}"/>
    <cellStyle name="Процентный 6 185 7" xfId="37380" xr:uid="{00000000-0005-0000-0000-000063CB0000}"/>
    <cellStyle name="Процентный 6 185 8" xfId="42720" xr:uid="{00000000-0005-0000-0000-000064CB0000}"/>
    <cellStyle name="Процентный 6 185 9" xfId="48060" xr:uid="{00000000-0005-0000-0000-000065CB0000}"/>
    <cellStyle name="Процентный 6 186" xfId="5369" xr:uid="{00000000-0005-0000-0000-000066CB0000}"/>
    <cellStyle name="Процентный 6 186 10" xfId="53432" xr:uid="{00000000-0005-0000-0000-000067CB0000}"/>
    <cellStyle name="Процентный 6 186 2" xfId="10712" xr:uid="{00000000-0005-0000-0000-000068CB0000}"/>
    <cellStyle name="Процентный 6 186 2 2" xfId="58773" xr:uid="{00000000-0005-0000-0000-000069CB0000}"/>
    <cellStyle name="Процентный 6 186 3" xfId="16052" xr:uid="{00000000-0005-0000-0000-00006ACB0000}"/>
    <cellStyle name="Процентный 6 186 4" xfId="21392" xr:uid="{00000000-0005-0000-0000-00006BCB0000}"/>
    <cellStyle name="Процентный 6 186 5" xfId="26732" xr:uid="{00000000-0005-0000-0000-00006CCB0000}"/>
    <cellStyle name="Процентный 6 186 6" xfId="32072" xr:uid="{00000000-0005-0000-0000-00006DCB0000}"/>
    <cellStyle name="Процентный 6 186 7" xfId="37412" xr:uid="{00000000-0005-0000-0000-00006ECB0000}"/>
    <cellStyle name="Процентный 6 186 8" xfId="42752" xr:uid="{00000000-0005-0000-0000-00006FCB0000}"/>
    <cellStyle name="Процентный 6 186 9" xfId="48092" xr:uid="{00000000-0005-0000-0000-000070CB0000}"/>
    <cellStyle name="Процентный 6 187" xfId="5462" xr:uid="{00000000-0005-0000-0000-000071CB0000}"/>
    <cellStyle name="Процентный 6 187 2" xfId="53524" xr:uid="{00000000-0005-0000-0000-000072CB0000}"/>
    <cellStyle name="Процентный 6 188" xfId="10803" xr:uid="{00000000-0005-0000-0000-000073CB0000}"/>
    <cellStyle name="Процентный 6 189" xfId="16143" xr:uid="{00000000-0005-0000-0000-000074CB0000}"/>
    <cellStyle name="Процентный 6 19" xfId="301" xr:uid="{00000000-0005-0000-0000-000075CB0000}"/>
    <cellStyle name="Процентный 6 19 10" xfId="43023" xr:uid="{00000000-0005-0000-0000-000076CB0000}"/>
    <cellStyle name="Процентный 6 19 11" xfId="48363" xr:uid="{00000000-0005-0000-0000-000077CB0000}"/>
    <cellStyle name="Процентный 6 19 2" xfId="768" xr:uid="{00000000-0005-0000-0000-000078CB0000}"/>
    <cellStyle name="Процентный 6 19 2 10" xfId="48830" xr:uid="{00000000-0005-0000-0000-000079CB0000}"/>
    <cellStyle name="Процентный 6 19 2 2" xfId="6109" xr:uid="{00000000-0005-0000-0000-00007ACB0000}"/>
    <cellStyle name="Процентный 6 19 2 2 2" xfId="54171" xr:uid="{00000000-0005-0000-0000-00007BCB0000}"/>
    <cellStyle name="Процентный 6 19 2 3" xfId="11450" xr:uid="{00000000-0005-0000-0000-00007CCB0000}"/>
    <cellStyle name="Процентный 6 19 2 4" xfId="16790" xr:uid="{00000000-0005-0000-0000-00007DCB0000}"/>
    <cellStyle name="Процентный 6 19 2 5" xfId="22130" xr:uid="{00000000-0005-0000-0000-00007ECB0000}"/>
    <cellStyle name="Процентный 6 19 2 6" xfId="27470" xr:uid="{00000000-0005-0000-0000-00007FCB0000}"/>
    <cellStyle name="Процентный 6 19 2 7" xfId="32810" xr:uid="{00000000-0005-0000-0000-000080CB0000}"/>
    <cellStyle name="Процентный 6 19 2 8" xfId="38150" xr:uid="{00000000-0005-0000-0000-000081CB0000}"/>
    <cellStyle name="Процентный 6 19 2 9" xfId="43490" xr:uid="{00000000-0005-0000-0000-000082CB0000}"/>
    <cellStyle name="Процентный 6 19 3" xfId="5642" xr:uid="{00000000-0005-0000-0000-000083CB0000}"/>
    <cellStyle name="Процентный 6 19 3 2" xfId="53704" xr:uid="{00000000-0005-0000-0000-000084CB0000}"/>
    <cellStyle name="Процентный 6 19 4" xfId="10983" xr:uid="{00000000-0005-0000-0000-000085CB0000}"/>
    <cellStyle name="Процентный 6 19 5" xfId="16323" xr:uid="{00000000-0005-0000-0000-000086CB0000}"/>
    <cellStyle name="Процентный 6 19 6" xfId="21663" xr:uid="{00000000-0005-0000-0000-000087CB0000}"/>
    <cellStyle name="Процентный 6 19 7" xfId="27003" xr:uid="{00000000-0005-0000-0000-000088CB0000}"/>
    <cellStyle name="Процентный 6 19 8" xfId="32343" xr:uid="{00000000-0005-0000-0000-000089CB0000}"/>
    <cellStyle name="Процентный 6 19 9" xfId="37683" xr:uid="{00000000-0005-0000-0000-00008ACB0000}"/>
    <cellStyle name="Процентный 6 190" xfId="21483" xr:uid="{00000000-0005-0000-0000-00008BCB0000}"/>
    <cellStyle name="Процентный 6 191" xfId="26823" xr:uid="{00000000-0005-0000-0000-00008CCB0000}"/>
    <cellStyle name="Процентный 6 192" xfId="32163" xr:uid="{00000000-0005-0000-0000-00008DCB0000}"/>
    <cellStyle name="Процентный 6 193" xfId="37503" xr:uid="{00000000-0005-0000-0000-00008ECB0000}"/>
    <cellStyle name="Процентный 6 194" xfId="42843" xr:uid="{00000000-0005-0000-0000-00008FCB0000}"/>
    <cellStyle name="Процентный 6 195" xfId="48183" xr:uid="{00000000-0005-0000-0000-000090CB0000}"/>
    <cellStyle name="Процентный 6 2" xfId="131" xr:uid="{00000000-0005-0000-0000-000091CB0000}"/>
    <cellStyle name="Процентный 6 2 10" xfId="1185" xr:uid="{00000000-0005-0000-0000-000092CB0000}"/>
    <cellStyle name="Процентный 6 2 10 10" xfId="49248" xr:uid="{00000000-0005-0000-0000-000093CB0000}"/>
    <cellStyle name="Процентный 6 2 10 2" xfId="6527" xr:uid="{00000000-0005-0000-0000-000094CB0000}"/>
    <cellStyle name="Процентный 6 2 10 2 2" xfId="54589" xr:uid="{00000000-0005-0000-0000-000095CB0000}"/>
    <cellStyle name="Процентный 6 2 10 3" xfId="11868" xr:uid="{00000000-0005-0000-0000-000096CB0000}"/>
    <cellStyle name="Процентный 6 2 10 4" xfId="17208" xr:uid="{00000000-0005-0000-0000-000097CB0000}"/>
    <cellStyle name="Процентный 6 2 10 5" xfId="22548" xr:uid="{00000000-0005-0000-0000-000098CB0000}"/>
    <cellStyle name="Процентный 6 2 10 6" xfId="27888" xr:uid="{00000000-0005-0000-0000-000099CB0000}"/>
    <cellStyle name="Процентный 6 2 10 7" xfId="33228" xr:uid="{00000000-0005-0000-0000-00009ACB0000}"/>
    <cellStyle name="Процентный 6 2 10 8" xfId="38568" xr:uid="{00000000-0005-0000-0000-00009BCB0000}"/>
    <cellStyle name="Процентный 6 2 10 9" xfId="43908" xr:uid="{00000000-0005-0000-0000-00009CCB0000}"/>
    <cellStyle name="Процентный 6 2 100" xfId="3843" xr:uid="{00000000-0005-0000-0000-00009DCB0000}"/>
    <cellStyle name="Процентный 6 2 100 10" xfId="51906" xr:uid="{00000000-0005-0000-0000-00009ECB0000}"/>
    <cellStyle name="Процентный 6 2 100 2" xfId="9186" xr:uid="{00000000-0005-0000-0000-00009FCB0000}"/>
    <cellStyle name="Процентный 6 2 100 2 2" xfId="57247" xr:uid="{00000000-0005-0000-0000-0000A0CB0000}"/>
    <cellStyle name="Процентный 6 2 100 3" xfId="14526" xr:uid="{00000000-0005-0000-0000-0000A1CB0000}"/>
    <cellStyle name="Процентный 6 2 100 4" xfId="19866" xr:uid="{00000000-0005-0000-0000-0000A2CB0000}"/>
    <cellStyle name="Процентный 6 2 100 5" xfId="25206" xr:uid="{00000000-0005-0000-0000-0000A3CB0000}"/>
    <cellStyle name="Процентный 6 2 100 6" xfId="30546" xr:uid="{00000000-0005-0000-0000-0000A4CB0000}"/>
    <cellStyle name="Процентный 6 2 100 7" xfId="35886" xr:uid="{00000000-0005-0000-0000-0000A5CB0000}"/>
    <cellStyle name="Процентный 6 2 100 8" xfId="41226" xr:uid="{00000000-0005-0000-0000-0000A6CB0000}"/>
    <cellStyle name="Процентный 6 2 100 9" xfId="46566" xr:uid="{00000000-0005-0000-0000-0000A7CB0000}"/>
    <cellStyle name="Процентный 6 2 101" xfId="3875" xr:uid="{00000000-0005-0000-0000-0000A8CB0000}"/>
    <cellStyle name="Процентный 6 2 101 10" xfId="51938" xr:uid="{00000000-0005-0000-0000-0000A9CB0000}"/>
    <cellStyle name="Процентный 6 2 101 2" xfId="9218" xr:uid="{00000000-0005-0000-0000-0000AACB0000}"/>
    <cellStyle name="Процентный 6 2 101 2 2" xfId="57279" xr:uid="{00000000-0005-0000-0000-0000ABCB0000}"/>
    <cellStyle name="Процентный 6 2 101 3" xfId="14558" xr:uid="{00000000-0005-0000-0000-0000ACCB0000}"/>
    <cellStyle name="Процентный 6 2 101 4" xfId="19898" xr:uid="{00000000-0005-0000-0000-0000ADCB0000}"/>
    <cellStyle name="Процентный 6 2 101 5" xfId="25238" xr:uid="{00000000-0005-0000-0000-0000AECB0000}"/>
    <cellStyle name="Процентный 6 2 101 6" xfId="30578" xr:uid="{00000000-0005-0000-0000-0000AFCB0000}"/>
    <cellStyle name="Процентный 6 2 101 7" xfId="35918" xr:uid="{00000000-0005-0000-0000-0000B0CB0000}"/>
    <cellStyle name="Процентный 6 2 101 8" xfId="41258" xr:uid="{00000000-0005-0000-0000-0000B1CB0000}"/>
    <cellStyle name="Процентный 6 2 101 9" xfId="46598" xr:uid="{00000000-0005-0000-0000-0000B2CB0000}"/>
    <cellStyle name="Процентный 6 2 102" xfId="3907" xr:uid="{00000000-0005-0000-0000-0000B3CB0000}"/>
    <cellStyle name="Процентный 6 2 102 10" xfId="51970" xr:uid="{00000000-0005-0000-0000-0000B4CB0000}"/>
    <cellStyle name="Процентный 6 2 102 2" xfId="9250" xr:uid="{00000000-0005-0000-0000-0000B5CB0000}"/>
    <cellStyle name="Процентный 6 2 102 2 2" xfId="57311" xr:uid="{00000000-0005-0000-0000-0000B6CB0000}"/>
    <cellStyle name="Процентный 6 2 102 3" xfId="14590" xr:uid="{00000000-0005-0000-0000-0000B7CB0000}"/>
    <cellStyle name="Процентный 6 2 102 4" xfId="19930" xr:uid="{00000000-0005-0000-0000-0000B8CB0000}"/>
    <cellStyle name="Процентный 6 2 102 5" xfId="25270" xr:uid="{00000000-0005-0000-0000-0000B9CB0000}"/>
    <cellStyle name="Процентный 6 2 102 6" xfId="30610" xr:uid="{00000000-0005-0000-0000-0000BACB0000}"/>
    <cellStyle name="Процентный 6 2 102 7" xfId="35950" xr:uid="{00000000-0005-0000-0000-0000BBCB0000}"/>
    <cellStyle name="Процентный 6 2 102 8" xfId="41290" xr:uid="{00000000-0005-0000-0000-0000BCCB0000}"/>
    <cellStyle name="Процентный 6 2 102 9" xfId="46630" xr:uid="{00000000-0005-0000-0000-0000BDCB0000}"/>
    <cellStyle name="Процентный 6 2 103" xfId="3939" xr:uid="{00000000-0005-0000-0000-0000BECB0000}"/>
    <cellStyle name="Процентный 6 2 103 10" xfId="52002" xr:uid="{00000000-0005-0000-0000-0000BFCB0000}"/>
    <cellStyle name="Процентный 6 2 103 2" xfId="9282" xr:uid="{00000000-0005-0000-0000-0000C0CB0000}"/>
    <cellStyle name="Процентный 6 2 103 2 2" xfId="57343" xr:uid="{00000000-0005-0000-0000-0000C1CB0000}"/>
    <cellStyle name="Процентный 6 2 103 3" xfId="14622" xr:uid="{00000000-0005-0000-0000-0000C2CB0000}"/>
    <cellStyle name="Процентный 6 2 103 4" xfId="19962" xr:uid="{00000000-0005-0000-0000-0000C3CB0000}"/>
    <cellStyle name="Процентный 6 2 103 5" xfId="25302" xr:uid="{00000000-0005-0000-0000-0000C4CB0000}"/>
    <cellStyle name="Процентный 6 2 103 6" xfId="30642" xr:uid="{00000000-0005-0000-0000-0000C5CB0000}"/>
    <cellStyle name="Процентный 6 2 103 7" xfId="35982" xr:uid="{00000000-0005-0000-0000-0000C6CB0000}"/>
    <cellStyle name="Процентный 6 2 103 8" xfId="41322" xr:uid="{00000000-0005-0000-0000-0000C7CB0000}"/>
    <cellStyle name="Процентный 6 2 103 9" xfId="46662" xr:uid="{00000000-0005-0000-0000-0000C8CB0000}"/>
    <cellStyle name="Процентный 6 2 104" xfId="3971" xr:uid="{00000000-0005-0000-0000-0000C9CB0000}"/>
    <cellStyle name="Процентный 6 2 104 10" xfId="52034" xr:uid="{00000000-0005-0000-0000-0000CACB0000}"/>
    <cellStyle name="Процентный 6 2 104 2" xfId="9314" xr:uid="{00000000-0005-0000-0000-0000CBCB0000}"/>
    <cellStyle name="Процентный 6 2 104 2 2" xfId="57375" xr:uid="{00000000-0005-0000-0000-0000CCCB0000}"/>
    <cellStyle name="Процентный 6 2 104 3" xfId="14654" xr:uid="{00000000-0005-0000-0000-0000CDCB0000}"/>
    <cellStyle name="Процентный 6 2 104 4" xfId="19994" xr:uid="{00000000-0005-0000-0000-0000CECB0000}"/>
    <cellStyle name="Процентный 6 2 104 5" xfId="25334" xr:uid="{00000000-0005-0000-0000-0000CFCB0000}"/>
    <cellStyle name="Процентный 6 2 104 6" xfId="30674" xr:uid="{00000000-0005-0000-0000-0000D0CB0000}"/>
    <cellStyle name="Процентный 6 2 104 7" xfId="36014" xr:uid="{00000000-0005-0000-0000-0000D1CB0000}"/>
    <cellStyle name="Процентный 6 2 104 8" xfId="41354" xr:uid="{00000000-0005-0000-0000-0000D2CB0000}"/>
    <cellStyle name="Процентный 6 2 104 9" xfId="46694" xr:uid="{00000000-0005-0000-0000-0000D3CB0000}"/>
    <cellStyle name="Процентный 6 2 105" xfId="4003" xr:uid="{00000000-0005-0000-0000-0000D4CB0000}"/>
    <cellStyle name="Процентный 6 2 105 10" xfId="52066" xr:uid="{00000000-0005-0000-0000-0000D5CB0000}"/>
    <cellStyle name="Процентный 6 2 105 2" xfId="9346" xr:uid="{00000000-0005-0000-0000-0000D6CB0000}"/>
    <cellStyle name="Процентный 6 2 105 2 2" xfId="57407" xr:uid="{00000000-0005-0000-0000-0000D7CB0000}"/>
    <cellStyle name="Процентный 6 2 105 3" xfId="14686" xr:uid="{00000000-0005-0000-0000-0000D8CB0000}"/>
    <cellStyle name="Процентный 6 2 105 4" xfId="20026" xr:uid="{00000000-0005-0000-0000-0000D9CB0000}"/>
    <cellStyle name="Процентный 6 2 105 5" xfId="25366" xr:uid="{00000000-0005-0000-0000-0000DACB0000}"/>
    <cellStyle name="Процентный 6 2 105 6" xfId="30706" xr:uid="{00000000-0005-0000-0000-0000DBCB0000}"/>
    <cellStyle name="Процентный 6 2 105 7" xfId="36046" xr:uid="{00000000-0005-0000-0000-0000DCCB0000}"/>
    <cellStyle name="Процентный 6 2 105 8" xfId="41386" xr:uid="{00000000-0005-0000-0000-0000DDCB0000}"/>
    <cellStyle name="Процентный 6 2 105 9" xfId="46726" xr:uid="{00000000-0005-0000-0000-0000DECB0000}"/>
    <cellStyle name="Процентный 6 2 106" xfId="4035" xr:uid="{00000000-0005-0000-0000-0000DFCB0000}"/>
    <cellStyle name="Процентный 6 2 106 10" xfId="52098" xr:uid="{00000000-0005-0000-0000-0000E0CB0000}"/>
    <cellStyle name="Процентный 6 2 106 2" xfId="9378" xr:uid="{00000000-0005-0000-0000-0000E1CB0000}"/>
    <cellStyle name="Процентный 6 2 106 2 2" xfId="57439" xr:uid="{00000000-0005-0000-0000-0000E2CB0000}"/>
    <cellStyle name="Процентный 6 2 106 3" xfId="14718" xr:uid="{00000000-0005-0000-0000-0000E3CB0000}"/>
    <cellStyle name="Процентный 6 2 106 4" xfId="20058" xr:uid="{00000000-0005-0000-0000-0000E4CB0000}"/>
    <cellStyle name="Процентный 6 2 106 5" xfId="25398" xr:uid="{00000000-0005-0000-0000-0000E5CB0000}"/>
    <cellStyle name="Процентный 6 2 106 6" xfId="30738" xr:uid="{00000000-0005-0000-0000-0000E6CB0000}"/>
    <cellStyle name="Процентный 6 2 106 7" xfId="36078" xr:uid="{00000000-0005-0000-0000-0000E7CB0000}"/>
    <cellStyle name="Процентный 6 2 106 8" xfId="41418" xr:uid="{00000000-0005-0000-0000-0000E8CB0000}"/>
    <cellStyle name="Процентный 6 2 106 9" xfId="46758" xr:uid="{00000000-0005-0000-0000-0000E9CB0000}"/>
    <cellStyle name="Процентный 6 2 107" xfId="4067" xr:uid="{00000000-0005-0000-0000-0000EACB0000}"/>
    <cellStyle name="Процентный 6 2 107 10" xfId="52130" xr:uid="{00000000-0005-0000-0000-0000EBCB0000}"/>
    <cellStyle name="Процентный 6 2 107 2" xfId="9410" xr:uid="{00000000-0005-0000-0000-0000ECCB0000}"/>
    <cellStyle name="Процентный 6 2 107 2 2" xfId="57471" xr:uid="{00000000-0005-0000-0000-0000EDCB0000}"/>
    <cellStyle name="Процентный 6 2 107 3" xfId="14750" xr:uid="{00000000-0005-0000-0000-0000EECB0000}"/>
    <cellStyle name="Процентный 6 2 107 4" xfId="20090" xr:uid="{00000000-0005-0000-0000-0000EFCB0000}"/>
    <cellStyle name="Процентный 6 2 107 5" xfId="25430" xr:uid="{00000000-0005-0000-0000-0000F0CB0000}"/>
    <cellStyle name="Процентный 6 2 107 6" xfId="30770" xr:uid="{00000000-0005-0000-0000-0000F1CB0000}"/>
    <cellStyle name="Процентный 6 2 107 7" xfId="36110" xr:uid="{00000000-0005-0000-0000-0000F2CB0000}"/>
    <cellStyle name="Процентный 6 2 107 8" xfId="41450" xr:uid="{00000000-0005-0000-0000-0000F3CB0000}"/>
    <cellStyle name="Процентный 6 2 107 9" xfId="46790" xr:uid="{00000000-0005-0000-0000-0000F4CB0000}"/>
    <cellStyle name="Процентный 6 2 108" xfId="4099" xr:uid="{00000000-0005-0000-0000-0000F5CB0000}"/>
    <cellStyle name="Процентный 6 2 108 10" xfId="52162" xr:uid="{00000000-0005-0000-0000-0000F6CB0000}"/>
    <cellStyle name="Процентный 6 2 108 2" xfId="9442" xr:uid="{00000000-0005-0000-0000-0000F7CB0000}"/>
    <cellStyle name="Процентный 6 2 108 2 2" xfId="57503" xr:uid="{00000000-0005-0000-0000-0000F8CB0000}"/>
    <cellStyle name="Процентный 6 2 108 3" xfId="14782" xr:uid="{00000000-0005-0000-0000-0000F9CB0000}"/>
    <cellStyle name="Процентный 6 2 108 4" xfId="20122" xr:uid="{00000000-0005-0000-0000-0000FACB0000}"/>
    <cellStyle name="Процентный 6 2 108 5" xfId="25462" xr:uid="{00000000-0005-0000-0000-0000FBCB0000}"/>
    <cellStyle name="Процентный 6 2 108 6" xfId="30802" xr:uid="{00000000-0005-0000-0000-0000FCCB0000}"/>
    <cellStyle name="Процентный 6 2 108 7" xfId="36142" xr:uid="{00000000-0005-0000-0000-0000FDCB0000}"/>
    <cellStyle name="Процентный 6 2 108 8" xfId="41482" xr:uid="{00000000-0005-0000-0000-0000FECB0000}"/>
    <cellStyle name="Процентный 6 2 108 9" xfId="46822" xr:uid="{00000000-0005-0000-0000-0000FFCB0000}"/>
    <cellStyle name="Процентный 6 2 109" xfId="4131" xr:uid="{00000000-0005-0000-0000-000000CC0000}"/>
    <cellStyle name="Процентный 6 2 109 10" xfId="52194" xr:uid="{00000000-0005-0000-0000-000001CC0000}"/>
    <cellStyle name="Процентный 6 2 109 2" xfId="9474" xr:uid="{00000000-0005-0000-0000-000002CC0000}"/>
    <cellStyle name="Процентный 6 2 109 2 2" xfId="57535" xr:uid="{00000000-0005-0000-0000-000003CC0000}"/>
    <cellStyle name="Процентный 6 2 109 3" xfId="14814" xr:uid="{00000000-0005-0000-0000-000004CC0000}"/>
    <cellStyle name="Процентный 6 2 109 4" xfId="20154" xr:uid="{00000000-0005-0000-0000-000005CC0000}"/>
    <cellStyle name="Процентный 6 2 109 5" xfId="25494" xr:uid="{00000000-0005-0000-0000-000006CC0000}"/>
    <cellStyle name="Процентный 6 2 109 6" xfId="30834" xr:uid="{00000000-0005-0000-0000-000007CC0000}"/>
    <cellStyle name="Процентный 6 2 109 7" xfId="36174" xr:uid="{00000000-0005-0000-0000-000008CC0000}"/>
    <cellStyle name="Процентный 6 2 109 8" xfId="41514" xr:uid="{00000000-0005-0000-0000-000009CC0000}"/>
    <cellStyle name="Процентный 6 2 109 9" xfId="46854" xr:uid="{00000000-0005-0000-0000-00000ACC0000}"/>
    <cellStyle name="Процентный 6 2 11" xfId="1211" xr:uid="{00000000-0005-0000-0000-00000BCC0000}"/>
    <cellStyle name="Процентный 6 2 11 10" xfId="49274" xr:uid="{00000000-0005-0000-0000-00000CCC0000}"/>
    <cellStyle name="Процентный 6 2 11 2" xfId="6553" xr:uid="{00000000-0005-0000-0000-00000DCC0000}"/>
    <cellStyle name="Процентный 6 2 11 2 2" xfId="54615" xr:uid="{00000000-0005-0000-0000-00000ECC0000}"/>
    <cellStyle name="Процентный 6 2 11 3" xfId="11894" xr:uid="{00000000-0005-0000-0000-00000FCC0000}"/>
    <cellStyle name="Процентный 6 2 11 4" xfId="17234" xr:uid="{00000000-0005-0000-0000-000010CC0000}"/>
    <cellStyle name="Процентный 6 2 11 5" xfId="22574" xr:uid="{00000000-0005-0000-0000-000011CC0000}"/>
    <cellStyle name="Процентный 6 2 11 6" xfId="27914" xr:uid="{00000000-0005-0000-0000-000012CC0000}"/>
    <cellStyle name="Процентный 6 2 11 7" xfId="33254" xr:uid="{00000000-0005-0000-0000-000013CC0000}"/>
    <cellStyle name="Процентный 6 2 11 8" xfId="38594" xr:uid="{00000000-0005-0000-0000-000014CC0000}"/>
    <cellStyle name="Процентный 6 2 11 9" xfId="43934" xr:uid="{00000000-0005-0000-0000-000015CC0000}"/>
    <cellStyle name="Процентный 6 2 110" xfId="4163" xr:uid="{00000000-0005-0000-0000-000016CC0000}"/>
    <cellStyle name="Процентный 6 2 110 10" xfId="52226" xr:uid="{00000000-0005-0000-0000-000017CC0000}"/>
    <cellStyle name="Процентный 6 2 110 2" xfId="9506" xr:uid="{00000000-0005-0000-0000-000018CC0000}"/>
    <cellStyle name="Процентный 6 2 110 2 2" xfId="57567" xr:uid="{00000000-0005-0000-0000-000019CC0000}"/>
    <cellStyle name="Процентный 6 2 110 3" xfId="14846" xr:uid="{00000000-0005-0000-0000-00001ACC0000}"/>
    <cellStyle name="Процентный 6 2 110 4" xfId="20186" xr:uid="{00000000-0005-0000-0000-00001BCC0000}"/>
    <cellStyle name="Процентный 6 2 110 5" xfId="25526" xr:uid="{00000000-0005-0000-0000-00001CCC0000}"/>
    <cellStyle name="Процентный 6 2 110 6" xfId="30866" xr:uid="{00000000-0005-0000-0000-00001DCC0000}"/>
    <cellStyle name="Процентный 6 2 110 7" xfId="36206" xr:uid="{00000000-0005-0000-0000-00001ECC0000}"/>
    <cellStyle name="Процентный 6 2 110 8" xfId="41546" xr:uid="{00000000-0005-0000-0000-00001FCC0000}"/>
    <cellStyle name="Процентный 6 2 110 9" xfId="46886" xr:uid="{00000000-0005-0000-0000-000020CC0000}"/>
    <cellStyle name="Процентный 6 2 111" xfId="4195" xr:uid="{00000000-0005-0000-0000-000021CC0000}"/>
    <cellStyle name="Процентный 6 2 111 10" xfId="52258" xr:uid="{00000000-0005-0000-0000-000022CC0000}"/>
    <cellStyle name="Процентный 6 2 111 2" xfId="9538" xr:uid="{00000000-0005-0000-0000-000023CC0000}"/>
    <cellStyle name="Процентный 6 2 111 2 2" xfId="57599" xr:uid="{00000000-0005-0000-0000-000024CC0000}"/>
    <cellStyle name="Процентный 6 2 111 3" xfId="14878" xr:uid="{00000000-0005-0000-0000-000025CC0000}"/>
    <cellStyle name="Процентный 6 2 111 4" xfId="20218" xr:uid="{00000000-0005-0000-0000-000026CC0000}"/>
    <cellStyle name="Процентный 6 2 111 5" xfId="25558" xr:uid="{00000000-0005-0000-0000-000027CC0000}"/>
    <cellStyle name="Процентный 6 2 111 6" xfId="30898" xr:uid="{00000000-0005-0000-0000-000028CC0000}"/>
    <cellStyle name="Процентный 6 2 111 7" xfId="36238" xr:uid="{00000000-0005-0000-0000-000029CC0000}"/>
    <cellStyle name="Процентный 6 2 111 8" xfId="41578" xr:uid="{00000000-0005-0000-0000-00002ACC0000}"/>
    <cellStyle name="Процентный 6 2 111 9" xfId="46918" xr:uid="{00000000-0005-0000-0000-00002BCC0000}"/>
    <cellStyle name="Процентный 6 2 112" xfId="4227" xr:uid="{00000000-0005-0000-0000-00002CCC0000}"/>
    <cellStyle name="Процентный 6 2 112 10" xfId="52290" xr:uid="{00000000-0005-0000-0000-00002DCC0000}"/>
    <cellStyle name="Процентный 6 2 112 2" xfId="9570" xr:uid="{00000000-0005-0000-0000-00002ECC0000}"/>
    <cellStyle name="Процентный 6 2 112 2 2" xfId="57631" xr:uid="{00000000-0005-0000-0000-00002FCC0000}"/>
    <cellStyle name="Процентный 6 2 112 3" xfId="14910" xr:uid="{00000000-0005-0000-0000-000030CC0000}"/>
    <cellStyle name="Процентный 6 2 112 4" xfId="20250" xr:uid="{00000000-0005-0000-0000-000031CC0000}"/>
    <cellStyle name="Процентный 6 2 112 5" xfId="25590" xr:uid="{00000000-0005-0000-0000-000032CC0000}"/>
    <cellStyle name="Процентный 6 2 112 6" xfId="30930" xr:uid="{00000000-0005-0000-0000-000033CC0000}"/>
    <cellStyle name="Процентный 6 2 112 7" xfId="36270" xr:uid="{00000000-0005-0000-0000-000034CC0000}"/>
    <cellStyle name="Процентный 6 2 112 8" xfId="41610" xr:uid="{00000000-0005-0000-0000-000035CC0000}"/>
    <cellStyle name="Процентный 6 2 112 9" xfId="46950" xr:uid="{00000000-0005-0000-0000-000036CC0000}"/>
    <cellStyle name="Процентный 6 2 113" xfId="4259" xr:uid="{00000000-0005-0000-0000-000037CC0000}"/>
    <cellStyle name="Процентный 6 2 113 10" xfId="52322" xr:uid="{00000000-0005-0000-0000-000038CC0000}"/>
    <cellStyle name="Процентный 6 2 113 2" xfId="9602" xr:uid="{00000000-0005-0000-0000-000039CC0000}"/>
    <cellStyle name="Процентный 6 2 113 2 2" xfId="57663" xr:uid="{00000000-0005-0000-0000-00003ACC0000}"/>
    <cellStyle name="Процентный 6 2 113 3" xfId="14942" xr:uid="{00000000-0005-0000-0000-00003BCC0000}"/>
    <cellStyle name="Процентный 6 2 113 4" xfId="20282" xr:uid="{00000000-0005-0000-0000-00003CCC0000}"/>
    <cellStyle name="Процентный 6 2 113 5" xfId="25622" xr:uid="{00000000-0005-0000-0000-00003DCC0000}"/>
    <cellStyle name="Процентный 6 2 113 6" xfId="30962" xr:uid="{00000000-0005-0000-0000-00003ECC0000}"/>
    <cellStyle name="Процентный 6 2 113 7" xfId="36302" xr:uid="{00000000-0005-0000-0000-00003FCC0000}"/>
    <cellStyle name="Процентный 6 2 113 8" xfId="41642" xr:uid="{00000000-0005-0000-0000-000040CC0000}"/>
    <cellStyle name="Процентный 6 2 113 9" xfId="46982" xr:uid="{00000000-0005-0000-0000-000041CC0000}"/>
    <cellStyle name="Процентный 6 2 114" xfId="4291" xr:uid="{00000000-0005-0000-0000-000042CC0000}"/>
    <cellStyle name="Процентный 6 2 114 10" xfId="52354" xr:uid="{00000000-0005-0000-0000-000043CC0000}"/>
    <cellStyle name="Процентный 6 2 114 2" xfId="9634" xr:uid="{00000000-0005-0000-0000-000044CC0000}"/>
    <cellStyle name="Процентный 6 2 114 2 2" xfId="57695" xr:uid="{00000000-0005-0000-0000-000045CC0000}"/>
    <cellStyle name="Процентный 6 2 114 3" xfId="14974" xr:uid="{00000000-0005-0000-0000-000046CC0000}"/>
    <cellStyle name="Процентный 6 2 114 4" xfId="20314" xr:uid="{00000000-0005-0000-0000-000047CC0000}"/>
    <cellStyle name="Процентный 6 2 114 5" xfId="25654" xr:uid="{00000000-0005-0000-0000-000048CC0000}"/>
    <cellStyle name="Процентный 6 2 114 6" xfId="30994" xr:uid="{00000000-0005-0000-0000-000049CC0000}"/>
    <cellStyle name="Процентный 6 2 114 7" xfId="36334" xr:uid="{00000000-0005-0000-0000-00004ACC0000}"/>
    <cellStyle name="Процентный 6 2 114 8" xfId="41674" xr:uid="{00000000-0005-0000-0000-00004BCC0000}"/>
    <cellStyle name="Процентный 6 2 114 9" xfId="47014" xr:uid="{00000000-0005-0000-0000-00004CCC0000}"/>
    <cellStyle name="Процентный 6 2 115" xfId="4323" xr:uid="{00000000-0005-0000-0000-00004DCC0000}"/>
    <cellStyle name="Процентный 6 2 115 10" xfId="52386" xr:uid="{00000000-0005-0000-0000-00004ECC0000}"/>
    <cellStyle name="Процентный 6 2 115 2" xfId="9666" xr:uid="{00000000-0005-0000-0000-00004FCC0000}"/>
    <cellStyle name="Процентный 6 2 115 2 2" xfId="57727" xr:uid="{00000000-0005-0000-0000-000050CC0000}"/>
    <cellStyle name="Процентный 6 2 115 3" xfId="15006" xr:uid="{00000000-0005-0000-0000-000051CC0000}"/>
    <cellStyle name="Процентный 6 2 115 4" xfId="20346" xr:uid="{00000000-0005-0000-0000-000052CC0000}"/>
    <cellStyle name="Процентный 6 2 115 5" xfId="25686" xr:uid="{00000000-0005-0000-0000-000053CC0000}"/>
    <cellStyle name="Процентный 6 2 115 6" xfId="31026" xr:uid="{00000000-0005-0000-0000-000054CC0000}"/>
    <cellStyle name="Процентный 6 2 115 7" xfId="36366" xr:uid="{00000000-0005-0000-0000-000055CC0000}"/>
    <cellStyle name="Процентный 6 2 115 8" xfId="41706" xr:uid="{00000000-0005-0000-0000-000056CC0000}"/>
    <cellStyle name="Процентный 6 2 115 9" xfId="47046" xr:uid="{00000000-0005-0000-0000-000057CC0000}"/>
    <cellStyle name="Процентный 6 2 116" xfId="4355" xr:uid="{00000000-0005-0000-0000-000058CC0000}"/>
    <cellStyle name="Процентный 6 2 116 10" xfId="52418" xr:uid="{00000000-0005-0000-0000-000059CC0000}"/>
    <cellStyle name="Процентный 6 2 116 2" xfId="9698" xr:uid="{00000000-0005-0000-0000-00005ACC0000}"/>
    <cellStyle name="Процентный 6 2 116 2 2" xfId="57759" xr:uid="{00000000-0005-0000-0000-00005BCC0000}"/>
    <cellStyle name="Процентный 6 2 116 3" xfId="15038" xr:uid="{00000000-0005-0000-0000-00005CCC0000}"/>
    <cellStyle name="Процентный 6 2 116 4" xfId="20378" xr:uid="{00000000-0005-0000-0000-00005DCC0000}"/>
    <cellStyle name="Процентный 6 2 116 5" xfId="25718" xr:uid="{00000000-0005-0000-0000-00005ECC0000}"/>
    <cellStyle name="Процентный 6 2 116 6" xfId="31058" xr:uid="{00000000-0005-0000-0000-00005FCC0000}"/>
    <cellStyle name="Процентный 6 2 116 7" xfId="36398" xr:uid="{00000000-0005-0000-0000-000060CC0000}"/>
    <cellStyle name="Процентный 6 2 116 8" xfId="41738" xr:uid="{00000000-0005-0000-0000-000061CC0000}"/>
    <cellStyle name="Процентный 6 2 116 9" xfId="47078" xr:uid="{00000000-0005-0000-0000-000062CC0000}"/>
    <cellStyle name="Процентный 6 2 117" xfId="4387" xr:uid="{00000000-0005-0000-0000-000063CC0000}"/>
    <cellStyle name="Процентный 6 2 117 10" xfId="52450" xr:uid="{00000000-0005-0000-0000-000064CC0000}"/>
    <cellStyle name="Процентный 6 2 117 2" xfId="9730" xr:uid="{00000000-0005-0000-0000-000065CC0000}"/>
    <cellStyle name="Процентный 6 2 117 2 2" xfId="57791" xr:uid="{00000000-0005-0000-0000-000066CC0000}"/>
    <cellStyle name="Процентный 6 2 117 3" xfId="15070" xr:uid="{00000000-0005-0000-0000-000067CC0000}"/>
    <cellStyle name="Процентный 6 2 117 4" xfId="20410" xr:uid="{00000000-0005-0000-0000-000068CC0000}"/>
    <cellStyle name="Процентный 6 2 117 5" xfId="25750" xr:uid="{00000000-0005-0000-0000-000069CC0000}"/>
    <cellStyle name="Процентный 6 2 117 6" xfId="31090" xr:uid="{00000000-0005-0000-0000-00006ACC0000}"/>
    <cellStyle name="Процентный 6 2 117 7" xfId="36430" xr:uid="{00000000-0005-0000-0000-00006BCC0000}"/>
    <cellStyle name="Процентный 6 2 117 8" xfId="41770" xr:uid="{00000000-0005-0000-0000-00006CCC0000}"/>
    <cellStyle name="Процентный 6 2 117 9" xfId="47110" xr:uid="{00000000-0005-0000-0000-00006DCC0000}"/>
    <cellStyle name="Процентный 6 2 118" xfId="4419" xr:uid="{00000000-0005-0000-0000-00006ECC0000}"/>
    <cellStyle name="Процентный 6 2 118 10" xfId="52482" xr:uid="{00000000-0005-0000-0000-00006FCC0000}"/>
    <cellStyle name="Процентный 6 2 118 2" xfId="9762" xr:uid="{00000000-0005-0000-0000-000070CC0000}"/>
    <cellStyle name="Процентный 6 2 118 2 2" xfId="57823" xr:uid="{00000000-0005-0000-0000-000071CC0000}"/>
    <cellStyle name="Процентный 6 2 118 3" xfId="15102" xr:uid="{00000000-0005-0000-0000-000072CC0000}"/>
    <cellStyle name="Процентный 6 2 118 4" xfId="20442" xr:uid="{00000000-0005-0000-0000-000073CC0000}"/>
    <cellStyle name="Процентный 6 2 118 5" xfId="25782" xr:uid="{00000000-0005-0000-0000-000074CC0000}"/>
    <cellStyle name="Процентный 6 2 118 6" xfId="31122" xr:uid="{00000000-0005-0000-0000-000075CC0000}"/>
    <cellStyle name="Процентный 6 2 118 7" xfId="36462" xr:uid="{00000000-0005-0000-0000-000076CC0000}"/>
    <cellStyle name="Процентный 6 2 118 8" xfId="41802" xr:uid="{00000000-0005-0000-0000-000077CC0000}"/>
    <cellStyle name="Процентный 6 2 118 9" xfId="47142" xr:uid="{00000000-0005-0000-0000-000078CC0000}"/>
    <cellStyle name="Процентный 6 2 119" xfId="4451" xr:uid="{00000000-0005-0000-0000-000079CC0000}"/>
    <cellStyle name="Процентный 6 2 119 10" xfId="52514" xr:uid="{00000000-0005-0000-0000-00007ACC0000}"/>
    <cellStyle name="Процентный 6 2 119 2" xfId="9794" xr:uid="{00000000-0005-0000-0000-00007BCC0000}"/>
    <cellStyle name="Процентный 6 2 119 2 2" xfId="57855" xr:uid="{00000000-0005-0000-0000-00007CCC0000}"/>
    <cellStyle name="Процентный 6 2 119 3" xfId="15134" xr:uid="{00000000-0005-0000-0000-00007DCC0000}"/>
    <cellStyle name="Процентный 6 2 119 4" xfId="20474" xr:uid="{00000000-0005-0000-0000-00007ECC0000}"/>
    <cellStyle name="Процентный 6 2 119 5" xfId="25814" xr:uid="{00000000-0005-0000-0000-00007FCC0000}"/>
    <cellStyle name="Процентный 6 2 119 6" xfId="31154" xr:uid="{00000000-0005-0000-0000-000080CC0000}"/>
    <cellStyle name="Процентный 6 2 119 7" xfId="36494" xr:uid="{00000000-0005-0000-0000-000081CC0000}"/>
    <cellStyle name="Процентный 6 2 119 8" xfId="41834" xr:uid="{00000000-0005-0000-0000-000082CC0000}"/>
    <cellStyle name="Процентный 6 2 119 9" xfId="47174" xr:uid="{00000000-0005-0000-0000-000083CC0000}"/>
    <cellStyle name="Процентный 6 2 12" xfId="1237" xr:uid="{00000000-0005-0000-0000-000084CC0000}"/>
    <cellStyle name="Процентный 6 2 12 10" xfId="49300" xr:uid="{00000000-0005-0000-0000-000085CC0000}"/>
    <cellStyle name="Процентный 6 2 12 2" xfId="6579" xr:uid="{00000000-0005-0000-0000-000086CC0000}"/>
    <cellStyle name="Процентный 6 2 12 2 2" xfId="54641" xr:uid="{00000000-0005-0000-0000-000087CC0000}"/>
    <cellStyle name="Процентный 6 2 12 3" xfId="11920" xr:uid="{00000000-0005-0000-0000-000088CC0000}"/>
    <cellStyle name="Процентный 6 2 12 4" xfId="17260" xr:uid="{00000000-0005-0000-0000-000089CC0000}"/>
    <cellStyle name="Процентный 6 2 12 5" xfId="22600" xr:uid="{00000000-0005-0000-0000-00008ACC0000}"/>
    <cellStyle name="Процентный 6 2 12 6" xfId="27940" xr:uid="{00000000-0005-0000-0000-00008BCC0000}"/>
    <cellStyle name="Процентный 6 2 12 7" xfId="33280" xr:uid="{00000000-0005-0000-0000-00008CCC0000}"/>
    <cellStyle name="Процентный 6 2 12 8" xfId="38620" xr:uid="{00000000-0005-0000-0000-00008DCC0000}"/>
    <cellStyle name="Процентный 6 2 12 9" xfId="43960" xr:uid="{00000000-0005-0000-0000-00008ECC0000}"/>
    <cellStyle name="Процентный 6 2 120" xfId="4483" xr:uid="{00000000-0005-0000-0000-00008FCC0000}"/>
    <cellStyle name="Процентный 6 2 120 10" xfId="52546" xr:uid="{00000000-0005-0000-0000-000090CC0000}"/>
    <cellStyle name="Процентный 6 2 120 2" xfId="9826" xr:uid="{00000000-0005-0000-0000-000091CC0000}"/>
    <cellStyle name="Процентный 6 2 120 2 2" xfId="57887" xr:uid="{00000000-0005-0000-0000-000092CC0000}"/>
    <cellStyle name="Процентный 6 2 120 3" xfId="15166" xr:uid="{00000000-0005-0000-0000-000093CC0000}"/>
    <cellStyle name="Процентный 6 2 120 4" xfId="20506" xr:uid="{00000000-0005-0000-0000-000094CC0000}"/>
    <cellStyle name="Процентный 6 2 120 5" xfId="25846" xr:uid="{00000000-0005-0000-0000-000095CC0000}"/>
    <cellStyle name="Процентный 6 2 120 6" xfId="31186" xr:uid="{00000000-0005-0000-0000-000096CC0000}"/>
    <cellStyle name="Процентный 6 2 120 7" xfId="36526" xr:uid="{00000000-0005-0000-0000-000097CC0000}"/>
    <cellStyle name="Процентный 6 2 120 8" xfId="41866" xr:uid="{00000000-0005-0000-0000-000098CC0000}"/>
    <cellStyle name="Процентный 6 2 120 9" xfId="47206" xr:uid="{00000000-0005-0000-0000-000099CC0000}"/>
    <cellStyle name="Процентный 6 2 121" xfId="4515" xr:uid="{00000000-0005-0000-0000-00009ACC0000}"/>
    <cellStyle name="Процентный 6 2 121 10" xfId="52578" xr:uid="{00000000-0005-0000-0000-00009BCC0000}"/>
    <cellStyle name="Процентный 6 2 121 2" xfId="9858" xr:uid="{00000000-0005-0000-0000-00009CCC0000}"/>
    <cellStyle name="Процентный 6 2 121 2 2" xfId="57919" xr:uid="{00000000-0005-0000-0000-00009DCC0000}"/>
    <cellStyle name="Процентный 6 2 121 3" xfId="15198" xr:uid="{00000000-0005-0000-0000-00009ECC0000}"/>
    <cellStyle name="Процентный 6 2 121 4" xfId="20538" xr:uid="{00000000-0005-0000-0000-00009FCC0000}"/>
    <cellStyle name="Процентный 6 2 121 5" xfId="25878" xr:uid="{00000000-0005-0000-0000-0000A0CC0000}"/>
    <cellStyle name="Процентный 6 2 121 6" xfId="31218" xr:uid="{00000000-0005-0000-0000-0000A1CC0000}"/>
    <cellStyle name="Процентный 6 2 121 7" xfId="36558" xr:uid="{00000000-0005-0000-0000-0000A2CC0000}"/>
    <cellStyle name="Процентный 6 2 121 8" xfId="41898" xr:uid="{00000000-0005-0000-0000-0000A3CC0000}"/>
    <cellStyle name="Процентный 6 2 121 9" xfId="47238" xr:uid="{00000000-0005-0000-0000-0000A4CC0000}"/>
    <cellStyle name="Процентный 6 2 122" xfId="4547" xr:uid="{00000000-0005-0000-0000-0000A5CC0000}"/>
    <cellStyle name="Процентный 6 2 122 10" xfId="52610" xr:uid="{00000000-0005-0000-0000-0000A6CC0000}"/>
    <cellStyle name="Процентный 6 2 122 2" xfId="9890" xr:uid="{00000000-0005-0000-0000-0000A7CC0000}"/>
    <cellStyle name="Процентный 6 2 122 2 2" xfId="57951" xr:uid="{00000000-0005-0000-0000-0000A8CC0000}"/>
    <cellStyle name="Процентный 6 2 122 3" xfId="15230" xr:uid="{00000000-0005-0000-0000-0000A9CC0000}"/>
    <cellStyle name="Процентный 6 2 122 4" xfId="20570" xr:uid="{00000000-0005-0000-0000-0000AACC0000}"/>
    <cellStyle name="Процентный 6 2 122 5" xfId="25910" xr:uid="{00000000-0005-0000-0000-0000ABCC0000}"/>
    <cellStyle name="Процентный 6 2 122 6" xfId="31250" xr:uid="{00000000-0005-0000-0000-0000ACCC0000}"/>
    <cellStyle name="Процентный 6 2 122 7" xfId="36590" xr:uid="{00000000-0005-0000-0000-0000ADCC0000}"/>
    <cellStyle name="Процентный 6 2 122 8" xfId="41930" xr:uid="{00000000-0005-0000-0000-0000AECC0000}"/>
    <cellStyle name="Процентный 6 2 122 9" xfId="47270" xr:uid="{00000000-0005-0000-0000-0000AFCC0000}"/>
    <cellStyle name="Процентный 6 2 123" xfId="4579" xr:uid="{00000000-0005-0000-0000-0000B0CC0000}"/>
    <cellStyle name="Процентный 6 2 123 10" xfId="52642" xr:uid="{00000000-0005-0000-0000-0000B1CC0000}"/>
    <cellStyle name="Процентный 6 2 123 2" xfId="9922" xr:uid="{00000000-0005-0000-0000-0000B2CC0000}"/>
    <cellStyle name="Процентный 6 2 123 2 2" xfId="57983" xr:uid="{00000000-0005-0000-0000-0000B3CC0000}"/>
    <cellStyle name="Процентный 6 2 123 3" xfId="15262" xr:uid="{00000000-0005-0000-0000-0000B4CC0000}"/>
    <cellStyle name="Процентный 6 2 123 4" xfId="20602" xr:uid="{00000000-0005-0000-0000-0000B5CC0000}"/>
    <cellStyle name="Процентный 6 2 123 5" xfId="25942" xr:uid="{00000000-0005-0000-0000-0000B6CC0000}"/>
    <cellStyle name="Процентный 6 2 123 6" xfId="31282" xr:uid="{00000000-0005-0000-0000-0000B7CC0000}"/>
    <cellStyle name="Процентный 6 2 123 7" xfId="36622" xr:uid="{00000000-0005-0000-0000-0000B8CC0000}"/>
    <cellStyle name="Процентный 6 2 123 8" xfId="41962" xr:uid="{00000000-0005-0000-0000-0000B9CC0000}"/>
    <cellStyle name="Процентный 6 2 123 9" xfId="47302" xr:uid="{00000000-0005-0000-0000-0000BACC0000}"/>
    <cellStyle name="Процентный 6 2 124" xfId="4611" xr:uid="{00000000-0005-0000-0000-0000BBCC0000}"/>
    <cellStyle name="Процентный 6 2 124 10" xfId="52674" xr:uid="{00000000-0005-0000-0000-0000BCCC0000}"/>
    <cellStyle name="Процентный 6 2 124 2" xfId="9954" xr:uid="{00000000-0005-0000-0000-0000BDCC0000}"/>
    <cellStyle name="Процентный 6 2 124 2 2" xfId="58015" xr:uid="{00000000-0005-0000-0000-0000BECC0000}"/>
    <cellStyle name="Процентный 6 2 124 3" xfId="15294" xr:uid="{00000000-0005-0000-0000-0000BFCC0000}"/>
    <cellStyle name="Процентный 6 2 124 4" xfId="20634" xr:uid="{00000000-0005-0000-0000-0000C0CC0000}"/>
    <cellStyle name="Процентный 6 2 124 5" xfId="25974" xr:uid="{00000000-0005-0000-0000-0000C1CC0000}"/>
    <cellStyle name="Процентный 6 2 124 6" xfId="31314" xr:uid="{00000000-0005-0000-0000-0000C2CC0000}"/>
    <cellStyle name="Процентный 6 2 124 7" xfId="36654" xr:uid="{00000000-0005-0000-0000-0000C3CC0000}"/>
    <cellStyle name="Процентный 6 2 124 8" xfId="41994" xr:uid="{00000000-0005-0000-0000-0000C4CC0000}"/>
    <cellStyle name="Процентный 6 2 124 9" xfId="47334" xr:uid="{00000000-0005-0000-0000-0000C5CC0000}"/>
    <cellStyle name="Процентный 6 2 125" xfId="4643" xr:uid="{00000000-0005-0000-0000-0000C6CC0000}"/>
    <cellStyle name="Процентный 6 2 125 10" xfId="52706" xr:uid="{00000000-0005-0000-0000-0000C7CC0000}"/>
    <cellStyle name="Процентный 6 2 125 2" xfId="9986" xr:uid="{00000000-0005-0000-0000-0000C8CC0000}"/>
    <cellStyle name="Процентный 6 2 125 2 2" xfId="58047" xr:uid="{00000000-0005-0000-0000-0000C9CC0000}"/>
    <cellStyle name="Процентный 6 2 125 3" xfId="15326" xr:uid="{00000000-0005-0000-0000-0000CACC0000}"/>
    <cellStyle name="Процентный 6 2 125 4" xfId="20666" xr:uid="{00000000-0005-0000-0000-0000CBCC0000}"/>
    <cellStyle name="Процентный 6 2 125 5" xfId="26006" xr:uid="{00000000-0005-0000-0000-0000CCCC0000}"/>
    <cellStyle name="Процентный 6 2 125 6" xfId="31346" xr:uid="{00000000-0005-0000-0000-0000CDCC0000}"/>
    <cellStyle name="Процентный 6 2 125 7" xfId="36686" xr:uid="{00000000-0005-0000-0000-0000CECC0000}"/>
    <cellStyle name="Процентный 6 2 125 8" xfId="42026" xr:uid="{00000000-0005-0000-0000-0000CFCC0000}"/>
    <cellStyle name="Процентный 6 2 125 9" xfId="47366" xr:uid="{00000000-0005-0000-0000-0000D0CC0000}"/>
    <cellStyle name="Процентный 6 2 126" xfId="4675" xr:uid="{00000000-0005-0000-0000-0000D1CC0000}"/>
    <cellStyle name="Процентный 6 2 126 10" xfId="52738" xr:uid="{00000000-0005-0000-0000-0000D2CC0000}"/>
    <cellStyle name="Процентный 6 2 126 2" xfId="10018" xr:uid="{00000000-0005-0000-0000-0000D3CC0000}"/>
    <cellStyle name="Процентный 6 2 126 2 2" xfId="58079" xr:uid="{00000000-0005-0000-0000-0000D4CC0000}"/>
    <cellStyle name="Процентный 6 2 126 3" xfId="15358" xr:uid="{00000000-0005-0000-0000-0000D5CC0000}"/>
    <cellStyle name="Процентный 6 2 126 4" xfId="20698" xr:uid="{00000000-0005-0000-0000-0000D6CC0000}"/>
    <cellStyle name="Процентный 6 2 126 5" xfId="26038" xr:uid="{00000000-0005-0000-0000-0000D7CC0000}"/>
    <cellStyle name="Процентный 6 2 126 6" xfId="31378" xr:uid="{00000000-0005-0000-0000-0000D8CC0000}"/>
    <cellStyle name="Процентный 6 2 126 7" xfId="36718" xr:uid="{00000000-0005-0000-0000-0000D9CC0000}"/>
    <cellStyle name="Процентный 6 2 126 8" xfId="42058" xr:uid="{00000000-0005-0000-0000-0000DACC0000}"/>
    <cellStyle name="Процентный 6 2 126 9" xfId="47398" xr:uid="{00000000-0005-0000-0000-0000DBCC0000}"/>
    <cellStyle name="Процентный 6 2 127" xfId="4707" xr:uid="{00000000-0005-0000-0000-0000DCCC0000}"/>
    <cellStyle name="Процентный 6 2 127 10" xfId="52770" xr:uid="{00000000-0005-0000-0000-0000DDCC0000}"/>
    <cellStyle name="Процентный 6 2 127 2" xfId="10050" xr:uid="{00000000-0005-0000-0000-0000DECC0000}"/>
    <cellStyle name="Процентный 6 2 127 2 2" xfId="58111" xr:uid="{00000000-0005-0000-0000-0000DFCC0000}"/>
    <cellStyle name="Процентный 6 2 127 3" xfId="15390" xr:uid="{00000000-0005-0000-0000-0000E0CC0000}"/>
    <cellStyle name="Процентный 6 2 127 4" xfId="20730" xr:uid="{00000000-0005-0000-0000-0000E1CC0000}"/>
    <cellStyle name="Процентный 6 2 127 5" xfId="26070" xr:uid="{00000000-0005-0000-0000-0000E2CC0000}"/>
    <cellStyle name="Процентный 6 2 127 6" xfId="31410" xr:uid="{00000000-0005-0000-0000-0000E3CC0000}"/>
    <cellStyle name="Процентный 6 2 127 7" xfId="36750" xr:uid="{00000000-0005-0000-0000-0000E4CC0000}"/>
    <cellStyle name="Процентный 6 2 127 8" xfId="42090" xr:uid="{00000000-0005-0000-0000-0000E5CC0000}"/>
    <cellStyle name="Процентный 6 2 127 9" xfId="47430" xr:uid="{00000000-0005-0000-0000-0000E6CC0000}"/>
    <cellStyle name="Процентный 6 2 128" xfId="4741" xr:uid="{00000000-0005-0000-0000-0000E7CC0000}"/>
    <cellStyle name="Процентный 6 2 128 10" xfId="52804" xr:uid="{00000000-0005-0000-0000-0000E8CC0000}"/>
    <cellStyle name="Процентный 6 2 128 2" xfId="10084" xr:uid="{00000000-0005-0000-0000-0000E9CC0000}"/>
    <cellStyle name="Процентный 6 2 128 2 2" xfId="58145" xr:uid="{00000000-0005-0000-0000-0000EACC0000}"/>
    <cellStyle name="Процентный 6 2 128 3" xfId="15424" xr:uid="{00000000-0005-0000-0000-0000EBCC0000}"/>
    <cellStyle name="Процентный 6 2 128 4" xfId="20764" xr:uid="{00000000-0005-0000-0000-0000ECCC0000}"/>
    <cellStyle name="Процентный 6 2 128 5" xfId="26104" xr:uid="{00000000-0005-0000-0000-0000EDCC0000}"/>
    <cellStyle name="Процентный 6 2 128 6" xfId="31444" xr:uid="{00000000-0005-0000-0000-0000EECC0000}"/>
    <cellStyle name="Процентный 6 2 128 7" xfId="36784" xr:uid="{00000000-0005-0000-0000-0000EFCC0000}"/>
    <cellStyle name="Процентный 6 2 128 8" xfId="42124" xr:uid="{00000000-0005-0000-0000-0000F0CC0000}"/>
    <cellStyle name="Процентный 6 2 128 9" xfId="47464" xr:uid="{00000000-0005-0000-0000-0000F1CC0000}"/>
    <cellStyle name="Процентный 6 2 129" xfId="4773" xr:uid="{00000000-0005-0000-0000-0000F2CC0000}"/>
    <cellStyle name="Процентный 6 2 129 10" xfId="52836" xr:uid="{00000000-0005-0000-0000-0000F3CC0000}"/>
    <cellStyle name="Процентный 6 2 129 2" xfId="10116" xr:uid="{00000000-0005-0000-0000-0000F4CC0000}"/>
    <cellStyle name="Процентный 6 2 129 2 2" xfId="58177" xr:uid="{00000000-0005-0000-0000-0000F5CC0000}"/>
    <cellStyle name="Процентный 6 2 129 3" xfId="15456" xr:uid="{00000000-0005-0000-0000-0000F6CC0000}"/>
    <cellStyle name="Процентный 6 2 129 4" xfId="20796" xr:uid="{00000000-0005-0000-0000-0000F7CC0000}"/>
    <cellStyle name="Процентный 6 2 129 5" xfId="26136" xr:uid="{00000000-0005-0000-0000-0000F8CC0000}"/>
    <cellStyle name="Процентный 6 2 129 6" xfId="31476" xr:uid="{00000000-0005-0000-0000-0000F9CC0000}"/>
    <cellStyle name="Процентный 6 2 129 7" xfId="36816" xr:uid="{00000000-0005-0000-0000-0000FACC0000}"/>
    <cellStyle name="Процентный 6 2 129 8" xfId="42156" xr:uid="{00000000-0005-0000-0000-0000FBCC0000}"/>
    <cellStyle name="Процентный 6 2 129 9" xfId="47496" xr:uid="{00000000-0005-0000-0000-0000FCCC0000}"/>
    <cellStyle name="Процентный 6 2 13" xfId="1263" xr:uid="{00000000-0005-0000-0000-0000FDCC0000}"/>
    <cellStyle name="Процентный 6 2 13 10" xfId="49326" xr:uid="{00000000-0005-0000-0000-0000FECC0000}"/>
    <cellStyle name="Процентный 6 2 13 2" xfId="6605" xr:uid="{00000000-0005-0000-0000-0000FFCC0000}"/>
    <cellStyle name="Процентный 6 2 13 2 2" xfId="54667" xr:uid="{00000000-0005-0000-0000-000000CD0000}"/>
    <cellStyle name="Процентный 6 2 13 3" xfId="11946" xr:uid="{00000000-0005-0000-0000-000001CD0000}"/>
    <cellStyle name="Процентный 6 2 13 4" xfId="17286" xr:uid="{00000000-0005-0000-0000-000002CD0000}"/>
    <cellStyle name="Процентный 6 2 13 5" xfId="22626" xr:uid="{00000000-0005-0000-0000-000003CD0000}"/>
    <cellStyle name="Процентный 6 2 13 6" xfId="27966" xr:uid="{00000000-0005-0000-0000-000004CD0000}"/>
    <cellStyle name="Процентный 6 2 13 7" xfId="33306" xr:uid="{00000000-0005-0000-0000-000005CD0000}"/>
    <cellStyle name="Процентный 6 2 13 8" xfId="38646" xr:uid="{00000000-0005-0000-0000-000006CD0000}"/>
    <cellStyle name="Процентный 6 2 13 9" xfId="43986" xr:uid="{00000000-0005-0000-0000-000007CD0000}"/>
    <cellStyle name="Процентный 6 2 130" xfId="4805" xr:uid="{00000000-0005-0000-0000-000008CD0000}"/>
    <cellStyle name="Процентный 6 2 130 10" xfId="52868" xr:uid="{00000000-0005-0000-0000-000009CD0000}"/>
    <cellStyle name="Процентный 6 2 130 2" xfId="10148" xr:uid="{00000000-0005-0000-0000-00000ACD0000}"/>
    <cellStyle name="Процентный 6 2 130 2 2" xfId="58209" xr:uid="{00000000-0005-0000-0000-00000BCD0000}"/>
    <cellStyle name="Процентный 6 2 130 3" xfId="15488" xr:uid="{00000000-0005-0000-0000-00000CCD0000}"/>
    <cellStyle name="Процентный 6 2 130 4" xfId="20828" xr:uid="{00000000-0005-0000-0000-00000DCD0000}"/>
    <cellStyle name="Процентный 6 2 130 5" xfId="26168" xr:uid="{00000000-0005-0000-0000-00000ECD0000}"/>
    <cellStyle name="Процентный 6 2 130 6" xfId="31508" xr:uid="{00000000-0005-0000-0000-00000FCD0000}"/>
    <cellStyle name="Процентный 6 2 130 7" xfId="36848" xr:uid="{00000000-0005-0000-0000-000010CD0000}"/>
    <cellStyle name="Процентный 6 2 130 8" xfId="42188" xr:uid="{00000000-0005-0000-0000-000011CD0000}"/>
    <cellStyle name="Процентный 6 2 130 9" xfId="47528" xr:uid="{00000000-0005-0000-0000-000012CD0000}"/>
    <cellStyle name="Процентный 6 2 131" xfId="4837" xr:uid="{00000000-0005-0000-0000-000013CD0000}"/>
    <cellStyle name="Процентный 6 2 131 10" xfId="52900" xr:uid="{00000000-0005-0000-0000-000014CD0000}"/>
    <cellStyle name="Процентный 6 2 131 2" xfId="10180" xr:uid="{00000000-0005-0000-0000-000015CD0000}"/>
    <cellStyle name="Процентный 6 2 131 2 2" xfId="58241" xr:uid="{00000000-0005-0000-0000-000016CD0000}"/>
    <cellStyle name="Процентный 6 2 131 3" xfId="15520" xr:uid="{00000000-0005-0000-0000-000017CD0000}"/>
    <cellStyle name="Процентный 6 2 131 4" xfId="20860" xr:uid="{00000000-0005-0000-0000-000018CD0000}"/>
    <cellStyle name="Процентный 6 2 131 5" xfId="26200" xr:uid="{00000000-0005-0000-0000-000019CD0000}"/>
    <cellStyle name="Процентный 6 2 131 6" xfId="31540" xr:uid="{00000000-0005-0000-0000-00001ACD0000}"/>
    <cellStyle name="Процентный 6 2 131 7" xfId="36880" xr:uid="{00000000-0005-0000-0000-00001BCD0000}"/>
    <cellStyle name="Процентный 6 2 131 8" xfId="42220" xr:uid="{00000000-0005-0000-0000-00001CCD0000}"/>
    <cellStyle name="Процентный 6 2 131 9" xfId="47560" xr:uid="{00000000-0005-0000-0000-00001DCD0000}"/>
    <cellStyle name="Процентный 6 2 132" xfId="4869" xr:uid="{00000000-0005-0000-0000-00001ECD0000}"/>
    <cellStyle name="Процентный 6 2 132 10" xfId="52932" xr:uid="{00000000-0005-0000-0000-00001FCD0000}"/>
    <cellStyle name="Процентный 6 2 132 2" xfId="10212" xr:uid="{00000000-0005-0000-0000-000020CD0000}"/>
    <cellStyle name="Процентный 6 2 132 2 2" xfId="58273" xr:uid="{00000000-0005-0000-0000-000021CD0000}"/>
    <cellStyle name="Процентный 6 2 132 3" xfId="15552" xr:uid="{00000000-0005-0000-0000-000022CD0000}"/>
    <cellStyle name="Процентный 6 2 132 4" xfId="20892" xr:uid="{00000000-0005-0000-0000-000023CD0000}"/>
    <cellStyle name="Процентный 6 2 132 5" xfId="26232" xr:uid="{00000000-0005-0000-0000-000024CD0000}"/>
    <cellStyle name="Процентный 6 2 132 6" xfId="31572" xr:uid="{00000000-0005-0000-0000-000025CD0000}"/>
    <cellStyle name="Процентный 6 2 132 7" xfId="36912" xr:uid="{00000000-0005-0000-0000-000026CD0000}"/>
    <cellStyle name="Процентный 6 2 132 8" xfId="42252" xr:uid="{00000000-0005-0000-0000-000027CD0000}"/>
    <cellStyle name="Процентный 6 2 132 9" xfId="47592" xr:uid="{00000000-0005-0000-0000-000028CD0000}"/>
    <cellStyle name="Процентный 6 2 133" xfId="4901" xr:uid="{00000000-0005-0000-0000-000029CD0000}"/>
    <cellStyle name="Процентный 6 2 133 10" xfId="52964" xr:uid="{00000000-0005-0000-0000-00002ACD0000}"/>
    <cellStyle name="Процентный 6 2 133 2" xfId="10244" xr:uid="{00000000-0005-0000-0000-00002BCD0000}"/>
    <cellStyle name="Процентный 6 2 133 2 2" xfId="58305" xr:uid="{00000000-0005-0000-0000-00002CCD0000}"/>
    <cellStyle name="Процентный 6 2 133 3" xfId="15584" xr:uid="{00000000-0005-0000-0000-00002DCD0000}"/>
    <cellStyle name="Процентный 6 2 133 4" xfId="20924" xr:uid="{00000000-0005-0000-0000-00002ECD0000}"/>
    <cellStyle name="Процентный 6 2 133 5" xfId="26264" xr:uid="{00000000-0005-0000-0000-00002FCD0000}"/>
    <cellStyle name="Процентный 6 2 133 6" xfId="31604" xr:uid="{00000000-0005-0000-0000-000030CD0000}"/>
    <cellStyle name="Процентный 6 2 133 7" xfId="36944" xr:uid="{00000000-0005-0000-0000-000031CD0000}"/>
    <cellStyle name="Процентный 6 2 133 8" xfId="42284" xr:uid="{00000000-0005-0000-0000-000032CD0000}"/>
    <cellStyle name="Процентный 6 2 133 9" xfId="47624" xr:uid="{00000000-0005-0000-0000-000033CD0000}"/>
    <cellStyle name="Процентный 6 2 134" xfId="4933" xr:uid="{00000000-0005-0000-0000-000034CD0000}"/>
    <cellStyle name="Процентный 6 2 134 10" xfId="52996" xr:uid="{00000000-0005-0000-0000-000035CD0000}"/>
    <cellStyle name="Процентный 6 2 134 2" xfId="10276" xr:uid="{00000000-0005-0000-0000-000036CD0000}"/>
    <cellStyle name="Процентный 6 2 134 2 2" xfId="58337" xr:uid="{00000000-0005-0000-0000-000037CD0000}"/>
    <cellStyle name="Процентный 6 2 134 3" xfId="15616" xr:uid="{00000000-0005-0000-0000-000038CD0000}"/>
    <cellStyle name="Процентный 6 2 134 4" xfId="20956" xr:uid="{00000000-0005-0000-0000-000039CD0000}"/>
    <cellStyle name="Процентный 6 2 134 5" xfId="26296" xr:uid="{00000000-0005-0000-0000-00003ACD0000}"/>
    <cellStyle name="Процентный 6 2 134 6" xfId="31636" xr:uid="{00000000-0005-0000-0000-00003BCD0000}"/>
    <cellStyle name="Процентный 6 2 134 7" xfId="36976" xr:uid="{00000000-0005-0000-0000-00003CCD0000}"/>
    <cellStyle name="Процентный 6 2 134 8" xfId="42316" xr:uid="{00000000-0005-0000-0000-00003DCD0000}"/>
    <cellStyle name="Процентный 6 2 134 9" xfId="47656" xr:uid="{00000000-0005-0000-0000-00003ECD0000}"/>
    <cellStyle name="Процентный 6 2 135" xfId="4965" xr:uid="{00000000-0005-0000-0000-00003FCD0000}"/>
    <cellStyle name="Процентный 6 2 135 10" xfId="53028" xr:uid="{00000000-0005-0000-0000-000040CD0000}"/>
    <cellStyle name="Процентный 6 2 135 2" xfId="10308" xr:uid="{00000000-0005-0000-0000-000041CD0000}"/>
    <cellStyle name="Процентный 6 2 135 2 2" xfId="58369" xr:uid="{00000000-0005-0000-0000-000042CD0000}"/>
    <cellStyle name="Процентный 6 2 135 3" xfId="15648" xr:uid="{00000000-0005-0000-0000-000043CD0000}"/>
    <cellStyle name="Процентный 6 2 135 4" xfId="20988" xr:uid="{00000000-0005-0000-0000-000044CD0000}"/>
    <cellStyle name="Процентный 6 2 135 5" xfId="26328" xr:uid="{00000000-0005-0000-0000-000045CD0000}"/>
    <cellStyle name="Процентный 6 2 135 6" xfId="31668" xr:uid="{00000000-0005-0000-0000-000046CD0000}"/>
    <cellStyle name="Процентный 6 2 135 7" xfId="37008" xr:uid="{00000000-0005-0000-0000-000047CD0000}"/>
    <cellStyle name="Процентный 6 2 135 8" xfId="42348" xr:uid="{00000000-0005-0000-0000-000048CD0000}"/>
    <cellStyle name="Процентный 6 2 135 9" xfId="47688" xr:uid="{00000000-0005-0000-0000-000049CD0000}"/>
    <cellStyle name="Процентный 6 2 136" xfId="4997" xr:uid="{00000000-0005-0000-0000-00004ACD0000}"/>
    <cellStyle name="Процентный 6 2 136 10" xfId="53060" xr:uid="{00000000-0005-0000-0000-00004BCD0000}"/>
    <cellStyle name="Процентный 6 2 136 2" xfId="10340" xr:uid="{00000000-0005-0000-0000-00004CCD0000}"/>
    <cellStyle name="Процентный 6 2 136 2 2" xfId="58401" xr:uid="{00000000-0005-0000-0000-00004DCD0000}"/>
    <cellStyle name="Процентный 6 2 136 3" xfId="15680" xr:uid="{00000000-0005-0000-0000-00004ECD0000}"/>
    <cellStyle name="Процентный 6 2 136 4" xfId="21020" xr:uid="{00000000-0005-0000-0000-00004FCD0000}"/>
    <cellStyle name="Процентный 6 2 136 5" xfId="26360" xr:uid="{00000000-0005-0000-0000-000050CD0000}"/>
    <cellStyle name="Процентный 6 2 136 6" xfId="31700" xr:uid="{00000000-0005-0000-0000-000051CD0000}"/>
    <cellStyle name="Процентный 6 2 136 7" xfId="37040" xr:uid="{00000000-0005-0000-0000-000052CD0000}"/>
    <cellStyle name="Процентный 6 2 136 8" xfId="42380" xr:uid="{00000000-0005-0000-0000-000053CD0000}"/>
    <cellStyle name="Процентный 6 2 136 9" xfId="47720" xr:uid="{00000000-0005-0000-0000-000054CD0000}"/>
    <cellStyle name="Процентный 6 2 137" xfId="5029" xr:uid="{00000000-0005-0000-0000-000055CD0000}"/>
    <cellStyle name="Процентный 6 2 137 10" xfId="53092" xr:uid="{00000000-0005-0000-0000-000056CD0000}"/>
    <cellStyle name="Процентный 6 2 137 2" xfId="10372" xr:uid="{00000000-0005-0000-0000-000057CD0000}"/>
    <cellStyle name="Процентный 6 2 137 2 2" xfId="58433" xr:uid="{00000000-0005-0000-0000-000058CD0000}"/>
    <cellStyle name="Процентный 6 2 137 3" xfId="15712" xr:uid="{00000000-0005-0000-0000-000059CD0000}"/>
    <cellStyle name="Процентный 6 2 137 4" xfId="21052" xr:uid="{00000000-0005-0000-0000-00005ACD0000}"/>
    <cellStyle name="Процентный 6 2 137 5" xfId="26392" xr:uid="{00000000-0005-0000-0000-00005BCD0000}"/>
    <cellStyle name="Процентный 6 2 137 6" xfId="31732" xr:uid="{00000000-0005-0000-0000-00005CCD0000}"/>
    <cellStyle name="Процентный 6 2 137 7" xfId="37072" xr:uid="{00000000-0005-0000-0000-00005DCD0000}"/>
    <cellStyle name="Процентный 6 2 137 8" xfId="42412" xr:uid="{00000000-0005-0000-0000-00005ECD0000}"/>
    <cellStyle name="Процентный 6 2 137 9" xfId="47752" xr:uid="{00000000-0005-0000-0000-00005FCD0000}"/>
    <cellStyle name="Процентный 6 2 138" xfId="5061" xr:uid="{00000000-0005-0000-0000-000060CD0000}"/>
    <cellStyle name="Процентный 6 2 138 10" xfId="53124" xr:uid="{00000000-0005-0000-0000-000061CD0000}"/>
    <cellStyle name="Процентный 6 2 138 2" xfId="10404" xr:uid="{00000000-0005-0000-0000-000062CD0000}"/>
    <cellStyle name="Процентный 6 2 138 2 2" xfId="58465" xr:uid="{00000000-0005-0000-0000-000063CD0000}"/>
    <cellStyle name="Процентный 6 2 138 3" xfId="15744" xr:uid="{00000000-0005-0000-0000-000064CD0000}"/>
    <cellStyle name="Процентный 6 2 138 4" xfId="21084" xr:uid="{00000000-0005-0000-0000-000065CD0000}"/>
    <cellStyle name="Процентный 6 2 138 5" xfId="26424" xr:uid="{00000000-0005-0000-0000-000066CD0000}"/>
    <cellStyle name="Процентный 6 2 138 6" xfId="31764" xr:uid="{00000000-0005-0000-0000-000067CD0000}"/>
    <cellStyle name="Процентный 6 2 138 7" xfId="37104" xr:uid="{00000000-0005-0000-0000-000068CD0000}"/>
    <cellStyle name="Процентный 6 2 138 8" xfId="42444" xr:uid="{00000000-0005-0000-0000-000069CD0000}"/>
    <cellStyle name="Процентный 6 2 138 9" xfId="47784" xr:uid="{00000000-0005-0000-0000-00006ACD0000}"/>
    <cellStyle name="Процентный 6 2 139" xfId="5093" xr:uid="{00000000-0005-0000-0000-00006BCD0000}"/>
    <cellStyle name="Процентный 6 2 139 10" xfId="53156" xr:uid="{00000000-0005-0000-0000-00006CCD0000}"/>
    <cellStyle name="Процентный 6 2 139 2" xfId="10436" xr:uid="{00000000-0005-0000-0000-00006DCD0000}"/>
    <cellStyle name="Процентный 6 2 139 2 2" xfId="58497" xr:uid="{00000000-0005-0000-0000-00006ECD0000}"/>
    <cellStyle name="Процентный 6 2 139 3" xfId="15776" xr:uid="{00000000-0005-0000-0000-00006FCD0000}"/>
    <cellStyle name="Процентный 6 2 139 4" xfId="21116" xr:uid="{00000000-0005-0000-0000-000070CD0000}"/>
    <cellStyle name="Процентный 6 2 139 5" xfId="26456" xr:uid="{00000000-0005-0000-0000-000071CD0000}"/>
    <cellStyle name="Процентный 6 2 139 6" xfId="31796" xr:uid="{00000000-0005-0000-0000-000072CD0000}"/>
    <cellStyle name="Процентный 6 2 139 7" xfId="37136" xr:uid="{00000000-0005-0000-0000-000073CD0000}"/>
    <cellStyle name="Процентный 6 2 139 8" xfId="42476" xr:uid="{00000000-0005-0000-0000-000074CD0000}"/>
    <cellStyle name="Процентный 6 2 139 9" xfId="47816" xr:uid="{00000000-0005-0000-0000-000075CD0000}"/>
    <cellStyle name="Процентный 6 2 14" xfId="1289" xr:uid="{00000000-0005-0000-0000-000076CD0000}"/>
    <cellStyle name="Процентный 6 2 14 10" xfId="49352" xr:uid="{00000000-0005-0000-0000-000077CD0000}"/>
    <cellStyle name="Процентный 6 2 14 2" xfId="6631" xr:uid="{00000000-0005-0000-0000-000078CD0000}"/>
    <cellStyle name="Процентный 6 2 14 2 2" xfId="54693" xr:uid="{00000000-0005-0000-0000-000079CD0000}"/>
    <cellStyle name="Процентный 6 2 14 3" xfId="11972" xr:uid="{00000000-0005-0000-0000-00007ACD0000}"/>
    <cellStyle name="Процентный 6 2 14 4" xfId="17312" xr:uid="{00000000-0005-0000-0000-00007BCD0000}"/>
    <cellStyle name="Процентный 6 2 14 5" xfId="22652" xr:uid="{00000000-0005-0000-0000-00007CCD0000}"/>
    <cellStyle name="Процентный 6 2 14 6" xfId="27992" xr:uid="{00000000-0005-0000-0000-00007DCD0000}"/>
    <cellStyle name="Процентный 6 2 14 7" xfId="33332" xr:uid="{00000000-0005-0000-0000-00007ECD0000}"/>
    <cellStyle name="Процентный 6 2 14 8" xfId="38672" xr:uid="{00000000-0005-0000-0000-00007FCD0000}"/>
    <cellStyle name="Процентный 6 2 14 9" xfId="44012" xr:uid="{00000000-0005-0000-0000-000080CD0000}"/>
    <cellStyle name="Процентный 6 2 140" xfId="5125" xr:uid="{00000000-0005-0000-0000-000081CD0000}"/>
    <cellStyle name="Процентный 6 2 140 10" xfId="53188" xr:uid="{00000000-0005-0000-0000-000082CD0000}"/>
    <cellStyle name="Процентный 6 2 140 2" xfId="10468" xr:uid="{00000000-0005-0000-0000-000083CD0000}"/>
    <cellStyle name="Процентный 6 2 140 2 2" xfId="58529" xr:uid="{00000000-0005-0000-0000-000084CD0000}"/>
    <cellStyle name="Процентный 6 2 140 3" xfId="15808" xr:uid="{00000000-0005-0000-0000-000085CD0000}"/>
    <cellStyle name="Процентный 6 2 140 4" xfId="21148" xr:uid="{00000000-0005-0000-0000-000086CD0000}"/>
    <cellStyle name="Процентный 6 2 140 5" xfId="26488" xr:uid="{00000000-0005-0000-0000-000087CD0000}"/>
    <cellStyle name="Процентный 6 2 140 6" xfId="31828" xr:uid="{00000000-0005-0000-0000-000088CD0000}"/>
    <cellStyle name="Процентный 6 2 140 7" xfId="37168" xr:uid="{00000000-0005-0000-0000-000089CD0000}"/>
    <cellStyle name="Процентный 6 2 140 8" xfId="42508" xr:uid="{00000000-0005-0000-0000-00008ACD0000}"/>
    <cellStyle name="Процентный 6 2 140 9" xfId="47848" xr:uid="{00000000-0005-0000-0000-00008BCD0000}"/>
    <cellStyle name="Процентный 6 2 141" xfId="5157" xr:uid="{00000000-0005-0000-0000-00008CCD0000}"/>
    <cellStyle name="Процентный 6 2 141 10" xfId="53220" xr:uid="{00000000-0005-0000-0000-00008DCD0000}"/>
    <cellStyle name="Процентный 6 2 141 2" xfId="10500" xr:uid="{00000000-0005-0000-0000-00008ECD0000}"/>
    <cellStyle name="Процентный 6 2 141 2 2" xfId="58561" xr:uid="{00000000-0005-0000-0000-00008FCD0000}"/>
    <cellStyle name="Процентный 6 2 141 3" xfId="15840" xr:uid="{00000000-0005-0000-0000-000090CD0000}"/>
    <cellStyle name="Процентный 6 2 141 4" xfId="21180" xr:uid="{00000000-0005-0000-0000-000091CD0000}"/>
    <cellStyle name="Процентный 6 2 141 5" xfId="26520" xr:uid="{00000000-0005-0000-0000-000092CD0000}"/>
    <cellStyle name="Процентный 6 2 141 6" xfId="31860" xr:uid="{00000000-0005-0000-0000-000093CD0000}"/>
    <cellStyle name="Процентный 6 2 141 7" xfId="37200" xr:uid="{00000000-0005-0000-0000-000094CD0000}"/>
    <cellStyle name="Процентный 6 2 141 8" xfId="42540" xr:uid="{00000000-0005-0000-0000-000095CD0000}"/>
    <cellStyle name="Процентный 6 2 141 9" xfId="47880" xr:uid="{00000000-0005-0000-0000-000096CD0000}"/>
    <cellStyle name="Процентный 6 2 142" xfId="5189" xr:uid="{00000000-0005-0000-0000-000097CD0000}"/>
    <cellStyle name="Процентный 6 2 142 10" xfId="53252" xr:uid="{00000000-0005-0000-0000-000098CD0000}"/>
    <cellStyle name="Процентный 6 2 142 2" xfId="10532" xr:uid="{00000000-0005-0000-0000-000099CD0000}"/>
    <cellStyle name="Процентный 6 2 142 2 2" xfId="58593" xr:uid="{00000000-0005-0000-0000-00009ACD0000}"/>
    <cellStyle name="Процентный 6 2 142 3" xfId="15872" xr:uid="{00000000-0005-0000-0000-00009BCD0000}"/>
    <cellStyle name="Процентный 6 2 142 4" xfId="21212" xr:uid="{00000000-0005-0000-0000-00009CCD0000}"/>
    <cellStyle name="Процентный 6 2 142 5" xfId="26552" xr:uid="{00000000-0005-0000-0000-00009DCD0000}"/>
    <cellStyle name="Процентный 6 2 142 6" xfId="31892" xr:uid="{00000000-0005-0000-0000-00009ECD0000}"/>
    <cellStyle name="Процентный 6 2 142 7" xfId="37232" xr:uid="{00000000-0005-0000-0000-00009FCD0000}"/>
    <cellStyle name="Процентный 6 2 142 8" xfId="42572" xr:uid="{00000000-0005-0000-0000-0000A0CD0000}"/>
    <cellStyle name="Процентный 6 2 142 9" xfId="47912" xr:uid="{00000000-0005-0000-0000-0000A1CD0000}"/>
    <cellStyle name="Процентный 6 2 143" xfId="5221" xr:uid="{00000000-0005-0000-0000-0000A2CD0000}"/>
    <cellStyle name="Процентный 6 2 143 10" xfId="53284" xr:uid="{00000000-0005-0000-0000-0000A3CD0000}"/>
    <cellStyle name="Процентный 6 2 143 2" xfId="10564" xr:uid="{00000000-0005-0000-0000-0000A4CD0000}"/>
    <cellStyle name="Процентный 6 2 143 2 2" xfId="58625" xr:uid="{00000000-0005-0000-0000-0000A5CD0000}"/>
    <cellStyle name="Процентный 6 2 143 3" xfId="15904" xr:uid="{00000000-0005-0000-0000-0000A6CD0000}"/>
    <cellStyle name="Процентный 6 2 143 4" xfId="21244" xr:uid="{00000000-0005-0000-0000-0000A7CD0000}"/>
    <cellStyle name="Процентный 6 2 143 5" xfId="26584" xr:uid="{00000000-0005-0000-0000-0000A8CD0000}"/>
    <cellStyle name="Процентный 6 2 143 6" xfId="31924" xr:uid="{00000000-0005-0000-0000-0000A9CD0000}"/>
    <cellStyle name="Процентный 6 2 143 7" xfId="37264" xr:uid="{00000000-0005-0000-0000-0000AACD0000}"/>
    <cellStyle name="Процентный 6 2 143 8" xfId="42604" xr:uid="{00000000-0005-0000-0000-0000ABCD0000}"/>
    <cellStyle name="Процентный 6 2 143 9" xfId="47944" xr:uid="{00000000-0005-0000-0000-0000ACCD0000}"/>
    <cellStyle name="Процентный 6 2 144" xfId="5253" xr:uid="{00000000-0005-0000-0000-0000ADCD0000}"/>
    <cellStyle name="Процентный 6 2 144 10" xfId="53316" xr:uid="{00000000-0005-0000-0000-0000AECD0000}"/>
    <cellStyle name="Процентный 6 2 144 2" xfId="10596" xr:uid="{00000000-0005-0000-0000-0000AFCD0000}"/>
    <cellStyle name="Процентный 6 2 144 2 2" xfId="58657" xr:uid="{00000000-0005-0000-0000-0000B0CD0000}"/>
    <cellStyle name="Процентный 6 2 144 3" xfId="15936" xr:uid="{00000000-0005-0000-0000-0000B1CD0000}"/>
    <cellStyle name="Процентный 6 2 144 4" xfId="21276" xr:uid="{00000000-0005-0000-0000-0000B2CD0000}"/>
    <cellStyle name="Процентный 6 2 144 5" xfId="26616" xr:uid="{00000000-0005-0000-0000-0000B3CD0000}"/>
    <cellStyle name="Процентный 6 2 144 6" xfId="31956" xr:uid="{00000000-0005-0000-0000-0000B4CD0000}"/>
    <cellStyle name="Процентный 6 2 144 7" xfId="37296" xr:uid="{00000000-0005-0000-0000-0000B5CD0000}"/>
    <cellStyle name="Процентный 6 2 144 8" xfId="42636" xr:uid="{00000000-0005-0000-0000-0000B6CD0000}"/>
    <cellStyle name="Процентный 6 2 144 9" xfId="47976" xr:uid="{00000000-0005-0000-0000-0000B7CD0000}"/>
    <cellStyle name="Процентный 6 2 145" xfId="5285" xr:uid="{00000000-0005-0000-0000-0000B8CD0000}"/>
    <cellStyle name="Процентный 6 2 145 10" xfId="53348" xr:uid="{00000000-0005-0000-0000-0000B9CD0000}"/>
    <cellStyle name="Процентный 6 2 145 2" xfId="10628" xr:uid="{00000000-0005-0000-0000-0000BACD0000}"/>
    <cellStyle name="Процентный 6 2 145 2 2" xfId="58689" xr:uid="{00000000-0005-0000-0000-0000BBCD0000}"/>
    <cellStyle name="Процентный 6 2 145 3" xfId="15968" xr:uid="{00000000-0005-0000-0000-0000BCCD0000}"/>
    <cellStyle name="Процентный 6 2 145 4" xfId="21308" xr:uid="{00000000-0005-0000-0000-0000BDCD0000}"/>
    <cellStyle name="Процентный 6 2 145 5" xfId="26648" xr:uid="{00000000-0005-0000-0000-0000BECD0000}"/>
    <cellStyle name="Процентный 6 2 145 6" xfId="31988" xr:uid="{00000000-0005-0000-0000-0000BFCD0000}"/>
    <cellStyle name="Процентный 6 2 145 7" xfId="37328" xr:uid="{00000000-0005-0000-0000-0000C0CD0000}"/>
    <cellStyle name="Процентный 6 2 145 8" xfId="42668" xr:uid="{00000000-0005-0000-0000-0000C1CD0000}"/>
    <cellStyle name="Процентный 6 2 145 9" xfId="48008" xr:uid="{00000000-0005-0000-0000-0000C2CD0000}"/>
    <cellStyle name="Процентный 6 2 146" xfId="5317" xr:uid="{00000000-0005-0000-0000-0000C3CD0000}"/>
    <cellStyle name="Процентный 6 2 146 10" xfId="53380" xr:uid="{00000000-0005-0000-0000-0000C4CD0000}"/>
    <cellStyle name="Процентный 6 2 146 2" xfId="10660" xr:uid="{00000000-0005-0000-0000-0000C5CD0000}"/>
    <cellStyle name="Процентный 6 2 146 2 2" xfId="58721" xr:uid="{00000000-0005-0000-0000-0000C6CD0000}"/>
    <cellStyle name="Процентный 6 2 146 3" xfId="16000" xr:uid="{00000000-0005-0000-0000-0000C7CD0000}"/>
    <cellStyle name="Процентный 6 2 146 4" xfId="21340" xr:uid="{00000000-0005-0000-0000-0000C8CD0000}"/>
    <cellStyle name="Процентный 6 2 146 5" xfId="26680" xr:uid="{00000000-0005-0000-0000-0000C9CD0000}"/>
    <cellStyle name="Процентный 6 2 146 6" xfId="32020" xr:uid="{00000000-0005-0000-0000-0000CACD0000}"/>
    <cellStyle name="Процентный 6 2 146 7" xfId="37360" xr:uid="{00000000-0005-0000-0000-0000CBCD0000}"/>
    <cellStyle name="Процентный 6 2 146 8" xfId="42700" xr:uid="{00000000-0005-0000-0000-0000CCCD0000}"/>
    <cellStyle name="Процентный 6 2 146 9" xfId="48040" xr:uid="{00000000-0005-0000-0000-0000CDCD0000}"/>
    <cellStyle name="Процентный 6 2 147" xfId="5349" xr:uid="{00000000-0005-0000-0000-0000CECD0000}"/>
    <cellStyle name="Процентный 6 2 147 10" xfId="53412" xr:uid="{00000000-0005-0000-0000-0000CFCD0000}"/>
    <cellStyle name="Процентный 6 2 147 2" xfId="10692" xr:uid="{00000000-0005-0000-0000-0000D0CD0000}"/>
    <cellStyle name="Процентный 6 2 147 2 2" xfId="58753" xr:uid="{00000000-0005-0000-0000-0000D1CD0000}"/>
    <cellStyle name="Процентный 6 2 147 3" xfId="16032" xr:uid="{00000000-0005-0000-0000-0000D2CD0000}"/>
    <cellStyle name="Процентный 6 2 147 4" xfId="21372" xr:uid="{00000000-0005-0000-0000-0000D3CD0000}"/>
    <cellStyle name="Процентный 6 2 147 5" xfId="26712" xr:uid="{00000000-0005-0000-0000-0000D4CD0000}"/>
    <cellStyle name="Процентный 6 2 147 6" xfId="32052" xr:uid="{00000000-0005-0000-0000-0000D5CD0000}"/>
    <cellStyle name="Процентный 6 2 147 7" xfId="37392" xr:uid="{00000000-0005-0000-0000-0000D6CD0000}"/>
    <cellStyle name="Процентный 6 2 147 8" xfId="42732" xr:uid="{00000000-0005-0000-0000-0000D7CD0000}"/>
    <cellStyle name="Процентный 6 2 147 9" xfId="48072" xr:uid="{00000000-0005-0000-0000-0000D8CD0000}"/>
    <cellStyle name="Процентный 6 2 148" xfId="5381" xr:uid="{00000000-0005-0000-0000-0000D9CD0000}"/>
    <cellStyle name="Процентный 6 2 148 10" xfId="53444" xr:uid="{00000000-0005-0000-0000-0000DACD0000}"/>
    <cellStyle name="Процентный 6 2 148 2" xfId="10724" xr:uid="{00000000-0005-0000-0000-0000DBCD0000}"/>
    <cellStyle name="Процентный 6 2 148 2 2" xfId="58785" xr:uid="{00000000-0005-0000-0000-0000DCCD0000}"/>
    <cellStyle name="Процентный 6 2 148 3" xfId="16064" xr:uid="{00000000-0005-0000-0000-0000DDCD0000}"/>
    <cellStyle name="Процентный 6 2 148 4" xfId="21404" xr:uid="{00000000-0005-0000-0000-0000DECD0000}"/>
    <cellStyle name="Процентный 6 2 148 5" xfId="26744" xr:uid="{00000000-0005-0000-0000-0000DFCD0000}"/>
    <cellStyle name="Процентный 6 2 148 6" xfId="32084" xr:uid="{00000000-0005-0000-0000-0000E0CD0000}"/>
    <cellStyle name="Процентный 6 2 148 7" xfId="37424" xr:uid="{00000000-0005-0000-0000-0000E1CD0000}"/>
    <cellStyle name="Процентный 6 2 148 8" xfId="42764" xr:uid="{00000000-0005-0000-0000-0000E2CD0000}"/>
    <cellStyle name="Процентный 6 2 148 9" xfId="48104" xr:uid="{00000000-0005-0000-0000-0000E3CD0000}"/>
    <cellStyle name="Процентный 6 2 149" xfId="5472" xr:uid="{00000000-0005-0000-0000-0000E4CD0000}"/>
    <cellStyle name="Процентный 6 2 149 2" xfId="53534" xr:uid="{00000000-0005-0000-0000-0000E5CD0000}"/>
    <cellStyle name="Процентный 6 2 15" xfId="1315" xr:uid="{00000000-0005-0000-0000-0000E6CD0000}"/>
    <cellStyle name="Процентный 6 2 15 10" xfId="49378" xr:uid="{00000000-0005-0000-0000-0000E7CD0000}"/>
    <cellStyle name="Процентный 6 2 15 2" xfId="6657" xr:uid="{00000000-0005-0000-0000-0000E8CD0000}"/>
    <cellStyle name="Процентный 6 2 15 2 2" xfId="54719" xr:uid="{00000000-0005-0000-0000-0000E9CD0000}"/>
    <cellStyle name="Процентный 6 2 15 3" xfId="11998" xr:uid="{00000000-0005-0000-0000-0000EACD0000}"/>
    <cellStyle name="Процентный 6 2 15 4" xfId="17338" xr:uid="{00000000-0005-0000-0000-0000EBCD0000}"/>
    <cellStyle name="Процентный 6 2 15 5" xfId="22678" xr:uid="{00000000-0005-0000-0000-0000ECCD0000}"/>
    <cellStyle name="Процентный 6 2 15 6" xfId="28018" xr:uid="{00000000-0005-0000-0000-0000EDCD0000}"/>
    <cellStyle name="Процентный 6 2 15 7" xfId="33358" xr:uid="{00000000-0005-0000-0000-0000EECD0000}"/>
    <cellStyle name="Процентный 6 2 15 8" xfId="38698" xr:uid="{00000000-0005-0000-0000-0000EFCD0000}"/>
    <cellStyle name="Процентный 6 2 15 9" xfId="44038" xr:uid="{00000000-0005-0000-0000-0000F0CD0000}"/>
    <cellStyle name="Процентный 6 2 150" xfId="10813" xr:uid="{00000000-0005-0000-0000-0000F1CD0000}"/>
    <cellStyle name="Процентный 6 2 151" xfId="16153" xr:uid="{00000000-0005-0000-0000-0000F2CD0000}"/>
    <cellStyle name="Процентный 6 2 152" xfId="21493" xr:uid="{00000000-0005-0000-0000-0000F3CD0000}"/>
    <cellStyle name="Процентный 6 2 153" xfId="26833" xr:uid="{00000000-0005-0000-0000-0000F4CD0000}"/>
    <cellStyle name="Процентный 6 2 154" xfId="32173" xr:uid="{00000000-0005-0000-0000-0000F5CD0000}"/>
    <cellStyle name="Процентный 6 2 155" xfId="37513" xr:uid="{00000000-0005-0000-0000-0000F6CD0000}"/>
    <cellStyle name="Процентный 6 2 156" xfId="42853" xr:uid="{00000000-0005-0000-0000-0000F7CD0000}"/>
    <cellStyle name="Процентный 6 2 157" xfId="48193" xr:uid="{00000000-0005-0000-0000-0000F8CD0000}"/>
    <cellStyle name="Процентный 6 2 16" xfId="1341" xr:uid="{00000000-0005-0000-0000-0000F9CD0000}"/>
    <cellStyle name="Процентный 6 2 16 10" xfId="49404" xr:uid="{00000000-0005-0000-0000-0000FACD0000}"/>
    <cellStyle name="Процентный 6 2 16 2" xfId="6683" xr:uid="{00000000-0005-0000-0000-0000FBCD0000}"/>
    <cellStyle name="Процентный 6 2 16 2 2" xfId="54745" xr:uid="{00000000-0005-0000-0000-0000FCCD0000}"/>
    <cellStyle name="Процентный 6 2 16 3" xfId="12024" xr:uid="{00000000-0005-0000-0000-0000FDCD0000}"/>
    <cellStyle name="Процентный 6 2 16 4" xfId="17364" xr:uid="{00000000-0005-0000-0000-0000FECD0000}"/>
    <cellStyle name="Процентный 6 2 16 5" xfId="22704" xr:uid="{00000000-0005-0000-0000-0000FFCD0000}"/>
    <cellStyle name="Процентный 6 2 16 6" xfId="28044" xr:uid="{00000000-0005-0000-0000-000000CE0000}"/>
    <cellStyle name="Процентный 6 2 16 7" xfId="33384" xr:uid="{00000000-0005-0000-0000-000001CE0000}"/>
    <cellStyle name="Процентный 6 2 16 8" xfId="38724" xr:uid="{00000000-0005-0000-0000-000002CE0000}"/>
    <cellStyle name="Процентный 6 2 16 9" xfId="44064" xr:uid="{00000000-0005-0000-0000-000003CE0000}"/>
    <cellStyle name="Процентный 6 2 17" xfId="1367" xr:uid="{00000000-0005-0000-0000-000004CE0000}"/>
    <cellStyle name="Процентный 6 2 17 10" xfId="49430" xr:uid="{00000000-0005-0000-0000-000005CE0000}"/>
    <cellStyle name="Процентный 6 2 17 2" xfId="6709" xr:uid="{00000000-0005-0000-0000-000006CE0000}"/>
    <cellStyle name="Процентный 6 2 17 2 2" xfId="54771" xr:uid="{00000000-0005-0000-0000-000007CE0000}"/>
    <cellStyle name="Процентный 6 2 17 3" xfId="12050" xr:uid="{00000000-0005-0000-0000-000008CE0000}"/>
    <cellStyle name="Процентный 6 2 17 4" xfId="17390" xr:uid="{00000000-0005-0000-0000-000009CE0000}"/>
    <cellStyle name="Процентный 6 2 17 5" xfId="22730" xr:uid="{00000000-0005-0000-0000-00000ACE0000}"/>
    <cellStyle name="Процентный 6 2 17 6" xfId="28070" xr:uid="{00000000-0005-0000-0000-00000BCE0000}"/>
    <cellStyle name="Процентный 6 2 17 7" xfId="33410" xr:uid="{00000000-0005-0000-0000-00000CCE0000}"/>
    <cellStyle name="Процентный 6 2 17 8" xfId="38750" xr:uid="{00000000-0005-0000-0000-00000DCE0000}"/>
    <cellStyle name="Процентный 6 2 17 9" xfId="44090" xr:uid="{00000000-0005-0000-0000-00000ECE0000}"/>
    <cellStyle name="Процентный 6 2 18" xfId="1393" xr:uid="{00000000-0005-0000-0000-00000FCE0000}"/>
    <cellStyle name="Процентный 6 2 18 10" xfId="49456" xr:uid="{00000000-0005-0000-0000-000010CE0000}"/>
    <cellStyle name="Процентный 6 2 18 2" xfId="6735" xr:uid="{00000000-0005-0000-0000-000011CE0000}"/>
    <cellStyle name="Процентный 6 2 18 2 2" xfId="54797" xr:uid="{00000000-0005-0000-0000-000012CE0000}"/>
    <cellStyle name="Процентный 6 2 18 3" xfId="12076" xr:uid="{00000000-0005-0000-0000-000013CE0000}"/>
    <cellStyle name="Процентный 6 2 18 4" xfId="17416" xr:uid="{00000000-0005-0000-0000-000014CE0000}"/>
    <cellStyle name="Процентный 6 2 18 5" xfId="22756" xr:uid="{00000000-0005-0000-0000-000015CE0000}"/>
    <cellStyle name="Процентный 6 2 18 6" xfId="28096" xr:uid="{00000000-0005-0000-0000-000016CE0000}"/>
    <cellStyle name="Процентный 6 2 18 7" xfId="33436" xr:uid="{00000000-0005-0000-0000-000017CE0000}"/>
    <cellStyle name="Процентный 6 2 18 8" xfId="38776" xr:uid="{00000000-0005-0000-0000-000018CE0000}"/>
    <cellStyle name="Процентный 6 2 18 9" xfId="44116" xr:uid="{00000000-0005-0000-0000-000019CE0000}"/>
    <cellStyle name="Процентный 6 2 19" xfId="1419" xr:uid="{00000000-0005-0000-0000-00001ACE0000}"/>
    <cellStyle name="Процентный 6 2 19 10" xfId="49482" xr:uid="{00000000-0005-0000-0000-00001BCE0000}"/>
    <cellStyle name="Процентный 6 2 19 2" xfId="6761" xr:uid="{00000000-0005-0000-0000-00001CCE0000}"/>
    <cellStyle name="Процентный 6 2 19 2 2" xfId="54823" xr:uid="{00000000-0005-0000-0000-00001DCE0000}"/>
    <cellStyle name="Процентный 6 2 19 3" xfId="12102" xr:uid="{00000000-0005-0000-0000-00001ECE0000}"/>
    <cellStyle name="Процентный 6 2 19 4" xfId="17442" xr:uid="{00000000-0005-0000-0000-00001FCE0000}"/>
    <cellStyle name="Процентный 6 2 19 5" xfId="22782" xr:uid="{00000000-0005-0000-0000-000020CE0000}"/>
    <cellStyle name="Процентный 6 2 19 6" xfId="28122" xr:uid="{00000000-0005-0000-0000-000021CE0000}"/>
    <cellStyle name="Процентный 6 2 19 7" xfId="33462" xr:uid="{00000000-0005-0000-0000-000022CE0000}"/>
    <cellStyle name="Процентный 6 2 19 8" xfId="38802" xr:uid="{00000000-0005-0000-0000-000023CE0000}"/>
    <cellStyle name="Процентный 6 2 19 9" xfId="44142" xr:uid="{00000000-0005-0000-0000-000024CE0000}"/>
    <cellStyle name="Процентный 6 2 2" xfId="598" xr:uid="{00000000-0005-0000-0000-000025CE0000}"/>
    <cellStyle name="Процентный 6 2 2 10" xfId="48660" xr:uid="{00000000-0005-0000-0000-000026CE0000}"/>
    <cellStyle name="Процентный 6 2 2 2" xfId="5939" xr:uid="{00000000-0005-0000-0000-000027CE0000}"/>
    <cellStyle name="Процентный 6 2 2 2 2" xfId="54001" xr:uid="{00000000-0005-0000-0000-000028CE0000}"/>
    <cellStyle name="Процентный 6 2 2 3" xfId="11280" xr:uid="{00000000-0005-0000-0000-000029CE0000}"/>
    <cellStyle name="Процентный 6 2 2 4" xfId="16620" xr:uid="{00000000-0005-0000-0000-00002ACE0000}"/>
    <cellStyle name="Процентный 6 2 2 5" xfId="21960" xr:uid="{00000000-0005-0000-0000-00002BCE0000}"/>
    <cellStyle name="Процентный 6 2 2 6" xfId="27300" xr:uid="{00000000-0005-0000-0000-00002CCE0000}"/>
    <cellStyle name="Процентный 6 2 2 7" xfId="32640" xr:uid="{00000000-0005-0000-0000-00002DCE0000}"/>
    <cellStyle name="Процентный 6 2 2 8" xfId="37980" xr:uid="{00000000-0005-0000-0000-00002ECE0000}"/>
    <cellStyle name="Процентный 6 2 2 9" xfId="43320" xr:uid="{00000000-0005-0000-0000-00002FCE0000}"/>
    <cellStyle name="Процентный 6 2 20" xfId="1445" xr:uid="{00000000-0005-0000-0000-000030CE0000}"/>
    <cellStyle name="Процентный 6 2 20 10" xfId="49508" xr:uid="{00000000-0005-0000-0000-000031CE0000}"/>
    <cellStyle name="Процентный 6 2 20 2" xfId="6787" xr:uid="{00000000-0005-0000-0000-000032CE0000}"/>
    <cellStyle name="Процентный 6 2 20 2 2" xfId="54849" xr:uid="{00000000-0005-0000-0000-000033CE0000}"/>
    <cellStyle name="Процентный 6 2 20 3" xfId="12128" xr:uid="{00000000-0005-0000-0000-000034CE0000}"/>
    <cellStyle name="Процентный 6 2 20 4" xfId="17468" xr:uid="{00000000-0005-0000-0000-000035CE0000}"/>
    <cellStyle name="Процентный 6 2 20 5" xfId="22808" xr:uid="{00000000-0005-0000-0000-000036CE0000}"/>
    <cellStyle name="Процентный 6 2 20 6" xfId="28148" xr:uid="{00000000-0005-0000-0000-000037CE0000}"/>
    <cellStyle name="Процентный 6 2 20 7" xfId="33488" xr:uid="{00000000-0005-0000-0000-000038CE0000}"/>
    <cellStyle name="Процентный 6 2 20 8" xfId="38828" xr:uid="{00000000-0005-0000-0000-000039CE0000}"/>
    <cellStyle name="Процентный 6 2 20 9" xfId="44168" xr:uid="{00000000-0005-0000-0000-00003ACE0000}"/>
    <cellStyle name="Процентный 6 2 21" xfId="1471" xr:uid="{00000000-0005-0000-0000-00003BCE0000}"/>
    <cellStyle name="Процентный 6 2 21 10" xfId="49534" xr:uid="{00000000-0005-0000-0000-00003CCE0000}"/>
    <cellStyle name="Процентный 6 2 21 2" xfId="6813" xr:uid="{00000000-0005-0000-0000-00003DCE0000}"/>
    <cellStyle name="Процентный 6 2 21 2 2" xfId="54875" xr:uid="{00000000-0005-0000-0000-00003ECE0000}"/>
    <cellStyle name="Процентный 6 2 21 3" xfId="12154" xr:uid="{00000000-0005-0000-0000-00003FCE0000}"/>
    <cellStyle name="Процентный 6 2 21 4" xfId="17494" xr:uid="{00000000-0005-0000-0000-000040CE0000}"/>
    <cellStyle name="Процентный 6 2 21 5" xfId="22834" xr:uid="{00000000-0005-0000-0000-000041CE0000}"/>
    <cellStyle name="Процентный 6 2 21 6" xfId="28174" xr:uid="{00000000-0005-0000-0000-000042CE0000}"/>
    <cellStyle name="Процентный 6 2 21 7" xfId="33514" xr:uid="{00000000-0005-0000-0000-000043CE0000}"/>
    <cellStyle name="Процентный 6 2 21 8" xfId="38854" xr:uid="{00000000-0005-0000-0000-000044CE0000}"/>
    <cellStyle name="Процентный 6 2 21 9" xfId="44194" xr:uid="{00000000-0005-0000-0000-000045CE0000}"/>
    <cellStyle name="Процентный 6 2 22" xfId="1497" xr:uid="{00000000-0005-0000-0000-000046CE0000}"/>
    <cellStyle name="Процентный 6 2 22 10" xfId="49560" xr:uid="{00000000-0005-0000-0000-000047CE0000}"/>
    <cellStyle name="Процентный 6 2 22 2" xfId="6839" xr:uid="{00000000-0005-0000-0000-000048CE0000}"/>
    <cellStyle name="Процентный 6 2 22 2 2" xfId="54901" xr:uid="{00000000-0005-0000-0000-000049CE0000}"/>
    <cellStyle name="Процентный 6 2 22 3" xfId="12180" xr:uid="{00000000-0005-0000-0000-00004ACE0000}"/>
    <cellStyle name="Процентный 6 2 22 4" xfId="17520" xr:uid="{00000000-0005-0000-0000-00004BCE0000}"/>
    <cellStyle name="Процентный 6 2 22 5" xfId="22860" xr:uid="{00000000-0005-0000-0000-00004CCE0000}"/>
    <cellStyle name="Процентный 6 2 22 6" xfId="28200" xr:uid="{00000000-0005-0000-0000-00004DCE0000}"/>
    <cellStyle name="Процентный 6 2 22 7" xfId="33540" xr:uid="{00000000-0005-0000-0000-00004ECE0000}"/>
    <cellStyle name="Процентный 6 2 22 8" xfId="38880" xr:uid="{00000000-0005-0000-0000-00004FCE0000}"/>
    <cellStyle name="Процентный 6 2 22 9" xfId="44220" xr:uid="{00000000-0005-0000-0000-000050CE0000}"/>
    <cellStyle name="Процентный 6 2 23" xfId="1523" xr:uid="{00000000-0005-0000-0000-000051CE0000}"/>
    <cellStyle name="Процентный 6 2 23 10" xfId="49586" xr:uid="{00000000-0005-0000-0000-000052CE0000}"/>
    <cellStyle name="Процентный 6 2 23 2" xfId="6865" xr:uid="{00000000-0005-0000-0000-000053CE0000}"/>
    <cellStyle name="Процентный 6 2 23 2 2" xfId="54927" xr:uid="{00000000-0005-0000-0000-000054CE0000}"/>
    <cellStyle name="Процентный 6 2 23 3" xfId="12206" xr:uid="{00000000-0005-0000-0000-000055CE0000}"/>
    <cellStyle name="Процентный 6 2 23 4" xfId="17546" xr:uid="{00000000-0005-0000-0000-000056CE0000}"/>
    <cellStyle name="Процентный 6 2 23 5" xfId="22886" xr:uid="{00000000-0005-0000-0000-000057CE0000}"/>
    <cellStyle name="Процентный 6 2 23 6" xfId="28226" xr:uid="{00000000-0005-0000-0000-000058CE0000}"/>
    <cellStyle name="Процентный 6 2 23 7" xfId="33566" xr:uid="{00000000-0005-0000-0000-000059CE0000}"/>
    <cellStyle name="Процентный 6 2 23 8" xfId="38906" xr:uid="{00000000-0005-0000-0000-00005ACE0000}"/>
    <cellStyle name="Процентный 6 2 23 9" xfId="44246" xr:uid="{00000000-0005-0000-0000-00005BCE0000}"/>
    <cellStyle name="Процентный 6 2 24" xfId="1549" xr:uid="{00000000-0005-0000-0000-00005CCE0000}"/>
    <cellStyle name="Процентный 6 2 24 10" xfId="49612" xr:uid="{00000000-0005-0000-0000-00005DCE0000}"/>
    <cellStyle name="Процентный 6 2 24 2" xfId="6891" xr:uid="{00000000-0005-0000-0000-00005ECE0000}"/>
    <cellStyle name="Процентный 6 2 24 2 2" xfId="54953" xr:uid="{00000000-0005-0000-0000-00005FCE0000}"/>
    <cellStyle name="Процентный 6 2 24 3" xfId="12232" xr:uid="{00000000-0005-0000-0000-000060CE0000}"/>
    <cellStyle name="Процентный 6 2 24 4" xfId="17572" xr:uid="{00000000-0005-0000-0000-000061CE0000}"/>
    <cellStyle name="Процентный 6 2 24 5" xfId="22912" xr:uid="{00000000-0005-0000-0000-000062CE0000}"/>
    <cellStyle name="Процентный 6 2 24 6" xfId="28252" xr:uid="{00000000-0005-0000-0000-000063CE0000}"/>
    <cellStyle name="Процентный 6 2 24 7" xfId="33592" xr:uid="{00000000-0005-0000-0000-000064CE0000}"/>
    <cellStyle name="Процентный 6 2 24 8" xfId="38932" xr:uid="{00000000-0005-0000-0000-000065CE0000}"/>
    <cellStyle name="Процентный 6 2 24 9" xfId="44272" xr:uid="{00000000-0005-0000-0000-000066CE0000}"/>
    <cellStyle name="Процентный 6 2 25" xfId="1575" xr:uid="{00000000-0005-0000-0000-000067CE0000}"/>
    <cellStyle name="Процентный 6 2 25 10" xfId="49638" xr:uid="{00000000-0005-0000-0000-000068CE0000}"/>
    <cellStyle name="Процентный 6 2 25 2" xfId="6917" xr:uid="{00000000-0005-0000-0000-000069CE0000}"/>
    <cellStyle name="Процентный 6 2 25 2 2" xfId="54979" xr:uid="{00000000-0005-0000-0000-00006ACE0000}"/>
    <cellStyle name="Процентный 6 2 25 3" xfId="12258" xr:uid="{00000000-0005-0000-0000-00006BCE0000}"/>
    <cellStyle name="Процентный 6 2 25 4" xfId="17598" xr:uid="{00000000-0005-0000-0000-00006CCE0000}"/>
    <cellStyle name="Процентный 6 2 25 5" xfId="22938" xr:uid="{00000000-0005-0000-0000-00006DCE0000}"/>
    <cellStyle name="Процентный 6 2 25 6" xfId="28278" xr:uid="{00000000-0005-0000-0000-00006ECE0000}"/>
    <cellStyle name="Процентный 6 2 25 7" xfId="33618" xr:uid="{00000000-0005-0000-0000-00006FCE0000}"/>
    <cellStyle name="Процентный 6 2 25 8" xfId="38958" xr:uid="{00000000-0005-0000-0000-000070CE0000}"/>
    <cellStyle name="Процентный 6 2 25 9" xfId="44298" xr:uid="{00000000-0005-0000-0000-000071CE0000}"/>
    <cellStyle name="Процентный 6 2 26" xfId="1601" xr:uid="{00000000-0005-0000-0000-000072CE0000}"/>
    <cellStyle name="Процентный 6 2 26 10" xfId="49664" xr:uid="{00000000-0005-0000-0000-000073CE0000}"/>
    <cellStyle name="Процентный 6 2 26 2" xfId="6943" xr:uid="{00000000-0005-0000-0000-000074CE0000}"/>
    <cellStyle name="Процентный 6 2 26 2 2" xfId="55005" xr:uid="{00000000-0005-0000-0000-000075CE0000}"/>
    <cellStyle name="Процентный 6 2 26 3" xfId="12284" xr:uid="{00000000-0005-0000-0000-000076CE0000}"/>
    <cellStyle name="Процентный 6 2 26 4" xfId="17624" xr:uid="{00000000-0005-0000-0000-000077CE0000}"/>
    <cellStyle name="Процентный 6 2 26 5" xfId="22964" xr:uid="{00000000-0005-0000-0000-000078CE0000}"/>
    <cellStyle name="Процентный 6 2 26 6" xfId="28304" xr:uid="{00000000-0005-0000-0000-000079CE0000}"/>
    <cellStyle name="Процентный 6 2 26 7" xfId="33644" xr:uid="{00000000-0005-0000-0000-00007ACE0000}"/>
    <cellStyle name="Процентный 6 2 26 8" xfId="38984" xr:uid="{00000000-0005-0000-0000-00007BCE0000}"/>
    <cellStyle name="Процентный 6 2 26 9" xfId="44324" xr:uid="{00000000-0005-0000-0000-00007CCE0000}"/>
    <cellStyle name="Процентный 6 2 27" xfId="1627" xr:uid="{00000000-0005-0000-0000-00007DCE0000}"/>
    <cellStyle name="Процентный 6 2 27 10" xfId="49690" xr:uid="{00000000-0005-0000-0000-00007ECE0000}"/>
    <cellStyle name="Процентный 6 2 27 2" xfId="6969" xr:uid="{00000000-0005-0000-0000-00007FCE0000}"/>
    <cellStyle name="Процентный 6 2 27 2 2" xfId="55031" xr:uid="{00000000-0005-0000-0000-000080CE0000}"/>
    <cellStyle name="Процентный 6 2 27 3" xfId="12310" xr:uid="{00000000-0005-0000-0000-000081CE0000}"/>
    <cellStyle name="Процентный 6 2 27 4" xfId="17650" xr:uid="{00000000-0005-0000-0000-000082CE0000}"/>
    <cellStyle name="Процентный 6 2 27 5" xfId="22990" xr:uid="{00000000-0005-0000-0000-000083CE0000}"/>
    <cellStyle name="Процентный 6 2 27 6" xfId="28330" xr:uid="{00000000-0005-0000-0000-000084CE0000}"/>
    <cellStyle name="Процентный 6 2 27 7" xfId="33670" xr:uid="{00000000-0005-0000-0000-000085CE0000}"/>
    <cellStyle name="Процентный 6 2 27 8" xfId="39010" xr:uid="{00000000-0005-0000-0000-000086CE0000}"/>
    <cellStyle name="Процентный 6 2 27 9" xfId="44350" xr:uid="{00000000-0005-0000-0000-000087CE0000}"/>
    <cellStyle name="Процентный 6 2 28" xfId="1653" xr:uid="{00000000-0005-0000-0000-000088CE0000}"/>
    <cellStyle name="Процентный 6 2 28 10" xfId="49716" xr:uid="{00000000-0005-0000-0000-000089CE0000}"/>
    <cellStyle name="Процентный 6 2 28 2" xfId="6995" xr:uid="{00000000-0005-0000-0000-00008ACE0000}"/>
    <cellStyle name="Процентный 6 2 28 2 2" xfId="55057" xr:uid="{00000000-0005-0000-0000-00008BCE0000}"/>
    <cellStyle name="Процентный 6 2 28 3" xfId="12336" xr:uid="{00000000-0005-0000-0000-00008CCE0000}"/>
    <cellStyle name="Процентный 6 2 28 4" xfId="17676" xr:uid="{00000000-0005-0000-0000-00008DCE0000}"/>
    <cellStyle name="Процентный 6 2 28 5" xfId="23016" xr:uid="{00000000-0005-0000-0000-00008ECE0000}"/>
    <cellStyle name="Процентный 6 2 28 6" xfId="28356" xr:uid="{00000000-0005-0000-0000-00008FCE0000}"/>
    <cellStyle name="Процентный 6 2 28 7" xfId="33696" xr:uid="{00000000-0005-0000-0000-000090CE0000}"/>
    <cellStyle name="Процентный 6 2 28 8" xfId="39036" xr:uid="{00000000-0005-0000-0000-000091CE0000}"/>
    <cellStyle name="Процентный 6 2 28 9" xfId="44376" xr:uid="{00000000-0005-0000-0000-000092CE0000}"/>
    <cellStyle name="Процентный 6 2 29" xfId="1679" xr:uid="{00000000-0005-0000-0000-000093CE0000}"/>
    <cellStyle name="Процентный 6 2 29 10" xfId="49742" xr:uid="{00000000-0005-0000-0000-000094CE0000}"/>
    <cellStyle name="Процентный 6 2 29 2" xfId="7021" xr:uid="{00000000-0005-0000-0000-000095CE0000}"/>
    <cellStyle name="Процентный 6 2 29 2 2" xfId="55083" xr:uid="{00000000-0005-0000-0000-000096CE0000}"/>
    <cellStyle name="Процентный 6 2 29 3" xfId="12362" xr:uid="{00000000-0005-0000-0000-000097CE0000}"/>
    <cellStyle name="Процентный 6 2 29 4" xfId="17702" xr:uid="{00000000-0005-0000-0000-000098CE0000}"/>
    <cellStyle name="Процентный 6 2 29 5" xfId="23042" xr:uid="{00000000-0005-0000-0000-000099CE0000}"/>
    <cellStyle name="Процентный 6 2 29 6" xfId="28382" xr:uid="{00000000-0005-0000-0000-00009ACE0000}"/>
    <cellStyle name="Процентный 6 2 29 7" xfId="33722" xr:uid="{00000000-0005-0000-0000-00009BCE0000}"/>
    <cellStyle name="Процентный 6 2 29 8" xfId="39062" xr:uid="{00000000-0005-0000-0000-00009CCE0000}"/>
    <cellStyle name="Процентный 6 2 29 9" xfId="44402" xr:uid="{00000000-0005-0000-0000-00009DCE0000}"/>
    <cellStyle name="Процентный 6 2 3" xfId="1008" xr:uid="{00000000-0005-0000-0000-00009ECE0000}"/>
    <cellStyle name="Процентный 6 2 3 10" xfId="49070" xr:uid="{00000000-0005-0000-0000-00009FCE0000}"/>
    <cellStyle name="Процентный 6 2 3 2" xfId="6349" xr:uid="{00000000-0005-0000-0000-0000A0CE0000}"/>
    <cellStyle name="Процентный 6 2 3 2 2" xfId="54411" xr:uid="{00000000-0005-0000-0000-0000A1CE0000}"/>
    <cellStyle name="Процентный 6 2 3 3" xfId="11690" xr:uid="{00000000-0005-0000-0000-0000A2CE0000}"/>
    <cellStyle name="Процентный 6 2 3 4" xfId="17030" xr:uid="{00000000-0005-0000-0000-0000A3CE0000}"/>
    <cellStyle name="Процентный 6 2 3 5" xfId="22370" xr:uid="{00000000-0005-0000-0000-0000A4CE0000}"/>
    <cellStyle name="Процентный 6 2 3 6" xfId="27710" xr:uid="{00000000-0005-0000-0000-0000A5CE0000}"/>
    <cellStyle name="Процентный 6 2 3 7" xfId="33050" xr:uid="{00000000-0005-0000-0000-0000A6CE0000}"/>
    <cellStyle name="Процентный 6 2 3 8" xfId="38390" xr:uid="{00000000-0005-0000-0000-0000A7CE0000}"/>
    <cellStyle name="Процентный 6 2 3 9" xfId="43730" xr:uid="{00000000-0005-0000-0000-0000A8CE0000}"/>
    <cellStyle name="Процентный 6 2 30" xfId="1705" xr:uid="{00000000-0005-0000-0000-0000A9CE0000}"/>
    <cellStyle name="Процентный 6 2 30 10" xfId="49768" xr:uid="{00000000-0005-0000-0000-0000AACE0000}"/>
    <cellStyle name="Процентный 6 2 30 2" xfId="7047" xr:uid="{00000000-0005-0000-0000-0000ABCE0000}"/>
    <cellStyle name="Процентный 6 2 30 2 2" xfId="55109" xr:uid="{00000000-0005-0000-0000-0000ACCE0000}"/>
    <cellStyle name="Процентный 6 2 30 3" xfId="12388" xr:uid="{00000000-0005-0000-0000-0000ADCE0000}"/>
    <cellStyle name="Процентный 6 2 30 4" xfId="17728" xr:uid="{00000000-0005-0000-0000-0000AECE0000}"/>
    <cellStyle name="Процентный 6 2 30 5" xfId="23068" xr:uid="{00000000-0005-0000-0000-0000AFCE0000}"/>
    <cellStyle name="Процентный 6 2 30 6" xfId="28408" xr:uid="{00000000-0005-0000-0000-0000B0CE0000}"/>
    <cellStyle name="Процентный 6 2 30 7" xfId="33748" xr:uid="{00000000-0005-0000-0000-0000B1CE0000}"/>
    <cellStyle name="Процентный 6 2 30 8" xfId="39088" xr:uid="{00000000-0005-0000-0000-0000B2CE0000}"/>
    <cellStyle name="Процентный 6 2 30 9" xfId="44428" xr:uid="{00000000-0005-0000-0000-0000B3CE0000}"/>
    <cellStyle name="Процентный 6 2 31" xfId="1731" xr:uid="{00000000-0005-0000-0000-0000B4CE0000}"/>
    <cellStyle name="Процентный 6 2 31 10" xfId="49794" xr:uid="{00000000-0005-0000-0000-0000B5CE0000}"/>
    <cellStyle name="Процентный 6 2 31 2" xfId="7073" xr:uid="{00000000-0005-0000-0000-0000B6CE0000}"/>
    <cellStyle name="Процентный 6 2 31 2 2" xfId="55135" xr:uid="{00000000-0005-0000-0000-0000B7CE0000}"/>
    <cellStyle name="Процентный 6 2 31 3" xfId="12414" xr:uid="{00000000-0005-0000-0000-0000B8CE0000}"/>
    <cellStyle name="Процентный 6 2 31 4" xfId="17754" xr:uid="{00000000-0005-0000-0000-0000B9CE0000}"/>
    <cellStyle name="Процентный 6 2 31 5" xfId="23094" xr:uid="{00000000-0005-0000-0000-0000BACE0000}"/>
    <cellStyle name="Процентный 6 2 31 6" xfId="28434" xr:uid="{00000000-0005-0000-0000-0000BBCE0000}"/>
    <cellStyle name="Процентный 6 2 31 7" xfId="33774" xr:uid="{00000000-0005-0000-0000-0000BCCE0000}"/>
    <cellStyle name="Процентный 6 2 31 8" xfId="39114" xr:uid="{00000000-0005-0000-0000-0000BDCE0000}"/>
    <cellStyle name="Процентный 6 2 31 9" xfId="44454" xr:uid="{00000000-0005-0000-0000-0000BECE0000}"/>
    <cellStyle name="Процентный 6 2 32" xfId="1757" xr:uid="{00000000-0005-0000-0000-0000BFCE0000}"/>
    <cellStyle name="Процентный 6 2 32 10" xfId="49820" xr:uid="{00000000-0005-0000-0000-0000C0CE0000}"/>
    <cellStyle name="Процентный 6 2 32 2" xfId="7099" xr:uid="{00000000-0005-0000-0000-0000C1CE0000}"/>
    <cellStyle name="Процентный 6 2 32 2 2" xfId="55161" xr:uid="{00000000-0005-0000-0000-0000C2CE0000}"/>
    <cellStyle name="Процентный 6 2 32 3" xfId="12440" xr:uid="{00000000-0005-0000-0000-0000C3CE0000}"/>
    <cellStyle name="Процентный 6 2 32 4" xfId="17780" xr:uid="{00000000-0005-0000-0000-0000C4CE0000}"/>
    <cellStyle name="Процентный 6 2 32 5" xfId="23120" xr:uid="{00000000-0005-0000-0000-0000C5CE0000}"/>
    <cellStyle name="Процентный 6 2 32 6" xfId="28460" xr:uid="{00000000-0005-0000-0000-0000C6CE0000}"/>
    <cellStyle name="Процентный 6 2 32 7" xfId="33800" xr:uid="{00000000-0005-0000-0000-0000C7CE0000}"/>
    <cellStyle name="Процентный 6 2 32 8" xfId="39140" xr:uid="{00000000-0005-0000-0000-0000C8CE0000}"/>
    <cellStyle name="Процентный 6 2 32 9" xfId="44480" xr:uid="{00000000-0005-0000-0000-0000C9CE0000}"/>
    <cellStyle name="Процентный 6 2 33" xfId="1783" xr:uid="{00000000-0005-0000-0000-0000CACE0000}"/>
    <cellStyle name="Процентный 6 2 33 10" xfId="49846" xr:uid="{00000000-0005-0000-0000-0000CBCE0000}"/>
    <cellStyle name="Процентный 6 2 33 2" xfId="7125" xr:uid="{00000000-0005-0000-0000-0000CCCE0000}"/>
    <cellStyle name="Процентный 6 2 33 2 2" xfId="55187" xr:uid="{00000000-0005-0000-0000-0000CDCE0000}"/>
    <cellStyle name="Процентный 6 2 33 3" xfId="12466" xr:uid="{00000000-0005-0000-0000-0000CECE0000}"/>
    <cellStyle name="Процентный 6 2 33 4" xfId="17806" xr:uid="{00000000-0005-0000-0000-0000CFCE0000}"/>
    <cellStyle name="Процентный 6 2 33 5" xfId="23146" xr:uid="{00000000-0005-0000-0000-0000D0CE0000}"/>
    <cellStyle name="Процентный 6 2 33 6" xfId="28486" xr:uid="{00000000-0005-0000-0000-0000D1CE0000}"/>
    <cellStyle name="Процентный 6 2 33 7" xfId="33826" xr:uid="{00000000-0005-0000-0000-0000D2CE0000}"/>
    <cellStyle name="Процентный 6 2 33 8" xfId="39166" xr:uid="{00000000-0005-0000-0000-0000D3CE0000}"/>
    <cellStyle name="Процентный 6 2 33 9" xfId="44506" xr:uid="{00000000-0005-0000-0000-0000D4CE0000}"/>
    <cellStyle name="Процентный 6 2 34" xfId="1809" xr:uid="{00000000-0005-0000-0000-0000D5CE0000}"/>
    <cellStyle name="Процентный 6 2 34 10" xfId="49872" xr:uid="{00000000-0005-0000-0000-0000D6CE0000}"/>
    <cellStyle name="Процентный 6 2 34 2" xfId="7151" xr:uid="{00000000-0005-0000-0000-0000D7CE0000}"/>
    <cellStyle name="Процентный 6 2 34 2 2" xfId="55213" xr:uid="{00000000-0005-0000-0000-0000D8CE0000}"/>
    <cellStyle name="Процентный 6 2 34 3" xfId="12492" xr:uid="{00000000-0005-0000-0000-0000D9CE0000}"/>
    <cellStyle name="Процентный 6 2 34 4" xfId="17832" xr:uid="{00000000-0005-0000-0000-0000DACE0000}"/>
    <cellStyle name="Процентный 6 2 34 5" xfId="23172" xr:uid="{00000000-0005-0000-0000-0000DBCE0000}"/>
    <cellStyle name="Процентный 6 2 34 6" xfId="28512" xr:uid="{00000000-0005-0000-0000-0000DCCE0000}"/>
    <cellStyle name="Процентный 6 2 34 7" xfId="33852" xr:uid="{00000000-0005-0000-0000-0000DDCE0000}"/>
    <cellStyle name="Процентный 6 2 34 8" xfId="39192" xr:uid="{00000000-0005-0000-0000-0000DECE0000}"/>
    <cellStyle name="Процентный 6 2 34 9" xfId="44532" xr:uid="{00000000-0005-0000-0000-0000DFCE0000}"/>
    <cellStyle name="Процентный 6 2 35" xfId="1835" xr:uid="{00000000-0005-0000-0000-0000E0CE0000}"/>
    <cellStyle name="Процентный 6 2 35 10" xfId="49898" xr:uid="{00000000-0005-0000-0000-0000E1CE0000}"/>
    <cellStyle name="Процентный 6 2 35 2" xfId="7177" xr:uid="{00000000-0005-0000-0000-0000E2CE0000}"/>
    <cellStyle name="Процентный 6 2 35 2 2" xfId="55239" xr:uid="{00000000-0005-0000-0000-0000E3CE0000}"/>
    <cellStyle name="Процентный 6 2 35 3" xfId="12518" xr:uid="{00000000-0005-0000-0000-0000E4CE0000}"/>
    <cellStyle name="Процентный 6 2 35 4" xfId="17858" xr:uid="{00000000-0005-0000-0000-0000E5CE0000}"/>
    <cellStyle name="Процентный 6 2 35 5" xfId="23198" xr:uid="{00000000-0005-0000-0000-0000E6CE0000}"/>
    <cellStyle name="Процентный 6 2 35 6" xfId="28538" xr:uid="{00000000-0005-0000-0000-0000E7CE0000}"/>
    <cellStyle name="Процентный 6 2 35 7" xfId="33878" xr:uid="{00000000-0005-0000-0000-0000E8CE0000}"/>
    <cellStyle name="Процентный 6 2 35 8" xfId="39218" xr:uid="{00000000-0005-0000-0000-0000E9CE0000}"/>
    <cellStyle name="Процентный 6 2 35 9" xfId="44558" xr:uid="{00000000-0005-0000-0000-0000EACE0000}"/>
    <cellStyle name="Процентный 6 2 36" xfId="1861" xr:uid="{00000000-0005-0000-0000-0000EBCE0000}"/>
    <cellStyle name="Процентный 6 2 36 10" xfId="49924" xr:uid="{00000000-0005-0000-0000-0000ECCE0000}"/>
    <cellStyle name="Процентный 6 2 36 2" xfId="7203" xr:uid="{00000000-0005-0000-0000-0000EDCE0000}"/>
    <cellStyle name="Процентный 6 2 36 2 2" xfId="55265" xr:uid="{00000000-0005-0000-0000-0000EECE0000}"/>
    <cellStyle name="Процентный 6 2 36 3" xfId="12544" xr:uid="{00000000-0005-0000-0000-0000EFCE0000}"/>
    <cellStyle name="Процентный 6 2 36 4" xfId="17884" xr:uid="{00000000-0005-0000-0000-0000F0CE0000}"/>
    <cellStyle name="Процентный 6 2 36 5" xfId="23224" xr:uid="{00000000-0005-0000-0000-0000F1CE0000}"/>
    <cellStyle name="Процентный 6 2 36 6" xfId="28564" xr:uid="{00000000-0005-0000-0000-0000F2CE0000}"/>
    <cellStyle name="Процентный 6 2 36 7" xfId="33904" xr:uid="{00000000-0005-0000-0000-0000F3CE0000}"/>
    <cellStyle name="Процентный 6 2 36 8" xfId="39244" xr:uid="{00000000-0005-0000-0000-0000F4CE0000}"/>
    <cellStyle name="Процентный 6 2 36 9" xfId="44584" xr:uid="{00000000-0005-0000-0000-0000F5CE0000}"/>
    <cellStyle name="Процентный 6 2 37" xfId="1887" xr:uid="{00000000-0005-0000-0000-0000F6CE0000}"/>
    <cellStyle name="Процентный 6 2 37 10" xfId="49950" xr:uid="{00000000-0005-0000-0000-0000F7CE0000}"/>
    <cellStyle name="Процентный 6 2 37 2" xfId="7229" xr:uid="{00000000-0005-0000-0000-0000F8CE0000}"/>
    <cellStyle name="Процентный 6 2 37 2 2" xfId="55291" xr:uid="{00000000-0005-0000-0000-0000F9CE0000}"/>
    <cellStyle name="Процентный 6 2 37 3" xfId="12570" xr:uid="{00000000-0005-0000-0000-0000FACE0000}"/>
    <cellStyle name="Процентный 6 2 37 4" xfId="17910" xr:uid="{00000000-0005-0000-0000-0000FBCE0000}"/>
    <cellStyle name="Процентный 6 2 37 5" xfId="23250" xr:uid="{00000000-0005-0000-0000-0000FCCE0000}"/>
    <cellStyle name="Процентный 6 2 37 6" xfId="28590" xr:uid="{00000000-0005-0000-0000-0000FDCE0000}"/>
    <cellStyle name="Процентный 6 2 37 7" xfId="33930" xr:uid="{00000000-0005-0000-0000-0000FECE0000}"/>
    <cellStyle name="Процентный 6 2 37 8" xfId="39270" xr:uid="{00000000-0005-0000-0000-0000FFCE0000}"/>
    <cellStyle name="Процентный 6 2 37 9" xfId="44610" xr:uid="{00000000-0005-0000-0000-000000CF0000}"/>
    <cellStyle name="Процентный 6 2 38" xfId="1913" xr:uid="{00000000-0005-0000-0000-000001CF0000}"/>
    <cellStyle name="Процентный 6 2 38 10" xfId="49976" xr:uid="{00000000-0005-0000-0000-000002CF0000}"/>
    <cellStyle name="Процентный 6 2 38 2" xfId="7255" xr:uid="{00000000-0005-0000-0000-000003CF0000}"/>
    <cellStyle name="Процентный 6 2 38 2 2" xfId="55317" xr:uid="{00000000-0005-0000-0000-000004CF0000}"/>
    <cellStyle name="Процентный 6 2 38 3" xfId="12596" xr:uid="{00000000-0005-0000-0000-000005CF0000}"/>
    <cellStyle name="Процентный 6 2 38 4" xfId="17936" xr:uid="{00000000-0005-0000-0000-000006CF0000}"/>
    <cellStyle name="Процентный 6 2 38 5" xfId="23276" xr:uid="{00000000-0005-0000-0000-000007CF0000}"/>
    <cellStyle name="Процентный 6 2 38 6" xfId="28616" xr:uid="{00000000-0005-0000-0000-000008CF0000}"/>
    <cellStyle name="Процентный 6 2 38 7" xfId="33956" xr:uid="{00000000-0005-0000-0000-000009CF0000}"/>
    <cellStyle name="Процентный 6 2 38 8" xfId="39296" xr:uid="{00000000-0005-0000-0000-00000ACF0000}"/>
    <cellStyle name="Процентный 6 2 38 9" xfId="44636" xr:uid="{00000000-0005-0000-0000-00000BCF0000}"/>
    <cellStyle name="Процентный 6 2 39" xfId="1939" xr:uid="{00000000-0005-0000-0000-00000CCF0000}"/>
    <cellStyle name="Процентный 6 2 39 10" xfId="50002" xr:uid="{00000000-0005-0000-0000-00000DCF0000}"/>
    <cellStyle name="Процентный 6 2 39 2" xfId="7281" xr:uid="{00000000-0005-0000-0000-00000ECF0000}"/>
    <cellStyle name="Процентный 6 2 39 2 2" xfId="55343" xr:uid="{00000000-0005-0000-0000-00000FCF0000}"/>
    <cellStyle name="Процентный 6 2 39 3" xfId="12622" xr:uid="{00000000-0005-0000-0000-000010CF0000}"/>
    <cellStyle name="Процентный 6 2 39 4" xfId="17962" xr:uid="{00000000-0005-0000-0000-000011CF0000}"/>
    <cellStyle name="Процентный 6 2 39 5" xfId="23302" xr:uid="{00000000-0005-0000-0000-000012CF0000}"/>
    <cellStyle name="Процентный 6 2 39 6" xfId="28642" xr:uid="{00000000-0005-0000-0000-000013CF0000}"/>
    <cellStyle name="Процентный 6 2 39 7" xfId="33982" xr:uid="{00000000-0005-0000-0000-000014CF0000}"/>
    <cellStyle name="Процентный 6 2 39 8" xfId="39322" xr:uid="{00000000-0005-0000-0000-000015CF0000}"/>
    <cellStyle name="Процентный 6 2 39 9" xfId="44662" xr:uid="{00000000-0005-0000-0000-000016CF0000}"/>
    <cellStyle name="Процентный 6 2 4" xfId="1032" xr:uid="{00000000-0005-0000-0000-000017CF0000}"/>
    <cellStyle name="Процентный 6 2 4 10" xfId="49094" xr:uid="{00000000-0005-0000-0000-000018CF0000}"/>
    <cellStyle name="Процентный 6 2 4 2" xfId="6373" xr:uid="{00000000-0005-0000-0000-000019CF0000}"/>
    <cellStyle name="Процентный 6 2 4 2 2" xfId="54435" xr:uid="{00000000-0005-0000-0000-00001ACF0000}"/>
    <cellStyle name="Процентный 6 2 4 3" xfId="11714" xr:uid="{00000000-0005-0000-0000-00001BCF0000}"/>
    <cellStyle name="Процентный 6 2 4 4" xfId="17054" xr:uid="{00000000-0005-0000-0000-00001CCF0000}"/>
    <cellStyle name="Процентный 6 2 4 5" xfId="22394" xr:uid="{00000000-0005-0000-0000-00001DCF0000}"/>
    <cellStyle name="Процентный 6 2 4 6" xfId="27734" xr:uid="{00000000-0005-0000-0000-00001ECF0000}"/>
    <cellStyle name="Процентный 6 2 4 7" xfId="33074" xr:uid="{00000000-0005-0000-0000-00001FCF0000}"/>
    <cellStyle name="Процентный 6 2 4 8" xfId="38414" xr:uid="{00000000-0005-0000-0000-000020CF0000}"/>
    <cellStyle name="Процентный 6 2 4 9" xfId="43754" xr:uid="{00000000-0005-0000-0000-000021CF0000}"/>
    <cellStyle name="Процентный 6 2 40" xfId="1967" xr:uid="{00000000-0005-0000-0000-000022CF0000}"/>
    <cellStyle name="Процентный 6 2 40 10" xfId="50030" xr:uid="{00000000-0005-0000-0000-000023CF0000}"/>
    <cellStyle name="Процентный 6 2 40 2" xfId="7309" xr:uid="{00000000-0005-0000-0000-000024CF0000}"/>
    <cellStyle name="Процентный 6 2 40 2 2" xfId="55371" xr:uid="{00000000-0005-0000-0000-000025CF0000}"/>
    <cellStyle name="Процентный 6 2 40 3" xfId="12650" xr:uid="{00000000-0005-0000-0000-000026CF0000}"/>
    <cellStyle name="Процентный 6 2 40 4" xfId="17990" xr:uid="{00000000-0005-0000-0000-000027CF0000}"/>
    <cellStyle name="Процентный 6 2 40 5" xfId="23330" xr:uid="{00000000-0005-0000-0000-000028CF0000}"/>
    <cellStyle name="Процентный 6 2 40 6" xfId="28670" xr:uid="{00000000-0005-0000-0000-000029CF0000}"/>
    <cellStyle name="Процентный 6 2 40 7" xfId="34010" xr:uid="{00000000-0005-0000-0000-00002ACF0000}"/>
    <cellStyle name="Процентный 6 2 40 8" xfId="39350" xr:uid="{00000000-0005-0000-0000-00002BCF0000}"/>
    <cellStyle name="Процентный 6 2 40 9" xfId="44690" xr:uid="{00000000-0005-0000-0000-00002CCF0000}"/>
    <cellStyle name="Процентный 6 2 41" xfId="1994" xr:uid="{00000000-0005-0000-0000-00002DCF0000}"/>
    <cellStyle name="Процентный 6 2 41 10" xfId="50058" xr:uid="{00000000-0005-0000-0000-00002ECF0000}"/>
    <cellStyle name="Процентный 6 2 41 2" xfId="7337" xr:uid="{00000000-0005-0000-0000-00002FCF0000}"/>
    <cellStyle name="Процентный 6 2 41 2 2" xfId="55399" xr:uid="{00000000-0005-0000-0000-000030CF0000}"/>
    <cellStyle name="Процентный 6 2 41 3" xfId="12678" xr:uid="{00000000-0005-0000-0000-000031CF0000}"/>
    <cellStyle name="Процентный 6 2 41 4" xfId="18018" xr:uid="{00000000-0005-0000-0000-000032CF0000}"/>
    <cellStyle name="Процентный 6 2 41 5" xfId="23358" xr:uid="{00000000-0005-0000-0000-000033CF0000}"/>
    <cellStyle name="Процентный 6 2 41 6" xfId="28698" xr:uid="{00000000-0005-0000-0000-000034CF0000}"/>
    <cellStyle name="Процентный 6 2 41 7" xfId="34038" xr:uid="{00000000-0005-0000-0000-000035CF0000}"/>
    <cellStyle name="Процентный 6 2 41 8" xfId="39378" xr:uid="{00000000-0005-0000-0000-000036CF0000}"/>
    <cellStyle name="Процентный 6 2 41 9" xfId="44718" xr:uid="{00000000-0005-0000-0000-000037CF0000}"/>
    <cellStyle name="Процентный 6 2 42" xfId="2022" xr:uid="{00000000-0005-0000-0000-000038CF0000}"/>
    <cellStyle name="Процентный 6 2 42 10" xfId="50086" xr:uid="{00000000-0005-0000-0000-000039CF0000}"/>
    <cellStyle name="Процентный 6 2 42 2" xfId="7365" xr:uid="{00000000-0005-0000-0000-00003ACF0000}"/>
    <cellStyle name="Процентный 6 2 42 2 2" xfId="55427" xr:uid="{00000000-0005-0000-0000-00003BCF0000}"/>
    <cellStyle name="Процентный 6 2 42 3" xfId="12706" xr:uid="{00000000-0005-0000-0000-00003CCF0000}"/>
    <cellStyle name="Процентный 6 2 42 4" xfId="18046" xr:uid="{00000000-0005-0000-0000-00003DCF0000}"/>
    <cellStyle name="Процентный 6 2 42 5" xfId="23386" xr:uid="{00000000-0005-0000-0000-00003ECF0000}"/>
    <cellStyle name="Процентный 6 2 42 6" xfId="28726" xr:uid="{00000000-0005-0000-0000-00003FCF0000}"/>
    <cellStyle name="Процентный 6 2 42 7" xfId="34066" xr:uid="{00000000-0005-0000-0000-000040CF0000}"/>
    <cellStyle name="Процентный 6 2 42 8" xfId="39406" xr:uid="{00000000-0005-0000-0000-000041CF0000}"/>
    <cellStyle name="Процентный 6 2 42 9" xfId="44746" xr:uid="{00000000-0005-0000-0000-000042CF0000}"/>
    <cellStyle name="Процентный 6 2 43" xfId="2050" xr:uid="{00000000-0005-0000-0000-000043CF0000}"/>
    <cellStyle name="Процентный 6 2 43 10" xfId="50114" xr:uid="{00000000-0005-0000-0000-000044CF0000}"/>
    <cellStyle name="Процентный 6 2 43 2" xfId="7393" xr:uid="{00000000-0005-0000-0000-000045CF0000}"/>
    <cellStyle name="Процентный 6 2 43 2 2" xfId="55455" xr:uid="{00000000-0005-0000-0000-000046CF0000}"/>
    <cellStyle name="Процентный 6 2 43 3" xfId="12734" xr:uid="{00000000-0005-0000-0000-000047CF0000}"/>
    <cellStyle name="Процентный 6 2 43 4" xfId="18074" xr:uid="{00000000-0005-0000-0000-000048CF0000}"/>
    <cellStyle name="Процентный 6 2 43 5" xfId="23414" xr:uid="{00000000-0005-0000-0000-000049CF0000}"/>
    <cellStyle name="Процентный 6 2 43 6" xfId="28754" xr:uid="{00000000-0005-0000-0000-00004ACF0000}"/>
    <cellStyle name="Процентный 6 2 43 7" xfId="34094" xr:uid="{00000000-0005-0000-0000-00004BCF0000}"/>
    <cellStyle name="Процентный 6 2 43 8" xfId="39434" xr:uid="{00000000-0005-0000-0000-00004CCF0000}"/>
    <cellStyle name="Процентный 6 2 43 9" xfId="44774" xr:uid="{00000000-0005-0000-0000-00004DCF0000}"/>
    <cellStyle name="Процентный 6 2 44" xfId="2078" xr:uid="{00000000-0005-0000-0000-00004ECF0000}"/>
    <cellStyle name="Процентный 6 2 44 10" xfId="50142" xr:uid="{00000000-0005-0000-0000-00004FCF0000}"/>
    <cellStyle name="Процентный 6 2 44 2" xfId="7421" xr:uid="{00000000-0005-0000-0000-000050CF0000}"/>
    <cellStyle name="Процентный 6 2 44 2 2" xfId="55483" xr:uid="{00000000-0005-0000-0000-000051CF0000}"/>
    <cellStyle name="Процентный 6 2 44 3" xfId="12762" xr:uid="{00000000-0005-0000-0000-000052CF0000}"/>
    <cellStyle name="Процентный 6 2 44 4" xfId="18102" xr:uid="{00000000-0005-0000-0000-000053CF0000}"/>
    <cellStyle name="Процентный 6 2 44 5" xfId="23442" xr:uid="{00000000-0005-0000-0000-000054CF0000}"/>
    <cellStyle name="Процентный 6 2 44 6" xfId="28782" xr:uid="{00000000-0005-0000-0000-000055CF0000}"/>
    <cellStyle name="Процентный 6 2 44 7" xfId="34122" xr:uid="{00000000-0005-0000-0000-000056CF0000}"/>
    <cellStyle name="Процентный 6 2 44 8" xfId="39462" xr:uid="{00000000-0005-0000-0000-000057CF0000}"/>
    <cellStyle name="Процентный 6 2 44 9" xfId="44802" xr:uid="{00000000-0005-0000-0000-000058CF0000}"/>
    <cellStyle name="Процентный 6 2 45" xfId="2106" xr:uid="{00000000-0005-0000-0000-000059CF0000}"/>
    <cellStyle name="Процентный 6 2 45 10" xfId="50170" xr:uid="{00000000-0005-0000-0000-00005ACF0000}"/>
    <cellStyle name="Процентный 6 2 45 2" xfId="7449" xr:uid="{00000000-0005-0000-0000-00005BCF0000}"/>
    <cellStyle name="Процентный 6 2 45 2 2" xfId="55511" xr:uid="{00000000-0005-0000-0000-00005CCF0000}"/>
    <cellStyle name="Процентный 6 2 45 3" xfId="12790" xr:uid="{00000000-0005-0000-0000-00005DCF0000}"/>
    <cellStyle name="Процентный 6 2 45 4" xfId="18130" xr:uid="{00000000-0005-0000-0000-00005ECF0000}"/>
    <cellStyle name="Процентный 6 2 45 5" xfId="23470" xr:uid="{00000000-0005-0000-0000-00005FCF0000}"/>
    <cellStyle name="Процентный 6 2 45 6" xfId="28810" xr:uid="{00000000-0005-0000-0000-000060CF0000}"/>
    <cellStyle name="Процентный 6 2 45 7" xfId="34150" xr:uid="{00000000-0005-0000-0000-000061CF0000}"/>
    <cellStyle name="Процентный 6 2 45 8" xfId="39490" xr:uid="{00000000-0005-0000-0000-000062CF0000}"/>
    <cellStyle name="Процентный 6 2 45 9" xfId="44830" xr:uid="{00000000-0005-0000-0000-000063CF0000}"/>
    <cellStyle name="Процентный 6 2 46" xfId="2134" xr:uid="{00000000-0005-0000-0000-000064CF0000}"/>
    <cellStyle name="Процентный 6 2 46 10" xfId="50198" xr:uid="{00000000-0005-0000-0000-000065CF0000}"/>
    <cellStyle name="Процентный 6 2 46 2" xfId="7477" xr:uid="{00000000-0005-0000-0000-000066CF0000}"/>
    <cellStyle name="Процентный 6 2 46 2 2" xfId="55539" xr:uid="{00000000-0005-0000-0000-000067CF0000}"/>
    <cellStyle name="Процентный 6 2 46 3" xfId="12818" xr:uid="{00000000-0005-0000-0000-000068CF0000}"/>
    <cellStyle name="Процентный 6 2 46 4" xfId="18158" xr:uid="{00000000-0005-0000-0000-000069CF0000}"/>
    <cellStyle name="Процентный 6 2 46 5" xfId="23498" xr:uid="{00000000-0005-0000-0000-00006ACF0000}"/>
    <cellStyle name="Процентный 6 2 46 6" xfId="28838" xr:uid="{00000000-0005-0000-0000-00006BCF0000}"/>
    <cellStyle name="Процентный 6 2 46 7" xfId="34178" xr:uid="{00000000-0005-0000-0000-00006CCF0000}"/>
    <cellStyle name="Процентный 6 2 46 8" xfId="39518" xr:uid="{00000000-0005-0000-0000-00006DCF0000}"/>
    <cellStyle name="Процентный 6 2 46 9" xfId="44858" xr:uid="{00000000-0005-0000-0000-00006ECF0000}"/>
    <cellStyle name="Процентный 6 2 47" xfId="2164" xr:uid="{00000000-0005-0000-0000-00006FCF0000}"/>
    <cellStyle name="Процентный 6 2 47 10" xfId="50228" xr:uid="{00000000-0005-0000-0000-000070CF0000}"/>
    <cellStyle name="Процентный 6 2 47 2" xfId="7507" xr:uid="{00000000-0005-0000-0000-000071CF0000}"/>
    <cellStyle name="Процентный 6 2 47 2 2" xfId="55569" xr:uid="{00000000-0005-0000-0000-000072CF0000}"/>
    <cellStyle name="Процентный 6 2 47 3" xfId="12848" xr:uid="{00000000-0005-0000-0000-000073CF0000}"/>
    <cellStyle name="Процентный 6 2 47 4" xfId="18188" xr:uid="{00000000-0005-0000-0000-000074CF0000}"/>
    <cellStyle name="Процентный 6 2 47 5" xfId="23528" xr:uid="{00000000-0005-0000-0000-000075CF0000}"/>
    <cellStyle name="Процентный 6 2 47 6" xfId="28868" xr:uid="{00000000-0005-0000-0000-000076CF0000}"/>
    <cellStyle name="Процентный 6 2 47 7" xfId="34208" xr:uid="{00000000-0005-0000-0000-000077CF0000}"/>
    <cellStyle name="Процентный 6 2 47 8" xfId="39548" xr:uid="{00000000-0005-0000-0000-000078CF0000}"/>
    <cellStyle name="Процентный 6 2 47 9" xfId="44888" xr:uid="{00000000-0005-0000-0000-000079CF0000}"/>
    <cellStyle name="Процентный 6 2 48" xfId="2194" xr:uid="{00000000-0005-0000-0000-00007ACF0000}"/>
    <cellStyle name="Процентный 6 2 48 10" xfId="50258" xr:uid="{00000000-0005-0000-0000-00007BCF0000}"/>
    <cellStyle name="Процентный 6 2 48 2" xfId="7537" xr:uid="{00000000-0005-0000-0000-00007CCF0000}"/>
    <cellStyle name="Процентный 6 2 48 2 2" xfId="55599" xr:uid="{00000000-0005-0000-0000-00007DCF0000}"/>
    <cellStyle name="Процентный 6 2 48 3" xfId="12878" xr:uid="{00000000-0005-0000-0000-00007ECF0000}"/>
    <cellStyle name="Процентный 6 2 48 4" xfId="18218" xr:uid="{00000000-0005-0000-0000-00007FCF0000}"/>
    <cellStyle name="Процентный 6 2 48 5" xfId="23558" xr:uid="{00000000-0005-0000-0000-000080CF0000}"/>
    <cellStyle name="Процентный 6 2 48 6" xfId="28898" xr:uid="{00000000-0005-0000-0000-000081CF0000}"/>
    <cellStyle name="Процентный 6 2 48 7" xfId="34238" xr:uid="{00000000-0005-0000-0000-000082CF0000}"/>
    <cellStyle name="Процентный 6 2 48 8" xfId="39578" xr:uid="{00000000-0005-0000-0000-000083CF0000}"/>
    <cellStyle name="Процентный 6 2 48 9" xfId="44918" xr:uid="{00000000-0005-0000-0000-000084CF0000}"/>
    <cellStyle name="Процентный 6 2 49" xfId="2224" xr:uid="{00000000-0005-0000-0000-000085CF0000}"/>
    <cellStyle name="Процентный 6 2 49 10" xfId="50288" xr:uid="{00000000-0005-0000-0000-000086CF0000}"/>
    <cellStyle name="Процентный 6 2 49 2" xfId="7567" xr:uid="{00000000-0005-0000-0000-000087CF0000}"/>
    <cellStyle name="Процентный 6 2 49 2 2" xfId="55629" xr:uid="{00000000-0005-0000-0000-000088CF0000}"/>
    <cellStyle name="Процентный 6 2 49 3" xfId="12908" xr:uid="{00000000-0005-0000-0000-000089CF0000}"/>
    <cellStyle name="Процентный 6 2 49 4" xfId="18248" xr:uid="{00000000-0005-0000-0000-00008ACF0000}"/>
    <cellStyle name="Процентный 6 2 49 5" xfId="23588" xr:uid="{00000000-0005-0000-0000-00008BCF0000}"/>
    <cellStyle name="Процентный 6 2 49 6" xfId="28928" xr:uid="{00000000-0005-0000-0000-00008CCF0000}"/>
    <cellStyle name="Процентный 6 2 49 7" xfId="34268" xr:uid="{00000000-0005-0000-0000-00008DCF0000}"/>
    <cellStyle name="Процентный 6 2 49 8" xfId="39608" xr:uid="{00000000-0005-0000-0000-00008ECF0000}"/>
    <cellStyle name="Процентный 6 2 49 9" xfId="44948" xr:uid="{00000000-0005-0000-0000-00008FCF0000}"/>
    <cellStyle name="Процентный 6 2 5" xfId="1056" xr:uid="{00000000-0005-0000-0000-000090CF0000}"/>
    <cellStyle name="Процентный 6 2 5 10" xfId="49118" xr:uid="{00000000-0005-0000-0000-000091CF0000}"/>
    <cellStyle name="Процентный 6 2 5 2" xfId="6397" xr:uid="{00000000-0005-0000-0000-000092CF0000}"/>
    <cellStyle name="Процентный 6 2 5 2 2" xfId="54459" xr:uid="{00000000-0005-0000-0000-000093CF0000}"/>
    <cellStyle name="Процентный 6 2 5 3" xfId="11738" xr:uid="{00000000-0005-0000-0000-000094CF0000}"/>
    <cellStyle name="Процентный 6 2 5 4" xfId="17078" xr:uid="{00000000-0005-0000-0000-000095CF0000}"/>
    <cellStyle name="Процентный 6 2 5 5" xfId="22418" xr:uid="{00000000-0005-0000-0000-000096CF0000}"/>
    <cellStyle name="Процентный 6 2 5 6" xfId="27758" xr:uid="{00000000-0005-0000-0000-000097CF0000}"/>
    <cellStyle name="Процентный 6 2 5 7" xfId="33098" xr:uid="{00000000-0005-0000-0000-000098CF0000}"/>
    <cellStyle name="Процентный 6 2 5 8" xfId="38438" xr:uid="{00000000-0005-0000-0000-000099CF0000}"/>
    <cellStyle name="Процентный 6 2 5 9" xfId="43778" xr:uid="{00000000-0005-0000-0000-00009ACF0000}"/>
    <cellStyle name="Процентный 6 2 50" xfId="2254" xr:uid="{00000000-0005-0000-0000-00009BCF0000}"/>
    <cellStyle name="Процентный 6 2 50 10" xfId="50318" xr:uid="{00000000-0005-0000-0000-00009CCF0000}"/>
    <cellStyle name="Процентный 6 2 50 2" xfId="7597" xr:uid="{00000000-0005-0000-0000-00009DCF0000}"/>
    <cellStyle name="Процентный 6 2 50 2 2" xfId="55659" xr:uid="{00000000-0005-0000-0000-00009ECF0000}"/>
    <cellStyle name="Процентный 6 2 50 3" xfId="12938" xr:uid="{00000000-0005-0000-0000-00009FCF0000}"/>
    <cellStyle name="Процентный 6 2 50 4" xfId="18278" xr:uid="{00000000-0005-0000-0000-0000A0CF0000}"/>
    <cellStyle name="Процентный 6 2 50 5" xfId="23618" xr:uid="{00000000-0005-0000-0000-0000A1CF0000}"/>
    <cellStyle name="Процентный 6 2 50 6" xfId="28958" xr:uid="{00000000-0005-0000-0000-0000A2CF0000}"/>
    <cellStyle name="Процентный 6 2 50 7" xfId="34298" xr:uid="{00000000-0005-0000-0000-0000A3CF0000}"/>
    <cellStyle name="Процентный 6 2 50 8" xfId="39638" xr:uid="{00000000-0005-0000-0000-0000A4CF0000}"/>
    <cellStyle name="Процентный 6 2 50 9" xfId="44978" xr:uid="{00000000-0005-0000-0000-0000A5CF0000}"/>
    <cellStyle name="Процентный 6 2 51" xfId="2284" xr:uid="{00000000-0005-0000-0000-0000A6CF0000}"/>
    <cellStyle name="Процентный 6 2 51 10" xfId="50348" xr:uid="{00000000-0005-0000-0000-0000A7CF0000}"/>
    <cellStyle name="Процентный 6 2 51 2" xfId="7627" xr:uid="{00000000-0005-0000-0000-0000A8CF0000}"/>
    <cellStyle name="Процентный 6 2 51 2 2" xfId="55689" xr:uid="{00000000-0005-0000-0000-0000A9CF0000}"/>
    <cellStyle name="Процентный 6 2 51 3" xfId="12968" xr:uid="{00000000-0005-0000-0000-0000AACF0000}"/>
    <cellStyle name="Процентный 6 2 51 4" xfId="18308" xr:uid="{00000000-0005-0000-0000-0000ABCF0000}"/>
    <cellStyle name="Процентный 6 2 51 5" xfId="23648" xr:uid="{00000000-0005-0000-0000-0000ACCF0000}"/>
    <cellStyle name="Процентный 6 2 51 6" xfId="28988" xr:uid="{00000000-0005-0000-0000-0000ADCF0000}"/>
    <cellStyle name="Процентный 6 2 51 7" xfId="34328" xr:uid="{00000000-0005-0000-0000-0000AECF0000}"/>
    <cellStyle name="Процентный 6 2 51 8" xfId="39668" xr:uid="{00000000-0005-0000-0000-0000AFCF0000}"/>
    <cellStyle name="Процентный 6 2 51 9" xfId="45008" xr:uid="{00000000-0005-0000-0000-0000B0CF0000}"/>
    <cellStyle name="Процентный 6 2 52" xfId="2314" xr:uid="{00000000-0005-0000-0000-0000B1CF0000}"/>
    <cellStyle name="Процентный 6 2 52 10" xfId="50378" xr:uid="{00000000-0005-0000-0000-0000B2CF0000}"/>
    <cellStyle name="Процентный 6 2 52 2" xfId="7657" xr:uid="{00000000-0005-0000-0000-0000B3CF0000}"/>
    <cellStyle name="Процентный 6 2 52 2 2" xfId="55719" xr:uid="{00000000-0005-0000-0000-0000B4CF0000}"/>
    <cellStyle name="Процентный 6 2 52 3" xfId="12998" xr:uid="{00000000-0005-0000-0000-0000B5CF0000}"/>
    <cellStyle name="Процентный 6 2 52 4" xfId="18338" xr:uid="{00000000-0005-0000-0000-0000B6CF0000}"/>
    <cellStyle name="Процентный 6 2 52 5" xfId="23678" xr:uid="{00000000-0005-0000-0000-0000B7CF0000}"/>
    <cellStyle name="Процентный 6 2 52 6" xfId="29018" xr:uid="{00000000-0005-0000-0000-0000B8CF0000}"/>
    <cellStyle name="Процентный 6 2 52 7" xfId="34358" xr:uid="{00000000-0005-0000-0000-0000B9CF0000}"/>
    <cellStyle name="Процентный 6 2 52 8" xfId="39698" xr:uid="{00000000-0005-0000-0000-0000BACF0000}"/>
    <cellStyle name="Процентный 6 2 52 9" xfId="45038" xr:uid="{00000000-0005-0000-0000-0000BBCF0000}"/>
    <cellStyle name="Процентный 6 2 53" xfId="2344" xr:uid="{00000000-0005-0000-0000-0000BCCF0000}"/>
    <cellStyle name="Процентный 6 2 53 10" xfId="50408" xr:uid="{00000000-0005-0000-0000-0000BDCF0000}"/>
    <cellStyle name="Процентный 6 2 53 2" xfId="7687" xr:uid="{00000000-0005-0000-0000-0000BECF0000}"/>
    <cellStyle name="Процентный 6 2 53 2 2" xfId="55749" xr:uid="{00000000-0005-0000-0000-0000BFCF0000}"/>
    <cellStyle name="Процентный 6 2 53 3" xfId="13028" xr:uid="{00000000-0005-0000-0000-0000C0CF0000}"/>
    <cellStyle name="Процентный 6 2 53 4" xfId="18368" xr:uid="{00000000-0005-0000-0000-0000C1CF0000}"/>
    <cellStyle name="Процентный 6 2 53 5" xfId="23708" xr:uid="{00000000-0005-0000-0000-0000C2CF0000}"/>
    <cellStyle name="Процентный 6 2 53 6" xfId="29048" xr:uid="{00000000-0005-0000-0000-0000C3CF0000}"/>
    <cellStyle name="Процентный 6 2 53 7" xfId="34388" xr:uid="{00000000-0005-0000-0000-0000C4CF0000}"/>
    <cellStyle name="Процентный 6 2 53 8" xfId="39728" xr:uid="{00000000-0005-0000-0000-0000C5CF0000}"/>
    <cellStyle name="Процентный 6 2 53 9" xfId="45068" xr:uid="{00000000-0005-0000-0000-0000C6CF0000}"/>
    <cellStyle name="Процентный 6 2 54" xfId="2374" xr:uid="{00000000-0005-0000-0000-0000C7CF0000}"/>
    <cellStyle name="Процентный 6 2 54 10" xfId="50438" xr:uid="{00000000-0005-0000-0000-0000C8CF0000}"/>
    <cellStyle name="Процентный 6 2 54 2" xfId="7717" xr:uid="{00000000-0005-0000-0000-0000C9CF0000}"/>
    <cellStyle name="Процентный 6 2 54 2 2" xfId="55779" xr:uid="{00000000-0005-0000-0000-0000CACF0000}"/>
    <cellStyle name="Процентный 6 2 54 3" xfId="13058" xr:uid="{00000000-0005-0000-0000-0000CBCF0000}"/>
    <cellStyle name="Процентный 6 2 54 4" xfId="18398" xr:uid="{00000000-0005-0000-0000-0000CCCF0000}"/>
    <cellStyle name="Процентный 6 2 54 5" xfId="23738" xr:uid="{00000000-0005-0000-0000-0000CDCF0000}"/>
    <cellStyle name="Процентный 6 2 54 6" xfId="29078" xr:uid="{00000000-0005-0000-0000-0000CECF0000}"/>
    <cellStyle name="Процентный 6 2 54 7" xfId="34418" xr:uid="{00000000-0005-0000-0000-0000CFCF0000}"/>
    <cellStyle name="Процентный 6 2 54 8" xfId="39758" xr:uid="{00000000-0005-0000-0000-0000D0CF0000}"/>
    <cellStyle name="Процентный 6 2 54 9" xfId="45098" xr:uid="{00000000-0005-0000-0000-0000D1CF0000}"/>
    <cellStyle name="Процентный 6 2 55" xfId="2404" xr:uid="{00000000-0005-0000-0000-0000D2CF0000}"/>
    <cellStyle name="Процентный 6 2 55 10" xfId="50468" xr:uid="{00000000-0005-0000-0000-0000D3CF0000}"/>
    <cellStyle name="Процентный 6 2 55 2" xfId="7747" xr:uid="{00000000-0005-0000-0000-0000D4CF0000}"/>
    <cellStyle name="Процентный 6 2 55 2 2" xfId="55809" xr:uid="{00000000-0005-0000-0000-0000D5CF0000}"/>
    <cellStyle name="Процентный 6 2 55 3" xfId="13088" xr:uid="{00000000-0005-0000-0000-0000D6CF0000}"/>
    <cellStyle name="Процентный 6 2 55 4" xfId="18428" xr:uid="{00000000-0005-0000-0000-0000D7CF0000}"/>
    <cellStyle name="Процентный 6 2 55 5" xfId="23768" xr:uid="{00000000-0005-0000-0000-0000D8CF0000}"/>
    <cellStyle name="Процентный 6 2 55 6" xfId="29108" xr:uid="{00000000-0005-0000-0000-0000D9CF0000}"/>
    <cellStyle name="Процентный 6 2 55 7" xfId="34448" xr:uid="{00000000-0005-0000-0000-0000DACF0000}"/>
    <cellStyle name="Процентный 6 2 55 8" xfId="39788" xr:uid="{00000000-0005-0000-0000-0000DBCF0000}"/>
    <cellStyle name="Процентный 6 2 55 9" xfId="45128" xr:uid="{00000000-0005-0000-0000-0000DCCF0000}"/>
    <cellStyle name="Процентный 6 2 56" xfId="2434" xr:uid="{00000000-0005-0000-0000-0000DDCF0000}"/>
    <cellStyle name="Процентный 6 2 56 10" xfId="50498" xr:uid="{00000000-0005-0000-0000-0000DECF0000}"/>
    <cellStyle name="Процентный 6 2 56 2" xfId="7777" xr:uid="{00000000-0005-0000-0000-0000DFCF0000}"/>
    <cellStyle name="Процентный 6 2 56 2 2" xfId="55839" xr:uid="{00000000-0005-0000-0000-0000E0CF0000}"/>
    <cellStyle name="Процентный 6 2 56 3" xfId="13118" xr:uid="{00000000-0005-0000-0000-0000E1CF0000}"/>
    <cellStyle name="Процентный 6 2 56 4" xfId="18458" xr:uid="{00000000-0005-0000-0000-0000E2CF0000}"/>
    <cellStyle name="Процентный 6 2 56 5" xfId="23798" xr:uid="{00000000-0005-0000-0000-0000E3CF0000}"/>
    <cellStyle name="Процентный 6 2 56 6" xfId="29138" xr:uid="{00000000-0005-0000-0000-0000E4CF0000}"/>
    <cellStyle name="Процентный 6 2 56 7" xfId="34478" xr:uid="{00000000-0005-0000-0000-0000E5CF0000}"/>
    <cellStyle name="Процентный 6 2 56 8" xfId="39818" xr:uid="{00000000-0005-0000-0000-0000E6CF0000}"/>
    <cellStyle name="Процентный 6 2 56 9" xfId="45158" xr:uid="{00000000-0005-0000-0000-0000E7CF0000}"/>
    <cellStyle name="Процентный 6 2 57" xfId="2464" xr:uid="{00000000-0005-0000-0000-0000E8CF0000}"/>
    <cellStyle name="Процентный 6 2 57 10" xfId="50528" xr:uid="{00000000-0005-0000-0000-0000E9CF0000}"/>
    <cellStyle name="Процентный 6 2 57 2" xfId="7807" xr:uid="{00000000-0005-0000-0000-0000EACF0000}"/>
    <cellStyle name="Процентный 6 2 57 2 2" xfId="55869" xr:uid="{00000000-0005-0000-0000-0000EBCF0000}"/>
    <cellStyle name="Процентный 6 2 57 3" xfId="13148" xr:uid="{00000000-0005-0000-0000-0000ECCF0000}"/>
    <cellStyle name="Процентный 6 2 57 4" xfId="18488" xr:uid="{00000000-0005-0000-0000-0000EDCF0000}"/>
    <cellStyle name="Процентный 6 2 57 5" xfId="23828" xr:uid="{00000000-0005-0000-0000-0000EECF0000}"/>
    <cellStyle name="Процентный 6 2 57 6" xfId="29168" xr:uid="{00000000-0005-0000-0000-0000EFCF0000}"/>
    <cellStyle name="Процентный 6 2 57 7" xfId="34508" xr:uid="{00000000-0005-0000-0000-0000F0CF0000}"/>
    <cellStyle name="Процентный 6 2 57 8" xfId="39848" xr:uid="{00000000-0005-0000-0000-0000F1CF0000}"/>
    <cellStyle name="Процентный 6 2 57 9" xfId="45188" xr:uid="{00000000-0005-0000-0000-0000F2CF0000}"/>
    <cellStyle name="Процентный 6 2 58" xfId="2494" xr:uid="{00000000-0005-0000-0000-0000F3CF0000}"/>
    <cellStyle name="Процентный 6 2 58 10" xfId="50558" xr:uid="{00000000-0005-0000-0000-0000F4CF0000}"/>
    <cellStyle name="Процентный 6 2 58 2" xfId="7837" xr:uid="{00000000-0005-0000-0000-0000F5CF0000}"/>
    <cellStyle name="Процентный 6 2 58 2 2" xfId="55899" xr:uid="{00000000-0005-0000-0000-0000F6CF0000}"/>
    <cellStyle name="Процентный 6 2 58 3" xfId="13178" xr:uid="{00000000-0005-0000-0000-0000F7CF0000}"/>
    <cellStyle name="Процентный 6 2 58 4" xfId="18518" xr:uid="{00000000-0005-0000-0000-0000F8CF0000}"/>
    <cellStyle name="Процентный 6 2 58 5" xfId="23858" xr:uid="{00000000-0005-0000-0000-0000F9CF0000}"/>
    <cellStyle name="Процентный 6 2 58 6" xfId="29198" xr:uid="{00000000-0005-0000-0000-0000FACF0000}"/>
    <cellStyle name="Процентный 6 2 58 7" xfId="34538" xr:uid="{00000000-0005-0000-0000-0000FBCF0000}"/>
    <cellStyle name="Процентный 6 2 58 8" xfId="39878" xr:uid="{00000000-0005-0000-0000-0000FCCF0000}"/>
    <cellStyle name="Процентный 6 2 58 9" xfId="45218" xr:uid="{00000000-0005-0000-0000-0000FDCF0000}"/>
    <cellStyle name="Процентный 6 2 59" xfId="2526" xr:uid="{00000000-0005-0000-0000-0000FECF0000}"/>
    <cellStyle name="Процентный 6 2 59 10" xfId="50590" xr:uid="{00000000-0005-0000-0000-0000FFCF0000}"/>
    <cellStyle name="Процентный 6 2 59 2" xfId="7869" xr:uid="{00000000-0005-0000-0000-000000D00000}"/>
    <cellStyle name="Процентный 6 2 59 2 2" xfId="55931" xr:uid="{00000000-0005-0000-0000-000001D00000}"/>
    <cellStyle name="Процентный 6 2 59 3" xfId="13210" xr:uid="{00000000-0005-0000-0000-000002D00000}"/>
    <cellStyle name="Процентный 6 2 59 4" xfId="18550" xr:uid="{00000000-0005-0000-0000-000003D00000}"/>
    <cellStyle name="Процентный 6 2 59 5" xfId="23890" xr:uid="{00000000-0005-0000-0000-000004D00000}"/>
    <cellStyle name="Процентный 6 2 59 6" xfId="29230" xr:uid="{00000000-0005-0000-0000-000005D00000}"/>
    <cellStyle name="Процентный 6 2 59 7" xfId="34570" xr:uid="{00000000-0005-0000-0000-000006D00000}"/>
    <cellStyle name="Процентный 6 2 59 8" xfId="39910" xr:uid="{00000000-0005-0000-0000-000007D00000}"/>
    <cellStyle name="Процентный 6 2 59 9" xfId="45250" xr:uid="{00000000-0005-0000-0000-000008D00000}"/>
    <cellStyle name="Процентный 6 2 6" xfId="1081" xr:uid="{00000000-0005-0000-0000-000009D00000}"/>
    <cellStyle name="Процентный 6 2 6 10" xfId="49144" xr:uid="{00000000-0005-0000-0000-00000AD00000}"/>
    <cellStyle name="Процентный 6 2 6 2" xfId="6423" xr:uid="{00000000-0005-0000-0000-00000BD00000}"/>
    <cellStyle name="Процентный 6 2 6 2 2" xfId="54485" xr:uid="{00000000-0005-0000-0000-00000CD00000}"/>
    <cellStyle name="Процентный 6 2 6 3" xfId="11764" xr:uid="{00000000-0005-0000-0000-00000DD00000}"/>
    <cellStyle name="Процентный 6 2 6 4" xfId="17104" xr:uid="{00000000-0005-0000-0000-00000ED00000}"/>
    <cellStyle name="Процентный 6 2 6 5" xfId="22444" xr:uid="{00000000-0005-0000-0000-00000FD00000}"/>
    <cellStyle name="Процентный 6 2 6 6" xfId="27784" xr:uid="{00000000-0005-0000-0000-000010D00000}"/>
    <cellStyle name="Процентный 6 2 6 7" xfId="33124" xr:uid="{00000000-0005-0000-0000-000011D00000}"/>
    <cellStyle name="Процентный 6 2 6 8" xfId="38464" xr:uid="{00000000-0005-0000-0000-000012D00000}"/>
    <cellStyle name="Процентный 6 2 6 9" xfId="43804" xr:uid="{00000000-0005-0000-0000-000013D00000}"/>
    <cellStyle name="Процентный 6 2 60" xfId="2560" xr:uid="{00000000-0005-0000-0000-000014D00000}"/>
    <cellStyle name="Процентный 6 2 60 10" xfId="50624" xr:uid="{00000000-0005-0000-0000-000015D00000}"/>
    <cellStyle name="Процентный 6 2 60 2" xfId="7903" xr:uid="{00000000-0005-0000-0000-000016D00000}"/>
    <cellStyle name="Процентный 6 2 60 2 2" xfId="55965" xr:uid="{00000000-0005-0000-0000-000017D00000}"/>
    <cellStyle name="Процентный 6 2 60 3" xfId="13244" xr:uid="{00000000-0005-0000-0000-000018D00000}"/>
    <cellStyle name="Процентный 6 2 60 4" xfId="18584" xr:uid="{00000000-0005-0000-0000-000019D00000}"/>
    <cellStyle name="Процентный 6 2 60 5" xfId="23924" xr:uid="{00000000-0005-0000-0000-00001AD00000}"/>
    <cellStyle name="Процентный 6 2 60 6" xfId="29264" xr:uid="{00000000-0005-0000-0000-00001BD00000}"/>
    <cellStyle name="Процентный 6 2 60 7" xfId="34604" xr:uid="{00000000-0005-0000-0000-00001CD00000}"/>
    <cellStyle name="Процентный 6 2 60 8" xfId="39944" xr:uid="{00000000-0005-0000-0000-00001DD00000}"/>
    <cellStyle name="Процентный 6 2 60 9" xfId="45284" xr:uid="{00000000-0005-0000-0000-00001ED00000}"/>
    <cellStyle name="Процентный 6 2 61" xfId="2592" xr:uid="{00000000-0005-0000-0000-00001FD00000}"/>
    <cellStyle name="Процентный 6 2 61 10" xfId="50656" xr:uid="{00000000-0005-0000-0000-000020D00000}"/>
    <cellStyle name="Процентный 6 2 61 2" xfId="7935" xr:uid="{00000000-0005-0000-0000-000021D00000}"/>
    <cellStyle name="Процентный 6 2 61 2 2" xfId="55997" xr:uid="{00000000-0005-0000-0000-000022D00000}"/>
    <cellStyle name="Процентный 6 2 61 3" xfId="13276" xr:uid="{00000000-0005-0000-0000-000023D00000}"/>
    <cellStyle name="Процентный 6 2 61 4" xfId="18616" xr:uid="{00000000-0005-0000-0000-000024D00000}"/>
    <cellStyle name="Процентный 6 2 61 5" xfId="23956" xr:uid="{00000000-0005-0000-0000-000025D00000}"/>
    <cellStyle name="Процентный 6 2 61 6" xfId="29296" xr:uid="{00000000-0005-0000-0000-000026D00000}"/>
    <cellStyle name="Процентный 6 2 61 7" xfId="34636" xr:uid="{00000000-0005-0000-0000-000027D00000}"/>
    <cellStyle name="Процентный 6 2 61 8" xfId="39976" xr:uid="{00000000-0005-0000-0000-000028D00000}"/>
    <cellStyle name="Процентный 6 2 61 9" xfId="45316" xr:uid="{00000000-0005-0000-0000-000029D00000}"/>
    <cellStyle name="Процентный 6 2 62" xfId="2624" xr:uid="{00000000-0005-0000-0000-00002AD00000}"/>
    <cellStyle name="Процентный 6 2 62 10" xfId="50688" xr:uid="{00000000-0005-0000-0000-00002BD00000}"/>
    <cellStyle name="Процентный 6 2 62 2" xfId="7967" xr:uid="{00000000-0005-0000-0000-00002CD00000}"/>
    <cellStyle name="Процентный 6 2 62 2 2" xfId="56029" xr:uid="{00000000-0005-0000-0000-00002DD00000}"/>
    <cellStyle name="Процентный 6 2 62 3" xfId="13308" xr:uid="{00000000-0005-0000-0000-00002ED00000}"/>
    <cellStyle name="Процентный 6 2 62 4" xfId="18648" xr:uid="{00000000-0005-0000-0000-00002FD00000}"/>
    <cellStyle name="Процентный 6 2 62 5" xfId="23988" xr:uid="{00000000-0005-0000-0000-000030D00000}"/>
    <cellStyle name="Процентный 6 2 62 6" xfId="29328" xr:uid="{00000000-0005-0000-0000-000031D00000}"/>
    <cellStyle name="Процентный 6 2 62 7" xfId="34668" xr:uid="{00000000-0005-0000-0000-000032D00000}"/>
    <cellStyle name="Процентный 6 2 62 8" xfId="40008" xr:uid="{00000000-0005-0000-0000-000033D00000}"/>
    <cellStyle name="Процентный 6 2 62 9" xfId="45348" xr:uid="{00000000-0005-0000-0000-000034D00000}"/>
    <cellStyle name="Процентный 6 2 63" xfId="2656" xr:uid="{00000000-0005-0000-0000-000035D00000}"/>
    <cellStyle name="Процентный 6 2 63 10" xfId="50720" xr:uid="{00000000-0005-0000-0000-000036D00000}"/>
    <cellStyle name="Процентный 6 2 63 2" xfId="7999" xr:uid="{00000000-0005-0000-0000-000037D00000}"/>
    <cellStyle name="Процентный 6 2 63 2 2" xfId="56061" xr:uid="{00000000-0005-0000-0000-000038D00000}"/>
    <cellStyle name="Процентный 6 2 63 3" xfId="13340" xr:uid="{00000000-0005-0000-0000-000039D00000}"/>
    <cellStyle name="Процентный 6 2 63 4" xfId="18680" xr:uid="{00000000-0005-0000-0000-00003AD00000}"/>
    <cellStyle name="Процентный 6 2 63 5" xfId="24020" xr:uid="{00000000-0005-0000-0000-00003BD00000}"/>
    <cellStyle name="Процентный 6 2 63 6" xfId="29360" xr:uid="{00000000-0005-0000-0000-00003CD00000}"/>
    <cellStyle name="Процентный 6 2 63 7" xfId="34700" xr:uid="{00000000-0005-0000-0000-00003DD00000}"/>
    <cellStyle name="Процентный 6 2 63 8" xfId="40040" xr:uid="{00000000-0005-0000-0000-00003ED00000}"/>
    <cellStyle name="Процентный 6 2 63 9" xfId="45380" xr:uid="{00000000-0005-0000-0000-00003FD00000}"/>
    <cellStyle name="Процентный 6 2 64" xfId="2688" xr:uid="{00000000-0005-0000-0000-000040D00000}"/>
    <cellStyle name="Процентный 6 2 64 10" xfId="50752" xr:uid="{00000000-0005-0000-0000-000041D00000}"/>
    <cellStyle name="Процентный 6 2 64 2" xfId="8031" xr:uid="{00000000-0005-0000-0000-000042D00000}"/>
    <cellStyle name="Процентный 6 2 64 2 2" xfId="56093" xr:uid="{00000000-0005-0000-0000-000043D00000}"/>
    <cellStyle name="Процентный 6 2 64 3" xfId="13372" xr:uid="{00000000-0005-0000-0000-000044D00000}"/>
    <cellStyle name="Процентный 6 2 64 4" xfId="18712" xr:uid="{00000000-0005-0000-0000-000045D00000}"/>
    <cellStyle name="Процентный 6 2 64 5" xfId="24052" xr:uid="{00000000-0005-0000-0000-000046D00000}"/>
    <cellStyle name="Процентный 6 2 64 6" xfId="29392" xr:uid="{00000000-0005-0000-0000-000047D00000}"/>
    <cellStyle name="Процентный 6 2 64 7" xfId="34732" xr:uid="{00000000-0005-0000-0000-000048D00000}"/>
    <cellStyle name="Процентный 6 2 64 8" xfId="40072" xr:uid="{00000000-0005-0000-0000-000049D00000}"/>
    <cellStyle name="Процентный 6 2 64 9" xfId="45412" xr:uid="{00000000-0005-0000-0000-00004AD00000}"/>
    <cellStyle name="Процентный 6 2 65" xfId="2720" xr:uid="{00000000-0005-0000-0000-00004BD00000}"/>
    <cellStyle name="Процентный 6 2 65 10" xfId="50784" xr:uid="{00000000-0005-0000-0000-00004CD00000}"/>
    <cellStyle name="Процентный 6 2 65 2" xfId="8063" xr:uid="{00000000-0005-0000-0000-00004DD00000}"/>
    <cellStyle name="Процентный 6 2 65 2 2" xfId="56125" xr:uid="{00000000-0005-0000-0000-00004ED00000}"/>
    <cellStyle name="Процентный 6 2 65 3" xfId="13404" xr:uid="{00000000-0005-0000-0000-00004FD00000}"/>
    <cellStyle name="Процентный 6 2 65 4" xfId="18744" xr:uid="{00000000-0005-0000-0000-000050D00000}"/>
    <cellStyle name="Процентный 6 2 65 5" xfId="24084" xr:uid="{00000000-0005-0000-0000-000051D00000}"/>
    <cellStyle name="Процентный 6 2 65 6" xfId="29424" xr:uid="{00000000-0005-0000-0000-000052D00000}"/>
    <cellStyle name="Процентный 6 2 65 7" xfId="34764" xr:uid="{00000000-0005-0000-0000-000053D00000}"/>
    <cellStyle name="Процентный 6 2 65 8" xfId="40104" xr:uid="{00000000-0005-0000-0000-000054D00000}"/>
    <cellStyle name="Процентный 6 2 65 9" xfId="45444" xr:uid="{00000000-0005-0000-0000-000055D00000}"/>
    <cellStyle name="Процентный 6 2 66" xfId="2752" xr:uid="{00000000-0005-0000-0000-000056D00000}"/>
    <cellStyle name="Процентный 6 2 66 10" xfId="50816" xr:uid="{00000000-0005-0000-0000-000057D00000}"/>
    <cellStyle name="Процентный 6 2 66 2" xfId="8095" xr:uid="{00000000-0005-0000-0000-000058D00000}"/>
    <cellStyle name="Процентный 6 2 66 2 2" xfId="56157" xr:uid="{00000000-0005-0000-0000-000059D00000}"/>
    <cellStyle name="Процентный 6 2 66 3" xfId="13436" xr:uid="{00000000-0005-0000-0000-00005AD00000}"/>
    <cellStyle name="Процентный 6 2 66 4" xfId="18776" xr:uid="{00000000-0005-0000-0000-00005BD00000}"/>
    <cellStyle name="Процентный 6 2 66 5" xfId="24116" xr:uid="{00000000-0005-0000-0000-00005CD00000}"/>
    <cellStyle name="Процентный 6 2 66 6" xfId="29456" xr:uid="{00000000-0005-0000-0000-00005DD00000}"/>
    <cellStyle name="Процентный 6 2 66 7" xfId="34796" xr:uid="{00000000-0005-0000-0000-00005ED00000}"/>
    <cellStyle name="Процентный 6 2 66 8" xfId="40136" xr:uid="{00000000-0005-0000-0000-00005FD00000}"/>
    <cellStyle name="Процентный 6 2 66 9" xfId="45476" xr:uid="{00000000-0005-0000-0000-000060D00000}"/>
    <cellStyle name="Процентный 6 2 67" xfId="2786" xr:uid="{00000000-0005-0000-0000-000061D00000}"/>
    <cellStyle name="Процентный 6 2 67 10" xfId="50850" xr:uid="{00000000-0005-0000-0000-000062D00000}"/>
    <cellStyle name="Процентный 6 2 67 2" xfId="8129" xr:uid="{00000000-0005-0000-0000-000063D00000}"/>
    <cellStyle name="Процентный 6 2 67 2 2" xfId="56191" xr:uid="{00000000-0005-0000-0000-000064D00000}"/>
    <cellStyle name="Процентный 6 2 67 3" xfId="13470" xr:uid="{00000000-0005-0000-0000-000065D00000}"/>
    <cellStyle name="Процентный 6 2 67 4" xfId="18810" xr:uid="{00000000-0005-0000-0000-000066D00000}"/>
    <cellStyle name="Процентный 6 2 67 5" xfId="24150" xr:uid="{00000000-0005-0000-0000-000067D00000}"/>
    <cellStyle name="Процентный 6 2 67 6" xfId="29490" xr:uid="{00000000-0005-0000-0000-000068D00000}"/>
    <cellStyle name="Процентный 6 2 67 7" xfId="34830" xr:uid="{00000000-0005-0000-0000-000069D00000}"/>
    <cellStyle name="Процентный 6 2 67 8" xfId="40170" xr:uid="{00000000-0005-0000-0000-00006AD00000}"/>
    <cellStyle name="Процентный 6 2 67 9" xfId="45510" xr:uid="{00000000-0005-0000-0000-00006BD00000}"/>
    <cellStyle name="Процентный 6 2 68" xfId="2818" xr:uid="{00000000-0005-0000-0000-00006CD00000}"/>
    <cellStyle name="Процентный 6 2 68 10" xfId="50882" xr:uid="{00000000-0005-0000-0000-00006DD00000}"/>
    <cellStyle name="Процентный 6 2 68 2" xfId="8161" xr:uid="{00000000-0005-0000-0000-00006ED00000}"/>
    <cellStyle name="Процентный 6 2 68 2 2" xfId="56223" xr:uid="{00000000-0005-0000-0000-00006FD00000}"/>
    <cellStyle name="Процентный 6 2 68 3" xfId="13502" xr:uid="{00000000-0005-0000-0000-000070D00000}"/>
    <cellStyle name="Процентный 6 2 68 4" xfId="18842" xr:uid="{00000000-0005-0000-0000-000071D00000}"/>
    <cellStyle name="Процентный 6 2 68 5" xfId="24182" xr:uid="{00000000-0005-0000-0000-000072D00000}"/>
    <cellStyle name="Процентный 6 2 68 6" xfId="29522" xr:uid="{00000000-0005-0000-0000-000073D00000}"/>
    <cellStyle name="Процентный 6 2 68 7" xfId="34862" xr:uid="{00000000-0005-0000-0000-000074D00000}"/>
    <cellStyle name="Процентный 6 2 68 8" xfId="40202" xr:uid="{00000000-0005-0000-0000-000075D00000}"/>
    <cellStyle name="Процентный 6 2 68 9" xfId="45542" xr:uid="{00000000-0005-0000-0000-000076D00000}"/>
    <cellStyle name="Процентный 6 2 69" xfId="2850" xr:uid="{00000000-0005-0000-0000-000077D00000}"/>
    <cellStyle name="Процентный 6 2 69 10" xfId="50914" xr:uid="{00000000-0005-0000-0000-000078D00000}"/>
    <cellStyle name="Процентный 6 2 69 2" xfId="8193" xr:uid="{00000000-0005-0000-0000-000079D00000}"/>
    <cellStyle name="Процентный 6 2 69 2 2" xfId="56255" xr:uid="{00000000-0005-0000-0000-00007AD00000}"/>
    <cellStyle name="Процентный 6 2 69 3" xfId="13534" xr:uid="{00000000-0005-0000-0000-00007BD00000}"/>
    <cellStyle name="Процентный 6 2 69 4" xfId="18874" xr:uid="{00000000-0005-0000-0000-00007CD00000}"/>
    <cellStyle name="Процентный 6 2 69 5" xfId="24214" xr:uid="{00000000-0005-0000-0000-00007DD00000}"/>
    <cellStyle name="Процентный 6 2 69 6" xfId="29554" xr:uid="{00000000-0005-0000-0000-00007ED00000}"/>
    <cellStyle name="Процентный 6 2 69 7" xfId="34894" xr:uid="{00000000-0005-0000-0000-00007FD00000}"/>
    <cellStyle name="Процентный 6 2 69 8" xfId="40234" xr:uid="{00000000-0005-0000-0000-000080D00000}"/>
    <cellStyle name="Процентный 6 2 69 9" xfId="45574" xr:uid="{00000000-0005-0000-0000-000081D00000}"/>
    <cellStyle name="Процентный 6 2 7" xfId="1107" xr:uid="{00000000-0005-0000-0000-000082D00000}"/>
    <cellStyle name="Процентный 6 2 7 10" xfId="49170" xr:uid="{00000000-0005-0000-0000-000083D00000}"/>
    <cellStyle name="Процентный 6 2 7 2" xfId="6449" xr:uid="{00000000-0005-0000-0000-000084D00000}"/>
    <cellStyle name="Процентный 6 2 7 2 2" xfId="54511" xr:uid="{00000000-0005-0000-0000-000085D00000}"/>
    <cellStyle name="Процентный 6 2 7 3" xfId="11790" xr:uid="{00000000-0005-0000-0000-000086D00000}"/>
    <cellStyle name="Процентный 6 2 7 4" xfId="17130" xr:uid="{00000000-0005-0000-0000-000087D00000}"/>
    <cellStyle name="Процентный 6 2 7 5" xfId="22470" xr:uid="{00000000-0005-0000-0000-000088D00000}"/>
    <cellStyle name="Процентный 6 2 7 6" xfId="27810" xr:uid="{00000000-0005-0000-0000-000089D00000}"/>
    <cellStyle name="Процентный 6 2 7 7" xfId="33150" xr:uid="{00000000-0005-0000-0000-00008AD00000}"/>
    <cellStyle name="Процентный 6 2 7 8" xfId="38490" xr:uid="{00000000-0005-0000-0000-00008BD00000}"/>
    <cellStyle name="Процентный 6 2 7 9" xfId="43830" xr:uid="{00000000-0005-0000-0000-00008CD00000}"/>
    <cellStyle name="Процентный 6 2 70" xfId="2882" xr:uid="{00000000-0005-0000-0000-00008DD00000}"/>
    <cellStyle name="Процентный 6 2 70 10" xfId="50946" xr:uid="{00000000-0005-0000-0000-00008ED00000}"/>
    <cellStyle name="Процентный 6 2 70 2" xfId="8225" xr:uid="{00000000-0005-0000-0000-00008FD00000}"/>
    <cellStyle name="Процентный 6 2 70 2 2" xfId="56287" xr:uid="{00000000-0005-0000-0000-000090D00000}"/>
    <cellStyle name="Процентный 6 2 70 3" xfId="13566" xr:uid="{00000000-0005-0000-0000-000091D00000}"/>
    <cellStyle name="Процентный 6 2 70 4" xfId="18906" xr:uid="{00000000-0005-0000-0000-000092D00000}"/>
    <cellStyle name="Процентный 6 2 70 5" xfId="24246" xr:uid="{00000000-0005-0000-0000-000093D00000}"/>
    <cellStyle name="Процентный 6 2 70 6" xfId="29586" xr:uid="{00000000-0005-0000-0000-000094D00000}"/>
    <cellStyle name="Процентный 6 2 70 7" xfId="34926" xr:uid="{00000000-0005-0000-0000-000095D00000}"/>
    <cellStyle name="Процентный 6 2 70 8" xfId="40266" xr:uid="{00000000-0005-0000-0000-000096D00000}"/>
    <cellStyle name="Процентный 6 2 70 9" xfId="45606" xr:uid="{00000000-0005-0000-0000-000097D00000}"/>
    <cellStyle name="Процентный 6 2 71" xfId="2914" xr:uid="{00000000-0005-0000-0000-000098D00000}"/>
    <cellStyle name="Процентный 6 2 71 10" xfId="50978" xr:uid="{00000000-0005-0000-0000-000099D00000}"/>
    <cellStyle name="Процентный 6 2 71 2" xfId="8257" xr:uid="{00000000-0005-0000-0000-00009AD00000}"/>
    <cellStyle name="Процентный 6 2 71 2 2" xfId="56319" xr:uid="{00000000-0005-0000-0000-00009BD00000}"/>
    <cellStyle name="Процентный 6 2 71 3" xfId="13598" xr:uid="{00000000-0005-0000-0000-00009CD00000}"/>
    <cellStyle name="Процентный 6 2 71 4" xfId="18938" xr:uid="{00000000-0005-0000-0000-00009DD00000}"/>
    <cellStyle name="Процентный 6 2 71 5" xfId="24278" xr:uid="{00000000-0005-0000-0000-00009ED00000}"/>
    <cellStyle name="Процентный 6 2 71 6" xfId="29618" xr:uid="{00000000-0005-0000-0000-00009FD00000}"/>
    <cellStyle name="Процентный 6 2 71 7" xfId="34958" xr:uid="{00000000-0005-0000-0000-0000A0D00000}"/>
    <cellStyle name="Процентный 6 2 71 8" xfId="40298" xr:uid="{00000000-0005-0000-0000-0000A1D00000}"/>
    <cellStyle name="Процентный 6 2 71 9" xfId="45638" xr:uid="{00000000-0005-0000-0000-0000A2D00000}"/>
    <cellStyle name="Процентный 6 2 72" xfId="2946" xr:uid="{00000000-0005-0000-0000-0000A3D00000}"/>
    <cellStyle name="Процентный 6 2 72 10" xfId="51010" xr:uid="{00000000-0005-0000-0000-0000A4D00000}"/>
    <cellStyle name="Процентный 6 2 72 2" xfId="8289" xr:uid="{00000000-0005-0000-0000-0000A5D00000}"/>
    <cellStyle name="Процентный 6 2 72 2 2" xfId="56351" xr:uid="{00000000-0005-0000-0000-0000A6D00000}"/>
    <cellStyle name="Процентный 6 2 72 3" xfId="13630" xr:uid="{00000000-0005-0000-0000-0000A7D00000}"/>
    <cellStyle name="Процентный 6 2 72 4" xfId="18970" xr:uid="{00000000-0005-0000-0000-0000A8D00000}"/>
    <cellStyle name="Процентный 6 2 72 5" xfId="24310" xr:uid="{00000000-0005-0000-0000-0000A9D00000}"/>
    <cellStyle name="Процентный 6 2 72 6" xfId="29650" xr:uid="{00000000-0005-0000-0000-0000AAD00000}"/>
    <cellStyle name="Процентный 6 2 72 7" xfId="34990" xr:uid="{00000000-0005-0000-0000-0000ABD00000}"/>
    <cellStyle name="Процентный 6 2 72 8" xfId="40330" xr:uid="{00000000-0005-0000-0000-0000ACD00000}"/>
    <cellStyle name="Процентный 6 2 72 9" xfId="45670" xr:uid="{00000000-0005-0000-0000-0000ADD00000}"/>
    <cellStyle name="Процентный 6 2 73" xfId="2978" xr:uid="{00000000-0005-0000-0000-0000AED00000}"/>
    <cellStyle name="Процентный 6 2 73 10" xfId="51042" xr:uid="{00000000-0005-0000-0000-0000AFD00000}"/>
    <cellStyle name="Процентный 6 2 73 2" xfId="8321" xr:uid="{00000000-0005-0000-0000-0000B0D00000}"/>
    <cellStyle name="Процентный 6 2 73 2 2" xfId="56383" xr:uid="{00000000-0005-0000-0000-0000B1D00000}"/>
    <cellStyle name="Процентный 6 2 73 3" xfId="13662" xr:uid="{00000000-0005-0000-0000-0000B2D00000}"/>
    <cellStyle name="Процентный 6 2 73 4" xfId="19002" xr:uid="{00000000-0005-0000-0000-0000B3D00000}"/>
    <cellStyle name="Процентный 6 2 73 5" xfId="24342" xr:uid="{00000000-0005-0000-0000-0000B4D00000}"/>
    <cellStyle name="Процентный 6 2 73 6" xfId="29682" xr:uid="{00000000-0005-0000-0000-0000B5D00000}"/>
    <cellStyle name="Процентный 6 2 73 7" xfId="35022" xr:uid="{00000000-0005-0000-0000-0000B6D00000}"/>
    <cellStyle name="Процентный 6 2 73 8" xfId="40362" xr:uid="{00000000-0005-0000-0000-0000B7D00000}"/>
    <cellStyle name="Процентный 6 2 73 9" xfId="45702" xr:uid="{00000000-0005-0000-0000-0000B8D00000}"/>
    <cellStyle name="Процентный 6 2 74" xfId="3010" xr:uid="{00000000-0005-0000-0000-0000B9D00000}"/>
    <cellStyle name="Процентный 6 2 74 10" xfId="51074" xr:uid="{00000000-0005-0000-0000-0000BAD00000}"/>
    <cellStyle name="Процентный 6 2 74 2" xfId="8353" xr:uid="{00000000-0005-0000-0000-0000BBD00000}"/>
    <cellStyle name="Процентный 6 2 74 2 2" xfId="56415" xr:uid="{00000000-0005-0000-0000-0000BCD00000}"/>
    <cellStyle name="Процентный 6 2 74 3" xfId="13694" xr:uid="{00000000-0005-0000-0000-0000BDD00000}"/>
    <cellStyle name="Процентный 6 2 74 4" xfId="19034" xr:uid="{00000000-0005-0000-0000-0000BED00000}"/>
    <cellStyle name="Процентный 6 2 74 5" xfId="24374" xr:uid="{00000000-0005-0000-0000-0000BFD00000}"/>
    <cellStyle name="Процентный 6 2 74 6" xfId="29714" xr:uid="{00000000-0005-0000-0000-0000C0D00000}"/>
    <cellStyle name="Процентный 6 2 74 7" xfId="35054" xr:uid="{00000000-0005-0000-0000-0000C1D00000}"/>
    <cellStyle name="Процентный 6 2 74 8" xfId="40394" xr:uid="{00000000-0005-0000-0000-0000C2D00000}"/>
    <cellStyle name="Процентный 6 2 74 9" xfId="45734" xr:uid="{00000000-0005-0000-0000-0000C3D00000}"/>
    <cellStyle name="Процентный 6 2 75" xfId="3042" xr:uid="{00000000-0005-0000-0000-0000C4D00000}"/>
    <cellStyle name="Процентный 6 2 75 10" xfId="51106" xr:uid="{00000000-0005-0000-0000-0000C5D00000}"/>
    <cellStyle name="Процентный 6 2 75 2" xfId="8385" xr:uid="{00000000-0005-0000-0000-0000C6D00000}"/>
    <cellStyle name="Процентный 6 2 75 2 2" xfId="56447" xr:uid="{00000000-0005-0000-0000-0000C7D00000}"/>
    <cellStyle name="Процентный 6 2 75 3" xfId="13726" xr:uid="{00000000-0005-0000-0000-0000C8D00000}"/>
    <cellStyle name="Процентный 6 2 75 4" xfId="19066" xr:uid="{00000000-0005-0000-0000-0000C9D00000}"/>
    <cellStyle name="Процентный 6 2 75 5" xfId="24406" xr:uid="{00000000-0005-0000-0000-0000CAD00000}"/>
    <cellStyle name="Процентный 6 2 75 6" xfId="29746" xr:uid="{00000000-0005-0000-0000-0000CBD00000}"/>
    <cellStyle name="Процентный 6 2 75 7" xfId="35086" xr:uid="{00000000-0005-0000-0000-0000CCD00000}"/>
    <cellStyle name="Процентный 6 2 75 8" xfId="40426" xr:uid="{00000000-0005-0000-0000-0000CDD00000}"/>
    <cellStyle name="Процентный 6 2 75 9" xfId="45766" xr:uid="{00000000-0005-0000-0000-0000CED00000}"/>
    <cellStyle name="Процентный 6 2 76" xfId="3074" xr:uid="{00000000-0005-0000-0000-0000CFD00000}"/>
    <cellStyle name="Процентный 6 2 76 10" xfId="51138" xr:uid="{00000000-0005-0000-0000-0000D0D00000}"/>
    <cellStyle name="Процентный 6 2 76 2" xfId="8417" xr:uid="{00000000-0005-0000-0000-0000D1D00000}"/>
    <cellStyle name="Процентный 6 2 76 2 2" xfId="56479" xr:uid="{00000000-0005-0000-0000-0000D2D00000}"/>
    <cellStyle name="Процентный 6 2 76 3" xfId="13758" xr:uid="{00000000-0005-0000-0000-0000D3D00000}"/>
    <cellStyle name="Процентный 6 2 76 4" xfId="19098" xr:uid="{00000000-0005-0000-0000-0000D4D00000}"/>
    <cellStyle name="Процентный 6 2 76 5" xfId="24438" xr:uid="{00000000-0005-0000-0000-0000D5D00000}"/>
    <cellStyle name="Процентный 6 2 76 6" xfId="29778" xr:uid="{00000000-0005-0000-0000-0000D6D00000}"/>
    <cellStyle name="Процентный 6 2 76 7" xfId="35118" xr:uid="{00000000-0005-0000-0000-0000D7D00000}"/>
    <cellStyle name="Процентный 6 2 76 8" xfId="40458" xr:uid="{00000000-0005-0000-0000-0000D8D00000}"/>
    <cellStyle name="Процентный 6 2 76 9" xfId="45798" xr:uid="{00000000-0005-0000-0000-0000D9D00000}"/>
    <cellStyle name="Процентный 6 2 77" xfId="3106" xr:uid="{00000000-0005-0000-0000-0000DAD00000}"/>
    <cellStyle name="Процентный 6 2 77 10" xfId="51170" xr:uid="{00000000-0005-0000-0000-0000DBD00000}"/>
    <cellStyle name="Процентный 6 2 77 2" xfId="8449" xr:uid="{00000000-0005-0000-0000-0000DCD00000}"/>
    <cellStyle name="Процентный 6 2 77 2 2" xfId="56511" xr:uid="{00000000-0005-0000-0000-0000DDD00000}"/>
    <cellStyle name="Процентный 6 2 77 3" xfId="13790" xr:uid="{00000000-0005-0000-0000-0000DED00000}"/>
    <cellStyle name="Процентный 6 2 77 4" xfId="19130" xr:uid="{00000000-0005-0000-0000-0000DFD00000}"/>
    <cellStyle name="Процентный 6 2 77 5" xfId="24470" xr:uid="{00000000-0005-0000-0000-0000E0D00000}"/>
    <cellStyle name="Процентный 6 2 77 6" xfId="29810" xr:uid="{00000000-0005-0000-0000-0000E1D00000}"/>
    <cellStyle name="Процентный 6 2 77 7" xfId="35150" xr:uid="{00000000-0005-0000-0000-0000E2D00000}"/>
    <cellStyle name="Процентный 6 2 77 8" xfId="40490" xr:uid="{00000000-0005-0000-0000-0000E3D00000}"/>
    <cellStyle name="Процентный 6 2 77 9" xfId="45830" xr:uid="{00000000-0005-0000-0000-0000E4D00000}"/>
    <cellStyle name="Процентный 6 2 78" xfId="3139" xr:uid="{00000000-0005-0000-0000-0000E5D00000}"/>
    <cellStyle name="Процентный 6 2 78 10" xfId="51202" xr:uid="{00000000-0005-0000-0000-0000E6D00000}"/>
    <cellStyle name="Процентный 6 2 78 2" xfId="8482" xr:uid="{00000000-0005-0000-0000-0000E7D00000}"/>
    <cellStyle name="Процентный 6 2 78 2 2" xfId="56543" xr:uid="{00000000-0005-0000-0000-0000E8D00000}"/>
    <cellStyle name="Процентный 6 2 78 3" xfId="13822" xr:uid="{00000000-0005-0000-0000-0000E9D00000}"/>
    <cellStyle name="Процентный 6 2 78 4" xfId="19162" xr:uid="{00000000-0005-0000-0000-0000EAD00000}"/>
    <cellStyle name="Процентный 6 2 78 5" xfId="24502" xr:uid="{00000000-0005-0000-0000-0000EBD00000}"/>
    <cellStyle name="Процентный 6 2 78 6" xfId="29842" xr:uid="{00000000-0005-0000-0000-0000ECD00000}"/>
    <cellStyle name="Процентный 6 2 78 7" xfId="35182" xr:uid="{00000000-0005-0000-0000-0000EDD00000}"/>
    <cellStyle name="Процентный 6 2 78 8" xfId="40522" xr:uid="{00000000-0005-0000-0000-0000EED00000}"/>
    <cellStyle name="Процентный 6 2 78 9" xfId="45862" xr:uid="{00000000-0005-0000-0000-0000EFD00000}"/>
    <cellStyle name="Процентный 6 2 79" xfId="3171" xr:uid="{00000000-0005-0000-0000-0000F0D00000}"/>
    <cellStyle name="Процентный 6 2 79 10" xfId="51234" xr:uid="{00000000-0005-0000-0000-0000F1D00000}"/>
    <cellStyle name="Процентный 6 2 79 2" xfId="8514" xr:uid="{00000000-0005-0000-0000-0000F2D00000}"/>
    <cellStyle name="Процентный 6 2 79 2 2" xfId="56575" xr:uid="{00000000-0005-0000-0000-0000F3D00000}"/>
    <cellStyle name="Процентный 6 2 79 3" xfId="13854" xr:uid="{00000000-0005-0000-0000-0000F4D00000}"/>
    <cellStyle name="Процентный 6 2 79 4" xfId="19194" xr:uid="{00000000-0005-0000-0000-0000F5D00000}"/>
    <cellStyle name="Процентный 6 2 79 5" xfId="24534" xr:uid="{00000000-0005-0000-0000-0000F6D00000}"/>
    <cellStyle name="Процентный 6 2 79 6" xfId="29874" xr:uid="{00000000-0005-0000-0000-0000F7D00000}"/>
    <cellStyle name="Процентный 6 2 79 7" xfId="35214" xr:uid="{00000000-0005-0000-0000-0000F8D00000}"/>
    <cellStyle name="Процентный 6 2 79 8" xfId="40554" xr:uid="{00000000-0005-0000-0000-0000F9D00000}"/>
    <cellStyle name="Процентный 6 2 79 9" xfId="45894" xr:uid="{00000000-0005-0000-0000-0000FAD00000}"/>
    <cellStyle name="Процентный 6 2 8" xfId="1133" xr:uid="{00000000-0005-0000-0000-0000FBD00000}"/>
    <cellStyle name="Процентный 6 2 8 10" xfId="49196" xr:uid="{00000000-0005-0000-0000-0000FCD00000}"/>
    <cellStyle name="Процентный 6 2 8 2" xfId="6475" xr:uid="{00000000-0005-0000-0000-0000FDD00000}"/>
    <cellStyle name="Процентный 6 2 8 2 2" xfId="54537" xr:uid="{00000000-0005-0000-0000-0000FED00000}"/>
    <cellStyle name="Процентный 6 2 8 3" xfId="11816" xr:uid="{00000000-0005-0000-0000-0000FFD00000}"/>
    <cellStyle name="Процентный 6 2 8 4" xfId="17156" xr:uid="{00000000-0005-0000-0000-000000D10000}"/>
    <cellStyle name="Процентный 6 2 8 5" xfId="22496" xr:uid="{00000000-0005-0000-0000-000001D10000}"/>
    <cellStyle name="Процентный 6 2 8 6" xfId="27836" xr:uid="{00000000-0005-0000-0000-000002D10000}"/>
    <cellStyle name="Процентный 6 2 8 7" xfId="33176" xr:uid="{00000000-0005-0000-0000-000003D10000}"/>
    <cellStyle name="Процентный 6 2 8 8" xfId="38516" xr:uid="{00000000-0005-0000-0000-000004D10000}"/>
    <cellStyle name="Процентный 6 2 8 9" xfId="43856" xr:uid="{00000000-0005-0000-0000-000005D10000}"/>
    <cellStyle name="Процентный 6 2 80" xfId="3203" xr:uid="{00000000-0005-0000-0000-000006D10000}"/>
    <cellStyle name="Процентный 6 2 80 10" xfId="51266" xr:uid="{00000000-0005-0000-0000-000007D10000}"/>
    <cellStyle name="Процентный 6 2 80 2" xfId="8546" xr:uid="{00000000-0005-0000-0000-000008D10000}"/>
    <cellStyle name="Процентный 6 2 80 2 2" xfId="56607" xr:uid="{00000000-0005-0000-0000-000009D10000}"/>
    <cellStyle name="Процентный 6 2 80 3" xfId="13886" xr:uid="{00000000-0005-0000-0000-00000AD10000}"/>
    <cellStyle name="Процентный 6 2 80 4" xfId="19226" xr:uid="{00000000-0005-0000-0000-00000BD10000}"/>
    <cellStyle name="Процентный 6 2 80 5" xfId="24566" xr:uid="{00000000-0005-0000-0000-00000CD10000}"/>
    <cellStyle name="Процентный 6 2 80 6" xfId="29906" xr:uid="{00000000-0005-0000-0000-00000DD10000}"/>
    <cellStyle name="Процентный 6 2 80 7" xfId="35246" xr:uid="{00000000-0005-0000-0000-00000ED10000}"/>
    <cellStyle name="Процентный 6 2 80 8" xfId="40586" xr:uid="{00000000-0005-0000-0000-00000FD10000}"/>
    <cellStyle name="Процентный 6 2 80 9" xfId="45926" xr:uid="{00000000-0005-0000-0000-000010D10000}"/>
    <cellStyle name="Процентный 6 2 81" xfId="3235" xr:uid="{00000000-0005-0000-0000-000011D10000}"/>
    <cellStyle name="Процентный 6 2 81 10" xfId="51298" xr:uid="{00000000-0005-0000-0000-000012D10000}"/>
    <cellStyle name="Процентный 6 2 81 2" xfId="8578" xr:uid="{00000000-0005-0000-0000-000013D10000}"/>
    <cellStyle name="Процентный 6 2 81 2 2" xfId="56639" xr:uid="{00000000-0005-0000-0000-000014D10000}"/>
    <cellStyle name="Процентный 6 2 81 3" xfId="13918" xr:uid="{00000000-0005-0000-0000-000015D10000}"/>
    <cellStyle name="Процентный 6 2 81 4" xfId="19258" xr:uid="{00000000-0005-0000-0000-000016D10000}"/>
    <cellStyle name="Процентный 6 2 81 5" xfId="24598" xr:uid="{00000000-0005-0000-0000-000017D10000}"/>
    <cellStyle name="Процентный 6 2 81 6" xfId="29938" xr:uid="{00000000-0005-0000-0000-000018D10000}"/>
    <cellStyle name="Процентный 6 2 81 7" xfId="35278" xr:uid="{00000000-0005-0000-0000-000019D10000}"/>
    <cellStyle name="Процентный 6 2 81 8" xfId="40618" xr:uid="{00000000-0005-0000-0000-00001AD10000}"/>
    <cellStyle name="Процентный 6 2 81 9" xfId="45958" xr:uid="{00000000-0005-0000-0000-00001BD10000}"/>
    <cellStyle name="Процентный 6 2 82" xfId="3267" xr:uid="{00000000-0005-0000-0000-00001CD10000}"/>
    <cellStyle name="Процентный 6 2 82 10" xfId="51330" xr:uid="{00000000-0005-0000-0000-00001DD10000}"/>
    <cellStyle name="Процентный 6 2 82 2" xfId="8610" xr:uid="{00000000-0005-0000-0000-00001ED10000}"/>
    <cellStyle name="Процентный 6 2 82 2 2" xfId="56671" xr:uid="{00000000-0005-0000-0000-00001FD10000}"/>
    <cellStyle name="Процентный 6 2 82 3" xfId="13950" xr:uid="{00000000-0005-0000-0000-000020D10000}"/>
    <cellStyle name="Процентный 6 2 82 4" xfId="19290" xr:uid="{00000000-0005-0000-0000-000021D10000}"/>
    <cellStyle name="Процентный 6 2 82 5" xfId="24630" xr:uid="{00000000-0005-0000-0000-000022D10000}"/>
    <cellStyle name="Процентный 6 2 82 6" xfId="29970" xr:uid="{00000000-0005-0000-0000-000023D10000}"/>
    <cellStyle name="Процентный 6 2 82 7" xfId="35310" xr:uid="{00000000-0005-0000-0000-000024D10000}"/>
    <cellStyle name="Процентный 6 2 82 8" xfId="40650" xr:uid="{00000000-0005-0000-0000-000025D10000}"/>
    <cellStyle name="Процентный 6 2 82 9" xfId="45990" xr:uid="{00000000-0005-0000-0000-000026D10000}"/>
    <cellStyle name="Процентный 6 2 83" xfId="3299" xr:uid="{00000000-0005-0000-0000-000027D10000}"/>
    <cellStyle name="Процентный 6 2 83 10" xfId="51362" xr:uid="{00000000-0005-0000-0000-000028D10000}"/>
    <cellStyle name="Процентный 6 2 83 2" xfId="8642" xr:uid="{00000000-0005-0000-0000-000029D10000}"/>
    <cellStyle name="Процентный 6 2 83 2 2" xfId="56703" xr:uid="{00000000-0005-0000-0000-00002AD10000}"/>
    <cellStyle name="Процентный 6 2 83 3" xfId="13982" xr:uid="{00000000-0005-0000-0000-00002BD10000}"/>
    <cellStyle name="Процентный 6 2 83 4" xfId="19322" xr:uid="{00000000-0005-0000-0000-00002CD10000}"/>
    <cellStyle name="Процентный 6 2 83 5" xfId="24662" xr:uid="{00000000-0005-0000-0000-00002DD10000}"/>
    <cellStyle name="Процентный 6 2 83 6" xfId="30002" xr:uid="{00000000-0005-0000-0000-00002ED10000}"/>
    <cellStyle name="Процентный 6 2 83 7" xfId="35342" xr:uid="{00000000-0005-0000-0000-00002FD10000}"/>
    <cellStyle name="Процентный 6 2 83 8" xfId="40682" xr:uid="{00000000-0005-0000-0000-000030D10000}"/>
    <cellStyle name="Процентный 6 2 83 9" xfId="46022" xr:uid="{00000000-0005-0000-0000-000031D10000}"/>
    <cellStyle name="Процентный 6 2 84" xfId="3331" xr:uid="{00000000-0005-0000-0000-000032D10000}"/>
    <cellStyle name="Процентный 6 2 84 10" xfId="51394" xr:uid="{00000000-0005-0000-0000-000033D10000}"/>
    <cellStyle name="Процентный 6 2 84 2" xfId="8674" xr:uid="{00000000-0005-0000-0000-000034D10000}"/>
    <cellStyle name="Процентный 6 2 84 2 2" xfId="56735" xr:uid="{00000000-0005-0000-0000-000035D10000}"/>
    <cellStyle name="Процентный 6 2 84 3" xfId="14014" xr:uid="{00000000-0005-0000-0000-000036D10000}"/>
    <cellStyle name="Процентный 6 2 84 4" xfId="19354" xr:uid="{00000000-0005-0000-0000-000037D10000}"/>
    <cellStyle name="Процентный 6 2 84 5" xfId="24694" xr:uid="{00000000-0005-0000-0000-000038D10000}"/>
    <cellStyle name="Процентный 6 2 84 6" xfId="30034" xr:uid="{00000000-0005-0000-0000-000039D10000}"/>
    <cellStyle name="Процентный 6 2 84 7" xfId="35374" xr:uid="{00000000-0005-0000-0000-00003AD10000}"/>
    <cellStyle name="Процентный 6 2 84 8" xfId="40714" xr:uid="{00000000-0005-0000-0000-00003BD10000}"/>
    <cellStyle name="Процентный 6 2 84 9" xfId="46054" xr:uid="{00000000-0005-0000-0000-00003CD10000}"/>
    <cellStyle name="Процентный 6 2 85" xfId="3363" xr:uid="{00000000-0005-0000-0000-00003DD10000}"/>
    <cellStyle name="Процентный 6 2 85 10" xfId="51426" xr:uid="{00000000-0005-0000-0000-00003ED10000}"/>
    <cellStyle name="Процентный 6 2 85 2" xfId="8706" xr:uid="{00000000-0005-0000-0000-00003FD10000}"/>
    <cellStyle name="Процентный 6 2 85 2 2" xfId="56767" xr:uid="{00000000-0005-0000-0000-000040D10000}"/>
    <cellStyle name="Процентный 6 2 85 3" xfId="14046" xr:uid="{00000000-0005-0000-0000-000041D10000}"/>
    <cellStyle name="Процентный 6 2 85 4" xfId="19386" xr:uid="{00000000-0005-0000-0000-000042D10000}"/>
    <cellStyle name="Процентный 6 2 85 5" xfId="24726" xr:uid="{00000000-0005-0000-0000-000043D10000}"/>
    <cellStyle name="Процентный 6 2 85 6" xfId="30066" xr:uid="{00000000-0005-0000-0000-000044D10000}"/>
    <cellStyle name="Процентный 6 2 85 7" xfId="35406" xr:uid="{00000000-0005-0000-0000-000045D10000}"/>
    <cellStyle name="Процентный 6 2 85 8" xfId="40746" xr:uid="{00000000-0005-0000-0000-000046D10000}"/>
    <cellStyle name="Процентный 6 2 85 9" xfId="46086" xr:uid="{00000000-0005-0000-0000-000047D10000}"/>
    <cellStyle name="Процентный 6 2 86" xfId="3395" xr:uid="{00000000-0005-0000-0000-000048D10000}"/>
    <cellStyle name="Процентный 6 2 86 10" xfId="51458" xr:uid="{00000000-0005-0000-0000-000049D10000}"/>
    <cellStyle name="Процентный 6 2 86 2" xfId="8738" xr:uid="{00000000-0005-0000-0000-00004AD10000}"/>
    <cellStyle name="Процентный 6 2 86 2 2" xfId="56799" xr:uid="{00000000-0005-0000-0000-00004BD10000}"/>
    <cellStyle name="Процентный 6 2 86 3" xfId="14078" xr:uid="{00000000-0005-0000-0000-00004CD10000}"/>
    <cellStyle name="Процентный 6 2 86 4" xfId="19418" xr:uid="{00000000-0005-0000-0000-00004DD10000}"/>
    <cellStyle name="Процентный 6 2 86 5" xfId="24758" xr:uid="{00000000-0005-0000-0000-00004ED10000}"/>
    <cellStyle name="Процентный 6 2 86 6" xfId="30098" xr:uid="{00000000-0005-0000-0000-00004FD10000}"/>
    <cellStyle name="Процентный 6 2 86 7" xfId="35438" xr:uid="{00000000-0005-0000-0000-000050D10000}"/>
    <cellStyle name="Процентный 6 2 86 8" xfId="40778" xr:uid="{00000000-0005-0000-0000-000051D10000}"/>
    <cellStyle name="Процентный 6 2 86 9" xfId="46118" xr:uid="{00000000-0005-0000-0000-000052D10000}"/>
    <cellStyle name="Процентный 6 2 87" xfId="3427" xr:uid="{00000000-0005-0000-0000-000053D10000}"/>
    <cellStyle name="Процентный 6 2 87 10" xfId="51490" xr:uid="{00000000-0005-0000-0000-000054D10000}"/>
    <cellStyle name="Процентный 6 2 87 2" xfId="8770" xr:uid="{00000000-0005-0000-0000-000055D10000}"/>
    <cellStyle name="Процентный 6 2 87 2 2" xfId="56831" xr:uid="{00000000-0005-0000-0000-000056D10000}"/>
    <cellStyle name="Процентный 6 2 87 3" xfId="14110" xr:uid="{00000000-0005-0000-0000-000057D10000}"/>
    <cellStyle name="Процентный 6 2 87 4" xfId="19450" xr:uid="{00000000-0005-0000-0000-000058D10000}"/>
    <cellStyle name="Процентный 6 2 87 5" xfId="24790" xr:uid="{00000000-0005-0000-0000-000059D10000}"/>
    <cellStyle name="Процентный 6 2 87 6" xfId="30130" xr:uid="{00000000-0005-0000-0000-00005AD10000}"/>
    <cellStyle name="Процентный 6 2 87 7" xfId="35470" xr:uid="{00000000-0005-0000-0000-00005BD10000}"/>
    <cellStyle name="Процентный 6 2 87 8" xfId="40810" xr:uid="{00000000-0005-0000-0000-00005CD10000}"/>
    <cellStyle name="Процентный 6 2 87 9" xfId="46150" xr:uid="{00000000-0005-0000-0000-00005DD10000}"/>
    <cellStyle name="Процентный 6 2 88" xfId="3459" xr:uid="{00000000-0005-0000-0000-00005ED10000}"/>
    <cellStyle name="Процентный 6 2 88 10" xfId="51522" xr:uid="{00000000-0005-0000-0000-00005FD10000}"/>
    <cellStyle name="Процентный 6 2 88 2" xfId="8802" xr:uid="{00000000-0005-0000-0000-000060D10000}"/>
    <cellStyle name="Процентный 6 2 88 2 2" xfId="56863" xr:uid="{00000000-0005-0000-0000-000061D10000}"/>
    <cellStyle name="Процентный 6 2 88 3" xfId="14142" xr:uid="{00000000-0005-0000-0000-000062D10000}"/>
    <cellStyle name="Процентный 6 2 88 4" xfId="19482" xr:uid="{00000000-0005-0000-0000-000063D10000}"/>
    <cellStyle name="Процентный 6 2 88 5" xfId="24822" xr:uid="{00000000-0005-0000-0000-000064D10000}"/>
    <cellStyle name="Процентный 6 2 88 6" xfId="30162" xr:uid="{00000000-0005-0000-0000-000065D10000}"/>
    <cellStyle name="Процентный 6 2 88 7" xfId="35502" xr:uid="{00000000-0005-0000-0000-000066D10000}"/>
    <cellStyle name="Процентный 6 2 88 8" xfId="40842" xr:uid="{00000000-0005-0000-0000-000067D10000}"/>
    <cellStyle name="Процентный 6 2 88 9" xfId="46182" xr:uid="{00000000-0005-0000-0000-000068D10000}"/>
    <cellStyle name="Процентный 6 2 89" xfId="3491" xr:uid="{00000000-0005-0000-0000-000069D10000}"/>
    <cellStyle name="Процентный 6 2 89 10" xfId="51554" xr:uid="{00000000-0005-0000-0000-00006AD10000}"/>
    <cellStyle name="Процентный 6 2 89 2" xfId="8834" xr:uid="{00000000-0005-0000-0000-00006BD10000}"/>
    <cellStyle name="Процентный 6 2 89 2 2" xfId="56895" xr:uid="{00000000-0005-0000-0000-00006CD10000}"/>
    <cellStyle name="Процентный 6 2 89 3" xfId="14174" xr:uid="{00000000-0005-0000-0000-00006DD10000}"/>
    <cellStyle name="Процентный 6 2 89 4" xfId="19514" xr:uid="{00000000-0005-0000-0000-00006ED10000}"/>
    <cellStyle name="Процентный 6 2 89 5" xfId="24854" xr:uid="{00000000-0005-0000-0000-00006FD10000}"/>
    <cellStyle name="Процентный 6 2 89 6" xfId="30194" xr:uid="{00000000-0005-0000-0000-000070D10000}"/>
    <cellStyle name="Процентный 6 2 89 7" xfId="35534" xr:uid="{00000000-0005-0000-0000-000071D10000}"/>
    <cellStyle name="Процентный 6 2 89 8" xfId="40874" xr:uid="{00000000-0005-0000-0000-000072D10000}"/>
    <cellStyle name="Процентный 6 2 89 9" xfId="46214" xr:uid="{00000000-0005-0000-0000-000073D10000}"/>
    <cellStyle name="Процентный 6 2 9" xfId="1159" xr:uid="{00000000-0005-0000-0000-000074D10000}"/>
    <cellStyle name="Процентный 6 2 9 10" xfId="49222" xr:uid="{00000000-0005-0000-0000-000075D10000}"/>
    <cellStyle name="Процентный 6 2 9 2" xfId="6501" xr:uid="{00000000-0005-0000-0000-000076D10000}"/>
    <cellStyle name="Процентный 6 2 9 2 2" xfId="54563" xr:uid="{00000000-0005-0000-0000-000077D10000}"/>
    <cellStyle name="Процентный 6 2 9 3" xfId="11842" xr:uid="{00000000-0005-0000-0000-000078D10000}"/>
    <cellStyle name="Процентный 6 2 9 4" xfId="17182" xr:uid="{00000000-0005-0000-0000-000079D10000}"/>
    <cellStyle name="Процентный 6 2 9 5" xfId="22522" xr:uid="{00000000-0005-0000-0000-00007AD10000}"/>
    <cellStyle name="Процентный 6 2 9 6" xfId="27862" xr:uid="{00000000-0005-0000-0000-00007BD10000}"/>
    <cellStyle name="Процентный 6 2 9 7" xfId="33202" xr:uid="{00000000-0005-0000-0000-00007CD10000}"/>
    <cellStyle name="Процентный 6 2 9 8" xfId="38542" xr:uid="{00000000-0005-0000-0000-00007DD10000}"/>
    <cellStyle name="Процентный 6 2 9 9" xfId="43882" xr:uid="{00000000-0005-0000-0000-00007ED10000}"/>
    <cellStyle name="Процентный 6 2 90" xfId="3523" xr:uid="{00000000-0005-0000-0000-00007FD10000}"/>
    <cellStyle name="Процентный 6 2 90 10" xfId="51586" xr:uid="{00000000-0005-0000-0000-000080D10000}"/>
    <cellStyle name="Процентный 6 2 90 2" xfId="8866" xr:uid="{00000000-0005-0000-0000-000081D10000}"/>
    <cellStyle name="Процентный 6 2 90 2 2" xfId="56927" xr:uid="{00000000-0005-0000-0000-000082D10000}"/>
    <cellStyle name="Процентный 6 2 90 3" xfId="14206" xr:uid="{00000000-0005-0000-0000-000083D10000}"/>
    <cellStyle name="Процентный 6 2 90 4" xfId="19546" xr:uid="{00000000-0005-0000-0000-000084D10000}"/>
    <cellStyle name="Процентный 6 2 90 5" xfId="24886" xr:uid="{00000000-0005-0000-0000-000085D10000}"/>
    <cellStyle name="Процентный 6 2 90 6" xfId="30226" xr:uid="{00000000-0005-0000-0000-000086D10000}"/>
    <cellStyle name="Процентный 6 2 90 7" xfId="35566" xr:uid="{00000000-0005-0000-0000-000087D10000}"/>
    <cellStyle name="Процентный 6 2 90 8" xfId="40906" xr:uid="{00000000-0005-0000-0000-000088D10000}"/>
    <cellStyle name="Процентный 6 2 90 9" xfId="46246" xr:uid="{00000000-0005-0000-0000-000089D10000}"/>
    <cellStyle name="Процентный 6 2 91" xfId="3555" xr:uid="{00000000-0005-0000-0000-00008AD10000}"/>
    <cellStyle name="Процентный 6 2 91 10" xfId="51618" xr:uid="{00000000-0005-0000-0000-00008BD10000}"/>
    <cellStyle name="Процентный 6 2 91 2" xfId="8898" xr:uid="{00000000-0005-0000-0000-00008CD10000}"/>
    <cellStyle name="Процентный 6 2 91 2 2" xfId="56959" xr:uid="{00000000-0005-0000-0000-00008DD10000}"/>
    <cellStyle name="Процентный 6 2 91 3" xfId="14238" xr:uid="{00000000-0005-0000-0000-00008ED10000}"/>
    <cellStyle name="Процентный 6 2 91 4" xfId="19578" xr:uid="{00000000-0005-0000-0000-00008FD10000}"/>
    <cellStyle name="Процентный 6 2 91 5" xfId="24918" xr:uid="{00000000-0005-0000-0000-000090D10000}"/>
    <cellStyle name="Процентный 6 2 91 6" xfId="30258" xr:uid="{00000000-0005-0000-0000-000091D10000}"/>
    <cellStyle name="Процентный 6 2 91 7" xfId="35598" xr:uid="{00000000-0005-0000-0000-000092D10000}"/>
    <cellStyle name="Процентный 6 2 91 8" xfId="40938" xr:uid="{00000000-0005-0000-0000-000093D10000}"/>
    <cellStyle name="Процентный 6 2 91 9" xfId="46278" xr:uid="{00000000-0005-0000-0000-000094D10000}"/>
    <cellStyle name="Процентный 6 2 92" xfId="3587" xr:uid="{00000000-0005-0000-0000-000095D10000}"/>
    <cellStyle name="Процентный 6 2 92 10" xfId="51650" xr:uid="{00000000-0005-0000-0000-000096D10000}"/>
    <cellStyle name="Процентный 6 2 92 2" xfId="8930" xr:uid="{00000000-0005-0000-0000-000097D10000}"/>
    <cellStyle name="Процентный 6 2 92 2 2" xfId="56991" xr:uid="{00000000-0005-0000-0000-000098D10000}"/>
    <cellStyle name="Процентный 6 2 92 3" xfId="14270" xr:uid="{00000000-0005-0000-0000-000099D10000}"/>
    <cellStyle name="Процентный 6 2 92 4" xfId="19610" xr:uid="{00000000-0005-0000-0000-00009AD10000}"/>
    <cellStyle name="Процентный 6 2 92 5" xfId="24950" xr:uid="{00000000-0005-0000-0000-00009BD10000}"/>
    <cellStyle name="Процентный 6 2 92 6" xfId="30290" xr:uid="{00000000-0005-0000-0000-00009CD10000}"/>
    <cellStyle name="Процентный 6 2 92 7" xfId="35630" xr:uid="{00000000-0005-0000-0000-00009DD10000}"/>
    <cellStyle name="Процентный 6 2 92 8" xfId="40970" xr:uid="{00000000-0005-0000-0000-00009ED10000}"/>
    <cellStyle name="Процентный 6 2 92 9" xfId="46310" xr:uid="{00000000-0005-0000-0000-00009FD10000}"/>
    <cellStyle name="Процентный 6 2 93" xfId="3619" xr:uid="{00000000-0005-0000-0000-0000A0D10000}"/>
    <cellStyle name="Процентный 6 2 93 10" xfId="51682" xr:uid="{00000000-0005-0000-0000-0000A1D10000}"/>
    <cellStyle name="Процентный 6 2 93 2" xfId="8962" xr:uid="{00000000-0005-0000-0000-0000A2D10000}"/>
    <cellStyle name="Процентный 6 2 93 2 2" xfId="57023" xr:uid="{00000000-0005-0000-0000-0000A3D10000}"/>
    <cellStyle name="Процентный 6 2 93 3" xfId="14302" xr:uid="{00000000-0005-0000-0000-0000A4D10000}"/>
    <cellStyle name="Процентный 6 2 93 4" xfId="19642" xr:uid="{00000000-0005-0000-0000-0000A5D10000}"/>
    <cellStyle name="Процентный 6 2 93 5" xfId="24982" xr:uid="{00000000-0005-0000-0000-0000A6D10000}"/>
    <cellStyle name="Процентный 6 2 93 6" xfId="30322" xr:uid="{00000000-0005-0000-0000-0000A7D10000}"/>
    <cellStyle name="Процентный 6 2 93 7" xfId="35662" xr:uid="{00000000-0005-0000-0000-0000A8D10000}"/>
    <cellStyle name="Процентный 6 2 93 8" xfId="41002" xr:uid="{00000000-0005-0000-0000-0000A9D10000}"/>
    <cellStyle name="Процентный 6 2 93 9" xfId="46342" xr:uid="{00000000-0005-0000-0000-0000AAD10000}"/>
    <cellStyle name="Процентный 6 2 94" xfId="3651" xr:uid="{00000000-0005-0000-0000-0000ABD10000}"/>
    <cellStyle name="Процентный 6 2 94 10" xfId="51714" xr:uid="{00000000-0005-0000-0000-0000ACD10000}"/>
    <cellStyle name="Процентный 6 2 94 2" xfId="8994" xr:uid="{00000000-0005-0000-0000-0000ADD10000}"/>
    <cellStyle name="Процентный 6 2 94 2 2" xfId="57055" xr:uid="{00000000-0005-0000-0000-0000AED10000}"/>
    <cellStyle name="Процентный 6 2 94 3" xfId="14334" xr:uid="{00000000-0005-0000-0000-0000AFD10000}"/>
    <cellStyle name="Процентный 6 2 94 4" xfId="19674" xr:uid="{00000000-0005-0000-0000-0000B0D10000}"/>
    <cellStyle name="Процентный 6 2 94 5" xfId="25014" xr:uid="{00000000-0005-0000-0000-0000B1D10000}"/>
    <cellStyle name="Процентный 6 2 94 6" xfId="30354" xr:uid="{00000000-0005-0000-0000-0000B2D10000}"/>
    <cellStyle name="Процентный 6 2 94 7" xfId="35694" xr:uid="{00000000-0005-0000-0000-0000B3D10000}"/>
    <cellStyle name="Процентный 6 2 94 8" xfId="41034" xr:uid="{00000000-0005-0000-0000-0000B4D10000}"/>
    <cellStyle name="Процентный 6 2 94 9" xfId="46374" xr:uid="{00000000-0005-0000-0000-0000B5D10000}"/>
    <cellStyle name="Процентный 6 2 95" xfId="3683" xr:uid="{00000000-0005-0000-0000-0000B6D10000}"/>
    <cellStyle name="Процентный 6 2 95 10" xfId="51746" xr:uid="{00000000-0005-0000-0000-0000B7D10000}"/>
    <cellStyle name="Процентный 6 2 95 2" xfId="9026" xr:uid="{00000000-0005-0000-0000-0000B8D10000}"/>
    <cellStyle name="Процентный 6 2 95 2 2" xfId="57087" xr:uid="{00000000-0005-0000-0000-0000B9D10000}"/>
    <cellStyle name="Процентный 6 2 95 3" xfId="14366" xr:uid="{00000000-0005-0000-0000-0000BAD10000}"/>
    <cellStyle name="Процентный 6 2 95 4" xfId="19706" xr:uid="{00000000-0005-0000-0000-0000BBD10000}"/>
    <cellStyle name="Процентный 6 2 95 5" xfId="25046" xr:uid="{00000000-0005-0000-0000-0000BCD10000}"/>
    <cellStyle name="Процентный 6 2 95 6" xfId="30386" xr:uid="{00000000-0005-0000-0000-0000BDD10000}"/>
    <cellStyle name="Процентный 6 2 95 7" xfId="35726" xr:uid="{00000000-0005-0000-0000-0000BED10000}"/>
    <cellStyle name="Процентный 6 2 95 8" xfId="41066" xr:uid="{00000000-0005-0000-0000-0000BFD10000}"/>
    <cellStyle name="Процентный 6 2 95 9" xfId="46406" xr:uid="{00000000-0005-0000-0000-0000C0D10000}"/>
    <cellStyle name="Процентный 6 2 96" xfId="3715" xr:uid="{00000000-0005-0000-0000-0000C1D10000}"/>
    <cellStyle name="Процентный 6 2 96 10" xfId="51778" xr:uid="{00000000-0005-0000-0000-0000C2D10000}"/>
    <cellStyle name="Процентный 6 2 96 2" xfId="9058" xr:uid="{00000000-0005-0000-0000-0000C3D10000}"/>
    <cellStyle name="Процентный 6 2 96 2 2" xfId="57119" xr:uid="{00000000-0005-0000-0000-0000C4D10000}"/>
    <cellStyle name="Процентный 6 2 96 3" xfId="14398" xr:uid="{00000000-0005-0000-0000-0000C5D10000}"/>
    <cellStyle name="Процентный 6 2 96 4" xfId="19738" xr:uid="{00000000-0005-0000-0000-0000C6D10000}"/>
    <cellStyle name="Процентный 6 2 96 5" xfId="25078" xr:uid="{00000000-0005-0000-0000-0000C7D10000}"/>
    <cellStyle name="Процентный 6 2 96 6" xfId="30418" xr:uid="{00000000-0005-0000-0000-0000C8D10000}"/>
    <cellStyle name="Процентный 6 2 96 7" xfId="35758" xr:uid="{00000000-0005-0000-0000-0000C9D10000}"/>
    <cellStyle name="Процентный 6 2 96 8" xfId="41098" xr:uid="{00000000-0005-0000-0000-0000CAD10000}"/>
    <cellStyle name="Процентный 6 2 96 9" xfId="46438" xr:uid="{00000000-0005-0000-0000-0000CBD10000}"/>
    <cellStyle name="Процентный 6 2 97" xfId="3747" xr:uid="{00000000-0005-0000-0000-0000CCD10000}"/>
    <cellStyle name="Процентный 6 2 97 10" xfId="51810" xr:uid="{00000000-0005-0000-0000-0000CDD10000}"/>
    <cellStyle name="Процентный 6 2 97 2" xfId="9090" xr:uid="{00000000-0005-0000-0000-0000CED10000}"/>
    <cellStyle name="Процентный 6 2 97 2 2" xfId="57151" xr:uid="{00000000-0005-0000-0000-0000CFD10000}"/>
    <cellStyle name="Процентный 6 2 97 3" xfId="14430" xr:uid="{00000000-0005-0000-0000-0000D0D10000}"/>
    <cellStyle name="Процентный 6 2 97 4" xfId="19770" xr:uid="{00000000-0005-0000-0000-0000D1D10000}"/>
    <cellStyle name="Процентный 6 2 97 5" xfId="25110" xr:uid="{00000000-0005-0000-0000-0000D2D10000}"/>
    <cellStyle name="Процентный 6 2 97 6" xfId="30450" xr:uid="{00000000-0005-0000-0000-0000D3D10000}"/>
    <cellStyle name="Процентный 6 2 97 7" xfId="35790" xr:uid="{00000000-0005-0000-0000-0000D4D10000}"/>
    <cellStyle name="Процентный 6 2 97 8" xfId="41130" xr:uid="{00000000-0005-0000-0000-0000D5D10000}"/>
    <cellStyle name="Процентный 6 2 97 9" xfId="46470" xr:uid="{00000000-0005-0000-0000-0000D6D10000}"/>
    <cellStyle name="Процентный 6 2 98" xfId="3779" xr:uid="{00000000-0005-0000-0000-0000D7D10000}"/>
    <cellStyle name="Процентный 6 2 98 10" xfId="51842" xr:uid="{00000000-0005-0000-0000-0000D8D10000}"/>
    <cellStyle name="Процентный 6 2 98 2" xfId="9122" xr:uid="{00000000-0005-0000-0000-0000D9D10000}"/>
    <cellStyle name="Процентный 6 2 98 2 2" xfId="57183" xr:uid="{00000000-0005-0000-0000-0000DAD10000}"/>
    <cellStyle name="Процентный 6 2 98 3" xfId="14462" xr:uid="{00000000-0005-0000-0000-0000DBD10000}"/>
    <cellStyle name="Процентный 6 2 98 4" xfId="19802" xr:uid="{00000000-0005-0000-0000-0000DCD10000}"/>
    <cellStyle name="Процентный 6 2 98 5" xfId="25142" xr:uid="{00000000-0005-0000-0000-0000DDD10000}"/>
    <cellStyle name="Процентный 6 2 98 6" xfId="30482" xr:uid="{00000000-0005-0000-0000-0000DED10000}"/>
    <cellStyle name="Процентный 6 2 98 7" xfId="35822" xr:uid="{00000000-0005-0000-0000-0000DFD10000}"/>
    <cellStyle name="Процентный 6 2 98 8" xfId="41162" xr:uid="{00000000-0005-0000-0000-0000E0D10000}"/>
    <cellStyle name="Процентный 6 2 98 9" xfId="46502" xr:uid="{00000000-0005-0000-0000-0000E1D10000}"/>
    <cellStyle name="Процентный 6 2 99" xfId="3811" xr:uid="{00000000-0005-0000-0000-0000E2D10000}"/>
    <cellStyle name="Процентный 6 2 99 10" xfId="51874" xr:uid="{00000000-0005-0000-0000-0000E3D10000}"/>
    <cellStyle name="Процентный 6 2 99 2" xfId="9154" xr:uid="{00000000-0005-0000-0000-0000E4D10000}"/>
    <cellStyle name="Процентный 6 2 99 2 2" xfId="57215" xr:uid="{00000000-0005-0000-0000-0000E5D10000}"/>
    <cellStyle name="Процентный 6 2 99 3" xfId="14494" xr:uid="{00000000-0005-0000-0000-0000E6D10000}"/>
    <cellStyle name="Процентный 6 2 99 4" xfId="19834" xr:uid="{00000000-0005-0000-0000-0000E7D10000}"/>
    <cellStyle name="Процентный 6 2 99 5" xfId="25174" xr:uid="{00000000-0005-0000-0000-0000E8D10000}"/>
    <cellStyle name="Процентный 6 2 99 6" xfId="30514" xr:uid="{00000000-0005-0000-0000-0000E9D10000}"/>
    <cellStyle name="Процентный 6 2 99 7" xfId="35854" xr:uid="{00000000-0005-0000-0000-0000EAD10000}"/>
    <cellStyle name="Процентный 6 2 99 8" xfId="41194" xr:uid="{00000000-0005-0000-0000-0000EBD10000}"/>
    <cellStyle name="Процентный 6 2 99 9" xfId="46534" xr:uid="{00000000-0005-0000-0000-0000ECD10000}"/>
    <cellStyle name="Процентный 6 20" xfId="311" xr:uid="{00000000-0005-0000-0000-0000EDD10000}"/>
    <cellStyle name="Процентный 6 20 10" xfId="43033" xr:uid="{00000000-0005-0000-0000-0000EED10000}"/>
    <cellStyle name="Процентный 6 20 11" xfId="48373" xr:uid="{00000000-0005-0000-0000-0000EFD10000}"/>
    <cellStyle name="Процентный 6 20 2" xfId="778" xr:uid="{00000000-0005-0000-0000-0000F0D10000}"/>
    <cellStyle name="Процентный 6 20 2 10" xfId="48840" xr:uid="{00000000-0005-0000-0000-0000F1D10000}"/>
    <cellStyle name="Процентный 6 20 2 2" xfId="6119" xr:uid="{00000000-0005-0000-0000-0000F2D10000}"/>
    <cellStyle name="Процентный 6 20 2 2 2" xfId="54181" xr:uid="{00000000-0005-0000-0000-0000F3D10000}"/>
    <cellStyle name="Процентный 6 20 2 3" xfId="11460" xr:uid="{00000000-0005-0000-0000-0000F4D10000}"/>
    <cellStyle name="Процентный 6 20 2 4" xfId="16800" xr:uid="{00000000-0005-0000-0000-0000F5D10000}"/>
    <cellStyle name="Процентный 6 20 2 5" xfId="22140" xr:uid="{00000000-0005-0000-0000-0000F6D10000}"/>
    <cellStyle name="Процентный 6 20 2 6" xfId="27480" xr:uid="{00000000-0005-0000-0000-0000F7D10000}"/>
    <cellStyle name="Процентный 6 20 2 7" xfId="32820" xr:uid="{00000000-0005-0000-0000-0000F8D10000}"/>
    <cellStyle name="Процентный 6 20 2 8" xfId="38160" xr:uid="{00000000-0005-0000-0000-0000F9D10000}"/>
    <cellStyle name="Процентный 6 20 2 9" xfId="43500" xr:uid="{00000000-0005-0000-0000-0000FAD10000}"/>
    <cellStyle name="Процентный 6 20 3" xfId="5652" xr:uid="{00000000-0005-0000-0000-0000FBD10000}"/>
    <cellStyle name="Процентный 6 20 3 2" xfId="53714" xr:uid="{00000000-0005-0000-0000-0000FCD10000}"/>
    <cellStyle name="Процентный 6 20 4" xfId="10993" xr:uid="{00000000-0005-0000-0000-0000FDD10000}"/>
    <cellStyle name="Процентный 6 20 5" xfId="16333" xr:uid="{00000000-0005-0000-0000-0000FED10000}"/>
    <cellStyle name="Процентный 6 20 6" xfId="21673" xr:uid="{00000000-0005-0000-0000-0000FFD10000}"/>
    <cellStyle name="Процентный 6 20 7" xfId="27013" xr:uid="{00000000-0005-0000-0000-000000D20000}"/>
    <cellStyle name="Процентный 6 20 8" xfId="32353" xr:uid="{00000000-0005-0000-0000-000001D20000}"/>
    <cellStyle name="Процентный 6 20 9" xfId="37693" xr:uid="{00000000-0005-0000-0000-000002D20000}"/>
    <cellStyle name="Процентный 6 21" xfId="321" xr:uid="{00000000-0005-0000-0000-000003D20000}"/>
    <cellStyle name="Процентный 6 21 10" xfId="43043" xr:uid="{00000000-0005-0000-0000-000004D20000}"/>
    <cellStyle name="Процентный 6 21 11" xfId="48383" xr:uid="{00000000-0005-0000-0000-000005D20000}"/>
    <cellStyle name="Процентный 6 21 2" xfId="788" xr:uid="{00000000-0005-0000-0000-000006D20000}"/>
    <cellStyle name="Процентный 6 21 2 10" xfId="48850" xr:uid="{00000000-0005-0000-0000-000007D20000}"/>
    <cellStyle name="Процентный 6 21 2 2" xfId="6129" xr:uid="{00000000-0005-0000-0000-000008D20000}"/>
    <cellStyle name="Процентный 6 21 2 2 2" xfId="54191" xr:uid="{00000000-0005-0000-0000-000009D20000}"/>
    <cellStyle name="Процентный 6 21 2 3" xfId="11470" xr:uid="{00000000-0005-0000-0000-00000AD20000}"/>
    <cellStyle name="Процентный 6 21 2 4" xfId="16810" xr:uid="{00000000-0005-0000-0000-00000BD20000}"/>
    <cellStyle name="Процентный 6 21 2 5" xfId="22150" xr:uid="{00000000-0005-0000-0000-00000CD20000}"/>
    <cellStyle name="Процентный 6 21 2 6" xfId="27490" xr:uid="{00000000-0005-0000-0000-00000DD20000}"/>
    <cellStyle name="Процентный 6 21 2 7" xfId="32830" xr:uid="{00000000-0005-0000-0000-00000ED20000}"/>
    <cellStyle name="Процентный 6 21 2 8" xfId="38170" xr:uid="{00000000-0005-0000-0000-00000FD20000}"/>
    <cellStyle name="Процентный 6 21 2 9" xfId="43510" xr:uid="{00000000-0005-0000-0000-000010D20000}"/>
    <cellStyle name="Процентный 6 21 3" xfId="5662" xr:uid="{00000000-0005-0000-0000-000011D20000}"/>
    <cellStyle name="Процентный 6 21 3 2" xfId="53724" xr:uid="{00000000-0005-0000-0000-000012D20000}"/>
    <cellStyle name="Процентный 6 21 4" xfId="11003" xr:uid="{00000000-0005-0000-0000-000013D20000}"/>
    <cellStyle name="Процентный 6 21 5" xfId="16343" xr:uid="{00000000-0005-0000-0000-000014D20000}"/>
    <cellStyle name="Процентный 6 21 6" xfId="21683" xr:uid="{00000000-0005-0000-0000-000015D20000}"/>
    <cellStyle name="Процентный 6 21 7" xfId="27023" xr:uid="{00000000-0005-0000-0000-000016D20000}"/>
    <cellStyle name="Процентный 6 21 8" xfId="32363" xr:uid="{00000000-0005-0000-0000-000017D20000}"/>
    <cellStyle name="Процентный 6 21 9" xfId="37703" xr:uid="{00000000-0005-0000-0000-000018D20000}"/>
    <cellStyle name="Процентный 6 22" xfId="331" xr:uid="{00000000-0005-0000-0000-000019D20000}"/>
    <cellStyle name="Процентный 6 22 10" xfId="43053" xr:uid="{00000000-0005-0000-0000-00001AD20000}"/>
    <cellStyle name="Процентный 6 22 11" xfId="48393" xr:uid="{00000000-0005-0000-0000-00001BD20000}"/>
    <cellStyle name="Процентный 6 22 2" xfId="798" xr:uid="{00000000-0005-0000-0000-00001CD20000}"/>
    <cellStyle name="Процентный 6 22 2 10" xfId="48860" xr:uid="{00000000-0005-0000-0000-00001DD20000}"/>
    <cellStyle name="Процентный 6 22 2 2" xfId="6139" xr:uid="{00000000-0005-0000-0000-00001ED20000}"/>
    <cellStyle name="Процентный 6 22 2 2 2" xfId="54201" xr:uid="{00000000-0005-0000-0000-00001FD20000}"/>
    <cellStyle name="Процентный 6 22 2 3" xfId="11480" xr:uid="{00000000-0005-0000-0000-000020D20000}"/>
    <cellStyle name="Процентный 6 22 2 4" xfId="16820" xr:uid="{00000000-0005-0000-0000-000021D20000}"/>
    <cellStyle name="Процентный 6 22 2 5" xfId="22160" xr:uid="{00000000-0005-0000-0000-000022D20000}"/>
    <cellStyle name="Процентный 6 22 2 6" xfId="27500" xr:uid="{00000000-0005-0000-0000-000023D20000}"/>
    <cellStyle name="Процентный 6 22 2 7" xfId="32840" xr:uid="{00000000-0005-0000-0000-000024D20000}"/>
    <cellStyle name="Процентный 6 22 2 8" xfId="38180" xr:uid="{00000000-0005-0000-0000-000025D20000}"/>
    <cellStyle name="Процентный 6 22 2 9" xfId="43520" xr:uid="{00000000-0005-0000-0000-000026D20000}"/>
    <cellStyle name="Процентный 6 22 3" xfId="5672" xr:uid="{00000000-0005-0000-0000-000027D20000}"/>
    <cellStyle name="Процентный 6 22 3 2" xfId="53734" xr:uid="{00000000-0005-0000-0000-000028D20000}"/>
    <cellStyle name="Процентный 6 22 4" xfId="11013" xr:uid="{00000000-0005-0000-0000-000029D20000}"/>
    <cellStyle name="Процентный 6 22 5" xfId="16353" xr:uid="{00000000-0005-0000-0000-00002AD20000}"/>
    <cellStyle name="Процентный 6 22 6" xfId="21693" xr:uid="{00000000-0005-0000-0000-00002BD20000}"/>
    <cellStyle name="Процентный 6 22 7" xfId="27033" xr:uid="{00000000-0005-0000-0000-00002CD20000}"/>
    <cellStyle name="Процентный 6 22 8" xfId="32373" xr:uid="{00000000-0005-0000-0000-00002DD20000}"/>
    <cellStyle name="Процентный 6 22 9" xfId="37713" xr:uid="{00000000-0005-0000-0000-00002ED20000}"/>
    <cellStyle name="Процентный 6 23" xfId="341" xr:uid="{00000000-0005-0000-0000-00002FD20000}"/>
    <cellStyle name="Процентный 6 23 10" xfId="43063" xr:uid="{00000000-0005-0000-0000-000030D20000}"/>
    <cellStyle name="Процентный 6 23 11" xfId="48403" xr:uid="{00000000-0005-0000-0000-000031D20000}"/>
    <cellStyle name="Процентный 6 23 2" xfId="808" xr:uid="{00000000-0005-0000-0000-000032D20000}"/>
    <cellStyle name="Процентный 6 23 2 10" xfId="48870" xr:uid="{00000000-0005-0000-0000-000033D20000}"/>
    <cellStyle name="Процентный 6 23 2 2" xfId="6149" xr:uid="{00000000-0005-0000-0000-000034D20000}"/>
    <cellStyle name="Процентный 6 23 2 2 2" xfId="54211" xr:uid="{00000000-0005-0000-0000-000035D20000}"/>
    <cellStyle name="Процентный 6 23 2 3" xfId="11490" xr:uid="{00000000-0005-0000-0000-000036D20000}"/>
    <cellStyle name="Процентный 6 23 2 4" xfId="16830" xr:uid="{00000000-0005-0000-0000-000037D20000}"/>
    <cellStyle name="Процентный 6 23 2 5" xfId="22170" xr:uid="{00000000-0005-0000-0000-000038D20000}"/>
    <cellStyle name="Процентный 6 23 2 6" xfId="27510" xr:uid="{00000000-0005-0000-0000-000039D20000}"/>
    <cellStyle name="Процентный 6 23 2 7" xfId="32850" xr:uid="{00000000-0005-0000-0000-00003AD20000}"/>
    <cellStyle name="Процентный 6 23 2 8" xfId="38190" xr:uid="{00000000-0005-0000-0000-00003BD20000}"/>
    <cellStyle name="Процентный 6 23 2 9" xfId="43530" xr:uid="{00000000-0005-0000-0000-00003CD20000}"/>
    <cellStyle name="Процентный 6 23 3" xfId="5682" xr:uid="{00000000-0005-0000-0000-00003DD20000}"/>
    <cellStyle name="Процентный 6 23 3 2" xfId="53744" xr:uid="{00000000-0005-0000-0000-00003ED20000}"/>
    <cellStyle name="Процентный 6 23 4" xfId="11023" xr:uid="{00000000-0005-0000-0000-00003FD20000}"/>
    <cellStyle name="Процентный 6 23 5" xfId="16363" xr:uid="{00000000-0005-0000-0000-000040D20000}"/>
    <cellStyle name="Процентный 6 23 6" xfId="21703" xr:uid="{00000000-0005-0000-0000-000041D20000}"/>
    <cellStyle name="Процентный 6 23 7" xfId="27043" xr:uid="{00000000-0005-0000-0000-000042D20000}"/>
    <cellStyle name="Процентный 6 23 8" xfId="32383" xr:uid="{00000000-0005-0000-0000-000043D20000}"/>
    <cellStyle name="Процентный 6 23 9" xfId="37723" xr:uid="{00000000-0005-0000-0000-000044D20000}"/>
    <cellStyle name="Процентный 6 24" xfId="351" xr:uid="{00000000-0005-0000-0000-000045D20000}"/>
    <cellStyle name="Процентный 6 24 10" xfId="43073" xr:uid="{00000000-0005-0000-0000-000046D20000}"/>
    <cellStyle name="Процентный 6 24 11" xfId="48413" xr:uid="{00000000-0005-0000-0000-000047D20000}"/>
    <cellStyle name="Процентный 6 24 2" xfId="818" xr:uid="{00000000-0005-0000-0000-000048D20000}"/>
    <cellStyle name="Процентный 6 24 2 10" xfId="48880" xr:uid="{00000000-0005-0000-0000-000049D20000}"/>
    <cellStyle name="Процентный 6 24 2 2" xfId="6159" xr:uid="{00000000-0005-0000-0000-00004AD20000}"/>
    <cellStyle name="Процентный 6 24 2 2 2" xfId="54221" xr:uid="{00000000-0005-0000-0000-00004BD20000}"/>
    <cellStyle name="Процентный 6 24 2 3" xfId="11500" xr:uid="{00000000-0005-0000-0000-00004CD20000}"/>
    <cellStyle name="Процентный 6 24 2 4" xfId="16840" xr:uid="{00000000-0005-0000-0000-00004DD20000}"/>
    <cellStyle name="Процентный 6 24 2 5" xfId="22180" xr:uid="{00000000-0005-0000-0000-00004ED20000}"/>
    <cellStyle name="Процентный 6 24 2 6" xfId="27520" xr:uid="{00000000-0005-0000-0000-00004FD20000}"/>
    <cellStyle name="Процентный 6 24 2 7" xfId="32860" xr:uid="{00000000-0005-0000-0000-000050D20000}"/>
    <cellStyle name="Процентный 6 24 2 8" xfId="38200" xr:uid="{00000000-0005-0000-0000-000051D20000}"/>
    <cellStyle name="Процентный 6 24 2 9" xfId="43540" xr:uid="{00000000-0005-0000-0000-000052D20000}"/>
    <cellStyle name="Процентный 6 24 3" xfId="5692" xr:uid="{00000000-0005-0000-0000-000053D20000}"/>
    <cellStyle name="Процентный 6 24 3 2" xfId="53754" xr:uid="{00000000-0005-0000-0000-000054D20000}"/>
    <cellStyle name="Процентный 6 24 4" xfId="11033" xr:uid="{00000000-0005-0000-0000-000055D20000}"/>
    <cellStyle name="Процентный 6 24 5" xfId="16373" xr:uid="{00000000-0005-0000-0000-000056D20000}"/>
    <cellStyle name="Процентный 6 24 6" xfId="21713" xr:uid="{00000000-0005-0000-0000-000057D20000}"/>
    <cellStyle name="Процентный 6 24 7" xfId="27053" xr:uid="{00000000-0005-0000-0000-000058D20000}"/>
    <cellStyle name="Процентный 6 24 8" xfId="32393" xr:uid="{00000000-0005-0000-0000-000059D20000}"/>
    <cellStyle name="Процентный 6 24 9" xfId="37733" xr:uid="{00000000-0005-0000-0000-00005AD20000}"/>
    <cellStyle name="Процентный 6 25" xfId="361" xr:uid="{00000000-0005-0000-0000-00005BD20000}"/>
    <cellStyle name="Процентный 6 25 10" xfId="43083" xr:uid="{00000000-0005-0000-0000-00005CD20000}"/>
    <cellStyle name="Процентный 6 25 11" xfId="48423" xr:uid="{00000000-0005-0000-0000-00005DD20000}"/>
    <cellStyle name="Процентный 6 25 2" xfId="828" xr:uid="{00000000-0005-0000-0000-00005ED20000}"/>
    <cellStyle name="Процентный 6 25 2 10" xfId="48890" xr:uid="{00000000-0005-0000-0000-00005FD20000}"/>
    <cellStyle name="Процентный 6 25 2 2" xfId="6169" xr:uid="{00000000-0005-0000-0000-000060D20000}"/>
    <cellStyle name="Процентный 6 25 2 2 2" xfId="54231" xr:uid="{00000000-0005-0000-0000-000061D20000}"/>
    <cellStyle name="Процентный 6 25 2 3" xfId="11510" xr:uid="{00000000-0005-0000-0000-000062D20000}"/>
    <cellStyle name="Процентный 6 25 2 4" xfId="16850" xr:uid="{00000000-0005-0000-0000-000063D20000}"/>
    <cellStyle name="Процентный 6 25 2 5" xfId="22190" xr:uid="{00000000-0005-0000-0000-000064D20000}"/>
    <cellStyle name="Процентный 6 25 2 6" xfId="27530" xr:uid="{00000000-0005-0000-0000-000065D20000}"/>
    <cellStyle name="Процентный 6 25 2 7" xfId="32870" xr:uid="{00000000-0005-0000-0000-000066D20000}"/>
    <cellStyle name="Процентный 6 25 2 8" xfId="38210" xr:uid="{00000000-0005-0000-0000-000067D20000}"/>
    <cellStyle name="Процентный 6 25 2 9" xfId="43550" xr:uid="{00000000-0005-0000-0000-000068D20000}"/>
    <cellStyle name="Процентный 6 25 3" xfId="5702" xr:uid="{00000000-0005-0000-0000-000069D20000}"/>
    <cellStyle name="Процентный 6 25 3 2" xfId="53764" xr:uid="{00000000-0005-0000-0000-00006AD20000}"/>
    <cellStyle name="Процентный 6 25 4" xfId="11043" xr:uid="{00000000-0005-0000-0000-00006BD20000}"/>
    <cellStyle name="Процентный 6 25 5" xfId="16383" xr:uid="{00000000-0005-0000-0000-00006CD20000}"/>
    <cellStyle name="Процентный 6 25 6" xfId="21723" xr:uid="{00000000-0005-0000-0000-00006DD20000}"/>
    <cellStyle name="Процентный 6 25 7" xfId="27063" xr:uid="{00000000-0005-0000-0000-00006ED20000}"/>
    <cellStyle name="Процентный 6 25 8" xfId="32403" xr:uid="{00000000-0005-0000-0000-00006FD20000}"/>
    <cellStyle name="Процентный 6 25 9" xfId="37743" xr:uid="{00000000-0005-0000-0000-000070D20000}"/>
    <cellStyle name="Процентный 6 26" xfId="371" xr:uid="{00000000-0005-0000-0000-000071D20000}"/>
    <cellStyle name="Процентный 6 26 10" xfId="43093" xr:uid="{00000000-0005-0000-0000-000072D20000}"/>
    <cellStyle name="Процентный 6 26 11" xfId="48433" xr:uid="{00000000-0005-0000-0000-000073D20000}"/>
    <cellStyle name="Процентный 6 26 2" xfId="838" xr:uid="{00000000-0005-0000-0000-000074D20000}"/>
    <cellStyle name="Процентный 6 26 2 10" xfId="48900" xr:uid="{00000000-0005-0000-0000-000075D20000}"/>
    <cellStyle name="Процентный 6 26 2 2" xfId="6179" xr:uid="{00000000-0005-0000-0000-000076D20000}"/>
    <cellStyle name="Процентный 6 26 2 2 2" xfId="54241" xr:uid="{00000000-0005-0000-0000-000077D20000}"/>
    <cellStyle name="Процентный 6 26 2 3" xfId="11520" xr:uid="{00000000-0005-0000-0000-000078D20000}"/>
    <cellStyle name="Процентный 6 26 2 4" xfId="16860" xr:uid="{00000000-0005-0000-0000-000079D20000}"/>
    <cellStyle name="Процентный 6 26 2 5" xfId="22200" xr:uid="{00000000-0005-0000-0000-00007AD20000}"/>
    <cellStyle name="Процентный 6 26 2 6" xfId="27540" xr:uid="{00000000-0005-0000-0000-00007BD20000}"/>
    <cellStyle name="Процентный 6 26 2 7" xfId="32880" xr:uid="{00000000-0005-0000-0000-00007CD20000}"/>
    <cellStyle name="Процентный 6 26 2 8" xfId="38220" xr:uid="{00000000-0005-0000-0000-00007DD20000}"/>
    <cellStyle name="Процентный 6 26 2 9" xfId="43560" xr:uid="{00000000-0005-0000-0000-00007ED20000}"/>
    <cellStyle name="Процентный 6 26 3" xfId="5712" xr:uid="{00000000-0005-0000-0000-00007FD20000}"/>
    <cellStyle name="Процентный 6 26 3 2" xfId="53774" xr:uid="{00000000-0005-0000-0000-000080D20000}"/>
    <cellStyle name="Процентный 6 26 4" xfId="11053" xr:uid="{00000000-0005-0000-0000-000081D20000}"/>
    <cellStyle name="Процентный 6 26 5" xfId="16393" xr:uid="{00000000-0005-0000-0000-000082D20000}"/>
    <cellStyle name="Процентный 6 26 6" xfId="21733" xr:uid="{00000000-0005-0000-0000-000083D20000}"/>
    <cellStyle name="Процентный 6 26 7" xfId="27073" xr:uid="{00000000-0005-0000-0000-000084D20000}"/>
    <cellStyle name="Процентный 6 26 8" xfId="32413" xr:uid="{00000000-0005-0000-0000-000085D20000}"/>
    <cellStyle name="Процентный 6 26 9" xfId="37753" xr:uid="{00000000-0005-0000-0000-000086D20000}"/>
    <cellStyle name="Процентный 6 27" xfId="381" xr:uid="{00000000-0005-0000-0000-000087D20000}"/>
    <cellStyle name="Процентный 6 27 10" xfId="43103" xr:uid="{00000000-0005-0000-0000-000088D20000}"/>
    <cellStyle name="Процентный 6 27 11" xfId="48443" xr:uid="{00000000-0005-0000-0000-000089D20000}"/>
    <cellStyle name="Процентный 6 27 2" xfId="848" xr:uid="{00000000-0005-0000-0000-00008AD20000}"/>
    <cellStyle name="Процентный 6 27 2 10" xfId="48910" xr:uid="{00000000-0005-0000-0000-00008BD20000}"/>
    <cellStyle name="Процентный 6 27 2 2" xfId="6189" xr:uid="{00000000-0005-0000-0000-00008CD20000}"/>
    <cellStyle name="Процентный 6 27 2 2 2" xfId="54251" xr:uid="{00000000-0005-0000-0000-00008DD20000}"/>
    <cellStyle name="Процентный 6 27 2 3" xfId="11530" xr:uid="{00000000-0005-0000-0000-00008ED20000}"/>
    <cellStyle name="Процентный 6 27 2 4" xfId="16870" xr:uid="{00000000-0005-0000-0000-00008FD20000}"/>
    <cellStyle name="Процентный 6 27 2 5" xfId="22210" xr:uid="{00000000-0005-0000-0000-000090D20000}"/>
    <cellStyle name="Процентный 6 27 2 6" xfId="27550" xr:uid="{00000000-0005-0000-0000-000091D20000}"/>
    <cellStyle name="Процентный 6 27 2 7" xfId="32890" xr:uid="{00000000-0005-0000-0000-000092D20000}"/>
    <cellStyle name="Процентный 6 27 2 8" xfId="38230" xr:uid="{00000000-0005-0000-0000-000093D20000}"/>
    <cellStyle name="Процентный 6 27 2 9" xfId="43570" xr:uid="{00000000-0005-0000-0000-000094D20000}"/>
    <cellStyle name="Процентный 6 27 3" xfId="5722" xr:uid="{00000000-0005-0000-0000-000095D20000}"/>
    <cellStyle name="Процентный 6 27 3 2" xfId="53784" xr:uid="{00000000-0005-0000-0000-000096D20000}"/>
    <cellStyle name="Процентный 6 27 4" xfId="11063" xr:uid="{00000000-0005-0000-0000-000097D20000}"/>
    <cellStyle name="Процентный 6 27 5" xfId="16403" xr:uid="{00000000-0005-0000-0000-000098D20000}"/>
    <cellStyle name="Процентный 6 27 6" xfId="21743" xr:uid="{00000000-0005-0000-0000-000099D20000}"/>
    <cellStyle name="Процентный 6 27 7" xfId="27083" xr:uid="{00000000-0005-0000-0000-00009AD20000}"/>
    <cellStyle name="Процентный 6 27 8" xfId="32423" xr:uid="{00000000-0005-0000-0000-00009BD20000}"/>
    <cellStyle name="Процентный 6 27 9" xfId="37763" xr:uid="{00000000-0005-0000-0000-00009CD20000}"/>
    <cellStyle name="Процентный 6 28" xfId="391" xr:uid="{00000000-0005-0000-0000-00009DD20000}"/>
    <cellStyle name="Процентный 6 28 10" xfId="43113" xr:uid="{00000000-0005-0000-0000-00009ED20000}"/>
    <cellStyle name="Процентный 6 28 11" xfId="48453" xr:uid="{00000000-0005-0000-0000-00009FD20000}"/>
    <cellStyle name="Процентный 6 28 2" xfId="858" xr:uid="{00000000-0005-0000-0000-0000A0D20000}"/>
    <cellStyle name="Процентный 6 28 2 10" xfId="48920" xr:uid="{00000000-0005-0000-0000-0000A1D20000}"/>
    <cellStyle name="Процентный 6 28 2 2" xfId="6199" xr:uid="{00000000-0005-0000-0000-0000A2D20000}"/>
    <cellStyle name="Процентный 6 28 2 2 2" xfId="54261" xr:uid="{00000000-0005-0000-0000-0000A3D20000}"/>
    <cellStyle name="Процентный 6 28 2 3" xfId="11540" xr:uid="{00000000-0005-0000-0000-0000A4D20000}"/>
    <cellStyle name="Процентный 6 28 2 4" xfId="16880" xr:uid="{00000000-0005-0000-0000-0000A5D20000}"/>
    <cellStyle name="Процентный 6 28 2 5" xfId="22220" xr:uid="{00000000-0005-0000-0000-0000A6D20000}"/>
    <cellStyle name="Процентный 6 28 2 6" xfId="27560" xr:uid="{00000000-0005-0000-0000-0000A7D20000}"/>
    <cellStyle name="Процентный 6 28 2 7" xfId="32900" xr:uid="{00000000-0005-0000-0000-0000A8D20000}"/>
    <cellStyle name="Процентный 6 28 2 8" xfId="38240" xr:uid="{00000000-0005-0000-0000-0000A9D20000}"/>
    <cellStyle name="Процентный 6 28 2 9" xfId="43580" xr:uid="{00000000-0005-0000-0000-0000AAD20000}"/>
    <cellStyle name="Процентный 6 28 3" xfId="5732" xr:uid="{00000000-0005-0000-0000-0000ABD20000}"/>
    <cellStyle name="Процентный 6 28 3 2" xfId="53794" xr:uid="{00000000-0005-0000-0000-0000ACD20000}"/>
    <cellStyle name="Процентный 6 28 4" xfId="11073" xr:uid="{00000000-0005-0000-0000-0000ADD20000}"/>
    <cellStyle name="Процентный 6 28 5" xfId="16413" xr:uid="{00000000-0005-0000-0000-0000AED20000}"/>
    <cellStyle name="Процентный 6 28 6" xfId="21753" xr:uid="{00000000-0005-0000-0000-0000AFD20000}"/>
    <cellStyle name="Процентный 6 28 7" xfId="27093" xr:uid="{00000000-0005-0000-0000-0000B0D20000}"/>
    <cellStyle name="Процентный 6 28 8" xfId="32433" xr:uid="{00000000-0005-0000-0000-0000B1D20000}"/>
    <cellStyle name="Процентный 6 28 9" xfId="37773" xr:uid="{00000000-0005-0000-0000-0000B2D20000}"/>
    <cellStyle name="Процентный 6 29" xfId="401" xr:uid="{00000000-0005-0000-0000-0000B3D20000}"/>
    <cellStyle name="Процентный 6 29 10" xfId="43123" xr:uid="{00000000-0005-0000-0000-0000B4D20000}"/>
    <cellStyle name="Процентный 6 29 11" xfId="48463" xr:uid="{00000000-0005-0000-0000-0000B5D20000}"/>
    <cellStyle name="Процентный 6 29 2" xfId="868" xr:uid="{00000000-0005-0000-0000-0000B6D20000}"/>
    <cellStyle name="Процентный 6 29 2 10" xfId="48930" xr:uid="{00000000-0005-0000-0000-0000B7D20000}"/>
    <cellStyle name="Процентный 6 29 2 2" xfId="6209" xr:uid="{00000000-0005-0000-0000-0000B8D20000}"/>
    <cellStyle name="Процентный 6 29 2 2 2" xfId="54271" xr:uid="{00000000-0005-0000-0000-0000B9D20000}"/>
    <cellStyle name="Процентный 6 29 2 3" xfId="11550" xr:uid="{00000000-0005-0000-0000-0000BAD20000}"/>
    <cellStyle name="Процентный 6 29 2 4" xfId="16890" xr:uid="{00000000-0005-0000-0000-0000BBD20000}"/>
    <cellStyle name="Процентный 6 29 2 5" xfId="22230" xr:uid="{00000000-0005-0000-0000-0000BCD20000}"/>
    <cellStyle name="Процентный 6 29 2 6" xfId="27570" xr:uid="{00000000-0005-0000-0000-0000BDD20000}"/>
    <cellStyle name="Процентный 6 29 2 7" xfId="32910" xr:uid="{00000000-0005-0000-0000-0000BED20000}"/>
    <cellStyle name="Процентный 6 29 2 8" xfId="38250" xr:uid="{00000000-0005-0000-0000-0000BFD20000}"/>
    <cellStyle name="Процентный 6 29 2 9" xfId="43590" xr:uid="{00000000-0005-0000-0000-0000C0D20000}"/>
    <cellStyle name="Процентный 6 29 3" xfId="5742" xr:uid="{00000000-0005-0000-0000-0000C1D20000}"/>
    <cellStyle name="Процентный 6 29 3 2" xfId="53804" xr:uid="{00000000-0005-0000-0000-0000C2D20000}"/>
    <cellStyle name="Процентный 6 29 4" xfId="11083" xr:uid="{00000000-0005-0000-0000-0000C3D20000}"/>
    <cellStyle name="Процентный 6 29 5" xfId="16423" xr:uid="{00000000-0005-0000-0000-0000C4D20000}"/>
    <cellStyle name="Процентный 6 29 6" xfId="21763" xr:uid="{00000000-0005-0000-0000-0000C5D20000}"/>
    <cellStyle name="Процентный 6 29 7" xfId="27103" xr:uid="{00000000-0005-0000-0000-0000C6D20000}"/>
    <cellStyle name="Процентный 6 29 8" xfId="32443" xr:uid="{00000000-0005-0000-0000-0000C7D20000}"/>
    <cellStyle name="Процентный 6 29 9" xfId="37783" xr:uid="{00000000-0005-0000-0000-0000C8D20000}"/>
    <cellStyle name="Процентный 6 3" xfId="141" xr:uid="{00000000-0005-0000-0000-0000C9D20000}"/>
    <cellStyle name="Процентный 6 3 10" xfId="42863" xr:uid="{00000000-0005-0000-0000-0000CAD20000}"/>
    <cellStyle name="Процентный 6 3 11" xfId="48203" xr:uid="{00000000-0005-0000-0000-0000CBD20000}"/>
    <cellStyle name="Процентный 6 3 2" xfId="608" xr:uid="{00000000-0005-0000-0000-0000CCD20000}"/>
    <cellStyle name="Процентный 6 3 2 10" xfId="48670" xr:uid="{00000000-0005-0000-0000-0000CDD20000}"/>
    <cellStyle name="Процентный 6 3 2 2" xfId="5949" xr:uid="{00000000-0005-0000-0000-0000CED20000}"/>
    <cellStyle name="Процентный 6 3 2 2 2" xfId="54011" xr:uid="{00000000-0005-0000-0000-0000CFD20000}"/>
    <cellStyle name="Процентный 6 3 2 3" xfId="11290" xr:uid="{00000000-0005-0000-0000-0000D0D20000}"/>
    <cellStyle name="Процентный 6 3 2 4" xfId="16630" xr:uid="{00000000-0005-0000-0000-0000D1D20000}"/>
    <cellStyle name="Процентный 6 3 2 5" xfId="21970" xr:uid="{00000000-0005-0000-0000-0000D2D20000}"/>
    <cellStyle name="Процентный 6 3 2 6" xfId="27310" xr:uid="{00000000-0005-0000-0000-0000D3D20000}"/>
    <cellStyle name="Процентный 6 3 2 7" xfId="32650" xr:uid="{00000000-0005-0000-0000-0000D4D20000}"/>
    <cellStyle name="Процентный 6 3 2 8" xfId="37990" xr:uid="{00000000-0005-0000-0000-0000D5D20000}"/>
    <cellStyle name="Процентный 6 3 2 9" xfId="43330" xr:uid="{00000000-0005-0000-0000-0000D6D20000}"/>
    <cellStyle name="Процентный 6 3 3" xfId="5482" xr:uid="{00000000-0005-0000-0000-0000D7D20000}"/>
    <cellStyle name="Процентный 6 3 3 2" xfId="53544" xr:uid="{00000000-0005-0000-0000-0000D8D20000}"/>
    <cellStyle name="Процентный 6 3 4" xfId="10823" xr:uid="{00000000-0005-0000-0000-0000D9D20000}"/>
    <cellStyle name="Процентный 6 3 5" xfId="16163" xr:uid="{00000000-0005-0000-0000-0000DAD20000}"/>
    <cellStyle name="Процентный 6 3 6" xfId="21503" xr:uid="{00000000-0005-0000-0000-0000DBD20000}"/>
    <cellStyle name="Процентный 6 3 7" xfId="26843" xr:uid="{00000000-0005-0000-0000-0000DCD20000}"/>
    <cellStyle name="Процентный 6 3 8" xfId="32183" xr:uid="{00000000-0005-0000-0000-0000DDD20000}"/>
    <cellStyle name="Процентный 6 3 9" xfId="37523" xr:uid="{00000000-0005-0000-0000-0000DED20000}"/>
    <cellStyle name="Процентный 6 30" xfId="411" xr:uid="{00000000-0005-0000-0000-0000DFD20000}"/>
    <cellStyle name="Процентный 6 30 10" xfId="43133" xr:uid="{00000000-0005-0000-0000-0000E0D20000}"/>
    <cellStyle name="Процентный 6 30 11" xfId="48473" xr:uid="{00000000-0005-0000-0000-0000E1D20000}"/>
    <cellStyle name="Процентный 6 30 2" xfId="878" xr:uid="{00000000-0005-0000-0000-0000E2D20000}"/>
    <cellStyle name="Процентный 6 30 2 10" xfId="48940" xr:uid="{00000000-0005-0000-0000-0000E3D20000}"/>
    <cellStyle name="Процентный 6 30 2 2" xfId="6219" xr:uid="{00000000-0005-0000-0000-0000E4D20000}"/>
    <cellStyle name="Процентный 6 30 2 2 2" xfId="54281" xr:uid="{00000000-0005-0000-0000-0000E5D20000}"/>
    <cellStyle name="Процентный 6 30 2 3" xfId="11560" xr:uid="{00000000-0005-0000-0000-0000E6D20000}"/>
    <cellStyle name="Процентный 6 30 2 4" xfId="16900" xr:uid="{00000000-0005-0000-0000-0000E7D20000}"/>
    <cellStyle name="Процентный 6 30 2 5" xfId="22240" xr:uid="{00000000-0005-0000-0000-0000E8D20000}"/>
    <cellStyle name="Процентный 6 30 2 6" xfId="27580" xr:uid="{00000000-0005-0000-0000-0000E9D20000}"/>
    <cellStyle name="Процентный 6 30 2 7" xfId="32920" xr:uid="{00000000-0005-0000-0000-0000EAD20000}"/>
    <cellStyle name="Процентный 6 30 2 8" xfId="38260" xr:uid="{00000000-0005-0000-0000-0000EBD20000}"/>
    <cellStyle name="Процентный 6 30 2 9" xfId="43600" xr:uid="{00000000-0005-0000-0000-0000ECD20000}"/>
    <cellStyle name="Процентный 6 30 3" xfId="5752" xr:uid="{00000000-0005-0000-0000-0000EDD20000}"/>
    <cellStyle name="Процентный 6 30 3 2" xfId="53814" xr:uid="{00000000-0005-0000-0000-0000EED20000}"/>
    <cellStyle name="Процентный 6 30 4" xfId="11093" xr:uid="{00000000-0005-0000-0000-0000EFD20000}"/>
    <cellStyle name="Процентный 6 30 5" xfId="16433" xr:uid="{00000000-0005-0000-0000-0000F0D20000}"/>
    <cellStyle name="Процентный 6 30 6" xfId="21773" xr:uid="{00000000-0005-0000-0000-0000F1D20000}"/>
    <cellStyle name="Процентный 6 30 7" xfId="27113" xr:uid="{00000000-0005-0000-0000-0000F2D20000}"/>
    <cellStyle name="Процентный 6 30 8" xfId="32453" xr:uid="{00000000-0005-0000-0000-0000F3D20000}"/>
    <cellStyle name="Процентный 6 30 9" xfId="37793" xr:uid="{00000000-0005-0000-0000-0000F4D20000}"/>
    <cellStyle name="Процентный 6 31" xfId="421" xr:uid="{00000000-0005-0000-0000-0000F5D20000}"/>
    <cellStyle name="Процентный 6 31 10" xfId="43143" xr:uid="{00000000-0005-0000-0000-0000F6D20000}"/>
    <cellStyle name="Процентный 6 31 11" xfId="48483" xr:uid="{00000000-0005-0000-0000-0000F7D20000}"/>
    <cellStyle name="Процентный 6 31 2" xfId="888" xr:uid="{00000000-0005-0000-0000-0000F8D20000}"/>
    <cellStyle name="Процентный 6 31 2 10" xfId="48950" xr:uid="{00000000-0005-0000-0000-0000F9D20000}"/>
    <cellStyle name="Процентный 6 31 2 2" xfId="6229" xr:uid="{00000000-0005-0000-0000-0000FAD20000}"/>
    <cellStyle name="Процентный 6 31 2 2 2" xfId="54291" xr:uid="{00000000-0005-0000-0000-0000FBD20000}"/>
    <cellStyle name="Процентный 6 31 2 3" xfId="11570" xr:uid="{00000000-0005-0000-0000-0000FCD20000}"/>
    <cellStyle name="Процентный 6 31 2 4" xfId="16910" xr:uid="{00000000-0005-0000-0000-0000FDD20000}"/>
    <cellStyle name="Процентный 6 31 2 5" xfId="22250" xr:uid="{00000000-0005-0000-0000-0000FED20000}"/>
    <cellStyle name="Процентный 6 31 2 6" xfId="27590" xr:uid="{00000000-0005-0000-0000-0000FFD20000}"/>
    <cellStyle name="Процентный 6 31 2 7" xfId="32930" xr:uid="{00000000-0005-0000-0000-000000D30000}"/>
    <cellStyle name="Процентный 6 31 2 8" xfId="38270" xr:uid="{00000000-0005-0000-0000-000001D30000}"/>
    <cellStyle name="Процентный 6 31 2 9" xfId="43610" xr:uid="{00000000-0005-0000-0000-000002D30000}"/>
    <cellStyle name="Процентный 6 31 3" xfId="5762" xr:uid="{00000000-0005-0000-0000-000003D30000}"/>
    <cellStyle name="Процентный 6 31 3 2" xfId="53824" xr:uid="{00000000-0005-0000-0000-000004D30000}"/>
    <cellStyle name="Процентный 6 31 4" xfId="11103" xr:uid="{00000000-0005-0000-0000-000005D30000}"/>
    <cellStyle name="Процентный 6 31 5" xfId="16443" xr:uid="{00000000-0005-0000-0000-000006D30000}"/>
    <cellStyle name="Процентный 6 31 6" xfId="21783" xr:uid="{00000000-0005-0000-0000-000007D30000}"/>
    <cellStyle name="Процентный 6 31 7" xfId="27123" xr:uid="{00000000-0005-0000-0000-000008D30000}"/>
    <cellStyle name="Процентный 6 31 8" xfId="32463" xr:uid="{00000000-0005-0000-0000-000009D30000}"/>
    <cellStyle name="Процентный 6 31 9" xfId="37803" xr:uid="{00000000-0005-0000-0000-00000AD30000}"/>
    <cellStyle name="Процентный 6 32" xfId="433" xr:uid="{00000000-0005-0000-0000-00000BD30000}"/>
    <cellStyle name="Процентный 6 32 10" xfId="43155" xr:uid="{00000000-0005-0000-0000-00000CD30000}"/>
    <cellStyle name="Процентный 6 32 11" xfId="48495" xr:uid="{00000000-0005-0000-0000-00000DD30000}"/>
    <cellStyle name="Процентный 6 32 2" xfId="900" xr:uid="{00000000-0005-0000-0000-00000ED30000}"/>
    <cellStyle name="Процентный 6 32 2 10" xfId="48962" xr:uid="{00000000-0005-0000-0000-00000FD30000}"/>
    <cellStyle name="Процентный 6 32 2 2" xfId="6241" xr:uid="{00000000-0005-0000-0000-000010D30000}"/>
    <cellStyle name="Процентный 6 32 2 2 2" xfId="54303" xr:uid="{00000000-0005-0000-0000-000011D30000}"/>
    <cellStyle name="Процентный 6 32 2 3" xfId="11582" xr:uid="{00000000-0005-0000-0000-000012D30000}"/>
    <cellStyle name="Процентный 6 32 2 4" xfId="16922" xr:uid="{00000000-0005-0000-0000-000013D30000}"/>
    <cellStyle name="Процентный 6 32 2 5" xfId="22262" xr:uid="{00000000-0005-0000-0000-000014D30000}"/>
    <cellStyle name="Процентный 6 32 2 6" xfId="27602" xr:uid="{00000000-0005-0000-0000-000015D30000}"/>
    <cellStyle name="Процентный 6 32 2 7" xfId="32942" xr:uid="{00000000-0005-0000-0000-000016D30000}"/>
    <cellStyle name="Процентный 6 32 2 8" xfId="38282" xr:uid="{00000000-0005-0000-0000-000017D30000}"/>
    <cellStyle name="Процентный 6 32 2 9" xfId="43622" xr:uid="{00000000-0005-0000-0000-000018D30000}"/>
    <cellStyle name="Процентный 6 32 3" xfId="5774" xr:uid="{00000000-0005-0000-0000-000019D30000}"/>
    <cellStyle name="Процентный 6 32 3 2" xfId="53836" xr:uid="{00000000-0005-0000-0000-00001AD30000}"/>
    <cellStyle name="Процентный 6 32 4" xfId="11115" xr:uid="{00000000-0005-0000-0000-00001BD30000}"/>
    <cellStyle name="Процентный 6 32 5" xfId="16455" xr:uid="{00000000-0005-0000-0000-00001CD30000}"/>
    <cellStyle name="Процентный 6 32 6" xfId="21795" xr:uid="{00000000-0005-0000-0000-00001DD30000}"/>
    <cellStyle name="Процентный 6 32 7" xfId="27135" xr:uid="{00000000-0005-0000-0000-00001ED30000}"/>
    <cellStyle name="Процентный 6 32 8" xfId="32475" xr:uid="{00000000-0005-0000-0000-00001FD30000}"/>
    <cellStyle name="Процентный 6 32 9" xfId="37815" xr:uid="{00000000-0005-0000-0000-000020D30000}"/>
    <cellStyle name="Процентный 6 33" xfId="445" xr:uid="{00000000-0005-0000-0000-000021D30000}"/>
    <cellStyle name="Процентный 6 33 10" xfId="43167" xr:uid="{00000000-0005-0000-0000-000022D30000}"/>
    <cellStyle name="Процентный 6 33 11" xfId="48507" xr:uid="{00000000-0005-0000-0000-000023D30000}"/>
    <cellStyle name="Процентный 6 33 2" xfId="912" xr:uid="{00000000-0005-0000-0000-000024D30000}"/>
    <cellStyle name="Процентный 6 33 2 10" xfId="48974" xr:uid="{00000000-0005-0000-0000-000025D30000}"/>
    <cellStyle name="Процентный 6 33 2 2" xfId="6253" xr:uid="{00000000-0005-0000-0000-000026D30000}"/>
    <cellStyle name="Процентный 6 33 2 2 2" xfId="54315" xr:uid="{00000000-0005-0000-0000-000027D30000}"/>
    <cellStyle name="Процентный 6 33 2 3" xfId="11594" xr:uid="{00000000-0005-0000-0000-000028D30000}"/>
    <cellStyle name="Процентный 6 33 2 4" xfId="16934" xr:uid="{00000000-0005-0000-0000-000029D30000}"/>
    <cellStyle name="Процентный 6 33 2 5" xfId="22274" xr:uid="{00000000-0005-0000-0000-00002AD30000}"/>
    <cellStyle name="Процентный 6 33 2 6" xfId="27614" xr:uid="{00000000-0005-0000-0000-00002BD30000}"/>
    <cellStyle name="Процентный 6 33 2 7" xfId="32954" xr:uid="{00000000-0005-0000-0000-00002CD30000}"/>
    <cellStyle name="Процентный 6 33 2 8" xfId="38294" xr:uid="{00000000-0005-0000-0000-00002DD30000}"/>
    <cellStyle name="Процентный 6 33 2 9" xfId="43634" xr:uid="{00000000-0005-0000-0000-00002ED30000}"/>
    <cellStyle name="Процентный 6 33 3" xfId="5786" xr:uid="{00000000-0005-0000-0000-00002FD30000}"/>
    <cellStyle name="Процентный 6 33 3 2" xfId="53848" xr:uid="{00000000-0005-0000-0000-000030D30000}"/>
    <cellStyle name="Процентный 6 33 4" xfId="11127" xr:uid="{00000000-0005-0000-0000-000031D30000}"/>
    <cellStyle name="Процентный 6 33 5" xfId="16467" xr:uid="{00000000-0005-0000-0000-000032D30000}"/>
    <cellStyle name="Процентный 6 33 6" xfId="21807" xr:uid="{00000000-0005-0000-0000-000033D30000}"/>
    <cellStyle name="Процентный 6 33 7" xfId="27147" xr:uid="{00000000-0005-0000-0000-000034D30000}"/>
    <cellStyle name="Процентный 6 33 8" xfId="32487" xr:uid="{00000000-0005-0000-0000-000035D30000}"/>
    <cellStyle name="Процентный 6 33 9" xfId="37827" xr:uid="{00000000-0005-0000-0000-000036D30000}"/>
    <cellStyle name="Процентный 6 34" xfId="457" xr:uid="{00000000-0005-0000-0000-000037D30000}"/>
    <cellStyle name="Процентный 6 34 10" xfId="43179" xr:uid="{00000000-0005-0000-0000-000038D30000}"/>
    <cellStyle name="Процентный 6 34 11" xfId="48519" xr:uid="{00000000-0005-0000-0000-000039D30000}"/>
    <cellStyle name="Процентный 6 34 2" xfId="924" xr:uid="{00000000-0005-0000-0000-00003AD30000}"/>
    <cellStyle name="Процентный 6 34 2 10" xfId="48986" xr:uid="{00000000-0005-0000-0000-00003BD30000}"/>
    <cellStyle name="Процентный 6 34 2 2" xfId="6265" xr:uid="{00000000-0005-0000-0000-00003CD30000}"/>
    <cellStyle name="Процентный 6 34 2 2 2" xfId="54327" xr:uid="{00000000-0005-0000-0000-00003DD30000}"/>
    <cellStyle name="Процентный 6 34 2 3" xfId="11606" xr:uid="{00000000-0005-0000-0000-00003ED30000}"/>
    <cellStyle name="Процентный 6 34 2 4" xfId="16946" xr:uid="{00000000-0005-0000-0000-00003FD30000}"/>
    <cellStyle name="Процентный 6 34 2 5" xfId="22286" xr:uid="{00000000-0005-0000-0000-000040D30000}"/>
    <cellStyle name="Процентный 6 34 2 6" xfId="27626" xr:uid="{00000000-0005-0000-0000-000041D30000}"/>
    <cellStyle name="Процентный 6 34 2 7" xfId="32966" xr:uid="{00000000-0005-0000-0000-000042D30000}"/>
    <cellStyle name="Процентный 6 34 2 8" xfId="38306" xr:uid="{00000000-0005-0000-0000-000043D30000}"/>
    <cellStyle name="Процентный 6 34 2 9" xfId="43646" xr:uid="{00000000-0005-0000-0000-000044D30000}"/>
    <cellStyle name="Процентный 6 34 3" xfId="5798" xr:uid="{00000000-0005-0000-0000-000045D30000}"/>
    <cellStyle name="Процентный 6 34 3 2" xfId="53860" xr:uid="{00000000-0005-0000-0000-000046D30000}"/>
    <cellStyle name="Процентный 6 34 4" xfId="11139" xr:uid="{00000000-0005-0000-0000-000047D30000}"/>
    <cellStyle name="Процентный 6 34 5" xfId="16479" xr:uid="{00000000-0005-0000-0000-000048D30000}"/>
    <cellStyle name="Процентный 6 34 6" xfId="21819" xr:uid="{00000000-0005-0000-0000-000049D30000}"/>
    <cellStyle name="Процентный 6 34 7" xfId="27159" xr:uid="{00000000-0005-0000-0000-00004AD30000}"/>
    <cellStyle name="Процентный 6 34 8" xfId="32499" xr:uid="{00000000-0005-0000-0000-00004BD30000}"/>
    <cellStyle name="Процентный 6 34 9" xfId="37839" xr:uid="{00000000-0005-0000-0000-00004CD30000}"/>
    <cellStyle name="Процентный 6 35" xfId="469" xr:uid="{00000000-0005-0000-0000-00004DD30000}"/>
    <cellStyle name="Процентный 6 35 10" xfId="43191" xr:uid="{00000000-0005-0000-0000-00004ED30000}"/>
    <cellStyle name="Процентный 6 35 11" xfId="48531" xr:uid="{00000000-0005-0000-0000-00004FD30000}"/>
    <cellStyle name="Процентный 6 35 2" xfId="936" xr:uid="{00000000-0005-0000-0000-000050D30000}"/>
    <cellStyle name="Процентный 6 35 2 10" xfId="48998" xr:uid="{00000000-0005-0000-0000-000051D30000}"/>
    <cellStyle name="Процентный 6 35 2 2" xfId="6277" xr:uid="{00000000-0005-0000-0000-000052D30000}"/>
    <cellStyle name="Процентный 6 35 2 2 2" xfId="54339" xr:uid="{00000000-0005-0000-0000-000053D30000}"/>
    <cellStyle name="Процентный 6 35 2 3" xfId="11618" xr:uid="{00000000-0005-0000-0000-000054D30000}"/>
    <cellStyle name="Процентный 6 35 2 4" xfId="16958" xr:uid="{00000000-0005-0000-0000-000055D30000}"/>
    <cellStyle name="Процентный 6 35 2 5" xfId="22298" xr:uid="{00000000-0005-0000-0000-000056D30000}"/>
    <cellStyle name="Процентный 6 35 2 6" xfId="27638" xr:uid="{00000000-0005-0000-0000-000057D30000}"/>
    <cellStyle name="Процентный 6 35 2 7" xfId="32978" xr:uid="{00000000-0005-0000-0000-000058D30000}"/>
    <cellStyle name="Процентный 6 35 2 8" xfId="38318" xr:uid="{00000000-0005-0000-0000-000059D30000}"/>
    <cellStyle name="Процентный 6 35 2 9" xfId="43658" xr:uid="{00000000-0005-0000-0000-00005AD30000}"/>
    <cellStyle name="Процентный 6 35 3" xfId="5810" xr:uid="{00000000-0005-0000-0000-00005BD30000}"/>
    <cellStyle name="Процентный 6 35 3 2" xfId="53872" xr:uid="{00000000-0005-0000-0000-00005CD30000}"/>
    <cellStyle name="Процентный 6 35 4" xfId="11151" xr:uid="{00000000-0005-0000-0000-00005DD30000}"/>
    <cellStyle name="Процентный 6 35 5" xfId="16491" xr:uid="{00000000-0005-0000-0000-00005ED30000}"/>
    <cellStyle name="Процентный 6 35 6" xfId="21831" xr:uid="{00000000-0005-0000-0000-00005FD30000}"/>
    <cellStyle name="Процентный 6 35 7" xfId="27171" xr:uid="{00000000-0005-0000-0000-000060D30000}"/>
    <cellStyle name="Процентный 6 35 8" xfId="32511" xr:uid="{00000000-0005-0000-0000-000061D30000}"/>
    <cellStyle name="Процентный 6 35 9" xfId="37851" xr:uid="{00000000-0005-0000-0000-000062D30000}"/>
    <cellStyle name="Процентный 6 36" xfId="481" xr:uid="{00000000-0005-0000-0000-000063D30000}"/>
    <cellStyle name="Процентный 6 36 10" xfId="43203" xr:uid="{00000000-0005-0000-0000-000064D30000}"/>
    <cellStyle name="Процентный 6 36 11" xfId="48543" xr:uid="{00000000-0005-0000-0000-000065D30000}"/>
    <cellStyle name="Процентный 6 36 2" xfId="948" xr:uid="{00000000-0005-0000-0000-000066D30000}"/>
    <cellStyle name="Процентный 6 36 2 10" xfId="49010" xr:uid="{00000000-0005-0000-0000-000067D30000}"/>
    <cellStyle name="Процентный 6 36 2 2" xfId="6289" xr:uid="{00000000-0005-0000-0000-000068D30000}"/>
    <cellStyle name="Процентный 6 36 2 2 2" xfId="54351" xr:uid="{00000000-0005-0000-0000-000069D30000}"/>
    <cellStyle name="Процентный 6 36 2 3" xfId="11630" xr:uid="{00000000-0005-0000-0000-00006AD30000}"/>
    <cellStyle name="Процентный 6 36 2 4" xfId="16970" xr:uid="{00000000-0005-0000-0000-00006BD30000}"/>
    <cellStyle name="Процентный 6 36 2 5" xfId="22310" xr:uid="{00000000-0005-0000-0000-00006CD30000}"/>
    <cellStyle name="Процентный 6 36 2 6" xfId="27650" xr:uid="{00000000-0005-0000-0000-00006DD30000}"/>
    <cellStyle name="Процентный 6 36 2 7" xfId="32990" xr:uid="{00000000-0005-0000-0000-00006ED30000}"/>
    <cellStyle name="Процентный 6 36 2 8" xfId="38330" xr:uid="{00000000-0005-0000-0000-00006FD30000}"/>
    <cellStyle name="Процентный 6 36 2 9" xfId="43670" xr:uid="{00000000-0005-0000-0000-000070D30000}"/>
    <cellStyle name="Процентный 6 36 3" xfId="5822" xr:uid="{00000000-0005-0000-0000-000071D30000}"/>
    <cellStyle name="Процентный 6 36 3 2" xfId="53884" xr:uid="{00000000-0005-0000-0000-000072D30000}"/>
    <cellStyle name="Процентный 6 36 4" xfId="11163" xr:uid="{00000000-0005-0000-0000-000073D30000}"/>
    <cellStyle name="Процентный 6 36 5" xfId="16503" xr:uid="{00000000-0005-0000-0000-000074D30000}"/>
    <cellStyle name="Процентный 6 36 6" xfId="21843" xr:uid="{00000000-0005-0000-0000-000075D30000}"/>
    <cellStyle name="Процентный 6 36 7" xfId="27183" xr:uid="{00000000-0005-0000-0000-000076D30000}"/>
    <cellStyle name="Процентный 6 36 8" xfId="32523" xr:uid="{00000000-0005-0000-0000-000077D30000}"/>
    <cellStyle name="Процентный 6 36 9" xfId="37863" xr:uid="{00000000-0005-0000-0000-000078D30000}"/>
    <cellStyle name="Процентный 6 37" xfId="493" xr:uid="{00000000-0005-0000-0000-000079D30000}"/>
    <cellStyle name="Процентный 6 37 10" xfId="43215" xr:uid="{00000000-0005-0000-0000-00007AD30000}"/>
    <cellStyle name="Процентный 6 37 11" xfId="48555" xr:uid="{00000000-0005-0000-0000-00007BD30000}"/>
    <cellStyle name="Процентный 6 37 2" xfId="960" xr:uid="{00000000-0005-0000-0000-00007CD30000}"/>
    <cellStyle name="Процентный 6 37 2 10" xfId="49022" xr:uid="{00000000-0005-0000-0000-00007DD30000}"/>
    <cellStyle name="Процентный 6 37 2 2" xfId="6301" xr:uid="{00000000-0005-0000-0000-00007ED30000}"/>
    <cellStyle name="Процентный 6 37 2 2 2" xfId="54363" xr:uid="{00000000-0005-0000-0000-00007FD30000}"/>
    <cellStyle name="Процентный 6 37 2 3" xfId="11642" xr:uid="{00000000-0005-0000-0000-000080D30000}"/>
    <cellStyle name="Процентный 6 37 2 4" xfId="16982" xr:uid="{00000000-0005-0000-0000-000081D30000}"/>
    <cellStyle name="Процентный 6 37 2 5" xfId="22322" xr:uid="{00000000-0005-0000-0000-000082D30000}"/>
    <cellStyle name="Процентный 6 37 2 6" xfId="27662" xr:uid="{00000000-0005-0000-0000-000083D30000}"/>
    <cellStyle name="Процентный 6 37 2 7" xfId="33002" xr:uid="{00000000-0005-0000-0000-000084D30000}"/>
    <cellStyle name="Процентный 6 37 2 8" xfId="38342" xr:uid="{00000000-0005-0000-0000-000085D30000}"/>
    <cellStyle name="Процентный 6 37 2 9" xfId="43682" xr:uid="{00000000-0005-0000-0000-000086D30000}"/>
    <cellStyle name="Процентный 6 37 3" xfId="5834" xr:uid="{00000000-0005-0000-0000-000087D30000}"/>
    <cellStyle name="Процентный 6 37 3 2" xfId="53896" xr:uid="{00000000-0005-0000-0000-000088D30000}"/>
    <cellStyle name="Процентный 6 37 4" xfId="11175" xr:uid="{00000000-0005-0000-0000-000089D30000}"/>
    <cellStyle name="Процентный 6 37 5" xfId="16515" xr:uid="{00000000-0005-0000-0000-00008AD30000}"/>
    <cellStyle name="Процентный 6 37 6" xfId="21855" xr:uid="{00000000-0005-0000-0000-00008BD30000}"/>
    <cellStyle name="Процентный 6 37 7" xfId="27195" xr:uid="{00000000-0005-0000-0000-00008CD30000}"/>
    <cellStyle name="Процентный 6 37 8" xfId="32535" xr:uid="{00000000-0005-0000-0000-00008DD30000}"/>
    <cellStyle name="Процентный 6 37 9" xfId="37875" xr:uid="{00000000-0005-0000-0000-00008ED30000}"/>
    <cellStyle name="Процентный 6 38" xfId="505" xr:uid="{00000000-0005-0000-0000-00008FD30000}"/>
    <cellStyle name="Процентный 6 38 10" xfId="43227" xr:uid="{00000000-0005-0000-0000-000090D30000}"/>
    <cellStyle name="Процентный 6 38 11" xfId="48567" xr:uid="{00000000-0005-0000-0000-000091D30000}"/>
    <cellStyle name="Процентный 6 38 2" xfId="972" xr:uid="{00000000-0005-0000-0000-000092D30000}"/>
    <cellStyle name="Процентный 6 38 2 10" xfId="49034" xr:uid="{00000000-0005-0000-0000-000093D30000}"/>
    <cellStyle name="Процентный 6 38 2 2" xfId="6313" xr:uid="{00000000-0005-0000-0000-000094D30000}"/>
    <cellStyle name="Процентный 6 38 2 2 2" xfId="54375" xr:uid="{00000000-0005-0000-0000-000095D30000}"/>
    <cellStyle name="Процентный 6 38 2 3" xfId="11654" xr:uid="{00000000-0005-0000-0000-000096D30000}"/>
    <cellStyle name="Процентный 6 38 2 4" xfId="16994" xr:uid="{00000000-0005-0000-0000-000097D30000}"/>
    <cellStyle name="Процентный 6 38 2 5" xfId="22334" xr:uid="{00000000-0005-0000-0000-000098D30000}"/>
    <cellStyle name="Процентный 6 38 2 6" xfId="27674" xr:uid="{00000000-0005-0000-0000-000099D30000}"/>
    <cellStyle name="Процентный 6 38 2 7" xfId="33014" xr:uid="{00000000-0005-0000-0000-00009AD30000}"/>
    <cellStyle name="Процентный 6 38 2 8" xfId="38354" xr:uid="{00000000-0005-0000-0000-00009BD30000}"/>
    <cellStyle name="Процентный 6 38 2 9" xfId="43694" xr:uid="{00000000-0005-0000-0000-00009CD30000}"/>
    <cellStyle name="Процентный 6 38 3" xfId="5846" xr:uid="{00000000-0005-0000-0000-00009DD30000}"/>
    <cellStyle name="Процентный 6 38 3 2" xfId="53908" xr:uid="{00000000-0005-0000-0000-00009ED30000}"/>
    <cellStyle name="Процентный 6 38 4" xfId="11187" xr:uid="{00000000-0005-0000-0000-00009FD30000}"/>
    <cellStyle name="Процентный 6 38 5" xfId="16527" xr:uid="{00000000-0005-0000-0000-0000A0D30000}"/>
    <cellStyle name="Процентный 6 38 6" xfId="21867" xr:uid="{00000000-0005-0000-0000-0000A1D30000}"/>
    <cellStyle name="Процентный 6 38 7" xfId="27207" xr:uid="{00000000-0005-0000-0000-0000A2D30000}"/>
    <cellStyle name="Процентный 6 38 8" xfId="32547" xr:uid="{00000000-0005-0000-0000-0000A3D30000}"/>
    <cellStyle name="Процентный 6 38 9" xfId="37887" xr:uid="{00000000-0005-0000-0000-0000A4D30000}"/>
    <cellStyle name="Процентный 6 39" xfId="517" xr:uid="{00000000-0005-0000-0000-0000A5D30000}"/>
    <cellStyle name="Процентный 6 39 10" xfId="43239" xr:uid="{00000000-0005-0000-0000-0000A6D30000}"/>
    <cellStyle name="Процентный 6 39 11" xfId="48579" xr:uid="{00000000-0005-0000-0000-0000A7D30000}"/>
    <cellStyle name="Процентный 6 39 2" xfId="984" xr:uid="{00000000-0005-0000-0000-0000A8D30000}"/>
    <cellStyle name="Процентный 6 39 2 10" xfId="49046" xr:uid="{00000000-0005-0000-0000-0000A9D30000}"/>
    <cellStyle name="Процентный 6 39 2 2" xfId="6325" xr:uid="{00000000-0005-0000-0000-0000AAD30000}"/>
    <cellStyle name="Процентный 6 39 2 2 2" xfId="54387" xr:uid="{00000000-0005-0000-0000-0000ABD30000}"/>
    <cellStyle name="Процентный 6 39 2 3" xfId="11666" xr:uid="{00000000-0005-0000-0000-0000ACD30000}"/>
    <cellStyle name="Процентный 6 39 2 4" xfId="17006" xr:uid="{00000000-0005-0000-0000-0000ADD30000}"/>
    <cellStyle name="Процентный 6 39 2 5" xfId="22346" xr:uid="{00000000-0005-0000-0000-0000AED30000}"/>
    <cellStyle name="Процентный 6 39 2 6" xfId="27686" xr:uid="{00000000-0005-0000-0000-0000AFD30000}"/>
    <cellStyle name="Процентный 6 39 2 7" xfId="33026" xr:uid="{00000000-0005-0000-0000-0000B0D30000}"/>
    <cellStyle name="Процентный 6 39 2 8" xfId="38366" xr:uid="{00000000-0005-0000-0000-0000B1D30000}"/>
    <cellStyle name="Процентный 6 39 2 9" xfId="43706" xr:uid="{00000000-0005-0000-0000-0000B2D30000}"/>
    <cellStyle name="Процентный 6 39 3" xfId="5858" xr:uid="{00000000-0005-0000-0000-0000B3D30000}"/>
    <cellStyle name="Процентный 6 39 3 2" xfId="53920" xr:uid="{00000000-0005-0000-0000-0000B4D30000}"/>
    <cellStyle name="Процентный 6 39 4" xfId="11199" xr:uid="{00000000-0005-0000-0000-0000B5D30000}"/>
    <cellStyle name="Процентный 6 39 5" xfId="16539" xr:uid="{00000000-0005-0000-0000-0000B6D30000}"/>
    <cellStyle name="Процентный 6 39 6" xfId="21879" xr:uid="{00000000-0005-0000-0000-0000B7D30000}"/>
    <cellStyle name="Процентный 6 39 7" xfId="27219" xr:uid="{00000000-0005-0000-0000-0000B8D30000}"/>
    <cellStyle name="Процентный 6 39 8" xfId="32559" xr:uid="{00000000-0005-0000-0000-0000B9D30000}"/>
    <cellStyle name="Процентный 6 39 9" xfId="37899" xr:uid="{00000000-0005-0000-0000-0000BAD30000}"/>
    <cellStyle name="Процентный 6 4" xfId="151" xr:uid="{00000000-0005-0000-0000-0000BBD30000}"/>
    <cellStyle name="Процентный 6 4 10" xfId="42873" xr:uid="{00000000-0005-0000-0000-0000BCD30000}"/>
    <cellStyle name="Процентный 6 4 11" xfId="48213" xr:uid="{00000000-0005-0000-0000-0000BDD30000}"/>
    <cellStyle name="Процентный 6 4 2" xfId="618" xr:uid="{00000000-0005-0000-0000-0000BED30000}"/>
    <cellStyle name="Процентный 6 4 2 10" xfId="48680" xr:uid="{00000000-0005-0000-0000-0000BFD30000}"/>
    <cellStyle name="Процентный 6 4 2 2" xfId="5959" xr:uid="{00000000-0005-0000-0000-0000C0D30000}"/>
    <cellStyle name="Процентный 6 4 2 2 2" xfId="54021" xr:uid="{00000000-0005-0000-0000-0000C1D30000}"/>
    <cellStyle name="Процентный 6 4 2 3" xfId="11300" xr:uid="{00000000-0005-0000-0000-0000C2D30000}"/>
    <cellStyle name="Процентный 6 4 2 4" xfId="16640" xr:uid="{00000000-0005-0000-0000-0000C3D30000}"/>
    <cellStyle name="Процентный 6 4 2 5" xfId="21980" xr:uid="{00000000-0005-0000-0000-0000C4D30000}"/>
    <cellStyle name="Процентный 6 4 2 6" xfId="27320" xr:uid="{00000000-0005-0000-0000-0000C5D30000}"/>
    <cellStyle name="Процентный 6 4 2 7" xfId="32660" xr:uid="{00000000-0005-0000-0000-0000C6D30000}"/>
    <cellStyle name="Процентный 6 4 2 8" xfId="38000" xr:uid="{00000000-0005-0000-0000-0000C7D30000}"/>
    <cellStyle name="Процентный 6 4 2 9" xfId="43340" xr:uid="{00000000-0005-0000-0000-0000C8D30000}"/>
    <cellStyle name="Процентный 6 4 3" xfId="5492" xr:uid="{00000000-0005-0000-0000-0000C9D30000}"/>
    <cellStyle name="Процентный 6 4 3 2" xfId="53554" xr:uid="{00000000-0005-0000-0000-0000CAD30000}"/>
    <cellStyle name="Процентный 6 4 4" xfId="10833" xr:uid="{00000000-0005-0000-0000-0000CBD30000}"/>
    <cellStyle name="Процентный 6 4 5" xfId="16173" xr:uid="{00000000-0005-0000-0000-0000CCD30000}"/>
    <cellStyle name="Процентный 6 4 6" xfId="21513" xr:uid="{00000000-0005-0000-0000-0000CDD30000}"/>
    <cellStyle name="Процентный 6 4 7" xfId="26853" xr:uid="{00000000-0005-0000-0000-0000CED30000}"/>
    <cellStyle name="Процентный 6 4 8" xfId="32193" xr:uid="{00000000-0005-0000-0000-0000CFD30000}"/>
    <cellStyle name="Процентный 6 4 9" xfId="37533" xr:uid="{00000000-0005-0000-0000-0000D0D30000}"/>
    <cellStyle name="Процентный 6 40" xfId="588" xr:uid="{00000000-0005-0000-0000-0000D1D30000}"/>
    <cellStyle name="Процентный 6 40 10" xfId="48650" xr:uid="{00000000-0005-0000-0000-0000D2D30000}"/>
    <cellStyle name="Процентный 6 40 2" xfId="5929" xr:uid="{00000000-0005-0000-0000-0000D3D30000}"/>
    <cellStyle name="Процентный 6 40 2 2" xfId="53991" xr:uid="{00000000-0005-0000-0000-0000D4D30000}"/>
    <cellStyle name="Процентный 6 40 3" xfId="11270" xr:uid="{00000000-0005-0000-0000-0000D5D30000}"/>
    <cellStyle name="Процентный 6 40 4" xfId="16610" xr:uid="{00000000-0005-0000-0000-0000D6D30000}"/>
    <cellStyle name="Процентный 6 40 5" xfId="21950" xr:uid="{00000000-0005-0000-0000-0000D7D30000}"/>
    <cellStyle name="Процентный 6 40 6" xfId="27290" xr:uid="{00000000-0005-0000-0000-0000D8D30000}"/>
    <cellStyle name="Процентный 6 40 7" xfId="32630" xr:uid="{00000000-0005-0000-0000-0000D9D30000}"/>
    <cellStyle name="Процентный 6 40 8" xfId="37970" xr:uid="{00000000-0005-0000-0000-0000DAD30000}"/>
    <cellStyle name="Процентный 6 40 9" xfId="43310" xr:uid="{00000000-0005-0000-0000-0000DBD30000}"/>
    <cellStyle name="Процентный 6 41" xfId="996" xr:uid="{00000000-0005-0000-0000-0000DCD30000}"/>
    <cellStyle name="Процентный 6 41 10" xfId="49058" xr:uid="{00000000-0005-0000-0000-0000DDD30000}"/>
    <cellStyle name="Процентный 6 41 2" xfId="6337" xr:uid="{00000000-0005-0000-0000-0000DED30000}"/>
    <cellStyle name="Процентный 6 41 2 2" xfId="54399" xr:uid="{00000000-0005-0000-0000-0000DFD30000}"/>
    <cellStyle name="Процентный 6 41 3" xfId="11678" xr:uid="{00000000-0005-0000-0000-0000E0D30000}"/>
    <cellStyle name="Процентный 6 41 4" xfId="17018" xr:uid="{00000000-0005-0000-0000-0000E1D30000}"/>
    <cellStyle name="Процентный 6 41 5" xfId="22358" xr:uid="{00000000-0005-0000-0000-0000E2D30000}"/>
    <cellStyle name="Процентный 6 41 6" xfId="27698" xr:uid="{00000000-0005-0000-0000-0000E3D30000}"/>
    <cellStyle name="Процентный 6 41 7" xfId="33038" xr:uid="{00000000-0005-0000-0000-0000E4D30000}"/>
    <cellStyle name="Процентный 6 41 8" xfId="38378" xr:uid="{00000000-0005-0000-0000-0000E5D30000}"/>
    <cellStyle name="Процентный 6 41 9" xfId="43718" xr:uid="{00000000-0005-0000-0000-0000E6D30000}"/>
    <cellStyle name="Процентный 6 42" xfId="1020" xr:uid="{00000000-0005-0000-0000-0000E7D30000}"/>
    <cellStyle name="Процентный 6 42 10" xfId="49082" xr:uid="{00000000-0005-0000-0000-0000E8D30000}"/>
    <cellStyle name="Процентный 6 42 2" xfId="6361" xr:uid="{00000000-0005-0000-0000-0000E9D30000}"/>
    <cellStyle name="Процентный 6 42 2 2" xfId="54423" xr:uid="{00000000-0005-0000-0000-0000EAD30000}"/>
    <cellStyle name="Процентный 6 42 3" xfId="11702" xr:uid="{00000000-0005-0000-0000-0000EBD30000}"/>
    <cellStyle name="Процентный 6 42 4" xfId="17042" xr:uid="{00000000-0005-0000-0000-0000ECD30000}"/>
    <cellStyle name="Процентный 6 42 5" xfId="22382" xr:uid="{00000000-0005-0000-0000-0000EDD30000}"/>
    <cellStyle name="Процентный 6 42 6" xfId="27722" xr:uid="{00000000-0005-0000-0000-0000EED30000}"/>
    <cellStyle name="Процентный 6 42 7" xfId="33062" xr:uid="{00000000-0005-0000-0000-0000EFD30000}"/>
    <cellStyle name="Процентный 6 42 8" xfId="38402" xr:uid="{00000000-0005-0000-0000-0000F0D30000}"/>
    <cellStyle name="Процентный 6 42 9" xfId="43742" xr:uid="{00000000-0005-0000-0000-0000F1D30000}"/>
    <cellStyle name="Процентный 6 43" xfId="1044" xr:uid="{00000000-0005-0000-0000-0000F2D30000}"/>
    <cellStyle name="Процентный 6 43 10" xfId="49106" xr:uid="{00000000-0005-0000-0000-0000F3D30000}"/>
    <cellStyle name="Процентный 6 43 2" xfId="6385" xr:uid="{00000000-0005-0000-0000-0000F4D30000}"/>
    <cellStyle name="Процентный 6 43 2 2" xfId="54447" xr:uid="{00000000-0005-0000-0000-0000F5D30000}"/>
    <cellStyle name="Процентный 6 43 3" xfId="11726" xr:uid="{00000000-0005-0000-0000-0000F6D30000}"/>
    <cellStyle name="Процентный 6 43 4" xfId="17066" xr:uid="{00000000-0005-0000-0000-0000F7D30000}"/>
    <cellStyle name="Процентный 6 43 5" xfId="22406" xr:uid="{00000000-0005-0000-0000-0000F8D30000}"/>
    <cellStyle name="Процентный 6 43 6" xfId="27746" xr:uid="{00000000-0005-0000-0000-0000F9D30000}"/>
    <cellStyle name="Процентный 6 43 7" xfId="33086" xr:uid="{00000000-0005-0000-0000-0000FAD30000}"/>
    <cellStyle name="Процентный 6 43 8" xfId="38426" xr:uid="{00000000-0005-0000-0000-0000FBD30000}"/>
    <cellStyle name="Процентный 6 43 9" xfId="43766" xr:uid="{00000000-0005-0000-0000-0000FCD30000}"/>
    <cellStyle name="Процентный 6 44" xfId="1069" xr:uid="{00000000-0005-0000-0000-0000FDD30000}"/>
    <cellStyle name="Процентный 6 44 10" xfId="49132" xr:uid="{00000000-0005-0000-0000-0000FED30000}"/>
    <cellStyle name="Процентный 6 44 2" xfId="6411" xr:uid="{00000000-0005-0000-0000-0000FFD30000}"/>
    <cellStyle name="Процентный 6 44 2 2" xfId="54473" xr:uid="{00000000-0005-0000-0000-000000D40000}"/>
    <cellStyle name="Процентный 6 44 3" xfId="11752" xr:uid="{00000000-0005-0000-0000-000001D40000}"/>
    <cellStyle name="Процентный 6 44 4" xfId="17092" xr:uid="{00000000-0005-0000-0000-000002D40000}"/>
    <cellStyle name="Процентный 6 44 5" xfId="22432" xr:uid="{00000000-0005-0000-0000-000003D40000}"/>
    <cellStyle name="Процентный 6 44 6" xfId="27772" xr:uid="{00000000-0005-0000-0000-000004D40000}"/>
    <cellStyle name="Процентный 6 44 7" xfId="33112" xr:uid="{00000000-0005-0000-0000-000005D40000}"/>
    <cellStyle name="Процентный 6 44 8" xfId="38452" xr:uid="{00000000-0005-0000-0000-000006D40000}"/>
    <cellStyle name="Процентный 6 44 9" xfId="43792" xr:uid="{00000000-0005-0000-0000-000007D40000}"/>
    <cellStyle name="Процентный 6 45" xfId="1095" xr:uid="{00000000-0005-0000-0000-000008D40000}"/>
    <cellStyle name="Процентный 6 45 10" xfId="49158" xr:uid="{00000000-0005-0000-0000-000009D40000}"/>
    <cellStyle name="Процентный 6 45 2" xfId="6437" xr:uid="{00000000-0005-0000-0000-00000AD40000}"/>
    <cellStyle name="Процентный 6 45 2 2" xfId="54499" xr:uid="{00000000-0005-0000-0000-00000BD40000}"/>
    <cellStyle name="Процентный 6 45 3" xfId="11778" xr:uid="{00000000-0005-0000-0000-00000CD40000}"/>
    <cellStyle name="Процентный 6 45 4" xfId="17118" xr:uid="{00000000-0005-0000-0000-00000DD40000}"/>
    <cellStyle name="Процентный 6 45 5" xfId="22458" xr:uid="{00000000-0005-0000-0000-00000ED40000}"/>
    <cellStyle name="Процентный 6 45 6" xfId="27798" xr:uid="{00000000-0005-0000-0000-00000FD40000}"/>
    <cellStyle name="Процентный 6 45 7" xfId="33138" xr:uid="{00000000-0005-0000-0000-000010D40000}"/>
    <cellStyle name="Процентный 6 45 8" xfId="38478" xr:uid="{00000000-0005-0000-0000-000011D40000}"/>
    <cellStyle name="Процентный 6 45 9" xfId="43818" xr:uid="{00000000-0005-0000-0000-000012D40000}"/>
    <cellStyle name="Процентный 6 46" xfId="1121" xr:uid="{00000000-0005-0000-0000-000013D40000}"/>
    <cellStyle name="Процентный 6 46 10" xfId="49184" xr:uid="{00000000-0005-0000-0000-000014D40000}"/>
    <cellStyle name="Процентный 6 46 2" xfId="6463" xr:uid="{00000000-0005-0000-0000-000015D40000}"/>
    <cellStyle name="Процентный 6 46 2 2" xfId="54525" xr:uid="{00000000-0005-0000-0000-000016D40000}"/>
    <cellStyle name="Процентный 6 46 3" xfId="11804" xr:uid="{00000000-0005-0000-0000-000017D40000}"/>
    <cellStyle name="Процентный 6 46 4" xfId="17144" xr:uid="{00000000-0005-0000-0000-000018D40000}"/>
    <cellStyle name="Процентный 6 46 5" xfId="22484" xr:uid="{00000000-0005-0000-0000-000019D40000}"/>
    <cellStyle name="Процентный 6 46 6" xfId="27824" xr:uid="{00000000-0005-0000-0000-00001AD40000}"/>
    <cellStyle name="Процентный 6 46 7" xfId="33164" xr:uid="{00000000-0005-0000-0000-00001BD40000}"/>
    <cellStyle name="Процентный 6 46 8" xfId="38504" xr:uid="{00000000-0005-0000-0000-00001CD40000}"/>
    <cellStyle name="Процентный 6 46 9" xfId="43844" xr:uid="{00000000-0005-0000-0000-00001DD40000}"/>
    <cellStyle name="Процентный 6 47" xfId="1147" xr:uid="{00000000-0005-0000-0000-00001ED40000}"/>
    <cellStyle name="Процентный 6 47 10" xfId="49210" xr:uid="{00000000-0005-0000-0000-00001FD40000}"/>
    <cellStyle name="Процентный 6 47 2" xfId="6489" xr:uid="{00000000-0005-0000-0000-000020D40000}"/>
    <cellStyle name="Процентный 6 47 2 2" xfId="54551" xr:uid="{00000000-0005-0000-0000-000021D40000}"/>
    <cellStyle name="Процентный 6 47 3" xfId="11830" xr:uid="{00000000-0005-0000-0000-000022D40000}"/>
    <cellStyle name="Процентный 6 47 4" xfId="17170" xr:uid="{00000000-0005-0000-0000-000023D40000}"/>
    <cellStyle name="Процентный 6 47 5" xfId="22510" xr:uid="{00000000-0005-0000-0000-000024D40000}"/>
    <cellStyle name="Процентный 6 47 6" xfId="27850" xr:uid="{00000000-0005-0000-0000-000025D40000}"/>
    <cellStyle name="Процентный 6 47 7" xfId="33190" xr:uid="{00000000-0005-0000-0000-000026D40000}"/>
    <cellStyle name="Процентный 6 47 8" xfId="38530" xr:uid="{00000000-0005-0000-0000-000027D40000}"/>
    <cellStyle name="Процентный 6 47 9" xfId="43870" xr:uid="{00000000-0005-0000-0000-000028D40000}"/>
    <cellStyle name="Процентный 6 48" xfId="1173" xr:uid="{00000000-0005-0000-0000-000029D40000}"/>
    <cellStyle name="Процентный 6 48 10" xfId="49236" xr:uid="{00000000-0005-0000-0000-00002AD40000}"/>
    <cellStyle name="Процентный 6 48 2" xfId="6515" xr:uid="{00000000-0005-0000-0000-00002BD40000}"/>
    <cellStyle name="Процентный 6 48 2 2" xfId="54577" xr:uid="{00000000-0005-0000-0000-00002CD40000}"/>
    <cellStyle name="Процентный 6 48 3" xfId="11856" xr:uid="{00000000-0005-0000-0000-00002DD40000}"/>
    <cellStyle name="Процентный 6 48 4" xfId="17196" xr:uid="{00000000-0005-0000-0000-00002ED40000}"/>
    <cellStyle name="Процентный 6 48 5" xfId="22536" xr:uid="{00000000-0005-0000-0000-00002FD40000}"/>
    <cellStyle name="Процентный 6 48 6" xfId="27876" xr:uid="{00000000-0005-0000-0000-000030D40000}"/>
    <cellStyle name="Процентный 6 48 7" xfId="33216" xr:uid="{00000000-0005-0000-0000-000031D40000}"/>
    <cellStyle name="Процентный 6 48 8" xfId="38556" xr:uid="{00000000-0005-0000-0000-000032D40000}"/>
    <cellStyle name="Процентный 6 48 9" xfId="43896" xr:uid="{00000000-0005-0000-0000-000033D40000}"/>
    <cellStyle name="Процентный 6 49" xfId="1199" xr:uid="{00000000-0005-0000-0000-000034D40000}"/>
    <cellStyle name="Процентный 6 49 10" xfId="49262" xr:uid="{00000000-0005-0000-0000-000035D40000}"/>
    <cellStyle name="Процентный 6 49 2" xfId="6541" xr:uid="{00000000-0005-0000-0000-000036D40000}"/>
    <cellStyle name="Процентный 6 49 2 2" xfId="54603" xr:uid="{00000000-0005-0000-0000-000037D40000}"/>
    <cellStyle name="Процентный 6 49 3" xfId="11882" xr:uid="{00000000-0005-0000-0000-000038D40000}"/>
    <cellStyle name="Процентный 6 49 4" xfId="17222" xr:uid="{00000000-0005-0000-0000-000039D40000}"/>
    <cellStyle name="Процентный 6 49 5" xfId="22562" xr:uid="{00000000-0005-0000-0000-00003AD40000}"/>
    <cellStyle name="Процентный 6 49 6" xfId="27902" xr:uid="{00000000-0005-0000-0000-00003BD40000}"/>
    <cellStyle name="Процентный 6 49 7" xfId="33242" xr:uid="{00000000-0005-0000-0000-00003CD40000}"/>
    <cellStyle name="Процентный 6 49 8" xfId="38582" xr:uid="{00000000-0005-0000-0000-00003DD40000}"/>
    <cellStyle name="Процентный 6 49 9" xfId="43922" xr:uid="{00000000-0005-0000-0000-00003ED40000}"/>
    <cellStyle name="Процентный 6 5" xfId="161" xr:uid="{00000000-0005-0000-0000-00003FD40000}"/>
    <cellStyle name="Процентный 6 5 10" xfId="42883" xr:uid="{00000000-0005-0000-0000-000040D40000}"/>
    <cellStyle name="Процентный 6 5 11" xfId="48223" xr:uid="{00000000-0005-0000-0000-000041D40000}"/>
    <cellStyle name="Процентный 6 5 2" xfId="628" xr:uid="{00000000-0005-0000-0000-000042D40000}"/>
    <cellStyle name="Процентный 6 5 2 10" xfId="48690" xr:uid="{00000000-0005-0000-0000-000043D40000}"/>
    <cellStyle name="Процентный 6 5 2 2" xfId="5969" xr:uid="{00000000-0005-0000-0000-000044D40000}"/>
    <cellStyle name="Процентный 6 5 2 2 2" xfId="54031" xr:uid="{00000000-0005-0000-0000-000045D40000}"/>
    <cellStyle name="Процентный 6 5 2 3" xfId="11310" xr:uid="{00000000-0005-0000-0000-000046D40000}"/>
    <cellStyle name="Процентный 6 5 2 4" xfId="16650" xr:uid="{00000000-0005-0000-0000-000047D40000}"/>
    <cellStyle name="Процентный 6 5 2 5" xfId="21990" xr:uid="{00000000-0005-0000-0000-000048D40000}"/>
    <cellStyle name="Процентный 6 5 2 6" xfId="27330" xr:uid="{00000000-0005-0000-0000-000049D40000}"/>
    <cellStyle name="Процентный 6 5 2 7" xfId="32670" xr:uid="{00000000-0005-0000-0000-00004AD40000}"/>
    <cellStyle name="Процентный 6 5 2 8" xfId="38010" xr:uid="{00000000-0005-0000-0000-00004BD40000}"/>
    <cellStyle name="Процентный 6 5 2 9" xfId="43350" xr:uid="{00000000-0005-0000-0000-00004CD40000}"/>
    <cellStyle name="Процентный 6 5 3" xfId="5502" xr:uid="{00000000-0005-0000-0000-00004DD40000}"/>
    <cellStyle name="Процентный 6 5 3 2" xfId="53564" xr:uid="{00000000-0005-0000-0000-00004ED40000}"/>
    <cellStyle name="Процентный 6 5 4" xfId="10843" xr:uid="{00000000-0005-0000-0000-00004FD40000}"/>
    <cellStyle name="Процентный 6 5 5" xfId="16183" xr:uid="{00000000-0005-0000-0000-000050D40000}"/>
    <cellStyle name="Процентный 6 5 6" xfId="21523" xr:uid="{00000000-0005-0000-0000-000051D40000}"/>
    <cellStyle name="Процентный 6 5 7" xfId="26863" xr:uid="{00000000-0005-0000-0000-000052D40000}"/>
    <cellStyle name="Процентный 6 5 8" xfId="32203" xr:uid="{00000000-0005-0000-0000-000053D40000}"/>
    <cellStyle name="Процентный 6 5 9" xfId="37543" xr:uid="{00000000-0005-0000-0000-000054D40000}"/>
    <cellStyle name="Процентный 6 50" xfId="1225" xr:uid="{00000000-0005-0000-0000-000055D40000}"/>
    <cellStyle name="Процентный 6 50 10" xfId="49288" xr:uid="{00000000-0005-0000-0000-000056D40000}"/>
    <cellStyle name="Процентный 6 50 2" xfId="6567" xr:uid="{00000000-0005-0000-0000-000057D40000}"/>
    <cellStyle name="Процентный 6 50 2 2" xfId="54629" xr:uid="{00000000-0005-0000-0000-000058D40000}"/>
    <cellStyle name="Процентный 6 50 3" xfId="11908" xr:uid="{00000000-0005-0000-0000-000059D40000}"/>
    <cellStyle name="Процентный 6 50 4" xfId="17248" xr:uid="{00000000-0005-0000-0000-00005AD40000}"/>
    <cellStyle name="Процентный 6 50 5" xfId="22588" xr:uid="{00000000-0005-0000-0000-00005BD40000}"/>
    <cellStyle name="Процентный 6 50 6" xfId="27928" xr:uid="{00000000-0005-0000-0000-00005CD40000}"/>
    <cellStyle name="Процентный 6 50 7" xfId="33268" xr:uid="{00000000-0005-0000-0000-00005DD40000}"/>
    <cellStyle name="Процентный 6 50 8" xfId="38608" xr:uid="{00000000-0005-0000-0000-00005ED40000}"/>
    <cellStyle name="Процентный 6 50 9" xfId="43948" xr:uid="{00000000-0005-0000-0000-00005FD40000}"/>
    <cellStyle name="Процентный 6 51" xfId="1251" xr:uid="{00000000-0005-0000-0000-000060D40000}"/>
    <cellStyle name="Процентный 6 51 10" xfId="49314" xr:uid="{00000000-0005-0000-0000-000061D40000}"/>
    <cellStyle name="Процентный 6 51 2" xfId="6593" xr:uid="{00000000-0005-0000-0000-000062D40000}"/>
    <cellStyle name="Процентный 6 51 2 2" xfId="54655" xr:uid="{00000000-0005-0000-0000-000063D40000}"/>
    <cellStyle name="Процентный 6 51 3" xfId="11934" xr:uid="{00000000-0005-0000-0000-000064D40000}"/>
    <cellStyle name="Процентный 6 51 4" xfId="17274" xr:uid="{00000000-0005-0000-0000-000065D40000}"/>
    <cellStyle name="Процентный 6 51 5" xfId="22614" xr:uid="{00000000-0005-0000-0000-000066D40000}"/>
    <cellStyle name="Процентный 6 51 6" xfId="27954" xr:uid="{00000000-0005-0000-0000-000067D40000}"/>
    <cellStyle name="Процентный 6 51 7" xfId="33294" xr:uid="{00000000-0005-0000-0000-000068D40000}"/>
    <cellStyle name="Процентный 6 51 8" xfId="38634" xr:uid="{00000000-0005-0000-0000-000069D40000}"/>
    <cellStyle name="Процентный 6 51 9" xfId="43974" xr:uid="{00000000-0005-0000-0000-00006AD40000}"/>
    <cellStyle name="Процентный 6 52" xfId="1277" xr:uid="{00000000-0005-0000-0000-00006BD40000}"/>
    <cellStyle name="Процентный 6 52 10" xfId="49340" xr:uid="{00000000-0005-0000-0000-00006CD40000}"/>
    <cellStyle name="Процентный 6 52 2" xfId="6619" xr:uid="{00000000-0005-0000-0000-00006DD40000}"/>
    <cellStyle name="Процентный 6 52 2 2" xfId="54681" xr:uid="{00000000-0005-0000-0000-00006ED40000}"/>
    <cellStyle name="Процентный 6 52 3" xfId="11960" xr:uid="{00000000-0005-0000-0000-00006FD40000}"/>
    <cellStyle name="Процентный 6 52 4" xfId="17300" xr:uid="{00000000-0005-0000-0000-000070D40000}"/>
    <cellStyle name="Процентный 6 52 5" xfId="22640" xr:uid="{00000000-0005-0000-0000-000071D40000}"/>
    <cellStyle name="Процентный 6 52 6" xfId="27980" xr:uid="{00000000-0005-0000-0000-000072D40000}"/>
    <cellStyle name="Процентный 6 52 7" xfId="33320" xr:uid="{00000000-0005-0000-0000-000073D40000}"/>
    <cellStyle name="Процентный 6 52 8" xfId="38660" xr:uid="{00000000-0005-0000-0000-000074D40000}"/>
    <cellStyle name="Процентный 6 52 9" xfId="44000" xr:uid="{00000000-0005-0000-0000-000075D40000}"/>
    <cellStyle name="Процентный 6 53" xfId="1303" xr:uid="{00000000-0005-0000-0000-000076D40000}"/>
    <cellStyle name="Процентный 6 53 10" xfId="49366" xr:uid="{00000000-0005-0000-0000-000077D40000}"/>
    <cellStyle name="Процентный 6 53 2" xfId="6645" xr:uid="{00000000-0005-0000-0000-000078D40000}"/>
    <cellStyle name="Процентный 6 53 2 2" xfId="54707" xr:uid="{00000000-0005-0000-0000-000079D40000}"/>
    <cellStyle name="Процентный 6 53 3" xfId="11986" xr:uid="{00000000-0005-0000-0000-00007AD40000}"/>
    <cellStyle name="Процентный 6 53 4" xfId="17326" xr:uid="{00000000-0005-0000-0000-00007BD40000}"/>
    <cellStyle name="Процентный 6 53 5" xfId="22666" xr:uid="{00000000-0005-0000-0000-00007CD40000}"/>
    <cellStyle name="Процентный 6 53 6" xfId="28006" xr:uid="{00000000-0005-0000-0000-00007DD40000}"/>
    <cellStyle name="Процентный 6 53 7" xfId="33346" xr:uid="{00000000-0005-0000-0000-00007ED40000}"/>
    <cellStyle name="Процентный 6 53 8" xfId="38686" xr:uid="{00000000-0005-0000-0000-00007FD40000}"/>
    <cellStyle name="Процентный 6 53 9" xfId="44026" xr:uid="{00000000-0005-0000-0000-000080D40000}"/>
    <cellStyle name="Процентный 6 54" xfId="1329" xr:uid="{00000000-0005-0000-0000-000081D40000}"/>
    <cellStyle name="Процентный 6 54 10" xfId="49392" xr:uid="{00000000-0005-0000-0000-000082D40000}"/>
    <cellStyle name="Процентный 6 54 2" xfId="6671" xr:uid="{00000000-0005-0000-0000-000083D40000}"/>
    <cellStyle name="Процентный 6 54 2 2" xfId="54733" xr:uid="{00000000-0005-0000-0000-000084D40000}"/>
    <cellStyle name="Процентный 6 54 3" xfId="12012" xr:uid="{00000000-0005-0000-0000-000085D40000}"/>
    <cellStyle name="Процентный 6 54 4" xfId="17352" xr:uid="{00000000-0005-0000-0000-000086D40000}"/>
    <cellStyle name="Процентный 6 54 5" xfId="22692" xr:uid="{00000000-0005-0000-0000-000087D40000}"/>
    <cellStyle name="Процентный 6 54 6" xfId="28032" xr:uid="{00000000-0005-0000-0000-000088D40000}"/>
    <cellStyle name="Процентный 6 54 7" xfId="33372" xr:uid="{00000000-0005-0000-0000-000089D40000}"/>
    <cellStyle name="Процентный 6 54 8" xfId="38712" xr:uid="{00000000-0005-0000-0000-00008AD40000}"/>
    <cellStyle name="Процентный 6 54 9" xfId="44052" xr:uid="{00000000-0005-0000-0000-00008BD40000}"/>
    <cellStyle name="Процентный 6 55" xfId="1355" xr:uid="{00000000-0005-0000-0000-00008CD40000}"/>
    <cellStyle name="Процентный 6 55 10" xfId="49418" xr:uid="{00000000-0005-0000-0000-00008DD40000}"/>
    <cellStyle name="Процентный 6 55 2" xfId="6697" xr:uid="{00000000-0005-0000-0000-00008ED40000}"/>
    <cellStyle name="Процентный 6 55 2 2" xfId="54759" xr:uid="{00000000-0005-0000-0000-00008FD40000}"/>
    <cellStyle name="Процентный 6 55 3" xfId="12038" xr:uid="{00000000-0005-0000-0000-000090D40000}"/>
    <cellStyle name="Процентный 6 55 4" xfId="17378" xr:uid="{00000000-0005-0000-0000-000091D40000}"/>
    <cellStyle name="Процентный 6 55 5" xfId="22718" xr:uid="{00000000-0005-0000-0000-000092D40000}"/>
    <cellStyle name="Процентный 6 55 6" xfId="28058" xr:uid="{00000000-0005-0000-0000-000093D40000}"/>
    <cellStyle name="Процентный 6 55 7" xfId="33398" xr:uid="{00000000-0005-0000-0000-000094D40000}"/>
    <cellStyle name="Процентный 6 55 8" xfId="38738" xr:uid="{00000000-0005-0000-0000-000095D40000}"/>
    <cellStyle name="Процентный 6 55 9" xfId="44078" xr:uid="{00000000-0005-0000-0000-000096D40000}"/>
    <cellStyle name="Процентный 6 56" xfId="1381" xr:uid="{00000000-0005-0000-0000-000097D40000}"/>
    <cellStyle name="Процентный 6 56 10" xfId="49444" xr:uid="{00000000-0005-0000-0000-000098D40000}"/>
    <cellStyle name="Процентный 6 56 2" xfId="6723" xr:uid="{00000000-0005-0000-0000-000099D40000}"/>
    <cellStyle name="Процентный 6 56 2 2" xfId="54785" xr:uid="{00000000-0005-0000-0000-00009AD40000}"/>
    <cellStyle name="Процентный 6 56 3" xfId="12064" xr:uid="{00000000-0005-0000-0000-00009BD40000}"/>
    <cellStyle name="Процентный 6 56 4" xfId="17404" xr:uid="{00000000-0005-0000-0000-00009CD40000}"/>
    <cellStyle name="Процентный 6 56 5" xfId="22744" xr:uid="{00000000-0005-0000-0000-00009DD40000}"/>
    <cellStyle name="Процентный 6 56 6" xfId="28084" xr:uid="{00000000-0005-0000-0000-00009ED40000}"/>
    <cellStyle name="Процентный 6 56 7" xfId="33424" xr:uid="{00000000-0005-0000-0000-00009FD40000}"/>
    <cellStyle name="Процентный 6 56 8" xfId="38764" xr:uid="{00000000-0005-0000-0000-0000A0D40000}"/>
    <cellStyle name="Процентный 6 56 9" xfId="44104" xr:uid="{00000000-0005-0000-0000-0000A1D40000}"/>
    <cellStyle name="Процентный 6 57" xfId="1407" xr:uid="{00000000-0005-0000-0000-0000A2D40000}"/>
    <cellStyle name="Процентный 6 57 10" xfId="49470" xr:uid="{00000000-0005-0000-0000-0000A3D40000}"/>
    <cellStyle name="Процентный 6 57 2" xfId="6749" xr:uid="{00000000-0005-0000-0000-0000A4D40000}"/>
    <cellStyle name="Процентный 6 57 2 2" xfId="54811" xr:uid="{00000000-0005-0000-0000-0000A5D40000}"/>
    <cellStyle name="Процентный 6 57 3" xfId="12090" xr:uid="{00000000-0005-0000-0000-0000A6D40000}"/>
    <cellStyle name="Процентный 6 57 4" xfId="17430" xr:uid="{00000000-0005-0000-0000-0000A7D40000}"/>
    <cellStyle name="Процентный 6 57 5" xfId="22770" xr:uid="{00000000-0005-0000-0000-0000A8D40000}"/>
    <cellStyle name="Процентный 6 57 6" xfId="28110" xr:uid="{00000000-0005-0000-0000-0000A9D40000}"/>
    <cellStyle name="Процентный 6 57 7" xfId="33450" xr:uid="{00000000-0005-0000-0000-0000AAD40000}"/>
    <cellStyle name="Процентный 6 57 8" xfId="38790" xr:uid="{00000000-0005-0000-0000-0000ABD40000}"/>
    <cellStyle name="Процентный 6 57 9" xfId="44130" xr:uid="{00000000-0005-0000-0000-0000ACD40000}"/>
    <cellStyle name="Процентный 6 58" xfId="1433" xr:uid="{00000000-0005-0000-0000-0000ADD40000}"/>
    <cellStyle name="Процентный 6 58 10" xfId="49496" xr:uid="{00000000-0005-0000-0000-0000AED40000}"/>
    <cellStyle name="Процентный 6 58 2" xfId="6775" xr:uid="{00000000-0005-0000-0000-0000AFD40000}"/>
    <cellStyle name="Процентный 6 58 2 2" xfId="54837" xr:uid="{00000000-0005-0000-0000-0000B0D40000}"/>
    <cellStyle name="Процентный 6 58 3" xfId="12116" xr:uid="{00000000-0005-0000-0000-0000B1D40000}"/>
    <cellStyle name="Процентный 6 58 4" xfId="17456" xr:uid="{00000000-0005-0000-0000-0000B2D40000}"/>
    <cellStyle name="Процентный 6 58 5" xfId="22796" xr:uid="{00000000-0005-0000-0000-0000B3D40000}"/>
    <cellStyle name="Процентный 6 58 6" xfId="28136" xr:uid="{00000000-0005-0000-0000-0000B4D40000}"/>
    <cellStyle name="Процентный 6 58 7" xfId="33476" xr:uid="{00000000-0005-0000-0000-0000B5D40000}"/>
    <cellStyle name="Процентный 6 58 8" xfId="38816" xr:uid="{00000000-0005-0000-0000-0000B6D40000}"/>
    <cellStyle name="Процентный 6 58 9" xfId="44156" xr:uid="{00000000-0005-0000-0000-0000B7D40000}"/>
    <cellStyle name="Процентный 6 59" xfId="1459" xr:uid="{00000000-0005-0000-0000-0000B8D40000}"/>
    <cellStyle name="Процентный 6 59 10" xfId="49522" xr:uid="{00000000-0005-0000-0000-0000B9D40000}"/>
    <cellStyle name="Процентный 6 59 2" xfId="6801" xr:uid="{00000000-0005-0000-0000-0000BAD40000}"/>
    <cellStyle name="Процентный 6 59 2 2" xfId="54863" xr:uid="{00000000-0005-0000-0000-0000BBD40000}"/>
    <cellStyle name="Процентный 6 59 3" xfId="12142" xr:uid="{00000000-0005-0000-0000-0000BCD40000}"/>
    <cellStyle name="Процентный 6 59 4" xfId="17482" xr:uid="{00000000-0005-0000-0000-0000BDD40000}"/>
    <cellStyle name="Процентный 6 59 5" xfId="22822" xr:uid="{00000000-0005-0000-0000-0000BED40000}"/>
    <cellStyle name="Процентный 6 59 6" xfId="28162" xr:uid="{00000000-0005-0000-0000-0000BFD40000}"/>
    <cellStyle name="Процентный 6 59 7" xfId="33502" xr:uid="{00000000-0005-0000-0000-0000C0D40000}"/>
    <cellStyle name="Процентный 6 59 8" xfId="38842" xr:uid="{00000000-0005-0000-0000-0000C1D40000}"/>
    <cellStyle name="Процентный 6 59 9" xfId="44182" xr:uid="{00000000-0005-0000-0000-0000C2D40000}"/>
    <cellStyle name="Процентный 6 6" xfId="171" xr:uid="{00000000-0005-0000-0000-0000C3D40000}"/>
    <cellStyle name="Процентный 6 6 10" xfId="42893" xr:uid="{00000000-0005-0000-0000-0000C4D40000}"/>
    <cellStyle name="Процентный 6 6 11" xfId="48233" xr:uid="{00000000-0005-0000-0000-0000C5D40000}"/>
    <cellStyle name="Процентный 6 6 2" xfId="638" xr:uid="{00000000-0005-0000-0000-0000C6D40000}"/>
    <cellStyle name="Процентный 6 6 2 10" xfId="48700" xr:uid="{00000000-0005-0000-0000-0000C7D40000}"/>
    <cellStyle name="Процентный 6 6 2 2" xfId="5979" xr:uid="{00000000-0005-0000-0000-0000C8D40000}"/>
    <cellStyle name="Процентный 6 6 2 2 2" xfId="54041" xr:uid="{00000000-0005-0000-0000-0000C9D40000}"/>
    <cellStyle name="Процентный 6 6 2 3" xfId="11320" xr:uid="{00000000-0005-0000-0000-0000CAD40000}"/>
    <cellStyle name="Процентный 6 6 2 4" xfId="16660" xr:uid="{00000000-0005-0000-0000-0000CBD40000}"/>
    <cellStyle name="Процентный 6 6 2 5" xfId="22000" xr:uid="{00000000-0005-0000-0000-0000CCD40000}"/>
    <cellStyle name="Процентный 6 6 2 6" xfId="27340" xr:uid="{00000000-0005-0000-0000-0000CDD40000}"/>
    <cellStyle name="Процентный 6 6 2 7" xfId="32680" xr:uid="{00000000-0005-0000-0000-0000CED40000}"/>
    <cellStyle name="Процентный 6 6 2 8" xfId="38020" xr:uid="{00000000-0005-0000-0000-0000CFD40000}"/>
    <cellStyle name="Процентный 6 6 2 9" xfId="43360" xr:uid="{00000000-0005-0000-0000-0000D0D40000}"/>
    <cellStyle name="Процентный 6 6 3" xfId="5512" xr:uid="{00000000-0005-0000-0000-0000D1D40000}"/>
    <cellStyle name="Процентный 6 6 3 2" xfId="53574" xr:uid="{00000000-0005-0000-0000-0000D2D40000}"/>
    <cellStyle name="Процентный 6 6 4" xfId="10853" xr:uid="{00000000-0005-0000-0000-0000D3D40000}"/>
    <cellStyle name="Процентный 6 6 5" xfId="16193" xr:uid="{00000000-0005-0000-0000-0000D4D40000}"/>
    <cellStyle name="Процентный 6 6 6" xfId="21533" xr:uid="{00000000-0005-0000-0000-0000D5D40000}"/>
    <cellStyle name="Процентный 6 6 7" xfId="26873" xr:uid="{00000000-0005-0000-0000-0000D6D40000}"/>
    <cellStyle name="Процентный 6 6 8" xfId="32213" xr:uid="{00000000-0005-0000-0000-0000D7D40000}"/>
    <cellStyle name="Процентный 6 6 9" xfId="37553" xr:uid="{00000000-0005-0000-0000-0000D8D40000}"/>
    <cellStyle name="Процентный 6 60" xfId="1485" xr:uid="{00000000-0005-0000-0000-0000D9D40000}"/>
    <cellStyle name="Процентный 6 60 10" xfId="49548" xr:uid="{00000000-0005-0000-0000-0000DAD40000}"/>
    <cellStyle name="Процентный 6 60 2" xfId="6827" xr:uid="{00000000-0005-0000-0000-0000DBD40000}"/>
    <cellStyle name="Процентный 6 60 2 2" xfId="54889" xr:uid="{00000000-0005-0000-0000-0000DCD40000}"/>
    <cellStyle name="Процентный 6 60 3" xfId="12168" xr:uid="{00000000-0005-0000-0000-0000DDD40000}"/>
    <cellStyle name="Процентный 6 60 4" xfId="17508" xr:uid="{00000000-0005-0000-0000-0000DED40000}"/>
    <cellStyle name="Процентный 6 60 5" xfId="22848" xr:uid="{00000000-0005-0000-0000-0000DFD40000}"/>
    <cellStyle name="Процентный 6 60 6" xfId="28188" xr:uid="{00000000-0005-0000-0000-0000E0D40000}"/>
    <cellStyle name="Процентный 6 60 7" xfId="33528" xr:uid="{00000000-0005-0000-0000-0000E1D40000}"/>
    <cellStyle name="Процентный 6 60 8" xfId="38868" xr:uid="{00000000-0005-0000-0000-0000E2D40000}"/>
    <cellStyle name="Процентный 6 60 9" xfId="44208" xr:uid="{00000000-0005-0000-0000-0000E3D40000}"/>
    <cellStyle name="Процентный 6 61" xfId="1511" xr:uid="{00000000-0005-0000-0000-0000E4D40000}"/>
    <cellStyle name="Процентный 6 61 10" xfId="49574" xr:uid="{00000000-0005-0000-0000-0000E5D40000}"/>
    <cellStyle name="Процентный 6 61 2" xfId="6853" xr:uid="{00000000-0005-0000-0000-0000E6D40000}"/>
    <cellStyle name="Процентный 6 61 2 2" xfId="54915" xr:uid="{00000000-0005-0000-0000-0000E7D40000}"/>
    <cellStyle name="Процентный 6 61 3" xfId="12194" xr:uid="{00000000-0005-0000-0000-0000E8D40000}"/>
    <cellStyle name="Процентный 6 61 4" xfId="17534" xr:uid="{00000000-0005-0000-0000-0000E9D40000}"/>
    <cellStyle name="Процентный 6 61 5" xfId="22874" xr:uid="{00000000-0005-0000-0000-0000EAD40000}"/>
    <cellStyle name="Процентный 6 61 6" xfId="28214" xr:uid="{00000000-0005-0000-0000-0000EBD40000}"/>
    <cellStyle name="Процентный 6 61 7" xfId="33554" xr:uid="{00000000-0005-0000-0000-0000ECD40000}"/>
    <cellStyle name="Процентный 6 61 8" xfId="38894" xr:uid="{00000000-0005-0000-0000-0000EDD40000}"/>
    <cellStyle name="Процентный 6 61 9" xfId="44234" xr:uid="{00000000-0005-0000-0000-0000EED40000}"/>
    <cellStyle name="Процентный 6 62" xfId="1537" xr:uid="{00000000-0005-0000-0000-0000EFD40000}"/>
    <cellStyle name="Процентный 6 62 10" xfId="49600" xr:uid="{00000000-0005-0000-0000-0000F0D40000}"/>
    <cellStyle name="Процентный 6 62 2" xfId="6879" xr:uid="{00000000-0005-0000-0000-0000F1D40000}"/>
    <cellStyle name="Процентный 6 62 2 2" xfId="54941" xr:uid="{00000000-0005-0000-0000-0000F2D40000}"/>
    <cellStyle name="Процентный 6 62 3" xfId="12220" xr:uid="{00000000-0005-0000-0000-0000F3D40000}"/>
    <cellStyle name="Процентный 6 62 4" xfId="17560" xr:uid="{00000000-0005-0000-0000-0000F4D40000}"/>
    <cellStyle name="Процентный 6 62 5" xfId="22900" xr:uid="{00000000-0005-0000-0000-0000F5D40000}"/>
    <cellStyle name="Процентный 6 62 6" xfId="28240" xr:uid="{00000000-0005-0000-0000-0000F6D40000}"/>
    <cellStyle name="Процентный 6 62 7" xfId="33580" xr:uid="{00000000-0005-0000-0000-0000F7D40000}"/>
    <cellStyle name="Процентный 6 62 8" xfId="38920" xr:uid="{00000000-0005-0000-0000-0000F8D40000}"/>
    <cellStyle name="Процентный 6 62 9" xfId="44260" xr:uid="{00000000-0005-0000-0000-0000F9D40000}"/>
    <cellStyle name="Процентный 6 63" xfId="1563" xr:uid="{00000000-0005-0000-0000-0000FAD40000}"/>
    <cellStyle name="Процентный 6 63 10" xfId="49626" xr:uid="{00000000-0005-0000-0000-0000FBD40000}"/>
    <cellStyle name="Процентный 6 63 2" xfId="6905" xr:uid="{00000000-0005-0000-0000-0000FCD40000}"/>
    <cellStyle name="Процентный 6 63 2 2" xfId="54967" xr:uid="{00000000-0005-0000-0000-0000FDD40000}"/>
    <cellStyle name="Процентный 6 63 3" xfId="12246" xr:uid="{00000000-0005-0000-0000-0000FED40000}"/>
    <cellStyle name="Процентный 6 63 4" xfId="17586" xr:uid="{00000000-0005-0000-0000-0000FFD40000}"/>
    <cellStyle name="Процентный 6 63 5" xfId="22926" xr:uid="{00000000-0005-0000-0000-000000D50000}"/>
    <cellStyle name="Процентный 6 63 6" xfId="28266" xr:uid="{00000000-0005-0000-0000-000001D50000}"/>
    <cellStyle name="Процентный 6 63 7" xfId="33606" xr:uid="{00000000-0005-0000-0000-000002D50000}"/>
    <cellStyle name="Процентный 6 63 8" xfId="38946" xr:uid="{00000000-0005-0000-0000-000003D50000}"/>
    <cellStyle name="Процентный 6 63 9" xfId="44286" xr:uid="{00000000-0005-0000-0000-000004D50000}"/>
    <cellStyle name="Процентный 6 64" xfId="1589" xr:uid="{00000000-0005-0000-0000-000005D50000}"/>
    <cellStyle name="Процентный 6 64 10" xfId="49652" xr:uid="{00000000-0005-0000-0000-000006D50000}"/>
    <cellStyle name="Процентный 6 64 2" xfId="6931" xr:uid="{00000000-0005-0000-0000-000007D50000}"/>
    <cellStyle name="Процентный 6 64 2 2" xfId="54993" xr:uid="{00000000-0005-0000-0000-000008D50000}"/>
    <cellStyle name="Процентный 6 64 3" xfId="12272" xr:uid="{00000000-0005-0000-0000-000009D50000}"/>
    <cellStyle name="Процентный 6 64 4" xfId="17612" xr:uid="{00000000-0005-0000-0000-00000AD50000}"/>
    <cellStyle name="Процентный 6 64 5" xfId="22952" xr:uid="{00000000-0005-0000-0000-00000BD50000}"/>
    <cellStyle name="Процентный 6 64 6" xfId="28292" xr:uid="{00000000-0005-0000-0000-00000CD50000}"/>
    <cellStyle name="Процентный 6 64 7" xfId="33632" xr:uid="{00000000-0005-0000-0000-00000DD50000}"/>
    <cellStyle name="Процентный 6 64 8" xfId="38972" xr:uid="{00000000-0005-0000-0000-00000ED50000}"/>
    <cellStyle name="Процентный 6 64 9" xfId="44312" xr:uid="{00000000-0005-0000-0000-00000FD50000}"/>
    <cellStyle name="Процентный 6 65" xfId="1615" xr:uid="{00000000-0005-0000-0000-000010D50000}"/>
    <cellStyle name="Процентный 6 65 10" xfId="49678" xr:uid="{00000000-0005-0000-0000-000011D50000}"/>
    <cellStyle name="Процентный 6 65 2" xfId="6957" xr:uid="{00000000-0005-0000-0000-000012D50000}"/>
    <cellStyle name="Процентный 6 65 2 2" xfId="55019" xr:uid="{00000000-0005-0000-0000-000013D50000}"/>
    <cellStyle name="Процентный 6 65 3" xfId="12298" xr:uid="{00000000-0005-0000-0000-000014D50000}"/>
    <cellStyle name="Процентный 6 65 4" xfId="17638" xr:uid="{00000000-0005-0000-0000-000015D50000}"/>
    <cellStyle name="Процентный 6 65 5" xfId="22978" xr:uid="{00000000-0005-0000-0000-000016D50000}"/>
    <cellStyle name="Процентный 6 65 6" xfId="28318" xr:uid="{00000000-0005-0000-0000-000017D50000}"/>
    <cellStyle name="Процентный 6 65 7" xfId="33658" xr:uid="{00000000-0005-0000-0000-000018D50000}"/>
    <cellStyle name="Процентный 6 65 8" xfId="38998" xr:uid="{00000000-0005-0000-0000-000019D50000}"/>
    <cellStyle name="Процентный 6 65 9" xfId="44338" xr:uid="{00000000-0005-0000-0000-00001AD50000}"/>
    <cellStyle name="Процентный 6 66" xfId="1641" xr:uid="{00000000-0005-0000-0000-00001BD50000}"/>
    <cellStyle name="Процентный 6 66 10" xfId="49704" xr:uid="{00000000-0005-0000-0000-00001CD50000}"/>
    <cellStyle name="Процентный 6 66 2" xfId="6983" xr:uid="{00000000-0005-0000-0000-00001DD50000}"/>
    <cellStyle name="Процентный 6 66 2 2" xfId="55045" xr:uid="{00000000-0005-0000-0000-00001ED50000}"/>
    <cellStyle name="Процентный 6 66 3" xfId="12324" xr:uid="{00000000-0005-0000-0000-00001FD50000}"/>
    <cellStyle name="Процентный 6 66 4" xfId="17664" xr:uid="{00000000-0005-0000-0000-000020D50000}"/>
    <cellStyle name="Процентный 6 66 5" xfId="23004" xr:uid="{00000000-0005-0000-0000-000021D50000}"/>
    <cellStyle name="Процентный 6 66 6" xfId="28344" xr:uid="{00000000-0005-0000-0000-000022D50000}"/>
    <cellStyle name="Процентный 6 66 7" xfId="33684" xr:uid="{00000000-0005-0000-0000-000023D50000}"/>
    <cellStyle name="Процентный 6 66 8" xfId="39024" xr:uid="{00000000-0005-0000-0000-000024D50000}"/>
    <cellStyle name="Процентный 6 66 9" xfId="44364" xr:uid="{00000000-0005-0000-0000-000025D50000}"/>
    <cellStyle name="Процентный 6 67" xfId="1667" xr:uid="{00000000-0005-0000-0000-000026D50000}"/>
    <cellStyle name="Процентный 6 67 10" xfId="49730" xr:uid="{00000000-0005-0000-0000-000027D50000}"/>
    <cellStyle name="Процентный 6 67 2" xfId="7009" xr:uid="{00000000-0005-0000-0000-000028D50000}"/>
    <cellStyle name="Процентный 6 67 2 2" xfId="55071" xr:uid="{00000000-0005-0000-0000-000029D50000}"/>
    <cellStyle name="Процентный 6 67 3" xfId="12350" xr:uid="{00000000-0005-0000-0000-00002AD50000}"/>
    <cellStyle name="Процентный 6 67 4" xfId="17690" xr:uid="{00000000-0005-0000-0000-00002BD50000}"/>
    <cellStyle name="Процентный 6 67 5" xfId="23030" xr:uid="{00000000-0005-0000-0000-00002CD50000}"/>
    <cellStyle name="Процентный 6 67 6" xfId="28370" xr:uid="{00000000-0005-0000-0000-00002DD50000}"/>
    <cellStyle name="Процентный 6 67 7" xfId="33710" xr:uid="{00000000-0005-0000-0000-00002ED50000}"/>
    <cellStyle name="Процентный 6 67 8" xfId="39050" xr:uid="{00000000-0005-0000-0000-00002FD50000}"/>
    <cellStyle name="Процентный 6 67 9" xfId="44390" xr:uid="{00000000-0005-0000-0000-000030D50000}"/>
    <cellStyle name="Процентный 6 68" xfId="1693" xr:uid="{00000000-0005-0000-0000-000031D50000}"/>
    <cellStyle name="Процентный 6 68 10" xfId="49756" xr:uid="{00000000-0005-0000-0000-000032D50000}"/>
    <cellStyle name="Процентный 6 68 2" xfId="7035" xr:uid="{00000000-0005-0000-0000-000033D50000}"/>
    <cellStyle name="Процентный 6 68 2 2" xfId="55097" xr:uid="{00000000-0005-0000-0000-000034D50000}"/>
    <cellStyle name="Процентный 6 68 3" xfId="12376" xr:uid="{00000000-0005-0000-0000-000035D50000}"/>
    <cellStyle name="Процентный 6 68 4" xfId="17716" xr:uid="{00000000-0005-0000-0000-000036D50000}"/>
    <cellStyle name="Процентный 6 68 5" xfId="23056" xr:uid="{00000000-0005-0000-0000-000037D50000}"/>
    <cellStyle name="Процентный 6 68 6" xfId="28396" xr:uid="{00000000-0005-0000-0000-000038D50000}"/>
    <cellStyle name="Процентный 6 68 7" xfId="33736" xr:uid="{00000000-0005-0000-0000-000039D50000}"/>
    <cellStyle name="Процентный 6 68 8" xfId="39076" xr:uid="{00000000-0005-0000-0000-00003AD50000}"/>
    <cellStyle name="Процентный 6 68 9" xfId="44416" xr:uid="{00000000-0005-0000-0000-00003BD50000}"/>
    <cellStyle name="Процентный 6 69" xfId="1719" xr:uid="{00000000-0005-0000-0000-00003CD50000}"/>
    <cellStyle name="Процентный 6 69 10" xfId="49782" xr:uid="{00000000-0005-0000-0000-00003DD50000}"/>
    <cellStyle name="Процентный 6 69 2" xfId="7061" xr:uid="{00000000-0005-0000-0000-00003ED50000}"/>
    <cellStyle name="Процентный 6 69 2 2" xfId="55123" xr:uid="{00000000-0005-0000-0000-00003FD50000}"/>
    <cellStyle name="Процентный 6 69 3" xfId="12402" xr:uid="{00000000-0005-0000-0000-000040D50000}"/>
    <cellStyle name="Процентный 6 69 4" xfId="17742" xr:uid="{00000000-0005-0000-0000-000041D50000}"/>
    <cellStyle name="Процентный 6 69 5" xfId="23082" xr:uid="{00000000-0005-0000-0000-000042D50000}"/>
    <cellStyle name="Процентный 6 69 6" xfId="28422" xr:uid="{00000000-0005-0000-0000-000043D50000}"/>
    <cellStyle name="Процентный 6 69 7" xfId="33762" xr:uid="{00000000-0005-0000-0000-000044D50000}"/>
    <cellStyle name="Процентный 6 69 8" xfId="39102" xr:uid="{00000000-0005-0000-0000-000045D50000}"/>
    <cellStyle name="Процентный 6 69 9" xfId="44442" xr:uid="{00000000-0005-0000-0000-000046D50000}"/>
    <cellStyle name="Процентный 6 7" xfId="181" xr:uid="{00000000-0005-0000-0000-000047D50000}"/>
    <cellStyle name="Процентный 6 7 10" xfId="42903" xr:uid="{00000000-0005-0000-0000-000048D50000}"/>
    <cellStyle name="Процентный 6 7 11" xfId="48243" xr:uid="{00000000-0005-0000-0000-000049D50000}"/>
    <cellStyle name="Процентный 6 7 2" xfId="648" xr:uid="{00000000-0005-0000-0000-00004AD50000}"/>
    <cellStyle name="Процентный 6 7 2 10" xfId="48710" xr:uid="{00000000-0005-0000-0000-00004BD50000}"/>
    <cellStyle name="Процентный 6 7 2 2" xfId="5989" xr:uid="{00000000-0005-0000-0000-00004CD50000}"/>
    <cellStyle name="Процентный 6 7 2 2 2" xfId="54051" xr:uid="{00000000-0005-0000-0000-00004DD50000}"/>
    <cellStyle name="Процентный 6 7 2 3" xfId="11330" xr:uid="{00000000-0005-0000-0000-00004ED50000}"/>
    <cellStyle name="Процентный 6 7 2 4" xfId="16670" xr:uid="{00000000-0005-0000-0000-00004FD50000}"/>
    <cellStyle name="Процентный 6 7 2 5" xfId="22010" xr:uid="{00000000-0005-0000-0000-000050D50000}"/>
    <cellStyle name="Процентный 6 7 2 6" xfId="27350" xr:uid="{00000000-0005-0000-0000-000051D50000}"/>
    <cellStyle name="Процентный 6 7 2 7" xfId="32690" xr:uid="{00000000-0005-0000-0000-000052D50000}"/>
    <cellStyle name="Процентный 6 7 2 8" xfId="38030" xr:uid="{00000000-0005-0000-0000-000053D50000}"/>
    <cellStyle name="Процентный 6 7 2 9" xfId="43370" xr:uid="{00000000-0005-0000-0000-000054D50000}"/>
    <cellStyle name="Процентный 6 7 3" xfId="5522" xr:uid="{00000000-0005-0000-0000-000055D50000}"/>
    <cellStyle name="Процентный 6 7 3 2" xfId="53584" xr:uid="{00000000-0005-0000-0000-000056D50000}"/>
    <cellStyle name="Процентный 6 7 4" xfId="10863" xr:uid="{00000000-0005-0000-0000-000057D50000}"/>
    <cellStyle name="Процентный 6 7 5" xfId="16203" xr:uid="{00000000-0005-0000-0000-000058D50000}"/>
    <cellStyle name="Процентный 6 7 6" xfId="21543" xr:uid="{00000000-0005-0000-0000-000059D50000}"/>
    <cellStyle name="Процентный 6 7 7" xfId="26883" xr:uid="{00000000-0005-0000-0000-00005AD50000}"/>
    <cellStyle name="Процентный 6 7 8" xfId="32223" xr:uid="{00000000-0005-0000-0000-00005BD50000}"/>
    <cellStyle name="Процентный 6 7 9" xfId="37563" xr:uid="{00000000-0005-0000-0000-00005CD50000}"/>
    <cellStyle name="Процентный 6 70" xfId="1745" xr:uid="{00000000-0005-0000-0000-00005DD50000}"/>
    <cellStyle name="Процентный 6 70 10" xfId="49808" xr:uid="{00000000-0005-0000-0000-00005ED50000}"/>
    <cellStyle name="Процентный 6 70 2" xfId="7087" xr:uid="{00000000-0005-0000-0000-00005FD50000}"/>
    <cellStyle name="Процентный 6 70 2 2" xfId="55149" xr:uid="{00000000-0005-0000-0000-000060D50000}"/>
    <cellStyle name="Процентный 6 70 3" xfId="12428" xr:uid="{00000000-0005-0000-0000-000061D50000}"/>
    <cellStyle name="Процентный 6 70 4" xfId="17768" xr:uid="{00000000-0005-0000-0000-000062D50000}"/>
    <cellStyle name="Процентный 6 70 5" xfId="23108" xr:uid="{00000000-0005-0000-0000-000063D50000}"/>
    <cellStyle name="Процентный 6 70 6" xfId="28448" xr:uid="{00000000-0005-0000-0000-000064D50000}"/>
    <cellStyle name="Процентный 6 70 7" xfId="33788" xr:uid="{00000000-0005-0000-0000-000065D50000}"/>
    <cellStyle name="Процентный 6 70 8" xfId="39128" xr:uid="{00000000-0005-0000-0000-000066D50000}"/>
    <cellStyle name="Процентный 6 70 9" xfId="44468" xr:uid="{00000000-0005-0000-0000-000067D50000}"/>
    <cellStyle name="Процентный 6 71" xfId="1771" xr:uid="{00000000-0005-0000-0000-000068D50000}"/>
    <cellStyle name="Процентный 6 71 10" xfId="49834" xr:uid="{00000000-0005-0000-0000-000069D50000}"/>
    <cellStyle name="Процентный 6 71 2" xfId="7113" xr:uid="{00000000-0005-0000-0000-00006AD50000}"/>
    <cellStyle name="Процентный 6 71 2 2" xfId="55175" xr:uid="{00000000-0005-0000-0000-00006BD50000}"/>
    <cellStyle name="Процентный 6 71 3" xfId="12454" xr:uid="{00000000-0005-0000-0000-00006CD50000}"/>
    <cellStyle name="Процентный 6 71 4" xfId="17794" xr:uid="{00000000-0005-0000-0000-00006DD50000}"/>
    <cellStyle name="Процентный 6 71 5" xfId="23134" xr:uid="{00000000-0005-0000-0000-00006ED50000}"/>
    <cellStyle name="Процентный 6 71 6" xfId="28474" xr:uid="{00000000-0005-0000-0000-00006FD50000}"/>
    <cellStyle name="Процентный 6 71 7" xfId="33814" xr:uid="{00000000-0005-0000-0000-000070D50000}"/>
    <cellStyle name="Процентный 6 71 8" xfId="39154" xr:uid="{00000000-0005-0000-0000-000071D50000}"/>
    <cellStyle name="Процентный 6 71 9" xfId="44494" xr:uid="{00000000-0005-0000-0000-000072D50000}"/>
    <cellStyle name="Процентный 6 72" xfId="1797" xr:uid="{00000000-0005-0000-0000-000073D50000}"/>
    <cellStyle name="Процентный 6 72 10" xfId="49860" xr:uid="{00000000-0005-0000-0000-000074D50000}"/>
    <cellStyle name="Процентный 6 72 2" xfId="7139" xr:uid="{00000000-0005-0000-0000-000075D50000}"/>
    <cellStyle name="Процентный 6 72 2 2" xfId="55201" xr:uid="{00000000-0005-0000-0000-000076D50000}"/>
    <cellStyle name="Процентный 6 72 3" xfId="12480" xr:uid="{00000000-0005-0000-0000-000077D50000}"/>
    <cellStyle name="Процентный 6 72 4" xfId="17820" xr:uid="{00000000-0005-0000-0000-000078D50000}"/>
    <cellStyle name="Процентный 6 72 5" xfId="23160" xr:uid="{00000000-0005-0000-0000-000079D50000}"/>
    <cellStyle name="Процентный 6 72 6" xfId="28500" xr:uid="{00000000-0005-0000-0000-00007AD50000}"/>
    <cellStyle name="Процентный 6 72 7" xfId="33840" xr:uid="{00000000-0005-0000-0000-00007BD50000}"/>
    <cellStyle name="Процентный 6 72 8" xfId="39180" xr:uid="{00000000-0005-0000-0000-00007CD50000}"/>
    <cellStyle name="Процентный 6 72 9" xfId="44520" xr:uid="{00000000-0005-0000-0000-00007DD50000}"/>
    <cellStyle name="Процентный 6 73" xfId="1823" xr:uid="{00000000-0005-0000-0000-00007ED50000}"/>
    <cellStyle name="Процентный 6 73 10" xfId="49886" xr:uid="{00000000-0005-0000-0000-00007FD50000}"/>
    <cellStyle name="Процентный 6 73 2" xfId="7165" xr:uid="{00000000-0005-0000-0000-000080D50000}"/>
    <cellStyle name="Процентный 6 73 2 2" xfId="55227" xr:uid="{00000000-0005-0000-0000-000081D50000}"/>
    <cellStyle name="Процентный 6 73 3" xfId="12506" xr:uid="{00000000-0005-0000-0000-000082D50000}"/>
    <cellStyle name="Процентный 6 73 4" xfId="17846" xr:uid="{00000000-0005-0000-0000-000083D50000}"/>
    <cellStyle name="Процентный 6 73 5" xfId="23186" xr:uid="{00000000-0005-0000-0000-000084D50000}"/>
    <cellStyle name="Процентный 6 73 6" xfId="28526" xr:uid="{00000000-0005-0000-0000-000085D50000}"/>
    <cellStyle name="Процентный 6 73 7" xfId="33866" xr:uid="{00000000-0005-0000-0000-000086D50000}"/>
    <cellStyle name="Процентный 6 73 8" xfId="39206" xr:uid="{00000000-0005-0000-0000-000087D50000}"/>
    <cellStyle name="Процентный 6 73 9" xfId="44546" xr:uid="{00000000-0005-0000-0000-000088D50000}"/>
    <cellStyle name="Процентный 6 74" xfId="1849" xr:uid="{00000000-0005-0000-0000-000089D50000}"/>
    <cellStyle name="Процентный 6 74 10" xfId="49912" xr:uid="{00000000-0005-0000-0000-00008AD50000}"/>
    <cellStyle name="Процентный 6 74 2" xfId="7191" xr:uid="{00000000-0005-0000-0000-00008BD50000}"/>
    <cellStyle name="Процентный 6 74 2 2" xfId="55253" xr:uid="{00000000-0005-0000-0000-00008CD50000}"/>
    <cellStyle name="Процентный 6 74 3" xfId="12532" xr:uid="{00000000-0005-0000-0000-00008DD50000}"/>
    <cellStyle name="Процентный 6 74 4" xfId="17872" xr:uid="{00000000-0005-0000-0000-00008ED50000}"/>
    <cellStyle name="Процентный 6 74 5" xfId="23212" xr:uid="{00000000-0005-0000-0000-00008FD50000}"/>
    <cellStyle name="Процентный 6 74 6" xfId="28552" xr:uid="{00000000-0005-0000-0000-000090D50000}"/>
    <cellStyle name="Процентный 6 74 7" xfId="33892" xr:uid="{00000000-0005-0000-0000-000091D50000}"/>
    <cellStyle name="Процентный 6 74 8" xfId="39232" xr:uid="{00000000-0005-0000-0000-000092D50000}"/>
    <cellStyle name="Процентный 6 74 9" xfId="44572" xr:uid="{00000000-0005-0000-0000-000093D50000}"/>
    <cellStyle name="Процентный 6 75" xfId="1875" xr:uid="{00000000-0005-0000-0000-000094D50000}"/>
    <cellStyle name="Процентный 6 75 10" xfId="49938" xr:uid="{00000000-0005-0000-0000-000095D50000}"/>
    <cellStyle name="Процентный 6 75 2" xfId="7217" xr:uid="{00000000-0005-0000-0000-000096D50000}"/>
    <cellStyle name="Процентный 6 75 2 2" xfId="55279" xr:uid="{00000000-0005-0000-0000-000097D50000}"/>
    <cellStyle name="Процентный 6 75 3" xfId="12558" xr:uid="{00000000-0005-0000-0000-000098D50000}"/>
    <cellStyle name="Процентный 6 75 4" xfId="17898" xr:uid="{00000000-0005-0000-0000-000099D50000}"/>
    <cellStyle name="Процентный 6 75 5" xfId="23238" xr:uid="{00000000-0005-0000-0000-00009AD50000}"/>
    <cellStyle name="Процентный 6 75 6" xfId="28578" xr:uid="{00000000-0005-0000-0000-00009BD50000}"/>
    <cellStyle name="Процентный 6 75 7" xfId="33918" xr:uid="{00000000-0005-0000-0000-00009CD50000}"/>
    <cellStyle name="Процентный 6 75 8" xfId="39258" xr:uid="{00000000-0005-0000-0000-00009DD50000}"/>
    <cellStyle name="Процентный 6 75 9" xfId="44598" xr:uid="{00000000-0005-0000-0000-00009ED50000}"/>
    <cellStyle name="Процентный 6 76" xfId="1901" xr:uid="{00000000-0005-0000-0000-00009FD50000}"/>
    <cellStyle name="Процентный 6 76 10" xfId="49964" xr:uid="{00000000-0005-0000-0000-0000A0D50000}"/>
    <cellStyle name="Процентный 6 76 2" xfId="7243" xr:uid="{00000000-0005-0000-0000-0000A1D50000}"/>
    <cellStyle name="Процентный 6 76 2 2" xfId="55305" xr:uid="{00000000-0005-0000-0000-0000A2D50000}"/>
    <cellStyle name="Процентный 6 76 3" xfId="12584" xr:uid="{00000000-0005-0000-0000-0000A3D50000}"/>
    <cellStyle name="Процентный 6 76 4" xfId="17924" xr:uid="{00000000-0005-0000-0000-0000A4D50000}"/>
    <cellStyle name="Процентный 6 76 5" xfId="23264" xr:uid="{00000000-0005-0000-0000-0000A5D50000}"/>
    <cellStyle name="Процентный 6 76 6" xfId="28604" xr:uid="{00000000-0005-0000-0000-0000A6D50000}"/>
    <cellStyle name="Процентный 6 76 7" xfId="33944" xr:uid="{00000000-0005-0000-0000-0000A7D50000}"/>
    <cellStyle name="Процентный 6 76 8" xfId="39284" xr:uid="{00000000-0005-0000-0000-0000A8D50000}"/>
    <cellStyle name="Процентный 6 76 9" xfId="44624" xr:uid="{00000000-0005-0000-0000-0000A9D50000}"/>
    <cellStyle name="Процентный 6 77" xfId="1927" xr:uid="{00000000-0005-0000-0000-0000AAD50000}"/>
    <cellStyle name="Процентный 6 77 10" xfId="49990" xr:uid="{00000000-0005-0000-0000-0000ABD50000}"/>
    <cellStyle name="Процентный 6 77 2" xfId="7269" xr:uid="{00000000-0005-0000-0000-0000ACD50000}"/>
    <cellStyle name="Процентный 6 77 2 2" xfId="55331" xr:uid="{00000000-0005-0000-0000-0000ADD50000}"/>
    <cellStyle name="Процентный 6 77 3" xfId="12610" xr:uid="{00000000-0005-0000-0000-0000AED50000}"/>
    <cellStyle name="Процентный 6 77 4" xfId="17950" xr:uid="{00000000-0005-0000-0000-0000AFD50000}"/>
    <cellStyle name="Процентный 6 77 5" xfId="23290" xr:uid="{00000000-0005-0000-0000-0000B0D50000}"/>
    <cellStyle name="Процентный 6 77 6" xfId="28630" xr:uid="{00000000-0005-0000-0000-0000B1D50000}"/>
    <cellStyle name="Процентный 6 77 7" xfId="33970" xr:uid="{00000000-0005-0000-0000-0000B2D50000}"/>
    <cellStyle name="Процентный 6 77 8" xfId="39310" xr:uid="{00000000-0005-0000-0000-0000B3D50000}"/>
    <cellStyle name="Процентный 6 77 9" xfId="44650" xr:uid="{00000000-0005-0000-0000-0000B4D50000}"/>
    <cellStyle name="Процентный 6 78" xfId="1955" xr:uid="{00000000-0005-0000-0000-0000B5D50000}"/>
    <cellStyle name="Процентный 6 78 10" xfId="50018" xr:uid="{00000000-0005-0000-0000-0000B6D50000}"/>
    <cellStyle name="Процентный 6 78 2" xfId="7297" xr:uid="{00000000-0005-0000-0000-0000B7D50000}"/>
    <cellStyle name="Процентный 6 78 2 2" xfId="55359" xr:uid="{00000000-0005-0000-0000-0000B8D50000}"/>
    <cellStyle name="Процентный 6 78 3" xfId="12638" xr:uid="{00000000-0005-0000-0000-0000B9D50000}"/>
    <cellStyle name="Процентный 6 78 4" xfId="17978" xr:uid="{00000000-0005-0000-0000-0000BAD50000}"/>
    <cellStyle name="Процентный 6 78 5" xfId="23318" xr:uid="{00000000-0005-0000-0000-0000BBD50000}"/>
    <cellStyle name="Процентный 6 78 6" xfId="28658" xr:uid="{00000000-0005-0000-0000-0000BCD50000}"/>
    <cellStyle name="Процентный 6 78 7" xfId="33998" xr:uid="{00000000-0005-0000-0000-0000BDD50000}"/>
    <cellStyle name="Процентный 6 78 8" xfId="39338" xr:uid="{00000000-0005-0000-0000-0000BED50000}"/>
    <cellStyle name="Процентный 6 78 9" xfId="44678" xr:uid="{00000000-0005-0000-0000-0000BFD50000}"/>
    <cellStyle name="Процентный 6 79" xfId="1982" xr:uid="{00000000-0005-0000-0000-0000C0D50000}"/>
    <cellStyle name="Процентный 6 79 10" xfId="50046" xr:uid="{00000000-0005-0000-0000-0000C1D50000}"/>
    <cellStyle name="Процентный 6 79 2" xfId="7325" xr:uid="{00000000-0005-0000-0000-0000C2D50000}"/>
    <cellStyle name="Процентный 6 79 2 2" xfId="55387" xr:uid="{00000000-0005-0000-0000-0000C3D50000}"/>
    <cellStyle name="Процентный 6 79 3" xfId="12666" xr:uid="{00000000-0005-0000-0000-0000C4D50000}"/>
    <cellStyle name="Процентный 6 79 4" xfId="18006" xr:uid="{00000000-0005-0000-0000-0000C5D50000}"/>
    <cellStyle name="Процентный 6 79 5" xfId="23346" xr:uid="{00000000-0005-0000-0000-0000C6D50000}"/>
    <cellStyle name="Процентный 6 79 6" xfId="28686" xr:uid="{00000000-0005-0000-0000-0000C7D50000}"/>
    <cellStyle name="Процентный 6 79 7" xfId="34026" xr:uid="{00000000-0005-0000-0000-0000C8D50000}"/>
    <cellStyle name="Процентный 6 79 8" xfId="39366" xr:uid="{00000000-0005-0000-0000-0000C9D50000}"/>
    <cellStyle name="Процентный 6 79 9" xfId="44706" xr:uid="{00000000-0005-0000-0000-0000CAD50000}"/>
    <cellStyle name="Процентный 6 8" xfId="191" xr:uid="{00000000-0005-0000-0000-0000CBD50000}"/>
    <cellStyle name="Процентный 6 8 10" xfId="42913" xr:uid="{00000000-0005-0000-0000-0000CCD50000}"/>
    <cellStyle name="Процентный 6 8 11" xfId="48253" xr:uid="{00000000-0005-0000-0000-0000CDD50000}"/>
    <cellStyle name="Процентный 6 8 2" xfId="658" xr:uid="{00000000-0005-0000-0000-0000CED50000}"/>
    <cellStyle name="Процентный 6 8 2 10" xfId="48720" xr:uid="{00000000-0005-0000-0000-0000CFD50000}"/>
    <cellStyle name="Процентный 6 8 2 2" xfId="5999" xr:uid="{00000000-0005-0000-0000-0000D0D50000}"/>
    <cellStyle name="Процентный 6 8 2 2 2" xfId="54061" xr:uid="{00000000-0005-0000-0000-0000D1D50000}"/>
    <cellStyle name="Процентный 6 8 2 3" xfId="11340" xr:uid="{00000000-0005-0000-0000-0000D2D50000}"/>
    <cellStyle name="Процентный 6 8 2 4" xfId="16680" xr:uid="{00000000-0005-0000-0000-0000D3D50000}"/>
    <cellStyle name="Процентный 6 8 2 5" xfId="22020" xr:uid="{00000000-0005-0000-0000-0000D4D50000}"/>
    <cellStyle name="Процентный 6 8 2 6" xfId="27360" xr:uid="{00000000-0005-0000-0000-0000D5D50000}"/>
    <cellStyle name="Процентный 6 8 2 7" xfId="32700" xr:uid="{00000000-0005-0000-0000-0000D6D50000}"/>
    <cellStyle name="Процентный 6 8 2 8" xfId="38040" xr:uid="{00000000-0005-0000-0000-0000D7D50000}"/>
    <cellStyle name="Процентный 6 8 2 9" xfId="43380" xr:uid="{00000000-0005-0000-0000-0000D8D50000}"/>
    <cellStyle name="Процентный 6 8 3" xfId="5532" xr:uid="{00000000-0005-0000-0000-0000D9D50000}"/>
    <cellStyle name="Процентный 6 8 3 2" xfId="53594" xr:uid="{00000000-0005-0000-0000-0000DAD50000}"/>
    <cellStyle name="Процентный 6 8 4" xfId="10873" xr:uid="{00000000-0005-0000-0000-0000DBD50000}"/>
    <cellStyle name="Процентный 6 8 5" xfId="16213" xr:uid="{00000000-0005-0000-0000-0000DCD50000}"/>
    <cellStyle name="Процентный 6 8 6" xfId="21553" xr:uid="{00000000-0005-0000-0000-0000DDD50000}"/>
    <cellStyle name="Процентный 6 8 7" xfId="26893" xr:uid="{00000000-0005-0000-0000-0000DED50000}"/>
    <cellStyle name="Процентный 6 8 8" xfId="32233" xr:uid="{00000000-0005-0000-0000-0000DFD50000}"/>
    <cellStyle name="Процентный 6 8 9" xfId="37573" xr:uid="{00000000-0005-0000-0000-0000E0D50000}"/>
    <cellStyle name="Процентный 6 80" xfId="2010" xr:uid="{00000000-0005-0000-0000-0000E1D50000}"/>
    <cellStyle name="Процентный 6 80 10" xfId="50074" xr:uid="{00000000-0005-0000-0000-0000E2D50000}"/>
    <cellStyle name="Процентный 6 80 2" xfId="7353" xr:uid="{00000000-0005-0000-0000-0000E3D50000}"/>
    <cellStyle name="Процентный 6 80 2 2" xfId="55415" xr:uid="{00000000-0005-0000-0000-0000E4D50000}"/>
    <cellStyle name="Процентный 6 80 3" xfId="12694" xr:uid="{00000000-0005-0000-0000-0000E5D50000}"/>
    <cellStyle name="Процентный 6 80 4" xfId="18034" xr:uid="{00000000-0005-0000-0000-0000E6D50000}"/>
    <cellStyle name="Процентный 6 80 5" xfId="23374" xr:uid="{00000000-0005-0000-0000-0000E7D50000}"/>
    <cellStyle name="Процентный 6 80 6" xfId="28714" xr:uid="{00000000-0005-0000-0000-0000E8D50000}"/>
    <cellStyle name="Процентный 6 80 7" xfId="34054" xr:uid="{00000000-0005-0000-0000-0000E9D50000}"/>
    <cellStyle name="Процентный 6 80 8" xfId="39394" xr:uid="{00000000-0005-0000-0000-0000EAD50000}"/>
    <cellStyle name="Процентный 6 80 9" xfId="44734" xr:uid="{00000000-0005-0000-0000-0000EBD50000}"/>
    <cellStyle name="Процентный 6 81" xfId="2038" xr:uid="{00000000-0005-0000-0000-0000ECD50000}"/>
    <cellStyle name="Процентный 6 81 10" xfId="50102" xr:uid="{00000000-0005-0000-0000-0000EDD50000}"/>
    <cellStyle name="Процентный 6 81 2" xfId="7381" xr:uid="{00000000-0005-0000-0000-0000EED50000}"/>
    <cellStyle name="Процентный 6 81 2 2" xfId="55443" xr:uid="{00000000-0005-0000-0000-0000EFD50000}"/>
    <cellStyle name="Процентный 6 81 3" xfId="12722" xr:uid="{00000000-0005-0000-0000-0000F0D50000}"/>
    <cellStyle name="Процентный 6 81 4" xfId="18062" xr:uid="{00000000-0005-0000-0000-0000F1D50000}"/>
    <cellStyle name="Процентный 6 81 5" xfId="23402" xr:uid="{00000000-0005-0000-0000-0000F2D50000}"/>
    <cellStyle name="Процентный 6 81 6" xfId="28742" xr:uid="{00000000-0005-0000-0000-0000F3D50000}"/>
    <cellStyle name="Процентный 6 81 7" xfId="34082" xr:uid="{00000000-0005-0000-0000-0000F4D50000}"/>
    <cellStyle name="Процентный 6 81 8" xfId="39422" xr:uid="{00000000-0005-0000-0000-0000F5D50000}"/>
    <cellStyle name="Процентный 6 81 9" xfId="44762" xr:uid="{00000000-0005-0000-0000-0000F6D50000}"/>
    <cellStyle name="Процентный 6 82" xfId="2066" xr:uid="{00000000-0005-0000-0000-0000F7D50000}"/>
    <cellStyle name="Процентный 6 82 10" xfId="50130" xr:uid="{00000000-0005-0000-0000-0000F8D50000}"/>
    <cellStyle name="Процентный 6 82 2" xfId="7409" xr:uid="{00000000-0005-0000-0000-0000F9D50000}"/>
    <cellStyle name="Процентный 6 82 2 2" xfId="55471" xr:uid="{00000000-0005-0000-0000-0000FAD50000}"/>
    <cellStyle name="Процентный 6 82 3" xfId="12750" xr:uid="{00000000-0005-0000-0000-0000FBD50000}"/>
    <cellStyle name="Процентный 6 82 4" xfId="18090" xr:uid="{00000000-0005-0000-0000-0000FCD50000}"/>
    <cellStyle name="Процентный 6 82 5" xfId="23430" xr:uid="{00000000-0005-0000-0000-0000FDD50000}"/>
    <cellStyle name="Процентный 6 82 6" xfId="28770" xr:uid="{00000000-0005-0000-0000-0000FED50000}"/>
    <cellStyle name="Процентный 6 82 7" xfId="34110" xr:uid="{00000000-0005-0000-0000-0000FFD50000}"/>
    <cellStyle name="Процентный 6 82 8" xfId="39450" xr:uid="{00000000-0005-0000-0000-000000D60000}"/>
    <cellStyle name="Процентный 6 82 9" xfId="44790" xr:uid="{00000000-0005-0000-0000-000001D60000}"/>
    <cellStyle name="Процентный 6 83" xfId="2094" xr:uid="{00000000-0005-0000-0000-000002D60000}"/>
    <cellStyle name="Процентный 6 83 10" xfId="50158" xr:uid="{00000000-0005-0000-0000-000003D60000}"/>
    <cellStyle name="Процентный 6 83 2" xfId="7437" xr:uid="{00000000-0005-0000-0000-000004D60000}"/>
    <cellStyle name="Процентный 6 83 2 2" xfId="55499" xr:uid="{00000000-0005-0000-0000-000005D60000}"/>
    <cellStyle name="Процентный 6 83 3" xfId="12778" xr:uid="{00000000-0005-0000-0000-000006D60000}"/>
    <cellStyle name="Процентный 6 83 4" xfId="18118" xr:uid="{00000000-0005-0000-0000-000007D60000}"/>
    <cellStyle name="Процентный 6 83 5" xfId="23458" xr:uid="{00000000-0005-0000-0000-000008D60000}"/>
    <cellStyle name="Процентный 6 83 6" xfId="28798" xr:uid="{00000000-0005-0000-0000-000009D60000}"/>
    <cellStyle name="Процентный 6 83 7" xfId="34138" xr:uid="{00000000-0005-0000-0000-00000AD60000}"/>
    <cellStyle name="Процентный 6 83 8" xfId="39478" xr:uid="{00000000-0005-0000-0000-00000BD60000}"/>
    <cellStyle name="Процентный 6 83 9" xfId="44818" xr:uid="{00000000-0005-0000-0000-00000CD60000}"/>
    <cellStyle name="Процентный 6 84" xfId="2122" xr:uid="{00000000-0005-0000-0000-00000DD60000}"/>
    <cellStyle name="Процентный 6 84 10" xfId="50186" xr:uid="{00000000-0005-0000-0000-00000ED60000}"/>
    <cellStyle name="Процентный 6 84 2" xfId="7465" xr:uid="{00000000-0005-0000-0000-00000FD60000}"/>
    <cellStyle name="Процентный 6 84 2 2" xfId="55527" xr:uid="{00000000-0005-0000-0000-000010D60000}"/>
    <cellStyle name="Процентный 6 84 3" xfId="12806" xr:uid="{00000000-0005-0000-0000-000011D60000}"/>
    <cellStyle name="Процентный 6 84 4" xfId="18146" xr:uid="{00000000-0005-0000-0000-000012D60000}"/>
    <cellStyle name="Процентный 6 84 5" xfId="23486" xr:uid="{00000000-0005-0000-0000-000013D60000}"/>
    <cellStyle name="Процентный 6 84 6" xfId="28826" xr:uid="{00000000-0005-0000-0000-000014D60000}"/>
    <cellStyle name="Процентный 6 84 7" xfId="34166" xr:uid="{00000000-0005-0000-0000-000015D60000}"/>
    <cellStyle name="Процентный 6 84 8" xfId="39506" xr:uid="{00000000-0005-0000-0000-000016D60000}"/>
    <cellStyle name="Процентный 6 84 9" xfId="44846" xr:uid="{00000000-0005-0000-0000-000017D60000}"/>
    <cellStyle name="Процентный 6 85" xfId="2152" xr:uid="{00000000-0005-0000-0000-000018D60000}"/>
    <cellStyle name="Процентный 6 85 10" xfId="50216" xr:uid="{00000000-0005-0000-0000-000019D60000}"/>
    <cellStyle name="Процентный 6 85 2" xfId="7495" xr:uid="{00000000-0005-0000-0000-00001AD60000}"/>
    <cellStyle name="Процентный 6 85 2 2" xfId="55557" xr:uid="{00000000-0005-0000-0000-00001BD60000}"/>
    <cellStyle name="Процентный 6 85 3" xfId="12836" xr:uid="{00000000-0005-0000-0000-00001CD60000}"/>
    <cellStyle name="Процентный 6 85 4" xfId="18176" xr:uid="{00000000-0005-0000-0000-00001DD60000}"/>
    <cellStyle name="Процентный 6 85 5" xfId="23516" xr:uid="{00000000-0005-0000-0000-00001ED60000}"/>
    <cellStyle name="Процентный 6 85 6" xfId="28856" xr:uid="{00000000-0005-0000-0000-00001FD60000}"/>
    <cellStyle name="Процентный 6 85 7" xfId="34196" xr:uid="{00000000-0005-0000-0000-000020D60000}"/>
    <cellStyle name="Процентный 6 85 8" xfId="39536" xr:uid="{00000000-0005-0000-0000-000021D60000}"/>
    <cellStyle name="Процентный 6 85 9" xfId="44876" xr:uid="{00000000-0005-0000-0000-000022D60000}"/>
    <cellStyle name="Процентный 6 86" xfId="2182" xr:uid="{00000000-0005-0000-0000-000023D60000}"/>
    <cellStyle name="Процентный 6 86 10" xfId="50246" xr:uid="{00000000-0005-0000-0000-000024D60000}"/>
    <cellStyle name="Процентный 6 86 2" xfId="7525" xr:uid="{00000000-0005-0000-0000-000025D60000}"/>
    <cellStyle name="Процентный 6 86 2 2" xfId="55587" xr:uid="{00000000-0005-0000-0000-000026D60000}"/>
    <cellStyle name="Процентный 6 86 3" xfId="12866" xr:uid="{00000000-0005-0000-0000-000027D60000}"/>
    <cellStyle name="Процентный 6 86 4" xfId="18206" xr:uid="{00000000-0005-0000-0000-000028D60000}"/>
    <cellStyle name="Процентный 6 86 5" xfId="23546" xr:uid="{00000000-0005-0000-0000-000029D60000}"/>
    <cellStyle name="Процентный 6 86 6" xfId="28886" xr:uid="{00000000-0005-0000-0000-00002AD60000}"/>
    <cellStyle name="Процентный 6 86 7" xfId="34226" xr:uid="{00000000-0005-0000-0000-00002BD60000}"/>
    <cellStyle name="Процентный 6 86 8" xfId="39566" xr:uid="{00000000-0005-0000-0000-00002CD60000}"/>
    <cellStyle name="Процентный 6 86 9" xfId="44906" xr:uid="{00000000-0005-0000-0000-00002DD60000}"/>
    <cellStyle name="Процентный 6 87" xfId="2212" xr:uid="{00000000-0005-0000-0000-00002ED60000}"/>
    <cellStyle name="Процентный 6 87 10" xfId="50276" xr:uid="{00000000-0005-0000-0000-00002FD60000}"/>
    <cellStyle name="Процентный 6 87 2" xfId="7555" xr:uid="{00000000-0005-0000-0000-000030D60000}"/>
    <cellStyle name="Процентный 6 87 2 2" xfId="55617" xr:uid="{00000000-0005-0000-0000-000031D60000}"/>
    <cellStyle name="Процентный 6 87 3" xfId="12896" xr:uid="{00000000-0005-0000-0000-000032D60000}"/>
    <cellStyle name="Процентный 6 87 4" xfId="18236" xr:uid="{00000000-0005-0000-0000-000033D60000}"/>
    <cellStyle name="Процентный 6 87 5" xfId="23576" xr:uid="{00000000-0005-0000-0000-000034D60000}"/>
    <cellStyle name="Процентный 6 87 6" xfId="28916" xr:uid="{00000000-0005-0000-0000-000035D60000}"/>
    <cellStyle name="Процентный 6 87 7" xfId="34256" xr:uid="{00000000-0005-0000-0000-000036D60000}"/>
    <cellStyle name="Процентный 6 87 8" xfId="39596" xr:uid="{00000000-0005-0000-0000-000037D60000}"/>
    <cellStyle name="Процентный 6 87 9" xfId="44936" xr:uid="{00000000-0005-0000-0000-000038D60000}"/>
    <cellStyle name="Процентный 6 88" xfId="2242" xr:uid="{00000000-0005-0000-0000-000039D60000}"/>
    <cellStyle name="Процентный 6 88 10" xfId="50306" xr:uid="{00000000-0005-0000-0000-00003AD60000}"/>
    <cellStyle name="Процентный 6 88 2" xfId="7585" xr:uid="{00000000-0005-0000-0000-00003BD60000}"/>
    <cellStyle name="Процентный 6 88 2 2" xfId="55647" xr:uid="{00000000-0005-0000-0000-00003CD60000}"/>
    <cellStyle name="Процентный 6 88 3" xfId="12926" xr:uid="{00000000-0005-0000-0000-00003DD60000}"/>
    <cellStyle name="Процентный 6 88 4" xfId="18266" xr:uid="{00000000-0005-0000-0000-00003ED60000}"/>
    <cellStyle name="Процентный 6 88 5" xfId="23606" xr:uid="{00000000-0005-0000-0000-00003FD60000}"/>
    <cellStyle name="Процентный 6 88 6" xfId="28946" xr:uid="{00000000-0005-0000-0000-000040D60000}"/>
    <cellStyle name="Процентный 6 88 7" xfId="34286" xr:uid="{00000000-0005-0000-0000-000041D60000}"/>
    <cellStyle name="Процентный 6 88 8" xfId="39626" xr:uid="{00000000-0005-0000-0000-000042D60000}"/>
    <cellStyle name="Процентный 6 88 9" xfId="44966" xr:uid="{00000000-0005-0000-0000-000043D60000}"/>
    <cellStyle name="Процентный 6 89" xfId="2272" xr:uid="{00000000-0005-0000-0000-000044D60000}"/>
    <cellStyle name="Процентный 6 89 10" xfId="50336" xr:uid="{00000000-0005-0000-0000-000045D60000}"/>
    <cellStyle name="Процентный 6 89 2" xfId="7615" xr:uid="{00000000-0005-0000-0000-000046D60000}"/>
    <cellStyle name="Процентный 6 89 2 2" xfId="55677" xr:uid="{00000000-0005-0000-0000-000047D60000}"/>
    <cellStyle name="Процентный 6 89 3" xfId="12956" xr:uid="{00000000-0005-0000-0000-000048D60000}"/>
    <cellStyle name="Процентный 6 89 4" xfId="18296" xr:uid="{00000000-0005-0000-0000-000049D60000}"/>
    <cellStyle name="Процентный 6 89 5" xfId="23636" xr:uid="{00000000-0005-0000-0000-00004AD60000}"/>
    <cellStyle name="Процентный 6 89 6" xfId="28976" xr:uid="{00000000-0005-0000-0000-00004BD60000}"/>
    <cellStyle name="Процентный 6 89 7" xfId="34316" xr:uid="{00000000-0005-0000-0000-00004CD60000}"/>
    <cellStyle name="Процентный 6 89 8" xfId="39656" xr:uid="{00000000-0005-0000-0000-00004DD60000}"/>
    <cellStyle name="Процентный 6 89 9" xfId="44996" xr:uid="{00000000-0005-0000-0000-00004ED60000}"/>
    <cellStyle name="Процентный 6 9" xfId="201" xr:uid="{00000000-0005-0000-0000-00004FD60000}"/>
    <cellStyle name="Процентный 6 9 10" xfId="42923" xr:uid="{00000000-0005-0000-0000-000050D60000}"/>
    <cellStyle name="Процентный 6 9 11" xfId="48263" xr:uid="{00000000-0005-0000-0000-000051D60000}"/>
    <cellStyle name="Процентный 6 9 2" xfId="668" xr:uid="{00000000-0005-0000-0000-000052D60000}"/>
    <cellStyle name="Процентный 6 9 2 10" xfId="48730" xr:uid="{00000000-0005-0000-0000-000053D60000}"/>
    <cellStyle name="Процентный 6 9 2 2" xfId="6009" xr:uid="{00000000-0005-0000-0000-000054D60000}"/>
    <cellStyle name="Процентный 6 9 2 2 2" xfId="54071" xr:uid="{00000000-0005-0000-0000-000055D60000}"/>
    <cellStyle name="Процентный 6 9 2 3" xfId="11350" xr:uid="{00000000-0005-0000-0000-000056D60000}"/>
    <cellStyle name="Процентный 6 9 2 4" xfId="16690" xr:uid="{00000000-0005-0000-0000-000057D60000}"/>
    <cellStyle name="Процентный 6 9 2 5" xfId="22030" xr:uid="{00000000-0005-0000-0000-000058D60000}"/>
    <cellStyle name="Процентный 6 9 2 6" xfId="27370" xr:uid="{00000000-0005-0000-0000-000059D60000}"/>
    <cellStyle name="Процентный 6 9 2 7" xfId="32710" xr:uid="{00000000-0005-0000-0000-00005AD60000}"/>
    <cellStyle name="Процентный 6 9 2 8" xfId="38050" xr:uid="{00000000-0005-0000-0000-00005BD60000}"/>
    <cellStyle name="Процентный 6 9 2 9" xfId="43390" xr:uid="{00000000-0005-0000-0000-00005CD60000}"/>
    <cellStyle name="Процентный 6 9 3" xfId="5542" xr:uid="{00000000-0005-0000-0000-00005DD60000}"/>
    <cellStyle name="Процентный 6 9 3 2" xfId="53604" xr:uid="{00000000-0005-0000-0000-00005ED60000}"/>
    <cellStyle name="Процентный 6 9 4" xfId="10883" xr:uid="{00000000-0005-0000-0000-00005FD60000}"/>
    <cellStyle name="Процентный 6 9 5" xfId="16223" xr:uid="{00000000-0005-0000-0000-000060D60000}"/>
    <cellStyle name="Процентный 6 9 6" xfId="21563" xr:uid="{00000000-0005-0000-0000-000061D60000}"/>
    <cellStyle name="Процентный 6 9 7" xfId="26903" xr:uid="{00000000-0005-0000-0000-000062D60000}"/>
    <cellStyle name="Процентный 6 9 8" xfId="32243" xr:uid="{00000000-0005-0000-0000-000063D60000}"/>
    <cellStyle name="Процентный 6 9 9" xfId="37583" xr:uid="{00000000-0005-0000-0000-000064D60000}"/>
    <cellStyle name="Процентный 6 90" xfId="2302" xr:uid="{00000000-0005-0000-0000-000065D60000}"/>
    <cellStyle name="Процентный 6 90 10" xfId="50366" xr:uid="{00000000-0005-0000-0000-000066D60000}"/>
    <cellStyle name="Процентный 6 90 2" xfId="7645" xr:uid="{00000000-0005-0000-0000-000067D60000}"/>
    <cellStyle name="Процентный 6 90 2 2" xfId="55707" xr:uid="{00000000-0005-0000-0000-000068D60000}"/>
    <cellStyle name="Процентный 6 90 3" xfId="12986" xr:uid="{00000000-0005-0000-0000-000069D60000}"/>
    <cellStyle name="Процентный 6 90 4" xfId="18326" xr:uid="{00000000-0005-0000-0000-00006AD60000}"/>
    <cellStyle name="Процентный 6 90 5" xfId="23666" xr:uid="{00000000-0005-0000-0000-00006BD60000}"/>
    <cellStyle name="Процентный 6 90 6" xfId="29006" xr:uid="{00000000-0005-0000-0000-00006CD60000}"/>
    <cellStyle name="Процентный 6 90 7" xfId="34346" xr:uid="{00000000-0005-0000-0000-00006DD60000}"/>
    <cellStyle name="Процентный 6 90 8" xfId="39686" xr:uid="{00000000-0005-0000-0000-00006ED60000}"/>
    <cellStyle name="Процентный 6 90 9" xfId="45026" xr:uid="{00000000-0005-0000-0000-00006FD60000}"/>
    <cellStyle name="Процентный 6 91" xfId="2332" xr:uid="{00000000-0005-0000-0000-000070D60000}"/>
    <cellStyle name="Процентный 6 91 10" xfId="50396" xr:uid="{00000000-0005-0000-0000-000071D60000}"/>
    <cellStyle name="Процентный 6 91 2" xfId="7675" xr:uid="{00000000-0005-0000-0000-000072D60000}"/>
    <cellStyle name="Процентный 6 91 2 2" xfId="55737" xr:uid="{00000000-0005-0000-0000-000073D60000}"/>
    <cellStyle name="Процентный 6 91 3" xfId="13016" xr:uid="{00000000-0005-0000-0000-000074D60000}"/>
    <cellStyle name="Процентный 6 91 4" xfId="18356" xr:uid="{00000000-0005-0000-0000-000075D60000}"/>
    <cellStyle name="Процентный 6 91 5" xfId="23696" xr:uid="{00000000-0005-0000-0000-000076D60000}"/>
    <cellStyle name="Процентный 6 91 6" xfId="29036" xr:uid="{00000000-0005-0000-0000-000077D60000}"/>
    <cellStyle name="Процентный 6 91 7" xfId="34376" xr:uid="{00000000-0005-0000-0000-000078D60000}"/>
    <cellStyle name="Процентный 6 91 8" xfId="39716" xr:uid="{00000000-0005-0000-0000-000079D60000}"/>
    <cellStyle name="Процентный 6 91 9" xfId="45056" xr:uid="{00000000-0005-0000-0000-00007AD60000}"/>
    <cellStyle name="Процентный 6 92" xfId="2362" xr:uid="{00000000-0005-0000-0000-00007BD60000}"/>
    <cellStyle name="Процентный 6 92 10" xfId="50426" xr:uid="{00000000-0005-0000-0000-00007CD60000}"/>
    <cellStyle name="Процентный 6 92 2" xfId="7705" xr:uid="{00000000-0005-0000-0000-00007DD60000}"/>
    <cellStyle name="Процентный 6 92 2 2" xfId="55767" xr:uid="{00000000-0005-0000-0000-00007ED60000}"/>
    <cellStyle name="Процентный 6 92 3" xfId="13046" xr:uid="{00000000-0005-0000-0000-00007FD60000}"/>
    <cellStyle name="Процентный 6 92 4" xfId="18386" xr:uid="{00000000-0005-0000-0000-000080D60000}"/>
    <cellStyle name="Процентный 6 92 5" xfId="23726" xr:uid="{00000000-0005-0000-0000-000081D60000}"/>
    <cellStyle name="Процентный 6 92 6" xfId="29066" xr:uid="{00000000-0005-0000-0000-000082D60000}"/>
    <cellStyle name="Процентный 6 92 7" xfId="34406" xr:uid="{00000000-0005-0000-0000-000083D60000}"/>
    <cellStyle name="Процентный 6 92 8" xfId="39746" xr:uid="{00000000-0005-0000-0000-000084D60000}"/>
    <cellStyle name="Процентный 6 92 9" xfId="45086" xr:uid="{00000000-0005-0000-0000-000085D60000}"/>
    <cellStyle name="Процентный 6 93" xfId="2392" xr:uid="{00000000-0005-0000-0000-000086D60000}"/>
    <cellStyle name="Процентный 6 93 10" xfId="50456" xr:uid="{00000000-0005-0000-0000-000087D60000}"/>
    <cellStyle name="Процентный 6 93 2" xfId="7735" xr:uid="{00000000-0005-0000-0000-000088D60000}"/>
    <cellStyle name="Процентный 6 93 2 2" xfId="55797" xr:uid="{00000000-0005-0000-0000-000089D60000}"/>
    <cellStyle name="Процентный 6 93 3" xfId="13076" xr:uid="{00000000-0005-0000-0000-00008AD60000}"/>
    <cellStyle name="Процентный 6 93 4" xfId="18416" xr:uid="{00000000-0005-0000-0000-00008BD60000}"/>
    <cellStyle name="Процентный 6 93 5" xfId="23756" xr:uid="{00000000-0005-0000-0000-00008CD60000}"/>
    <cellStyle name="Процентный 6 93 6" xfId="29096" xr:uid="{00000000-0005-0000-0000-00008DD60000}"/>
    <cellStyle name="Процентный 6 93 7" xfId="34436" xr:uid="{00000000-0005-0000-0000-00008ED60000}"/>
    <cellStyle name="Процентный 6 93 8" xfId="39776" xr:uid="{00000000-0005-0000-0000-00008FD60000}"/>
    <cellStyle name="Процентный 6 93 9" xfId="45116" xr:uid="{00000000-0005-0000-0000-000090D60000}"/>
    <cellStyle name="Процентный 6 94" xfId="2422" xr:uid="{00000000-0005-0000-0000-000091D60000}"/>
    <cellStyle name="Процентный 6 94 10" xfId="50486" xr:uid="{00000000-0005-0000-0000-000092D60000}"/>
    <cellStyle name="Процентный 6 94 2" xfId="7765" xr:uid="{00000000-0005-0000-0000-000093D60000}"/>
    <cellStyle name="Процентный 6 94 2 2" xfId="55827" xr:uid="{00000000-0005-0000-0000-000094D60000}"/>
    <cellStyle name="Процентный 6 94 3" xfId="13106" xr:uid="{00000000-0005-0000-0000-000095D60000}"/>
    <cellStyle name="Процентный 6 94 4" xfId="18446" xr:uid="{00000000-0005-0000-0000-000096D60000}"/>
    <cellStyle name="Процентный 6 94 5" xfId="23786" xr:uid="{00000000-0005-0000-0000-000097D60000}"/>
    <cellStyle name="Процентный 6 94 6" xfId="29126" xr:uid="{00000000-0005-0000-0000-000098D60000}"/>
    <cellStyle name="Процентный 6 94 7" xfId="34466" xr:uid="{00000000-0005-0000-0000-000099D60000}"/>
    <cellStyle name="Процентный 6 94 8" xfId="39806" xr:uid="{00000000-0005-0000-0000-00009AD60000}"/>
    <cellStyle name="Процентный 6 94 9" xfId="45146" xr:uid="{00000000-0005-0000-0000-00009BD60000}"/>
    <cellStyle name="Процентный 6 95" xfId="2452" xr:uid="{00000000-0005-0000-0000-00009CD60000}"/>
    <cellStyle name="Процентный 6 95 10" xfId="50516" xr:uid="{00000000-0005-0000-0000-00009DD60000}"/>
    <cellStyle name="Процентный 6 95 2" xfId="7795" xr:uid="{00000000-0005-0000-0000-00009ED60000}"/>
    <cellStyle name="Процентный 6 95 2 2" xfId="55857" xr:uid="{00000000-0005-0000-0000-00009FD60000}"/>
    <cellStyle name="Процентный 6 95 3" xfId="13136" xr:uid="{00000000-0005-0000-0000-0000A0D60000}"/>
    <cellStyle name="Процентный 6 95 4" xfId="18476" xr:uid="{00000000-0005-0000-0000-0000A1D60000}"/>
    <cellStyle name="Процентный 6 95 5" xfId="23816" xr:uid="{00000000-0005-0000-0000-0000A2D60000}"/>
    <cellStyle name="Процентный 6 95 6" xfId="29156" xr:uid="{00000000-0005-0000-0000-0000A3D60000}"/>
    <cellStyle name="Процентный 6 95 7" xfId="34496" xr:uid="{00000000-0005-0000-0000-0000A4D60000}"/>
    <cellStyle name="Процентный 6 95 8" xfId="39836" xr:uid="{00000000-0005-0000-0000-0000A5D60000}"/>
    <cellStyle name="Процентный 6 95 9" xfId="45176" xr:uid="{00000000-0005-0000-0000-0000A6D60000}"/>
    <cellStyle name="Процентный 6 96" xfId="2482" xr:uid="{00000000-0005-0000-0000-0000A7D60000}"/>
    <cellStyle name="Процентный 6 96 10" xfId="50546" xr:uid="{00000000-0005-0000-0000-0000A8D60000}"/>
    <cellStyle name="Процентный 6 96 2" xfId="7825" xr:uid="{00000000-0005-0000-0000-0000A9D60000}"/>
    <cellStyle name="Процентный 6 96 2 2" xfId="55887" xr:uid="{00000000-0005-0000-0000-0000AAD60000}"/>
    <cellStyle name="Процентный 6 96 3" xfId="13166" xr:uid="{00000000-0005-0000-0000-0000ABD60000}"/>
    <cellStyle name="Процентный 6 96 4" xfId="18506" xr:uid="{00000000-0005-0000-0000-0000ACD60000}"/>
    <cellStyle name="Процентный 6 96 5" xfId="23846" xr:uid="{00000000-0005-0000-0000-0000ADD60000}"/>
    <cellStyle name="Процентный 6 96 6" xfId="29186" xr:uid="{00000000-0005-0000-0000-0000AED60000}"/>
    <cellStyle name="Процентный 6 96 7" xfId="34526" xr:uid="{00000000-0005-0000-0000-0000AFD60000}"/>
    <cellStyle name="Процентный 6 96 8" xfId="39866" xr:uid="{00000000-0005-0000-0000-0000B0D60000}"/>
    <cellStyle name="Процентный 6 96 9" xfId="45206" xr:uid="{00000000-0005-0000-0000-0000B1D60000}"/>
    <cellStyle name="Процентный 6 97" xfId="2514" xr:uid="{00000000-0005-0000-0000-0000B2D60000}"/>
    <cellStyle name="Процентный 6 97 10" xfId="50578" xr:uid="{00000000-0005-0000-0000-0000B3D60000}"/>
    <cellStyle name="Процентный 6 97 2" xfId="7857" xr:uid="{00000000-0005-0000-0000-0000B4D60000}"/>
    <cellStyle name="Процентный 6 97 2 2" xfId="55919" xr:uid="{00000000-0005-0000-0000-0000B5D60000}"/>
    <cellStyle name="Процентный 6 97 3" xfId="13198" xr:uid="{00000000-0005-0000-0000-0000B6D60000}"/>
    <cellStyle name="Процентный 6 97 4" xfId="18538" xr:uid="{00000000-0005-0000-0000-0000B7D60000}"/>
    <cellStyle name="Процентный 6 97 5" xfId="23878" xr:uid="{00000000-0005-0000-0000-0000B8D60000}"/>
    <cellStyle name="Процентный 6 97 6" xfId="29218" xr:uid="{00000000-0005-0000-0000-0000B9D60000}"/>
    <cellStyle name="Процентный 6 97 7" xfId="34558" xr:uid="{00000000-0005-0000-0000-0000BAD60000}"/>
    <cellStyle name="Процентный 6 97 8" xfId="39898" xr:uid="{00000000-0005-0000-0000-0000BBD60000}"/>
    <cellStyle name="Процентный 6 97 9" xfId="45238" xr:uid="{00000000-0005-0000-0000-0000BCD60000}"/>
    <cellStyle name="Процентный 6 98" xfId="2548" xr:uid="{00000000-0005-0000-0000-0000BDD60000}"/>
    <cellStyle name="Процентный 6 98 10" xfId="50612" xr:uid="{00000000-0005-0000-0000-0000BED60000}"/>
    <cellStyle name="Процентный 6 98 2" xfId="7891" xr:uid="{00000000-0005-0000-0000-0000BFD60000}"/>
    <cellStyle name="Процентный 6 98 2 2" xfId="55953" xr:uid="{00000000-0005-0000-0000-0000C0D60000}"/>
    <cellStyle name="Процентный 6 98 3" xfId="13232" xr:uid="{00000000-0005-0000-0000-0000C1D60000}"/>
    <cellStyle name="Процентный 6 98 4" xfId="18572" xr:uid="{00000000-0005-0000-0000-0000C2D60000}"/>
    <cellStyle name="Процентный 6 98 5" xfId="23912" xr:uid="{00000000-0005-0000-0000-0000C3D60000}"/>
    <cellStyle name="Процентный 6 98 6" xfId="29252" xr:uid="{00000000-0005-0000-0000-0000C4D60000}"/>
    <cellStyle name="Процентный 6 98 7" xfId="34592" xr:uid="{00000000-0005-0000-0000-0000C5D60000}"/>
    <cellStyle name="Процентный 6 98 8" xfId="39932" xr:uid="{00000000-0005-0000-0000-0000C6D60000}"/>
    <cellStyle name="Процентный 6 98 9" xfId="45272" xr:uid="{00000000-0005-0000-0000-0000C7D60000}"/>
    <cellStyle name="Процентный 6 99" xfId="2580" xr:uid="{00000000-0005-0000-0000-0000C8D60000}"/>
    <cellStyle name="Процентный 6 99 10" xfId="50644" xr:uid="{00000000-0005-0000-0000-0000C9D60000}"/>
    <cellStyle name="Процентный 6 99 2" xfId="7923" xr:uid="{00000000-0005-0000-0000-0000CAD60000}"/>
    <cellStyle name="Процентный 6 99 2 2" xfId="55985" xr:uid="{00000000-0005-0000-0000-0000CBD60000}"/>
    <cellStyle name="Процентный 6 99 3" xfId="13264" xr:uid="{00000000-0005-0000-0000-0000CCD60000}"/>
    <cellStyle name="Процентный 6 99 4" xfId="18604" xr:uid="{00000000-0005-0000-0000-0000CDD60000}"/>
    <cellStyle name="Процентный 6 99 5" xfId="23944" xr:uid="{00000000-0005-0000-0000-0000CED60000}"/>
    <cellStyle name="Процентный 6 99 6" xfId="29284" xr:uid="{00000000-0005-0000-0000-0000CFD60000}"/>
    <cellStyle name="Процентный 6 99 7" xfId="34624" xr:uid="{00000000-0005-0000-0000-0000D0D60000}"/>
    <cellStyle name="Процентный 6 99 8" xfId="39964" xr:uid="{00000000-0005-0000-0000-0000D1D60000}"/>
    <cellStyle name="Процентный 6 99 9" xfId="45304" xr:uid="{00000000-0005-0000-0000-0000D2D60000}"/>
    <cellStyle name="Процентный 7" xfId="423" xr:uid="{00000000-0005-0000-0000-0000D3D60000}"/>
    <cellStyle name="Процентный 7 10" xfId="890" xr:uid="{00000000-0005-0000-0000-0000D4D60000}"/>
    <cellStyle name="Процентный 7 10 10" xfId="48952" xr:uid="{00000000-0005-0000-0000-0000D5D60000}"/>
    <cellStyle name="Процентный 7 10 2" xfId="6231" xr:uid="{00000000-0005-0000-0000-0000D6D60000}"/>
    <cellStyle name="Процентный 7 10 2 2" xfId="54293" xr:uid="{00000000-0005-0000-0000-0000D7D60000}"/>
    <cellStyle name="Процентный 7 10 3" xfId="11572" xr:uid="{00000000-0005-0000-0000-0000D8D60000}"/>
    <cellStyle name="Процентный 7 10 4" xfId="16912" xr:uid="{00000000-0005-0000-0000-0000D9D60000}"/>
    <cellStyle name="Процентный 7 10 5" xfId="22252" xr:uid="{00000000-0005-0000-0000-0000DAD60000}"/>
    <cellStyle name="Процентный 7 10 6" xfId="27592" xr:uid="{00000000-0005-0000-0000-0000DBD60000}"/>
    <cellStyle name="Процентный 7 10 7" xfId="32932" xr:uid="{00000000-0005-0000-0000-0000DCD60000}"/>
    <cellStyle name="Процентный 7 10 8" xfId="38272" xr:uid="{00000000-0005-0000-0000-0000DDD60000}"/>
    <cellStyle name="Процентный 7 10 9" xfId="43612" xr:uid="{00000000-0005-0000-0000-0000DED60000}"/>
    <cellStyle name="Процентный 7 100" xfId="3577" xr:uid="{00000000-0005-0000-0000-0000DFD60000}"/>
    <cellStyle name="Процентный 7 100 10" xfId="51640" xr:uid="{00000000-0005-0000-0000-0000E0D60000}"/>
    <cellStyle name="Процентный 7 100 2" xfId="8920" xr:uid="{00000000-0005-0000-0000-0000E1D60000}"/>
    <cellStyle name="Процентный 7 100 2 2" xfId="56981" xr:uid="{00000000-0005-0000-0000-0000E2D60000}"/>
    <cellStyle name="Процентный 7 100 3" xfId="14260" xr:uid="{00000000-0005-0000-0000-0000E3D60000}"/>
    <cellStyle name="Процентный 7 100 4" xfId="19600" xr:uid="{00000000-0005-0000-0000-0000E4D60000}"/>
    <cellStyle name="Процентный 7 100 5" xfId="24940" xr:uid="{00000000-0005-0000-0000-0000E5D60000}"/>
    <cellStyle name="Процентный 7 100 6" xfId="30280" xr:uid="{00000000-0005-0000-0000-0000E6D60000}"/>
    <cellStyle name="Процентный 7 100 7" xfId="35620" xr:uid="{00000000-0005-0000-0000-0000E7D60000}"/>
    <cellStyle name="Процентный 7 100 8" xfId="40960" xr:uid="{00000000-0005-0000-0000-0000E8D60000}"/>
    <cellStyle name="Процентный 7 100 9" xfId="46300" xr:uid="{00000000-0005-0000-0000-0000E9D60000}"/>
    <cellStyle name="Процентный 7 101" xfId="3609" xr:uid="{00000000-0005-0000-0000-0000EAD60000}"/>
    <cellStyle name="Процентный 7 101 10" xfId="51672" xr:uid="{00000000-0005-0000-0000-0000EBD60000}"/>
    <cellStyle name="Процентный 7 101 2" xfId="8952" xr:uid="{00000000-0005-0000-0000-0000ECD60000}"/>
    <cellStyle name="Процентный 7 101 2 2" xfId="57013" xr:uid="{00000000-0005-0000-0000-0000EDD60000}"/>
    <cellStyle name="Процентный 7 101 3" xfId="14292" xr:uid="{00000000-0005-0000-0000-0000EED60000}"/>
    <cellStyle name="Процентный 7 101 4" xfId="19632" xr:uid="{00000000-0005-0000-0000-0000EFD60000}"/>
    <cellStyle name="Процентный 7 101 5" xfId="24972" xr:uid="{00000000-0005-0000-0000-0000F0D60000}"/>
    <cellStyle name="Процентный 7 101 6" xfId="30312" xr:uid="{00000000-0005-0000-0000-0000F1D60000}"/>
    <cellStyle name="Процентный 7 101 7" xfId="35652" xr:uid="{00000000-0005-0000-0000-0000F2D60000}"/>
    <cellStyle name="Процентный 7 101 8" xfId="40992" xr:uid="{00000000-0005-0000-0000-0000F3D60000}"/>
    <cellStyle name="Процентный 7 101 9" xfId="46332" xr:uid="{00000000-0005-0000-0000-0000F4D60000}"/>
    <cellStyle name="Процентный 7 102" xfId="3641" xr:uid="{00000000-0005-0000-0000-0000F5D60000}"/>
    <cellStyle name="Процентный 7 102 10" xfId="51704" xr:uid="{00000000-0005-0000-0000-0000F6D60000}"/>
    <cellStyle name="Процентный 7 102 2" xfId="8984" xr:uid="{00000000-0005-0000-0000-0000F7D60000}"/>
    <cellStyle name="Процентный 7 102 2 2" xfId="57045" xr:uid="{00000000-0005-0000-0000-0000F8D60000}"/>
    <cellStyle name="Процентный 7 102 3" xfId="14324" xr:uid="{00000000-0005-0000-0000-0000F9D60000}"/>
    <cellStyle name="Процентный 7 102 4" xfId="19664" xr:uid="{00000000-0005-0000-0000-0000FAD60000}"/>
    <cellStyle name="Процентный 7 102 5" xfId="25004" xr:uid="{00000000-0005-0000-0000-0000FBD60000}"/>
    <cellStyle name="Процентный 7 102 6" xfId="30344" xr:uid="{00000000-0005-0000-0000-0000FCD60000}"/>
    <cellStyle name="Процентный 7 102 7" xfId="35684" xr:uid="{00000000-0005-0000-0000-0000FDD60000}"/>
    <cellStyle name="Процентный 7 102 8" xfId="41024" xr:uid="{00000000-0005-0000-0000-0000FED60000}"/>
    <cellStyle name="Процентный 7 102 9" xfId="46364" xr:uid="{00000000-0005-0000-0000-0000FFD60000}"/>
    <cellStyle name="Процентный 7 103" xfId="3673" xr:uid="{00000000-0005-0000-0000-000000D70000}"/>
    <cellStyle name="Процентный 7 103 10" xfId="51736" xr:uid="{00000000-0005-0000-0000-000001D70000}"/>
    <cellStyle name="Процентный 7 103 2" xfId="9016" xr:uid="{00000000-0005-0000-0000-000002D70000}"/>
    <cellStyle name="Процентный 7 103 2 2" xfId="57077" xr:uid="{00000000-0005-0000-0000-000003D70000}"/>
    <cellStyle name="Процентный 7 103 3" xfId="14356" xr:uid="{00000000-0005-0000-0000-000004D70000}"/>
    <cellStyle name="Процентный 7 103 4" xfId="19696" xr:uid="{00000000-0005-0000-0000-000005D70000}"/>
    <cellStyle name="Процентный 7 103 5" xfId="25036" xr:uid="{00000000-0005-0000-0000-000006D70000}"/>
    <cellStyle name="Процентный 7 103 6" xfId="30376" xr:uid="{00000000-0005-0000-0000-000007D70000}"/>
    <cellStyle name="Процентный 7 103 7" xfId="35716" xr:uid="{00000000-0005-0000-0000-000008D70000}"/>
    <cellStyle name="Процентный 7 103 8" xfId="41056" xr:uid="{00000000-0005-0000-0000-000009D70000}"/>
    <cellStyle name="Процентный 7 103 9" xfId="46396" xr:uid="{00000000-0005-0000-0000-00000AD70000}"/>
    <cellStyle name="Процентный 7 104" xfId="3705" xr:uid="{00000000-0005-0000-0000-00000BD70000}"/>
    <cellStyle name="Процентный 7 104 10" xfId="51768" xr:uid="{00000000-0005-0000-0000-00000CD70000}"/>
    <cellStyle name="Процентный 7 104 2" xfId="9048" xr:uid="{00000000-0005-0000-0000-00000DD70000}"/>
    <cellStyle name="Процентный 7 104 2 2" xfId="57109" xr:uid="{00000000-0005-0000-0000-00000ED70000}"/>
    <cellStyle name="Процентный 7 104 3" xfId="14388" xr:uid="{00000000-0005-0000-0000-00000FD70000}"/>
    <cellStyle name="Процентный 7 104 4" xfId="19728" xr:uid="{00000000-0005-0000-0000-000010D70000}"/>
    <cellStyle name="Процентный 7 104 5" xfId="25068" xr:uid="{00000000-0005-0000-0000-000011D70000}"/>
    <cellStyle name="Процентный 7 104 6" xfId="30408" xr:uid="{00000000-0005-0000-0000-000012D70000}"/>
    <cellStyle name="Процентный 7 104 7" xfId="35748" xr:uid="{00000000-0005-0000-0000-000013D70000}"/>
    <cellStyle name="Процентный 7 104 8" xfId="41088" xr:uid="{00000000-0005-0000-0000-000014D70000}"/>
    <cellStyle name="Процентный 7 104 9" xfId="46428" xr:uid="{00000000-0005-0000-0000-000015D70000}"/>
    <cellStyle name="Процентный 7 105" xfId="3737" xr:uid="{00000000-0005-0000-0000-000016D70000}"/>
    <cellStyle name="Процентный 7 105 10" xfId="51800" xr:uid="{00000000-0005-0000-0000-000017D70000}"/>
    <cellStyle name="Процентный 7 105 2" xfId="9080" xr:uid="{00000000-0005-0000-0000-000018D70000}"/>
    <cellStyle name="Процентный 7 105 2 2" xfId="57141" xr:uid="{00000000-0005-0000-0000-000019D70000}"/>
    <cellStyle name="Процентный 7 105 3" xfId="14420" xr:uid="{00000000-0005-0000-0000-00001AD70000}"/>
    <cellStyle name="Процентный 7 105 4" xfId="19760" xr:uid="{00000000-0005-0000-0000-00001BD70000}"/>
    <cellStyle name="Процентный 7 105 5" xfId="25100" xr:uid="{00000000-0005-0000-0000-00001CD70000}"/>
    <cellStyle name="Процентный 7 105 6" xfId="30440" xr:uid="{00000000-0005-0000-0000-00001DD70000}"/>
    <cellStyle name="Процентный 7 105 7" xfId="35780" xr:uid="{00000000-0005-0000-0000-00001ED70000}"/>
    <cellStyle name="Процентный 7 105 8" xfId="41120" xr:uid="{00000000-0005-0000-0000-00001FD70000}"/>
    <cellStyle name="Процентный 7 105 9" xfId="46460" xr:uid="{00000000-0005-0000-0000-000020D70000}"/>
    <cellStyle name="Процентный 7 106" xfId="3769" xr:uid="{00000000-0005-0000-0000-000021D70000}"/>
    <cellStyle name="Процентный 7 106 10" xfId="51832" xr:uid="{00000000-0005-0000-0000-000022D70000}"/>
    <cellStyle name="Процентный 7 106 2" xfId="9112" xr:uid="{00000000-0005-0000-0000-000023D70000}"/>
    <cellStyle name="Процентный 7 106 2 2" xfId="57173" xr:uid="{00000000-0005-0000-0000-000024D70000}"/>
    <cellStyle name="Процентный 7 106 3" xfId="14452" xr:uid="{00000000-0005-0000-0000-000025D70000}"/>
    <cellStyle name="Процентный 7 106 4" xfId="19792" xr:uid="{00000000-0005-0000-0000-000026D70000}"/>
    <cellStyle name="Процентный 7 106 5" xfId="25132" xr:uid="{00000000-0005-0000-0000-000027D70000}"/>
    <cellStyle name="Процентный 7 106 6" xfId="30472" xr:uid="{00000000-0005-0000-0000-000028D70000}"/>
    <cellStyle name="Процентный 7 106 7" xfId="35812" xr:uid="{00000000-0005-0000-0000-000029D70000}"/>
    <cellStyle name="Процентный 7 106 8" xfId="41152" xr:uid="{00000000-0005-0000-0000-00002AD70000}"/>
    <cellStyle name="Процентный 7 106 9" xfId="46492" xr:uid="{00000000-0005-0000-0000-00002BD70000}"/>
    <cellStyle name="Процентный 7 107" xfId="3801" xr:uid="{00000000-0005-0000-0000-00002CD70000}"/>
    <cellStyle name="Процентный 7 107 10" xfId="51864" xr:uid="{00000000-0005-0000-0000-00002DD70000}"/>
    <cellStyle name="Процентный 7 107 2" xfId="9144" xr:uid="{00000000-0005-0000-0000-00002ED70000}"/>
    <cellStyle name="Процентный 7 107 2 2" xfId="57205" xr:uid="{00000000-0005-0000-0000-00002FD70000}"/>
    <cellStyle name="Процентный 7 107 3" xfId="14484" xr:uid="{00000000-0005-0000-0000-000030D70000}"/>
    <cellStyle name="Процентный 7 107 4" xfId="19824" xr:uid="{00000000-0005-0000-0000-000031D70000}"/>
    <cellStyle name="Процентный 7 107 5" xfId="25164" xr:uid="{00000000-0005-0000-0000-000032D70000}"/>
    <cellStyle name="Процентный 7 107 6" xfId="30504" xr:uid="{00000000-0005-0000-0000-000033D70000}"/>
    <cellStyle name="Процентный 7 107 7" xfId="35844" xr:uid="{00000000-0005-0000-0000-000034D70000}"/>
    <cellStyle name="Процентный 7 107 8" xfId="41184" xr:uid="{00000000-0005-0000-0000-000035D70000}"/>
    <cellStyle name="Процентный 7 107 9" xfId="46524" xr:uid="{00000000-0005-0000-0000-000036D70000}"/>
    <cellStyle name="Процентный 7 108" xfId="3833" xr:uid="{00000000-0005-0000-0000-000037D70000}"/>
    <cellStyle name="Процентный 7 108 10" xfId="51896" xr:uid="{00000000-0005-0000-0000-000038D70000}"/>
    <cellStyle name="Процентный 7 108 2" xfId="9176" xr:uid="{00000000-0005-0000-0000-000039D70000}"/>
    <cellStyle name="Процентный 7 108 2 2" xfId="57237" xr:uid="{00000000-0005-0000-0000-00003AD70000}"/>
    <cellStyle name="Процентный 7 108 3" xfId="14516" xr:uid="{00000000-0005-0000-0000-00003BD70000}"/>
    <cellStyle name="Процентный 7 108 4" xfId="19856" xr:uid="{00000000-0005-0000-0000-00003CD70000}"/>
    <cellStyle name="Процентный 7 108 5" xfId="25196" xr:uid="{00000000-0005-0000-0000-00003DD70000}"/>
    <cellStyle name="Процентный 7 108 6" xfId="30536" xr:uid="{00000000-0005-0000-0000-00003ED70000}"/>
    <cellStyle name="Процентный 7 108 7" xfId="35876" xr:uid="{00000000-0005-0000-0000-00003FD70000}"/>
    <cellStyle name="Процентный 7 108 8" xfId="41216" xr:uid="{00000000-0005-0000-0000-000040D70000}"/>
    <cellStyle name="Процентный 7 108 9" xfId="46556" xr:uid="{00000000-0005-0000-0000-000041D70000}"/>
    <cellStyle name="Процентный 7 109" xfId="3865" xr:uid="{00000000-0005-0000-0000-000042D70000}"/>
    <cellStyle name="Процентный 7 109 10" xfId="51928" xr:uid="{00000000-0005-0000-0000-000043D70000}"/>
    <cellStyle name="Процентный 7 109 2" xfId="9208" xr:uid="{00000000-0005-0000-0000-000044D70000}"/>
    <cellStyle name="Процентный 7 109 2 2" xfId="57269" xr:uid="{00000000-0005-0000-0000-000045D70000}"/>
    <cellStyle name="Процентный 7 109 3" xfId="14548" xr:uid="{00000000-0005-0000-0000-000046D70000}"/>
    <cellStyle name="Процентный 7 109 4" xfId="19888" xr:uid="{00000000-0005-0000-0000-000047D70000}"/>
    <cellStyle name="Процентный 7 109 5" xfId="25228" xr:uid="{00000000-0005-0000-0000-000048D70000}"/>
    <cellStyle name="Процентный 7 109 6" xfId="30568" xr:uid="{00000000-0005-0000-0000-000049D70000}"/>
    <cellStyle name="Процентный 7 109 7" xfId="35908" xr:uid="{00000000-0005-0000-0000-00004AD70000}"/>
    <cellStyle name="Процентный 7 109 8" xfId="41248" xr:uid="{00000000-0005-0000-0000-00004BD70000}"/>
    <cellStyle name="Процентный 7 109 9" xfId="46588" xr:uid="{00000000-0005-0000-0000-00004CD70000}"/>
    <cellStyle name="Процентный 7 11" xfId="998" xr:uid="{00000000-0005-0000-0000-00004DD70000}"/>
    <cellStyle name="Процентный 7 11 10" xfId="49060" xr:uid="{00000000-0005-0000-0000-00004ED70000}"/>
    <cellStyle name="Процентный 7 11 2" xfId="6339" xr:uid="{00000000-0005-0000-0000-00004FD70000}"/>
    <cellStyle name="Процентный 7 11 2 2" xfId="54401" xr:uid="{00000000-0005-0000-0000-000050D70000}"/>
    <cellStyle name="Процентный 7 11 3" xfId="11680" xr:uid="{00000000-0005-0000-0000-000051D70000}"/>
    <cellStyle name="Процентный 7 11 4" xfId="17020" xr:uid="{00000000-0005-0000-0000-000052D70000}"/>
    <cellStyle name="Процентный 7 11 5" xfId="22360" xr:uid="{00000000-0005-0000-0000-000053D70000}"/>
    <cellStyle name="Процентный 7 11 6" xfId="27700" xr:uid="{00000000-0005-0000-0000-000054D70000}"/>
    <cellStyle name="Процентный 7 11 7" xfId="33040" xr:uid="{00000000-0005-0000-0000-000055D70000}"/>
    <cellStyle name="Процентный 7 11 8" xfId="38380" xr:uid="{00000000-0005-0000-0000-000056D70000}"/>
    <cellStyle name="Процентный 7 11 9" xfId="43720" xr:uid="{00000000-0005-0000-0000-000057D70000}"/>
    <cellStyle name="Процентный 7 110" xfId="3897" xr:uid="{00000000-0005-0000-0000-000058D70000}"/>
    <cellStyle name="Процентный 7 110 10" xfId="51960" xr:uid="{00000000-0005-0000-0000-000059D70000}"/>
    <cellStyle name="Процентный 7 110 2" xfId="9240" xr:uid="{00000000-0005-0000-0000-00005AD70000}"/>
    <cellStyle name="Процентный 7 110 2 2" xfId="57301" xr:uid="{00000000-0005-0000-0000-00005BD70000}"/>
    <cellStyle name="Процентный 7 110 3" xfId="14580" xr:uid="{00000000-0005-0000-0000-00005CD70000}"/>
    <cellStyle name="Процентный 7 110 4" xfId="19920" xr:uid="{00000000-0005-0000-0000-00005DD70000}"/>
    <cellStyle name="Процентный 7 110 5" xfId="25260" xr:uid="{00000000-0005-0000-0000-00005ED70000}"/>
    <cellStyle name="Процентный 7 110 6" xfId="30600" xr:uid="{00000000-0005-0000-0000-00005FD70000}"/>
    <cellStyle name="Процентный 7 110 7" xfId="35940" xr:uid="{00000000-0005-0000-0000-000060D70000}"/>
    <cellStyle name="Процентный 7 110 8" xfId="41280" xr:uid="{00000000-0005-0000-0000-000061D70000}"/>
    <cellStyle name="Процентный 7 110 9" xfId="46620" xr:uid="{00000000-0005-0000-0000-000062D70000}"/>
    <cellStyle name="Процентный 7 111" xfId="3929" xr:uid="{00000000-0005-0000-0000-000063D70000}"/>
    <cellStyle name="Процентный 7 111 10" xfId="51992" xr:uid="{00000000-0005-0000-0000-000064D70000}"/>
    <cellStyle name="Процентный 7 111 2" xfId="9272" xr:uid="{00000000-0005-0000-0000-000065D70000}"/>
    <cellStyle name="Процентный 7 111 2 2" xfId="57333" xr:uid="{00000000-0005-0000-0000-000066D70000}"/>
    <cellStyle name="Процентный 7 111 3" xfId="14612" xr:uid="{00000000-0005-0000-0000-000067D70000}"/>
    <cellStyle name="Процентный 7 111 4" xfId="19952" xr:uid="{00000000-0005-0000-0000-000068D70000}"/>
    <cellStyle name="Процентный 7 111 5" xfId="25292" xr:uid="{00000000-0005-0000-0000-000069D70000}"/>
    <cellStyle name="Процентный 7 111 6" xfId="30632" xr:uid="{00000000-0005-0000-0000-00006AD70000}"/>
    <cellStyle name="Процентный 7 111 7" xfId="35972" xr:uid="{00000000-0005-0000-0000-00006BD70000}"/>
    <cellStyle name="Процентный 7 111 8" xfId="41312" xr:uid="{00000000-0005-0000-0000-00006CD70000}"/>
    <cellStyle name="Процентный 7 111 9" xfId="46652" xr:uid="{00000000-0005-0000-0000-00006DD70000}"/>
    <cellStyle name="Процентный 7 112" xfId="3961" xr:uid="{00000000-0005-0000-0000-00006ED70000}"/>
    <cellStyle name="Процентный 7 112 10" xfId="52024" xr:uid="{00000000-0005-0000-0000-00006FD70000}"/>
    <cellStyle name="Процентный 7 112 2" xfId="9304" xr:uid="{00000000-0005-0000-0000-000070D70000}"/>
    <cellStyle name="Процентный 7 112 2 2" xfId="57365" xr:uid="{00000000-0005-0000-0000-000071D70000}"/>
    <cellStyle name="Процентный 7 112 3" xfId="14644" xr:uid="{00000000-0005-0000-0000-000072D70000}"/>
    <cellStyle name="Процентный 7 112 4" xfId="19984" xr:uid="{00000000-0005-0000-0000-000073D70000}"/>
    <cellStyle name="Процентный 7 112 5" xfId="25324" xr:uid="{00000000-0005-0000-0000-000074D70000}"/>
    <cellStyle name="Процентный 7 112 6" xfId="30664" xr:uid="{00000000-0005-0000-0000-000075D70000}"/>
    <cellStyle name="Процентный 7 112 7" xfId="36004" xr:uid="{00000000-0005-0000-0000-000076D70000}"/>
    <cellStyle name="Процентный 7 112 8" xfId="41344" xr:uid="{00000000-0005-0000-0000-000077D70000}"/>
    <cellStyle name="Процентный 7 112 9" xfId="46684" xr:uid="{00000000-0005-0000-0000-000078D70000}"/>
    <cellStyle name="Процентный 7 113" xfId="3993" xr:uid="{00000000-0005-0000-0000-000079D70000}"/>
    <cellStyle name="Процентный 7 113 10" xfId="52056" xr:uid="{00000000-0005-0000-0000-00007AD70000}"/>
    <cellStyle name="Процентный 7 113 2" xfId="9336" xr:uid="{00000000-0005-0000-0000-00007BD70000}"/>
    <cellStyle name="Процентный 7 113 2 2" xfId="57397" xr:uid="{00000000-0005-0000-0000-00007CD70000}"/>
    <cellStyle name="Процентный 7 113 3" xfId="14676" xr:uid="{00000000-0005-0000-0000-00007DD70000}"/>
    <cellStyle name="Процентный 7 113 4" xfId="20016" xr:uid="{00000000-0005-0000-0000-00007ED70000}"/>
    <cellStyle name="Процентный 7 113 5" xfId="25356" xr:uid="{00000000-0005-0000-0000-00007FD70000}"/>
    <cellStyle name="Процентный 7 113 6" xfId="30696" xr:uid="{00000000-0005-0000-0000-000080D70000}"/>
    <cellStyle name="Процентный 7 113 7" xfId="36036" xr:uid="{00000000-0005-0000-0000-000081D70000}"/>
    <cellStyle name="Процентный 7 113 8" xfId="41376" xr:uid="{00000000-0005-0000-0000-000082D70000}"/>
    <cellStyle name="Процентный 7 113 9" xfId="46716" xr:uid="{00000000-0005-0000-0000-000083D70000}"/>
    <cellStyle name="Процентный 7 114" xfId="4025" xr:uid="{00000000-0005-0000-0000-000084D70000}"/>
    <cellStyle name="Процентный 7 114 10" xfId="52088" xr:uid="{00000000-0005-0000-0000-000085D70000}"/>
    <cellStyle name="Процентный 7 114 2" xfId="9368" xr:uid="{00000000-0005-0000-0000-000086D70000}"/>
    <cellStyle name="Процентный 7 114 2 2" xfId="57429" xr:uid="{00000000-0005-0000-0000-000087D70000}"/>
    <cellStyle name="Процентный 7 114 3" xfId="14708" xr:uid="{00000000-0005-0000-0000-000088D70000}"/>
    <cellStyle name="Процентный 7 114 4" xfId="20048" xr:uid="{00000000-0005-0000-0000-000089D70000}"/>
    <cellStyle name="Процентный 7 114 5" xfId="25388" xr:uid="{00000000-0005-0000-0000-00008AD70000}"/>
    <cellStyle name="Процентный 7 114 6" xfId="30728" xr:uid="{00000000-0005-0000-0000-00008BD70000}"/>
    <cellStyle name="Процентный 7 114 7" xfId="36068" xr:uid="{00000000-0005-0000-0000-00008CD70000}"/>
    <cellStyle name="Процентный 7 114 8" xfId="41408" xr:uid="{00000000-0005-0000-0000-00008DD70000}"/>
    <cellStyle name="Процентный 7 114 9" xfId="46748" xr:uid="{00000000-0005-0000-0000-00008ED70000}"/>
    <cellStyle name="Процентный 7 115" xfId="4057" xr:uid="{00000000-0005-0000-0000-00008FD70000}"/>
    <cellStyle name="Процентный 7 115 10" xfId="52120" xr:uid="{00000000-0005-0000-0000-000090D70000}"/>
    <cellStyle name="Процентный 7 115 2" xfId="9400" xr:uid="{00000000-0005-0000-0000-000091D70000}"/>
    <cellStyle name="Процентный 7 115 2 2" xfId="57461" xr:uid="{00000000-0005-0000-0000-000092D70000}"/>
    <cellStyle name="Процентный 7 115 3" xfId="14740" xr:uid="{00000000-0005-0000-0000-000093D70000}"/>
    <cellStyle name="Процентный 7 115 4" xfId="20080" xr:uid="{00000000-0005-0000-0000-000094D70000}"/>
    <cellStyle name="Процентный 7 115 5" xfId="25420" xr:uid="{00000000-0005-0000-0000-000095D70000}"/>
    <cellStyle name="Процентный 7 115 6" xfId="30760" xr:uid="{00000000-0005-0000-0000-000096D70000}"/>
    <cellStyle name="Процентный 7 115 7" xfId="36100" xr:uid="{00000000-0005-0000-0000-000097D70000}"/>
    <cellStyle name="Процентный 7 115 8" xfId="41440" xr:uid="{00000000-0005-0000-0000-000098D70000}"/>
    <cellStyle name="Процентный 7 115 9" xfId="46780" xr:uid="{00000000-0005-0000-0000-000099D70000}"/>
    <cellStyle name="Процентный 7 116" xfId="4089" xr:uid="{00000000-0005-0000-0000-00009AD70000}"/>
    <cellStyle name="Процентный 7 116 10" xfId="52152" xr:uid="{00000000-0005-0000-0000-00009BD70000}"/>
    <cellStyle name="Процентный 7 116 2" xfId="9432" xr:uid="{00000000-0005-0000-0000-00009CD70000}"/>
    <cellStyle name="Процентный 7 116 2 2" xfId="57493" xr:uid="{00000000-0005-0000-0000-00009DD70000}"/>
    <cellStyle name="Процентный 7 116 3" xfId="14772" xr:uid="{00000000-0005-0000-0000-00009ED70000}"/>
    <cellStyle name="Процентный 7 116 4" xfId="20112" xr:uid="{00000000-0005-0000-0000-00009FD70000}"/>
    <cellStyle name="Процентный 7 116 5" xfId="25452" xr:uid="{00000000-0005-0000-0000-0000A0D70000}"/>
    <cellStyle name="Процентный 7 116 6" xfId="30792" xr:uid="{00000000-0005-0000-0000-0000A1D70000}"/>
    <cellStyle name="Процентный 7 116 7" xfId="36132" xr:uid="{00000000-0005-0000-0000-0000A2D70000}"/>
    <cellStyle name="Процентный 7 116 8" xfId="41472" xr:uid="{00000000-0005-0000-0000-0000A3D70000}"/>
    <cellStyle name="Процентный 7 116 9" xfId="46812" xr:uid="{00000000-0005-0000-0000-0000A4D70000}"/>
    <cellStyle name="Процентный 7 117" xfId="4121" xr:uid="{00000000-0005-0000-0000-0000A5D70000}"/>
    <cellStyle name="Процентный 7 117 10" xfId="52184" xr:uid="{00000000-0005-0000-0000-0000A6D70000}"/>
    <cellStyle name="Процентный 7 117 2" xfId="9464" xr:uid="{00000000-0005-0000-0000-0000A7D70000}"/>
    <cellStyle name="Процентный 7 117 2 2" xfId="57525" xr:uid="{00000000-0005-0000-0000-0000A8D70000}"/>
    <cellStyle name="Процентный 7 117 3" xfId="14804" xr:uid="{00000000-0005-0000-0000-0000A9D70000}"/>
    <cellStyle name="Процентный 7 117 4" xfId="20144" xr:uid="{00000000-0005-0000-0000-0000AAD70000}"/>
    <cellStyle name="Процентный 7 117 5" xfId="25484" xr:uid="{00000000-0005-0000-0000-0000ABD70000}"/>
    <cellStyle name="Процентный 7 117 6" xfId="30824" xr:uid="{00000000-0005-0000-0000-0000ACD70000}"/>
    <cellStyle name="Процентный 7 117 7" xfId="36164" xr:uid="{00000000-0005-0000-0000-0000ADD70000}"/>
    <cellStyle name="Процентный 7 117 8" xfId="41504" xr:uid="{00000000-0005-0000-0000-0000AED70000}"/>
    <cellStyle name="Процентный 7 117 9" xfId="46844" xr:uid="{00000000-0005-0000-0000-0000AFD70000}"/>
    <cellStyle name="Процентный 7 118" xfId="4153" xr:uid="{00000000-0005-0000-0000-0000B0D70000}"/>
    <cellStyle name="Процентный 7 118 10" xfId="52216" xr:uid="{00000000-0005-0000-0000-0000B1D70000}"/>
    <cellStyle name="Процентный 7 118 2" xfId="9496" xr:uid="{00000000-0005-0000-0000-0000B2D70000}"/>
    <cellStyle name="Процентный 7 118 2 2" xfId="57557" xr:uid="{00000000-0005-0000-0000-0000B3D70000}"/>
    <cellStyle name="Процентный 7 118 3" xfId="14836" xr:uid="{00000000-0005-0000-0000-0000B4D70000}"/>
    <cellStyle name="Процентный 7 118 4" xfId="20176" xr:uid="{00000000-0005-0000-0000-0000B5D70000}"/>
    <cellStyle name="Процентный 7 118 5" xfId="25516" xr:uid="{00000000-0005-0000-0000-0000B6D70000}"/>
    <cellStyle name="Процентный 7 118 6" xfId="30856" xr:uid="{00000000-0005-0000-0000-0000B7D70000}"/>
    <cellStyle name="Процентный 7 118 7" xfId="36196" xr:uid="{00000000-0005-0000-0000-0000B8D70000}"/>
    <cellStyle name="Процентный 7 118 8" xfId="41536" xr:uid="{00000000-0005-0000-0000-0000B9D70000}"/>
    <cellStyle name="Процентный 7 118 9" xfId="46876" xr:uid="{00000000-0005-0000-0000-0000BAD70000}"/>
    <cellStyle name="Процентный 7 119" xfId="4185" xr:uid="{00000000-0005-0000-0000-0000BBD70000}"/>
    <cellStyle name="Процентный 7 119 10" xfId="52248" xr:uid="{00000000-0005-0000-0000-0000BCD70000}"/>
    <cellStyle name="Процентный 7 119 2" xfId="9528" xr:uid="{00000000-0005-0000-0000-0000BDD70000}"/>
    <cellStyle name="Процентный 7 119 2 2" xfId="57589" xr:uid="{00000000-0005-0000-0000-0000BED70000}"/>
    <cellStyle name="Процентный 7 119 3" xfId="14868" xr:uid="{00000000-0005-0000-0000-0000BFD70000}"/>
    <cellStyle name="Процентный 7 119 4" xfId="20208" xr:uid="{00000000-0005-0000-0000-0000C0D70000}"/>
    <cellStyle name="Процентный 7 119 5" xfId="25548" xr:uid="{00000000-0005-0000-0000-0000C1D70000}"/>
    <cellStyle name="Процентный 7 119 6" xfId="30888" xr:uid="{00000000-0005-0000-0000-0000C2D70000}"/>
    <cellStyle name="Процентный 7 119 7" xfId="36228" xr:uid="{00000000-0005-0000-0000-0000C3D70000}"/>
    <cellStyle name="Процентный 7 119 8" xfId="41568" xr:uid="{00000000-0005-0000-0000-0000C4D70000}"/>
    <cellStyle name="Процентный 7 119 9" xfId="46908" xr:uid="{00000000-0005-0000-0000-0000C5D70000}"/>
    <cellStyle name="Процентный 7 12" xfId="1022" xr:uid="{00000000-0005-0000-0000-0000C6D70000}"/>
    <cellStyle name="Процентный 7 12 10" xfId="49084" xr:uid="{00000000-0005-0000-0000-0000C7D70000}"/>
    <cellStyle name="Процентный 7 12 2" xfId="6363" xr:uid="{00000000-0005-0000-0000-0000C8D70000}"/>
    <cellStyle name="Процентный 7 12 2 2" xfId="54425" xr:uid="{00000000-0005-0000-0000-0000C9D70000}"/>
    <cellStyle name="Процентный 7 12 3" xfId="11704" xr:uid="{00000000-0005-0000-0000-0000CAD70000}"/>
    <cellStyle name="Процентный 7 12 4" xfId="17044" xr:uid="{00000000-0005-0000-0000-0000CBD70000}"/>
    <cellStyle name="Процентный 7 12 5" xfId="22384" xr:uid="{00000000-0005-0000-0000-0000CCD70000}"/>
    <cellStyle name="Процентный 7 12 6" xfId="27724" xr:uid="{00000000-0005-0000-0000-0000CDD70000}"/>
    <cellStyle name="Процентный 7 12 7" xfId="33064" xr:uid="{00000000-0005-0000-0000-0000CED70000}"/>
    <cellStyle name="Процентный 7 12 8" xfId="38404" xr:uid="{00000000-0005-0000-0000-0000CFD70000}"/>
    <cellStyle name="Процентный 7 12 9" xfId="43744" xr:uid="{00000000-0005-0000-0000-0000D0D70000}"/>
    <cellStyle name="Процентный 7 120" xfId="4217" xr:uid="{00000000-0005-0000-0000-0000D1D70000}"/>
    <cellStyle name="Процентный 7 120 10" xfId="52280" xr:uid="{00000000-0005-0000-0000-0000D2D70000}"/>
    <cellStyle name="Процентный 7 120 2" xfId="9560" xr:uid="{00000000-0005-0000-0000-0000D3D70000}"/>
    <cellStyle name="Процентный 7 120 2 2" xfId="57621" xr:uid="{00000000-0005-0000-0000-0000D4D70000}"/>
    <cellStyle name="Процентный 7 120 3" xfId="14900" xr:uid="{00000000-0005-0000-0000-0000D5D70000}"/>
    <cellStyle name="Процентный 7 120 4" xfId="20240" xr:uid="{00000000-0005-0000-0000-0000D6D70000}"/>
    <cellStyle name="Процентный 7 120 5" xfId="25580" xr:uid="{00000000-0005-0000-0000-0000D7D70000}"/>
    <cellStyle name="Процентный 7 120 6" xfId="30920" xr:uid="{00000000-0005-0000-0000-0000D8D70000}"/>
    <cellStyle name="Процентный 7 120 7" xfId="36260" xr:uid="{00000000-0005-0000-0000-0000D9D70000}"/>
    <cellStyle name="Процентный 7 120 8" xfId="41600" xr:uid="{00000000-0005-0000-0000-0000DAD70000}"/>
    <cellStyle name="Процентный 7 120 9" xfId="46940" xr:uid="{00000000-0005-0000-0000-0000DBD70000}"/>
    <cellStyle name="Процентный 7 121" xfId="4249" xr:uid="{00000000-0005-0000-0000-0000DCD70000}"/>
    <cellStyle name="Процентный 7 121 10" xfId="52312" xr:uid="{00000000-0005-0000-0000-0000DDD70000}"/>
    <cellStyle name="Процентный 7 121 2" xfId="9592" xr:uid="{00000000-0005-0000-0000-0000DED70000}"/>
    <cellStyle name="Процентный 7 121 2 2" xfId="57653" xr:uid="{00000000-0005-0000-0000-0000DFD70000}"/>
    <cellStyle name="Процентный 7 121 3" xfId="14932" xr:uid="{00000000-0005-0000-0000-0000E0D70000}"/>
    <cellStyle name="Процентный 7 121 4" xfId="20272" xr:uid="{00000000-0005-0000-0000-0000E1D70000}"/>
    <cellStyle name="Процентный 7 121 5" xfId="25612" xr:uid="{00000000-0005-0000-0000-0000E2D70000}"/>
    <cellStyle name="Процентный 7 121 6" xfId="30952" xr:uid="{00000000-0005-0000-0000-0000E3D70000}"/>
    <cellStyle name="Процентный 7 121 7" xfId="36292" xr:uid="{00000000-0005-0000-0000-0000E4D70000}"/>
    <cellStyle name="Процентный 7 121 8" xfId="41632" xr:uid="{00000000-0005-0000-0000-0000E5D70000}"/>
    <cellStyle name="Процентный 7 121 9" xfId="46972" xr:uid="{00000000-0005-0000-0000-0000E6D70000}"/>
    <cellStyle name="Процентный 7 122" xfId="4281" xr:uid="{00000000-0005-0000-0000-0000E7D70000}"/>
    <cellStyle name="Процентный 7 122 10" xfId="52344" xr:uid="{00000000-0005-0000-0000-0000E8D70000}"/>
    <cellStyle name="Процентный 7 122 2" xfId="9624" xr:uid="{00000000-0005-0000-0000-0000E9D70000}"/>
    <cellStyle name="Процентный 7 122 2 2" xfId="57685" xr:uid="{00000000-0005-0000-0000-0000EAD70000}"/>
    <cellStyle name="Процентный 7 122 3" xfId="14964" xr:uid="{00000000-0005-0000-0000-0000EBD70000}"/>
    <cellStyle name="Процентный 7 122 4" xfId="20304" xr:uid="{00000000-0005-0000-0000-0000ECD70000}"/>
    <cellStyle name="Процентный 7 122 5" xfId="25644" xr:uid="{00000000-0005-0000-0000-0000EDD70000}"/>
    <cellStyle name="Процентный 7 122 6" xfId="30984" xr:uid="{00000000-0005-0000-0000-0000EED70000}"/>
    <cellStyle name="Процентный 7 122 7" xfId="36324" xr:uid="{00000000-0005-0000-0000-0000EFD70000}"/>
    <cellStyle name="Процентный 7 122 8" xfId="41664" xr:uid="{00000000-0005-0000-0000-0000F0D70000}"/>
    <cellStyle name="Процентный 7 122 9" xfId="47004" xr:uid="{00000000-0005-0000-0000-0000F1D70000}"/>
    <cellStyle name="Процентный 7 123" xfId="4313" xr:uid="{00000000-0005-0000-0000-0000F2D70000}"/>
    <cellStyle name="Процентный 7 123 10" xfId="52376" xr:uid="{00000000-0005-0000-0000-0000F3D70000}"/>
    <cellStyle name="Процентный 7 123 2" xfId="9656" xr:uid="{00000000-0005-0000-0000-0000F4D70000}"/>
    <cellStyle name="Процентный 7 123 2 2" xfId="57717" xr:uid="{00000000-0005-0000-0000-0000F5D70000}"/>
    <cellStyle name="Процентный 7 123 3" xfId="14996" xr:uid="{00000000-0005-0000-0000-0000F6D70000}"/>
    <cellStyle name="Процентный 7 123 4" xfId="20336" xr:uid="{00000000-0005-0000-0000-0000F7D70000}"/>
    <cellStyle name="Процентный 7 123 5" xfId="25676" xr:uid="{00000000-0005-0000-0000-0000F8D70000}"/>
    <cellStyle name="Процентный 7 123 6" xfId="31016" xr:uid="{00000000-0005-0000-0000-0000F9D70000}"/>
    <cellStyle name="Процентный 7 123 7" xfId="36356" xr:uid="{00000000-0005-0000-0000-0000FAD70000}"/>
    <cellStyle name="Процентный 7 123 8" xfId="41696" xr:uid="{00000000-0005-0000-0000-0000FBD70000}"/>
    <cellStyle name="Процентный 7 123 9" xfId="47036" xr:uid="{00000000-0005-0000-0000-0000FCD70000}"/>
    <cellStyle name="Процентный 7 124" xfId="4345" xr:uid="{00000000-0005-0000-0000-0000FDD70000}"/>
    <cellStyle name="Процентный 7 124 10" xfId="52408" xr:uid="{00000000-0005-0000-0000-0000FED70000}"/>
    <cellStyle name="Процентный 7 124 2" xfId="9688" xr:uid="{00000000-0005-0000-0000-0000FFD70000}"/>
    <cellStyle name="Процентный 7 124 2 2" xfId="57749" xr:uid="{00000000-0005-0000-0000-000000D80000}"/>
    <cellStyle name="Процентный 7 124 3" xfId="15028" xr:uid="{00000000-0005-0000-0000-000001D80000}"/>
    <cellStyle name="Процентный 7 124 4" xfId="20368" xr:uid="{00000000-0005-0000-0000-000002D80000}"/>
    <cellStyle name="Процентный 7 124 5" xfId="25708" xr:uid="{00000000-0005-0000-0000-000003D80000}"/>
    <cellStyle name="Процентный 7 124 6" xfId="31048" xr:uid="{00000000-0005-0000-0000-000004D80000}"/>
    <cellStyle name="Процентный 7 124 7" xfId="36388" xr:uid="{00000000-0005-0000-0000-000005D80000}"/>
    <cellStyle name="Процентный 7 124 8" xfId="41728" xr:uid="{00000000-0005-0000-0000-000006D80000}"/>
    <cellStyle name="Процентный 7 124 9" xfId="47068" xr:uid="{00000000-0005-0000-0000-000007D80000}"/>
    <cellStyle name="Процентный 7 125" xfId="4377" xr:uid="{00000000-0005-0000-0000-000008D80000}"/>
    <cellStyle name="Процентный 7 125 10" xfId="52440" xr:uid="{00000000-0005-0000-0000-000009D80000}"/>
    <cellStyle name="Процентный 7 125 2" xfId="9720" xr:uid="{00000000-0005-0000-0000-00000AD80000}"/>
    <cellStyle name="Процентный 7 125 2 2" xfId="57781" xr:uid="{00000000-0005-0000-0000-00000BD80000}"/>
    <cellStyle name="Процентный 7 125 3" xfId="15060" xr:uid="{00000000-0005-0000-0000-00000CD80000}"/>
    <cellStyle name="Процентный 7 125 4" xfId="20400" xr:uid="{00000000-0005-0000-0000-00000DD80000}"/>
    <cellStyle name="Процентный 7 125 5" xfId="25740" xr:uid="{00000000-0005-0000-0000-00000ED80000}"/>
    <cellStyle name="Процентный 7 125 6" xfId="31080" xr:uid="{00000000-0005-0000-0000-00000FD80000}"/>
    <cellStyle name="Процентный 7 125 7" xfId="36420" xr:uid="{00000000-0005-0000-0000-000010D80000}"/>
    <cellStyle name="Процентный 7 125 8" xfId="41760" xr:uid="{00000000-0005-0000-0000-000011D80000}"/>
    <cellStyle name="Процентный 7 125 9" xfId="47100" xr:uid="{00000000-0005-0000-0000-000012D80000}"/>
    <cellStyle name="Процентный 7 126" xfId="4409" xr:uid="{00000000-0005-0000-0000-000013D80000}"/>
    <cellStyle name="Процентный 7 126 10" xfId="52472" xr:uid="{00000000-0005-0000-0000-000014D80000}"/>
    <cellStyle name="Процентный 7 126 2" xfId="9752" xr:uid="{00000000-0005-0000-0000-000015D80000}"/>
    <cellStyle name="Процентный 7 126 2 2" xfId="57813" xr:uid="{00000000-0005-0000-0000-000016D80000}"/>
    <cellStyle name="Процентный 7 126 3" xfId="15092" xr:uid="{00000000-0005-0000-0000-000017D80000}"/>
    <cellStyle name="Процентный 7 126 4" xfId="20432" xr:uid="{00000000-0005-0000-0000-000018D80000}"/>
    <cellStyle name="Процентный 7 126 5" xfId="25772" xr:uid="{00000000-0005-0000-0000-000019D80000}"/>
    <cellStyle name="Процентный 7 126 6" xfId="31112" xr:uid="{00000000-0005-0000-0000-00001AD80000}"/>
    <cellStyle name="Процентный 7 126 7" xfId="36452" xr:uid="{00000000-0005-0000-0000-00001BD80000}"/>
    <cellStyle name="Процентный 7 126 8" xfId="41792" xr:uid="{00000000-0005-0000-0000-00001CD80000}"/>
    <cellStyle name="Процентный 7 126 9" xfId="47132" xr:uid="{00000000-0005-0000-0000-00001DD80000}"/>
    <cellStyle name="Процентный 7 127" xfId="4441" xr:uid="{00000000-0005-0000-0000-00001ED80000}"/>
    <cellStyle name="Процентный 7 127 10" xfId="52504" xr:uid="{00000000-0005-0000-0000-00001FD80000}"/>
    <cellStyle name="Процентный 7 127 2" xfId="9784" xr:uid="{00000000-0005-0000-0000-000020D80000}"/>
    <cellStyle name="Процентный 7 127 2 2" xfId="57845" xr:uid="{00000000-0005-0000-0000-000021D80000}"/>
    <cellStyle name="Процентный 7 127 3" xfId="15124" xr:uid="{00000000-0005-0000-0000-000022D80000}"/>
    <cellStyle name="Процентный 7 127 4" xfId="20464" xr:uid="{00000000-0005-0000-0000-000023D80000}"/>
    <cellStyle name="Процентный 7 127 5" xfId="25804" xr:uid="{00000000-0005-0000-0000-000024D80000}"/>
    <cellStyle name="Процентный 7 127 6" xfId="31144" xr:uid="{00000000-0005-0000-0000-000025D80000}"/>
    <cellStyle name="Процентный 7 127 7" xfId="36484" xr:uid="{00000000-0005-0000-0000-000026D80000}"/>
    <cellStyle name="Процентный 7 127 8" xfId="41824" xr:uid="{00000000-0005-0000-0000-000027D80000}"/>
    <cellStyle name="Процентный 7 127 9" xfId="47164" xr:uid="{00000000-0005-0000-0000-000028D80000}"/>
    <cellStyle name="Процентный 7 128" xfId="4473" xr:uid="{00000000-0005-0000-0000-000029D80000}"/>
    <cellStyle name="Процентный 7 128 10" xfId="52536" xr:uid="{00000000-0005-0000-0000-00002AD80000}"/>
    <cellStyle name="Процентный 7 128 2" xfId="9816" xr:uid="{00000000-0005-0000-0000-00002BD80000}"/>
    <cellStyle name="Процентный 7 128 2 2" xfId="57877" xr:uid="{00000000-0005-0000-0000-00002CD80000}"/>
    <cellStyle name="Процентный 7 128 3" xfId="15156" xr:uid="{00000000-0005-0000-0000-00002DD80000}"/>
    <cellStyle name="Процентный 7 128 4" xfId="20496" xr:uid="{00000000-0005-0000-0000-00002ED80000}"/>
    <cellStyle name="Процентный 7 128 5" xfId="25836" xr:uid="{00000000-0005-0000-0000-00002FD80000}"/>
    <cellStyle name="Процентный 7 128 6" xfId="31176" xr:uid="{00000000-0005-0000-0000-000030D80000}"/>
    <cellStyle name="Процентный 7 128 7" xfId="36516" xr:uid="{00000000-0005-0000-0000-000031D80000}"/>
    <cellStyle name="Процентный 7 128 8" xfId="41856" xr:uid="{00000000-0005-0000-0000-000032D80000}"/>
    <cellStyle name="Процентный 7 128 9" xfId="47196" xr:uid="{00000000-0005-0000-0000-000033D80000}"/>
    <cellStyle name="Процентный 7 129" xfId="4505" xr:uid="{00000000-0005-0000-0000-000034D80000}"/>
    <cellStyle name="Процентный 7 129 10" xfId="52568" xr:uid="{00000000-0005-0000-0000-000035D80000}"/>
    <cellStyle name="Процентный 7 129 2" xfId="9848" xr:uid="{00000000-0005-0000-0000-000036D80000}"/>
    <cellStyle name="Процентный 7 129 2 2" xfId="57909" xr:uid="{00000000-0005-0000-0000-000037D80000}"/>
    <cellStyle name="Процентный 7 129 3" xfId="15188" xr:uid="{00000000-0005-0000-0000-000038D80000}"/>
    <cellStyle name="Процентный 7 129 4" xfId="20528" xr:uid="{00000000-0005-0000-0000-000039D80000}"/>
    <cellStyle name="Процентный 7 129 5" xfId="25868" xr:uid="{00000000-0005-0000-0000-00003AD80000}"/>
    <cellStyle name="Процентный 7 129 6" xfId="31208" xr:uid="{00000000-0005-0000-0000-00003BD80000}"/>
    <cellStyle name="Процентный 7 129 7" xfId="36548" xr:uid="{00000000-0005-0000-0000-00003CD80000}"/>
    <cellStyle name="Процентный 7 129 8" xfId="41888" xr:uid="{00000000-0005-0000-0000-00003DD80000}"/>
    <cellStyle name="Процентный 7 129 9" xfId="47228" xr:uid="{00000000-0005-0000-0000-00003ED80000}"/>
    <cellStyle name="Процентный 7 13" xfId="1046" xr:uid="{00000000-0005-0000-0000-00003FD80000}"/>
    <cellStyle name="Процентный 7 13 10" xfId="49108" xr:uid="{00000000-0005-0000-0000-000040D80000}"/>
    <cellStyle name="Процентный 7 13 2" xfId="6387" xr:uid="{00000000-0005-0000-0000-000041D80000}"/>
    <cellStyle name="Процентный 7 13 2 2" xfId="54449" xr:uid="{00000000-0005-0000-0000-000042D80000}"/>
    <cellStyle name="Процентный 7 13 3" xfId="11728" xr:uid="{00000000-0005-0000-0000-000043D80000}"/>
    <cellStyle name="Процентный 7 13 4" xfId="17068" xr:uid="{00000000-0005-0000-0000-000044D80000}"/>
    <cellStyle name="Процентный 7 13 5" xfId="22408" xr:uid="{00000000-0005-0000-0000-000045D80000}"/>
    <cellStyle name="Процентный 7 13 6" xfId="27748" xr:uid="{00000000-0005-0000-0000-000046D80000}"/>
    <cellStyle name="Процентный 7 13 7" xfId="33088" xr:uid="{00000000-0005-0000-0000-000047D80000}"/>
    <cellStyle name="Процентный 7 13 8" xfId="38428" xr:uid="{00000000-0005-0000-0000-000048D80000}"/>
    <cellStyle name="Процентный 7 13 9" xfId="43768" xr:uid="{00000000-0005-0000-0000-000049D80000}"/>
    <cellStyle name="Процентный 7 130" xfId="4537" xr:uid="{00000000-0005-0000-0000-00004AD80000}"/>
    <cellStyle name="Процентный 7 130 10" xfId="52600" xr:uid="{00000000-0005-0000-0000-00004BD80000}"/>
    <cellStyle name="Процентный 7 130 2" xfId="9880" xr:uid="{00000000-0005-0000-0000-00004CD80000}"/>
    <cellStyle name="Процентный 7 130 2 2" xfId="57941" xr:uid="{00000000-0005-0000-0000-00004DD80000}"/>
    <cellStyle name="Процентный 7 130 3" xfId="15220" xr:uid="{00000000-0005-0000-0000-00004ED80000}"/>
    <cellStyle name="Процентный 7 130 4" xfId="20560" xr:uid="{00000000-0005-0000-0000-00004FD80000}"/>
    <cellStyle name="Процентный 7 130 5" xfId="25900" xr:uid="{00000000-0005-0000-0000-000050D80000}"/>
    <cellStyle name="Процентный 7 130 6" xfId="31240" xr:uid="{00000000-0005-0000-0000-000051D80000}"/>
    <cellStyle name="Процентный 7 130 7" xfId="36580" xr:uid="{00000000-0005-0000-0000-000052D80000}"/>
    <cellStyle name="Процентный 7 130 8" xfId="41920" xr:uid="{00000000-0005-0000-0000-000053D80000}"/>
    <cellStyle name="Процентный 7 130 9" xfId="47260" xr:uid="{00000000-0005-0000-0000-000054D80000}"/>
    <cellStyle name="Процентный 7 131" xfId="4569" xr:uid="{00000000-0005-0000-0000-000055D80000}"/>
    <cellStyle name="Процентный 7 131 10" xfId="52632" xr:uid="{00000000-0005-0000-0000-000056D80000}"/>
    <cellStyle name="Процентный 7 131 2" xfId="9912" xr:uid="{00000000-0005-0000-0000-000057D80000}"/>
    <cellStyle name="Процентный 7 131 2 2" xfId="57973" xr:uid="{00000000-0005-0000-0000-000058D80000}"/>
    <cellStyle name="Процентный 7 131 3" xfId="15252" xr:uid="{00000000-0005-0000-0000-000059D80000}"/>
    <cellStyle name="Процентный 7 131 4" xfId="20592" xr:uid="{00000000-0005-0000-0000-00005AD80000}"/>
    <cellStyle name="Процентный 7 131 5" xfId="25932" xr:uid="{00000000-0005-0000-0000-00005BD80000}"/>
    <cellStyle name="Процентный 7 131 6" xfId="31272" xr:uid="{00000000-0005-0000-0000-00005CD80000}"/>
    <cellStyle name="Процентный 7 131 7" xfId="36612" xr:uid="{00000000-0005-0000-0000-00005DD80000}"/>
    <cellStyle name="Процентный 7 131 8" xfId="41952" xr:uid="{00000000-0005-0000-0000-00005ED80000}"/>
    <cellStyle name="Процентный 7 131 9" xfId="47292" xr:uid="{00000000-0005-0000-0000-00005FD80000}"/>
    <cellStyle name="Процентный 7 132" xfId="4601" xr:uid="{00000000-0005-0000-0000-000060D80000}"/>
    <cellStyle name="Процентный 7 132 10" xfId="52664" xr:uid="{00000000-0005-0000-0000-000061D80000}"/>
    <cellStyle name="Процентный 7 132 2" xfId="9944" xr:uid="{00000000-0005-0000-0000-000062D80000}"/>
    <cellStyle name="Процентный 7 132 2 2" xfId="58005" xr:uid="{00000000-0005-0000-0000-000063D80000}"/>
    <cellStyle name="Процентный 7 132 3" xfId="15284" xr:uid="{00000000-0005-0000-0000-000064D80000}"/>
    <cellStyle name="Процентный 7 132 4" xfId="20624" xr:uid="{00000000-0005-0000-0000-000065D80000}"/>
    <cellStyle name="Процентный 7 132 5" xfId="25964" xr:uid="{00000000-0005-0000-0000-000066D80000}"/>
    <cellStyle name="Процентный 7 132 6" xfId="31304" xr:uid="{00000000-0005-0000-0000-000067D80000}"/>
    <cellStyle name="Процентный 7 132 7" xfId="36644" xr:uid="{00000000-0005-0000-0000-000068D80000}"/>
    <cellStyle name="Процентный 7 132 8" xfId="41984" xr:uid="{00000000-0005-0000-0000-000069D80000}"/>
    <cellStyle name="Процентный 7 132 9" xfId="47324" xr:uid="{00000000-0005-0000-0000-00006AD80000}"/>
    <cellStyle name="Процентный 7 133" xfId="4633" xr:uid="{00000000-0005-0000-0000-00006BD80000}"/>
    <cellStyle name="Процентный 7 133 10" xfId="52696" xr:uid="{00000000-0005-0000-0000-00006CD80000}"/>
    <cellStyle name="Процентный 7 133 2" xfId="9976" xr:uid="{00000000-0005-0000-0000-00006DD80000}"/>
    <cellStyle name="Процентный 7 133 2 2" xfId="58037" xr:uid="{00000000-0005-0000-0000-00006ED80000}"/>
    <cellStyle name="Процентный 7 133 3" xfId="15316" xr:uid="{00000000-0005-0000-0000-00006FD80000}"/>
    <cellStyle name="Процентный 7 133 4" xfId="20656" xr:uid="{00000000-0005-0000-0000-000070D80000}"/>
    <cellStyle name="Процентный 7 133 5" xfId="25996" xr:uid="{00000000-0005-0000-0000-000071D80000}"/>
    <cellStyle name="Процентный 7 133 6" xfId="31336" xr:uid="{00000000-0005-0000-0000-000072D80000}"/>
    <cellStyle name="Процентный 7 133 7" xfId="36676" xr:uid="{00000000-0005-0000-0000-000073D80000}"/>
    <cellStyle name="Процентный 7 133 8" xfId="42016" xr:uid="{00000000-0005-0000-0000-000074D80000}"/>
    <cellStyle name="Процентный 7 133 9" xfId="47356" xr:uid="{00000000-0005-0000-0000-000075D80000}"/>
    <cellStyle name="Процентный 7 134" xfId="4665" xr:uid="{00000000-0005-0000-0000-000076D80000}"/>
    <cellStyle name="Процентный 7 134 10" xfId="52728" xr:uid="{00000000-0005-0000-0000-000077D80000}"/>
    <cellStyle name="Процентный 7 134 2" xfId="10008" xr:uid="{00000000-0005-0000-0000-000078D80000}"/>
    <cellStyle name="Процентный 7 134 2 2" xfId="58069" xr:uid="{00000000-0005-0000-0000-000079D80000}"/>
    <cellStyle name="Процентный 7 134 3" xfId="15348" xr:uid="{00000000-0005-0000-0000-00007AD80000}"/>
    <cellStyle name="Процентный 7 134 4" xfId="20688" xr:uid="{00000000-0005-0000-0000-00007BD80000}"/>
    <cellStyle name="Процентный 7 134 5" xfId="26028" xr:uid="{00000000-0005-0000-0000-00007CD80000}"/>
    <cellStyle name="Процентный 7 134 6" xfId="31368" xr:uid="{00000000-0005-0000-0000-00007DD80000}"/>
    <cellStyle name="Процентный 7 134 7" xfId="36708" xr:uid="{00000000-0005-0000-0000-00007ED80000}"/>
    <cellStyle name="Процентный 7 134 8" xfId="42048" xr:uid="{00000000-0005-0000-0000-00007FD80000}"/>
    <cellStyle name="Процентный 7 134 9" xfId="47388" xr:uid="{00000000-0005-0000-0000-000080D80000}"/>
    <cellStyle name="Процентный 7 135" xfId="4697" xr:uid="{00000000-0005-0000-0000-000081D80000}"/>
    <cellStyle name="Процентный 7 135 10" xfId="52760" xr:uid="{00000000-0005-0000-0000-000082D80000}"/>
    <cellStyle name="Процентный 7 135 2" xfId="10040" xr:uid="{00000000-0005-0000-0000-000083D80000}"/>
    <cellStyle name="Процентный 7 135 2 2" xfId="58101" xr:uid="{00000000-0005-0000-0000-000084D80000}"/>
    <cellStyle name="Процентный 7 135 3" xfId="15380" xr:uid="{00000000-0005-0000-0000-000085D80000}"/>
    <cellStyle name="Процентный 7 135 4" xfId="20720" xr:uid="{00000000-0005-0000-0000-000086D80000}"/>
    <cellStyle name="Процентный 7 135 5" xfId="26060" xr:uid="{00000000-0005-0000-0000-000087D80000}"/>
    <cellStyle name="Процентный 7 135 6" xfId="31400" xr:uid="{00000000-0005-0000-0000-000088D80000}"/>
    <cellStyle name="Процентный 7 135 7" xfId="36740" xr:uid="{00000000-0005-0000-0000-000089D80000}"/>
    <cellStyle name="Процентный 7 135 8" xfId="42080" xr:uid="{00000000-0005-0000-0000-00008AD80000}"/>
    <cellStyle name="Процентный 7 135 9" xfId="47420" xr:uid="{00000000-0005-0000-0000-00008BD80000}"/>
    <cellStyle name="Процентный 7 136" xfId="4731" xr:uid="{00000000-0005-0000-0000-00008CD80000}"/>
    <cellStyle name="Процентный 7 136 10" xfId="52794" xr:uid="{00000000-0005-0000-0000-00008DD80000}"/>
    <cellStyle name="Процентный 7 136 2" xfId="10074" xr:uid="{00000000-0005-0000-0000-00008ED80000}"/>
    <cellStyle name="Процентный 7 136 2 2" xfId="58135" xr:uid="{00000000-0005-0000-0000-00008FD80000}"/>
    <cellStyle name="Процентный 7 136 3" xfId="15414" xr:uid="{00000000-0005-0000-0000-000090D80000}"/>
    <cellStyle name="Процентный 7 136 4" xfId="20754" xr:uid="{00000000-0005-0000-0000-000091D80000}"/>
    <cellStyle name="Процентный 7 136 5" xfId="26094" xr:uid="{00000000-0005-0000-0000-000092D80000}"/>
    <cellStyle name="Процентный 7 136 6" xfId="31434" xr:uid="{00000000-0005-0000-0000-000093D80000}"/>
    <cellStyle name="Процентный 7 136 7" xfId="36774" xr:uid="{00000000-0005-0000-0000-000094D80000}"/>
    <cellStyle name="Процентный 7 136 8" xfId="42114" xr:uid="{00000000-0005-0000-0000-000095D80000}"/>
    <cellStyle name="Процентный 7 136 9" xfId="47454" xr:uid="{00000000-0005-0000-0000-000096D80000}"/>
    <cellStyle name="Процентный 7 137" xfId="4763" xr:uid="{00000000-0005-0000-0000-000097D80000}"/>
    <cellStyle name="Процентный 7 137 10" xfId="52826" xr:uid="{00000000-0005-0000-0000-000098D80000}"/>
    <cellStyle name="Процентный 7 137 2" xfId="10106" xr:uid="{00000000-0005-0000-0000-000099D80000}"/>
    <cellStyle name="Процентный 7 137 2 2" xfId="58167" xr:uid="{00000000-0005-0000-0000-00009AD80000}"/>
    <cellStyle name="Процентный 7 137 3" xfId="15446" xr:uid="{00000000-0005-0000-0000-00009BD80000}"/>
    <cellStyle name="Процентный 7 137 4" xfId="20786" xr:uid="{00000000-0005-0000-0000-00009CD80000}"/>
    <cellStyle name="Процентный 7 137 5" xfId="26126" xr:uid="{00000000-0005-0000-0000-00009DD80000}"/>
    <cellStyle name="Процентный 7 137 6" xfId="31466" xr:uid="{00000000-0005-0000-0000-00009ED80000}"/>
    <cellStyle name="Процентный 7 137 7" xfId="36806" xr:uid="{00000000-0005-0000-0000-00009FD80000}"/>
    <cellStyle name="Процентный 7 137 8" xfId="42146" xr:uid="{00000000-0005-0000-0000-0000A0D80000}"/>
    <cellStyle name="Процентный 7 137 9" xfId="47486" xr:uid="{00000000-0005-0000-0000-0000A1D80000}"/>
    <cellStyle name="Процентный 7 138" xfId="4795" xr:uid="{00000000-0005-0000-0000-0000A2D80000}"/>
    <cellStyle name="Процентный 7 138 10" xfId="52858" xr:uid="{00000000-0005-0000-0000-0000A3D80000}"/>
    <cellStyle name="Процентный 7 138 2" xfId="10138" xr:uid="{00000000-0005-0000-0000-0000A4D80000}"/>
    <cellStyle name="Процентный 7 138 2 2" xfId="58199" xr:uid="{00000000-0005-0000-0000-0000A5D80000}"/>
    <cellStyle name="Процентный 7 138 3" xfId="15478" xr:uid="{00000000-0005-0000-0000-0000A6D80000}"/>
    <cellStyle name="Процентный 7 138 4" xfId="20818" xr:uid="{00000000-0005-0000-0000-0000A7D80000}"/>
    <cellStyle name="Процентный 7 138 5" xfId="26158" xr:uid="{00000000-0005-0000-0000-0000A8D80000}"/>
    <cellStyle name="Процентный 7 138 6" xfId="31498" xr:uid="{00000000-0005-0000-0000-0000A9D80000}"/>
    <cellStyle name="Процентный 7 138 7" xfId="36838" xr:uid="{00000000-0005-0000-0000-0000AAD80000}"/>
    <cellStyle name="Процентный 7 138 8" xfId="42178" xr:uid="{00000000-0005-0000-0000-0000ABD80000}"/>
    <cellStyle name="Процентный 7 138 9" xfId="47518" xr:uid="{00000000-0005-0000-0000-0000ACD80000}"/>
    <cellStyle name="Процентный 7 139" xfId="4827" xr:uid="{00000000-0005-0000-0000-0000ADD80000}"/>
    <cellStyle name="Процентный 7 139 10" xfId="52890" xr:uid="{00000000-0005-0000-0000-0000AED80000}"/>
    <cellStyle name="Процентный 7 139 2" xfId="10170" xr:uid="{00000000-0005-0000-0000-0000AFD80000}"/>
    <cellStyle name="Процентный 7 139 2 2" xfId="58231" xr:uid="{00000000-0005-0000-0000-0000B0D80000}"/>
    <cellStyle name="Процентный 7 139 3" xfId="15510" xr:uid="{00000000-0005-0000-0000-0000B1D80000}"/>
    <cellStyle name="Процентный 7 139 4" xfId="20850" xr:uid="{00000000-0005-0000-0000-0000B2D80000}"/>
    <cellStyle name="Процентный 7 139 5" xfId="26190" xr:uid="{00000000-0005-0000-0000-0000B3D80000}"/>
    <cellStyle name="Процентный 7 139 6" xfId="31530" xr:uid="{00000000-0005-0000-0000-0000B4D80000}"/>
    <cellStyle name="Процентный 7 139 7" xfId="36870" xr:uid="{00000000-0005-0000-0000-0000B5D80000}"/>
    <cellStyle name="Процентный 7 139 8" xfId="42210" xr:uid="{00000000-0005-0000-0000-0000B6D80000}"/>
    <cellStyle name="Процентный 7 139 9" xfId="47550" xr:uid="{00000000-0005-0000-0000-0000B7D80000}"/>
    <cellStyle name="Процентный 7 14" xfId="1071" xr:uid="{00000000-0005-0000-0000-0000B8D80000}"/>
    <cellStyle name="Процентный 7 14 10" xfId="49134" xr:uid="{00000000-0005-0000-0000-0000B9D80000}"/>
    <cellStyle name="Процентный 7 14 2" xfId="6413" xr:uid="{00000000-0005-0000-0000-0000BAD80000}"/>
    <cellStyle name="Процентный 7 14 2 2" xfId="54475" xr:uid="{00000000-0005-0000-0000-0000BBD80000}"/>
    <cellStyle name="Процентный 7 14 3" xfId="11754" xr:uid="{00000000-0005-0000-0000-0000BCD80000}"/>
    <cellStyle name="Процентный 7 14 4" xfId="17094" xr:uid="{00000000-0005-0000-0000-0000BDD80000}"/>
    <cellStyle name="Процентный 7 14 5" xfId="22434" xr:uid="{00000000-0005-0000-0000-0000BED80000}"/>
    <cellStyle name="Процентный 7 14 6" xfId="27774" xr:uid="{00000000-0005-0000-0000-0000BFD80000}"/>
    <cellStyle name="Процентный 7 14 7" xfId="33114" xr:uid="{00000000-0005-0000-0000-0000C0D80000}"/>
    <cellStyle name="Процентный 7 14 8" xfId="38454" xr:uid="{00000000-0005-0000-0000-0000C1D80000}"/>
    <cellStyle name="Процентный 7 14 9" xfId="43794" xr:uid="{00000000-0005-0000-0000-0000C2D80000}"/>
    <cellStyle name="Процентный 7 140" xfId="4859" xr:uid="{00000000-0005-0000-0000-0000C3D80000}"/>
    <cellStyle name="Процентный 7 140 10" xfId="52922" xr:uid="{00000000-0005-0000-0000-0000C4D80000}"/>
    <cellStyle name="Процентный 7 140 2" xfId="10202" xr:uid="{00000000-0005-0000-0000-0000C5D80000}"/>
    <cellStyle name="Процентный 7 140 2 2" xfId="58263" xr:uid="{00000000-0005-0000-0000-0000C6D80000}"/>
    <cellStyle name="Процентный 7 140 3" xfId="15542" xr:uid="{00000000-0005-0000-0000-0000C7D80000}"/>
    <cellStyle name="Процентный 7 140 4" xfId="20882" xr:uid="{00000000-0005-0000-0000-0000C8D80000}"/>
    <cellStyle name="Процентный 7 140 5" xfId="26222" xr:uid="{00000000-0005-0000-0000-0000C9D80000}"/>
    <cellStyle name="Процентный 7 140 6" xfId="31562" xr:uid="{00000000-0005-0000-0000-0000CAD80000}"/>
    <cellStyle name="Процентный 7 140 7" xfId="36902" xr:uid="{00000000-0005-0000-0000-0000CBD80000}"/>
    <cellStyle name="Процентный 7 140 8" xfId="42242" xr:uid="{00000000-0005-0000-0000-0000CCD80000}"/>
    <cellStyle name="Процентный 7 140 9" xfId="47582" xr:uid="{00000000-0005-0000-0000-0000CDD80000}"/>
    <cellStyle name="Процентный 7 141" xfId="4891" xr:uid="{00000000-0005-0000-0000-0000CED80000}"/>
    <cellStyle name="Процентный 7 141 10" xfId="52954" xr:uid="{00000000-0005-0000-0000-0000CFD80000}"/>
    <cellStyle name="Процентный 7 141 2" xfId="10234" xr:uid="{00000000-0005-0000-0000-0000D0D80000}"/>
    <cellStyle name="Процентный 7 141 2 2" xfId="58295" xr:uid="{00000000-0005-0000-0000-0000D1D80000}"/>
    <cellStyle name="Процентный 7 141 3" xfId="15574" xr:uid="{00000000-0005-0000-0000-0000D2D80000}"/>
    <cellStyle name="Процентный 7 141 4" xfId="20914" xr:uid="{00000000-0005-0000-0000-0000D3D80000}"/>
    <cellStyle name="Процентный 7 141 5" xfId="26254" xr:uid="{00000000-0005-0000-0000-0000D4D80000}"/>
    <cellStyle name="Процентный 7 141 6" xfId="31594" xr:uid="{00000000-0005-0000-0000-0000D5D80000}"/>
    <cellStyle name="Процентный 7 141 7" xfId="36934" xr:uid="{00000000-0005-0000-0000-0000D6D80000}"/>
    <cellStyle name="Процентный 7 141 8" xfId="42274" xr:uid="{00000000-0005-0000-0000-0000D7D80000}"/>
    <cellStyle name="Процентный 7 141 9" xfId="47614" xr:uid="{00000000-0005-0000-0000-0000D8D80000}"/>
    <cellStyle name="Процентный 7 142" xfId="4923" xr:uid="{00000000-0005-0000-0000-0000D9D80000}"/>
    <cellStyle name="Процентный 7 142 10" xfId="52986" xr:uid="{00000000-0005-0000-0000-0000DAD80000}"/>
    <cellStyle name="Процентный 7 142 2" xfId="10266" xr:uid="{00000000-0005-0000-0000-0000DBD80000}"/>
    <cellStyle name="Процентный 7 142 2 2" xfId="58327" xr:uid="{00000000-0005-0000-0000-0000DCD80000}"/>
    <cellStyle name="Процентный 7 142 3" xfId="15606" xr:uid="{00000000-0005-0000-0000-0000DDD80000}"/>
    <cellStyle name="Процентный 7 142 4" xfId="20946" xr:uid="{00000000-0005-0000-0000-0000DED80000}"/>
    <cellStyle name="Процентный 7 142 5" xfId="26286" xr:uid="{00000000-0005-0000-0000-0000DFD80000}"/>
    <cellStyle name="Процентный 7 142 6" xfId="31626" xr:uid="{00000000-0005-0000-0000-0000E0D80000}"/>
    <cellStyle name="Процентный 7 142 7" xfId="36966" xr:uid="{00000000-0005-0000-0000-0000E1D80000}"/>
    <cellStyle name="Процентный 7 142 8" xfId="42306" xr:uid="{00000000-0005-0000-0000-0000E2D80000}"/>
    <cellStyle name="Процентный 7 142 9" xfId="47646" xr:uid="{00000000-0005-0000-0000-0000E3D80000}"/>
    <cellStyle name="Процентный 7 143" xfId="4955" xr:uid="{00000000-0005-0000-0000-0000E4D80000}"/>
    <cellStyle name="Процентный 7 143 10" xfId="53018" xr:uid="{00000000-0005-0000-0000-0000E5D80000}"/>
    <cellStyle name="Процентный 7 143 2" xfId="10298" xr:uid="{00000000-0005-0000-0000-0000E6D80000}"/>
    <cellStyle name="Процентный 7 143 2 2" xfId="58359" xr:uid="{00000000-0005-0000-0000-0000E7D80000}"/>
    <cellStyle name="Процентный 7 143 3" xfId="15638" xr:uid="{00000000-0005-0000-0000-0000E8D80000}"/>
    <cellStyle name="Процентный 7 143 4" xfId="20978" xr:uid="{00000000-0005-0000-0000-0000E9D80000}"/>
    <cellStyle name="Процентный 7 143 5" xfId="26318" xr:uid="{00000000-0005-0000-0000-0000EAD80000}"/>
    <cellStyle name="Процентный 7 143 6" xfId="31658" xr:uid="{00000000-0005-0000-0000-0000EBD80000}"/>
    <cellStyle name="Процентный 7 143 7" xfId="36998" xr:uid="{00000000-0005-0000-0000-0000ECD80000}"/>
    <cellStyle name="Процентный 7 143 8" xfId="42338" xr:uid="{00000000-0005-0000-0000-0000EDD80000}"/>
    <cellStyle name="Процентный 7 143 9" xfId="47678" xr:uid="{00000000-0005-0000-0000-0000EED80000}"/>
    <cellStyle name="Процентный 7 144" xfId="4987" xr:uid="{00000000-0005-0000-0000-0000EFD80000}"/>
    <cellStyle name="Процентный 7 144 10" xfId="53050" xr:uid="{00000000-0005-0000-0000-0000F0D80000}"/>
    <cellStyle name="Процентный 7 144 2" xfId="10330" xr:uid="{00000000-0005-0000-0000-0000F1D80000}"/>
    <cellStyle name="Процентный 7 144 2 2" xfId="58391" xr:uid="{00000000-0005-0000-0000-0000F2D80000}"/>
    <cellStyle name="Процентный 7 144 3" xfId="15670" xr:uid="{00000000-0005-0000-0000-0000F3D80000}"/>
    <cellStyle name="Процентный 7 144 4" xfId="21010" xr:uid="{00000000-0005-0000-0000-0000F4D80000}"/>
    <cellStyle name="Процентный 7 144 5" xfId="26350" xr:uid="{00000000-0005-0000-0000-0000F5D80000}"/>
    <cellStyle name="Процентный 7 144 6" xfId="31690" xr:uid="{00000000-0005-0000-0000-0000F6D80000}"/>
    <cellStyle name="Процентный 7 144 7" xfId="37030" xr:uid="{00000000-0005-0000-0000-0000F7D80000}"/>
    <cellStyle name="Процентный 7 144 8" xfId="42370" xr:uid="{00000000-0005-0000-0000-0000F8D80000}"/>
    <cellStyle name="Процентный 7 144 9" xfId="47710" xr:uid="{00000000-0005-0000-0000-0000F9D80000}"/>
    <cellStyle name="Процентный 7 145" xfId="5019" xr:uid="{00000000-0005-0000-0000-0000FAD80000}"/>
    <cellStyle name="Процентный 7 145 10" xfId="53082" xr:uid="{00000000-0005-0000-0000-0000FBD80000}"/>
    <cellStyle name="Процентный 7 145 2" xfId="10362" xr:uid="{00000000-0005-0000-0000-0000FCD80000}"/>
    <cellStyle name="Процентный 7 145 2 2" xfId="58423" xr:uid="{00000000-0005-0000-0000-0000FDD80000}"/>
    <cellStyle name="Процентный 7 145 3" xfId="15702" xr:uid="{00000000-0005-0000-0000-0000FED80000}"/>
    <cellStyle name="Процентный 7 145 4" xfId="21042" xr:uid="{00000000-0005-0000-0000-0000FFD80000}"/>
    <cellStyle name="Процентный 7 145 5" xfId="26382" xr:uid="{00000000-0005-0000-0000-000000D90000}"/>
    <cellStyle name="Процентный 7 145 6" xfId="31722" xr:uid="{00000000-0005-0000-0000-000001D90000}"/>
    <cellStyle name="Процентный 7 145 7" xfId="37062" xr:uid="{00000000-0005-0000-0000-000002D90000}"/>
    <cellStyle name="Процентный 7 145 8" xfId="42402" xr:uid="{00000000-0005-0000-0000-000003D90000}"/>
    <cellStyle name="Процентный 7 145 9" xfId="47742" xr:uid="{00000000-0005-0000-0000-000004D90000}"/>
    <cellStyle name="Процентный 7 146" xfId="5051" xr:uid="{00000000-0005-0000-0000-000005D90000}"/>
    <cellStyle name="Процентный 7 146 10" xfId="53114" xr:uid="{00000000-0005-0000-0000-000006D90000}"/>
    <cellStyle name="Процентный 7 146 2" xfId="10394" xr:uid="{00000000-0005-0000-0000-000007D90000}"/>
    <cellStyle name="Процентный 7 146 2 2" xfId="58455" xr:uid="{00000000-0005-0000-0000-000008D90000}"/>
    <cellStyle name="Процентный 7 146 3" xfId="15734" xr:uid="{00000000-0005-0000-0000-000009D90000}"/>
    <cellStyle name="Процентный 7 146 4" xfId="21074" xr:uid="{00000000-0005-0000-0000-00000AD90000}"/>
    <cellStyle name="Процентный 7 146 5" xfId="26414" xr:uid="{00000000-0005-0000-0000-00000BD90000}"/>
    <cellStyle name="Процентный 7 146 6" xfId="31754" xr:uid="{00000000-0005-0000-0000-00000CD90000}"/>
    <cellStyle name="Процентный 7 146 7" xfId="37094" xr:uid="{00000000-0005-0000-0000-00000DD90000}"/>
    <cellStyle name="Процентный 7 146 8" xfId="42434" xr:uid="{00000000-0005-0000-0000-00000ED90000}"/>
    <cellStyle name="Процентный 7 146 9" xfId="47774" xr:uid="{00000000-0005-0000-0000-00000FD90000}"/>
    <cellStyle name="Процентный 7 147" xfId="5083" xr:uid="{00000000-0005-0000-0000-000010D90000}"/>
    <cellStyle name="Процентный 7 147 10" xfId="53146" xr:uid="{00000000-0005-0000-0000-000011D90000}"/>
    <cellStyle name="Процентный 7 147 2" xfId="10426" xr:uid="{00000000-0005-0000-0000-000012D90000}"/>
    <cellStyle name="Процентный 7 147 2 2" xfId="58487" xr:uid="{00000000-0005-0000-0000-000013D90000}"/>
    <cellStyle name="Процентный 7 147 3" xfId="15766" xr:uid="{00000000-0005-0000-0000-000014D90000}"/>
    <cellStyle name="Процентный 7 147 4" xfId="21106" xr:uid="{00000000-0005-0000-0000-000015D90000}"/>
    <cellStyle name="Процентный 7 147 5" xfId="26446" xr:uid="{00000000-0005-0000-0000-000016D90000}"/>
    <cellStyle name="Процентный 7 147 6" xfId="31786" xr:uid="{00000000-0005-0000-0000-000017D90000}"/>
    <cellStyle name="Процентный 7 147 7" xfId="37126" xr:uid="{00000000-0005-0000-0000-000018D90000}"/>
    <cellStyle name="Процентный 7 147 8" xfId="42466" xr:uid="{00000000-0005-0000-0000-000019D90000}"/>
    <cellStyle name="Процентный 7 147 9" xfId="47806" xr:uid="{00000000-0005-0000-0000-00001AD90000}"/>
    <cellStyle name="Процентный 7 148" xfId="5115" xr:uid="{00000000-0005-0000-0000-00001BD90000}"/>
    <cellStyle name="Процентный 7 148 10" xfId="53178" xr:uid="{00000000-0005-0000-0000-00001CD90000}"/>
    <cellStyle name="Процентный 7 148 2" xfId="10458" xr:uid="{00000000-0005-0000-0000-00001DD90000}"/>
    <cellStyle name="Процентный 7 148 2 2" xfId="58519" xr:uid="{00000000-0005-0000-0000-00001ED90000}"/>
    <cellStyle name="Процентный 7 148 3" xfId="15798" xr:uid="{00000000-0005-0000-0000-00001FD90000}"/>
    <cellStyle name="Процентный 7 148 4" xfId="21138" xr:uid="{00000000-0005-0000-0000-000020D90000}"/>
    <cellStyle name="Процентный 7 148 5" xfId="26478" xr:uid="{00000000-0005-0000-0000-000021D90000}"/>
    <cellStyle name="Процентный 7 148 6" xfId="31818" xr:uid="{00000000-0005-0000-0000-000022D90000}"/>
    <cellStyle name="Процентный 7 148 7" xfId="37158" xr:uid="{00000000-0005-0000-0000-000023D90000}"/>
    <cellStyle name="Процентный 7 148 8" xfId="42498" xr:uid="{00000000-0005-0000-0000-000024D90000}"/>
    <cellStyle name="Процентный 7 148 9" xfId="47838" xr:uid="{00000000-0005-0000-0000-000025D90000}"/>
    <cellStyle name="Процентный 7 149" xfId="5147" xr:uid="{00000000-0005-0000-0000-000026D90000}"/>
    <cellStyle name="Процентный 7 149 10" xfId="53210" xr:uid="{00000000-0005-0000-0000-000027D90000}"/>
    <cellStyle name="Процентный 7 149 2" xfId="10490" xr:uid="{00000000-0005-0000-0000-000028D90000}"/>
    <cellStyle name="Процентный 7 149 2 2" xfId="58551" xr:uid="{00000000-0005-0000-0000-000029D90000}"/>
    <cellStyle name="Процентный 7 149 3" xfId="15830" xr:uid="{00000000-0005-0000-0000-00002AD90000}"/>
    <cellStyle name="Процентный 7 149 4" xfId="21170" xr:uid="{00000000-0005-0000-0000-00002BD90000}"/>
    <cellStyle name="Процентный 7 149 5" xfId="26510" xr:uid="{00000000-0005-0000-0000-00002CD90000}"/>
    <cellStyle name="Процентный 7 149 6" xfId="31850" xr:uid="{00000000-0005-0000-0000-00002DD90000}"/>
    <cellStyle name="Процентный 7 149 7" xfId="37190" xr:uid="{00000000-0005-0000-0000-00002ED90000}"/>
    <cellStyle name="Процентный 7 149 8" xfId="42530" xr:uid="{00000000-0005-0000-0000-00002FD90000}"/>
    <cellStyle name="Процентный 7 149 9" xfId="47870" xr:uid="{00000000-0005-0000-0000-000030D90000}"/>
    <cellStyle name="Процентный 7 15" xfId="1097" xr:uid="{00000000-0005-0000-0000-000031D90000}"/>
    <cellStyle name="Процентный 7 15 10" xfId="49160" xr:uid="{00000000-0005-0000-0000-000032D90000}"/>
    <cellStyle name="Процентный 7 15 2" xfId="6439" xr:uid="{00000000-0005-0000-0000-000033D90000}"/>
    <cellStyle name="Процентный 7 15 2 2" xfId="54501" xr:uid="{00000000-0005-0000-0000-000034D90000}"/>
    <cellStyle name="Процентный 7 15 3" xfId="11780" xr:uid="{00000000-0005-0000-0000-000035D90000}"/>
    <cellStyle name="Процентный 7 15 4" xfId="17120" xr:uid="{00000000-0005-0000-0000-000036D90000}"/>
    <cellStyle name="Процентный 7 15 5" xfId="22460" xr:uid="{00000000-0005-0000-0000-000037D90000}"/>
    <cellStyle name="Процентный 7 15 6" xfId="27800" xr:uid="{00000000-0005-0000-0000-000038D90000}"/>
    <cellStyle name="Процентный 7 15 7" xfId="33140" xr:uid="{00000000-0005-0000-0000-000039D90000}"/>
    <cellStyle name="Процентный 7 15 8" xfId="38480" xr:uid="{00000000-0005-0000-0000-00003AD90000}"/>
    <cellStyle name="Процентный 7 15 9" xfId="43820" xr:uid="{00000000-0005-0000-0000-00003BD90000}"/>
    <cellStyle name="Процентный 7 150" xfId="5179" xr:uid="{00000000-0005-0000-0000-00003CD90000}"/>
    <cellStyle name="Процентный 7 150 10" xfId="53242" xr:uid="{00000000-0005-0000-0000-00003DD90000}"/>
    <cellStyle name="Процентный 7 150 2" xfId="10522" xr:uid="{00000000-0005-0000-0000-00003ED90000}"/>
    <cellStyle name="Процентный 7 150 2 2" xfId="58583" xr:uid="{00000000-0005-0000-0000-00003FD90000}"/>
    <cellStyle name="Процентный 7 150 3" xfId="15862" xr:uid="{00000000-0005-0000-0000-000040D90000}"/>
    <cellStyle name="Процентный 7 150 4" xfId="21202" xr:uid="{00000000-0005-0000-0000-000041D90000}"/>
    <cellStyle name="Процентный 7 150 5" xfId="26542" xr:uid="{00000000-0005-0000-0000-000042D90000}"/>
    <cellStyle name="Процентный 7 150 6" xfId="31882" xr:uid="{00000000-0005-0000-0000-000043D90000}"/>
    <cellStyle name="Процентный 7 150 7" xfId="37222" xr:uid="{00000000-0005-0000-0000-000044D90000}"/>
    <cellStyle name="Процентный 7 150 8" xfId="42562" xr:uid="{00000000-0005-0000-0000-000045D90000}"/>
    <cellStyle name="Процентный 7 150 9" xfId="47902" xr:uid="{00000000-0005-0000-0000-000046D90000}"/>
    <cellStyle name="Процентный 7 151" xfId="5211" xr:uid="{00000000-0005-0000-0000-000047D90000}"/>
    <cellStyle name="Процентный 7 151 10" xfId="53274" xr:uid="{00000000-0005-0000-0000-000048D90000}"/>
    <cellStyle name="Процентный 7 151 2" xfId="10554" xr:uid="{00000000-0005-0000-0000-000049D90000}"/>
    <cellStyle name="Процентный 7 151 2 2" xfId="58615" xr:uid="{00000000-0005-0000-0000-00004AD90000}"/>
    <cellStyle name="Процентный 7 151 3" xfId="15894" xr:uid="{00000000-0005-0000-0000-00004BD90000}"/>
    <cellStyle name="Процентный 7 151 4" xfId="21234" xr:uid="{00000000-0005-0000-0000-00004CD90000}"/>
    <cellStyle name="Процентный 7 151 5" xfId="26574" xr:uid="{00000000-0005-0000-0000-00004DD90000}"/>
    <cellStyle name="Процентный 7 151 6" xfId="31914" xr:uid="{00000000-0005-0000-0000-00004ED90000}"/>
    <cellStyle name="Процентный 7 151 7" xfId="37254" xr:uid="{00000000-0005-0000-0000-00004FD90000}"/>
    <cellStyle name="Процентный 7 151 8" xfId="42594" xr:uid="{00000000-0005-0000-0000-000050D90000}"/>
    <cellStyle name="Процентный 7 151 9" xfId="47934" xr:uid="{00000000-0005-0000-0000-000051D90000}"/>
    <cellStyle name="Процентный 7 152" xfId="5243" xr:uid="{00000000-0005-0000-0000-000052D90000}"/>
    <cellStyle name="Процентный 7 152 10" xfId="53306" xr:uid="{00000000-0005-0000-0000-000053D90000}"/>
    <cellStyle name="Процентный 7 152 2" xfId="10586" xr:uid="{00000000-0005-0000-0000-000054D90000}"/>
    <cellStyle name="Процентный 7 152 2 2" xfId="58647" xr:uid="{00000000-0005-0000-0000-000055D90000}"/>
    <cellStyle name="Процентный 7 152 3" xfId="15926" xr:uid="{00000000-0005-0000-0000-000056D90000}"/>
    <cellStyle name="Процентный 7 152 4" xfId="21266" xr:uid="{00000000-0005-0000-0000-000057D90000}"/>
    <cellStyle name="Процентный 7 152 5" xfId="26606" xr:uid="{00000000-0005-0000-0000-000058D90000}"/>
    <cellStyle name="Процентный 7 152 6" xfId="31946" xr:uid="{00000000-0005-0000-0000-000059D90000}"/>
    <cellStyle name="Процентный 7 152 7" xfId="37286" xr:uid="{00000000-0005-0000-0000-00005AD90000}"/>
    <cellStyle name="Процентный 7 152 8" xfId="42626" xr:uid="{00000000-0005-0000-0000-00005BD90000}"/>
    <cellStyle name="Процентный 7 152 9" xfId="47966" xr:uid="{00000000-0005-0000-0000-00005CD90000}"/>
    <cellStyle name="Процентный 7 153" xfId="5275" xr:uid="{00000000-0005-0000-0000-00005DD90000}"/>
    <cellStyle name="Процентный 7 153 10" xfId="53338" xr:uid="{00000000-0005-0000-0000-00005ED90000}"/>
    <cellStyle name="Процентный 7 153 2" xfId="10618" xr:uid="{00000000-0005-0000-0000-00005FD90000}"/>
    <cellStyle name="Процентный 7 153 2 2" xfId="58679" xr:uid="{00000000-0005-0000-0000-000060D90000}"/>
    <cellStyle name="Процентный 7 153 3" xfId="15958" xr:uid="{00000000-0005-0000-0000-000061D90000}"/>
    <cellStyle name="Процентный 7 153 4" xfId="21298" xr:uid="{00000000-0005-0000-0000-000062D90000}"/>
    <cellStyle name="Процентный 7 153 5" xfId="26638" xr:uid="{00000000-0005-0000-0000-000063D90000}"/>
    <cellStyle name="Процентный 7 153 6" xfId="31978" xr:uid="{00000000-0005-0000-0000-000064D90000}"/>
    <cellStyle name="Процентный 7 153 7" xfId="37318" xr:uid="{00000000-0005-0000-0000-000065D90000}"/>
    <cellStyle name="Процентный 7 153 8" xfId="42658" xr:uid="{00000000-0005-0000-0000-000066D90000}"/>
    <cellStyle name="Процентный 7 153 9" xfId="47998" xr:uid="{00000000-0005-0000-0000-000067D90000}"/>
    <cellStyle name="Процентный 7 154" xfId="5307" xr:uid="{00000000-0005-0000-0000-000068D90000}"/>
    <cellStyle name="Процентный 7 154 10" xfId="53370" xr:uid="{00000000-0005-0000-0000-000069D90000}"/>
    <cellStyle name="Процентный 7 154 2" xfId="10650" xr:uid="{00000000-0005-0000-0000-00006AD90000}"/>
    <cellStyle name="Процентный 7 154 2 2" xfId="58711" xr:uid="{00000000-0005-0000-0000-00006BD90000}"/>
    <cellStyle name="Процентный 7 154 3" xfId="15990" xr:uid="{00000000-0005-0000-0000-00006CD90000}"/>
    <cellStyle name="Процентный 7 154 4" xfId="21330" xr:uid="{00000000-0005-0000-0000-00006DD90000}"/>
    <cellStyle name="Процентный 7 154 5" xfId="26670" xr:uid="{00000000-0005-0000-0000-00006ED90000}"/>
    <cellStyle name="Процентный 7 154 6" xfId="32010" xr:uid="{00000000-0005-0000-0000-00006FD90000}"/>
    <cellStyle name="Процентный 7 154 7" xfId="37350" xr:uid="{00000000-0005-0000-0000-000070D90000}"/>
    <cellStyle name="Процентный 7 154 8" xfId="42690" xr:uid="{00000000-0005-0000-0000-000071D90000}"/>
    <cellStyle name="Процентный 7 154 9" xfId="48030" xr:uid="{00000000-0005-0000-0000-000072D90000}"/>
    <cellStyle name="Процентный 7 155" xfId="5339" xr:uid="{00000000-0005-0000-0000-000073D90000}"/>
    <cellStyle name="Процентный 7 155 10" xfId="53402" xr:uid="{00000000-0005-0000-0000-000074D90000}"/>
    <cellStyle name="Процентный 7 155 2" xfId="10682" xr:uid="{00000000-0005-0000-0000-000075D90000}"/>
    <cellStyle name="Процентный 7 155 2 2" xfId="58743" xr:uid="{00000000-0005-0000-0000-000076D90000}"/>
    <cellStyle name="Процентный 7 155 3" xfId="16022" xr:uid="{00000000-0005-0000-0000-000077D90000}"/>
    <cellStyle name="Процентный 7 155 4" xfId="21362" xr:uid="{00000000-0005-0000-0000-000078D90000}"/>
    <cellStyle name="Процентный 7 155 5" xfId="26702" xr:uid="{00000000-0005-0000-0000-000079D90000}"/>
    <cellStyle name="Процентный 7 155 6" xfId="32042" xr:uid="{00000000-0005-0000-0000-00007AD90000}"/>
    <cellStyle name="Процентный 7 155 7" xfId="37382" xr:uid="{00000000-0005-0000-0000-00007BD90000}"/>
    <cellStyle name="Процентный 7 155 8" xfId="42722" xr:uid="{00000000-0005-0000-0000-00007CD90000}"/>
    <cellStyle name="Процентный 7 155 9" xfId="48062" xr:uid="{00000000-0005-0000-0000-00007DD90000}"/>
    <cellStyle name="Процентный 7 156" xfId="5371" xr:uid="{00000000-0005-0000-0000-00007ED90000}"/>
    <cellStyle name="Процентный 7 156 10" xfId="53434" xr:uid="{00000000-0005-0000-0000-00007FD90000}"/>
    <cellStyle name="Процентный 7 156 2" xfId="10714" xr:uid="{00000000-0005-0000-0000-000080D90000}"/>
    <cellStyle name="Процентный 7 156 2 2" xfId="58775" xr:uid="{00000000-0005-0000-0000-000081D90000}"/>
    <cellStyle name="Процентный 7 156 3" xfId="16054" xr:uid="{00000000-0005-0000-0000-000082D90000}"/>
    <cellStyle name="Процентный 7 156 4" xfId="21394" xr:uid="{00000000-0005-0000-0000-000083D90000}"/>
    <cellStyle name="Процентный 7 156 5" xfId="26734" xr:uid="{00000000-0005-0000-0000-000084D90000}"/>
    <cellStyle name="Процентный 7 156 6" xfId="32074" xr:uid="{00000000-0005-0000-0000-000085D90000}"/>
    <cellStyle name="Процентный 7 156 7" xfId="37414" xr:uid="{00000000-0005-0000-0000-000086D90000}"/>
    <cellStyle name="Процентный 7 156 8" xfId="42754" xr:uid="{00000000-0005-0000-0000-000087D90000}"/>
    <cellStyle name="Процентный 7 156 9" xfId="48094" xr:uid="{00000000-0005-0000-0000-000088D90000}"/>
    <cellStyle name="Процентный 7 157" xfId="5764" xr:uid="{00000000-0005-0000-0000-000089D90000}"/>
    <cellStyle name="Процентный 7 157 2" xfId="53826" xr:uid="{00000000-0005-0000-0000-00008AD90000}"/>
    <cellStyle name="Процентный 7 158" xfId="11105" xr:uid="{00000000-0005-0000-0000-00008BD90000}"/>
    <cellStyle name="Процентный 7 159" xfId="16445" xr:uid="{00000000-0005-0000-0000-00008CD90000}"/>
    <cellStyle name="Процентный 7 16" xfId="1123" xr:uid="{00000000-0005-0000-0000-00008DD90000}"/>
    <cellStyle name="Процентный 7 16 10" xfId="49186" xr:uid="{00000000-0005-0000-0000-00008ED90000}"/>
    <cellStyle name="Процентный 7 16 2" xfId="6465" xr:uid="{00000000-0005-0000-0000-00008FD90000}"/>
    <cellStyle name="Процентный 7 16 2 2" xfId="54527" xr:uid="{00000000-0005-0000-0000-000090D90000}"/>
    <cellStyle name="Процентный 7 16 3" xfId="11806" xr:uid="{00000000-0005-0000-0000-000091D90000}"/>
    <cellStyle name="Процентный 7 16 4" xfId="17146" xr:uid="{00000000-0005-0000-0000-000092D90000}"/>
    <cellStyle name="Процентный 7 16 5" xfId="22486" xr:uid="{00000000-0005-0000-0000-000093D90000}"/>
    <cellStyle name="Процентный 7 16 6" xfId="27826" xr:uid="{00000000-0005-0000-0000-000094D90000}"/>
    <cellStyle name="Процентный 7 16 7" xfId="33166" xr:uid="{00000000-0005-0000-0000-000095D90000}"/>
    <cellStyle name="Процентный 7 16 8" xfId="38506" xr:uid="{00000000-0005-0000-0000-000096D90000}"/>
    <cellStyle name="Процентный 7 16 9" xfId="43846" xr:uid="{00000000-0005-0000-0000-000097D90000}"/>
    <cellStyle name="Процентный 7 160" xfId="21785" xr:uid="{00000000-0005-0000-0000-000098D90000}"/>
    <cellStyle name="Процентный 7 161" xfId="27125" xr:uid="{00000000-0005-0000-0000-000099D90000}"/>
    <cellStyle name="Процентный 7 162" xfId="32465" xr:uid="{00000000-0005-0000-0000-00009AD90000}"/>
    <cellStyle name="Процентный 7 163" xfId="37805" xr:uid="{00000000-0005-0000-0000-00009BD90000}"/>
    <cellStyle name="Процентный 7 164" xfId="43145" xr:uid="{00000000-0005-0000-0000-00009CD90000}"/>
    <cellStyle name="Процентный 7 165" xfId="48485" xr:uid="{00000000-0005-0000-0000-00009DD90000}"/>
    <cellStyle name="Процентный 7 17" xfId="1149" xr:uid="{00000000-0005-0000-0000-00009ED90000}"/>
    <cellStyle name="Процентный 7 17 10" xfId="49212" xr:uid="{00000000-0005-0000-0000-00009FD90000}"/>
    <cellStyle name="Процентный 7 17 2" xfId="6491" xr:uid="{00000000-0005-0000-0000-0000A0D90000}"/>
    <cellStyle name="Процентный 7 17 2 2" xfId="54553" xr:uid="{00000000-0005-0000-0000-0000A1D90000}"/>
    <cellStyle name="Процентный 7 17 3" xfId="11832" xr:uid="{00000000-0005-0000-0000-0000A2D90000}"/>
    <cellStyle name="Процентный 7 17 4" xfId="17172" xr:uid="{00000000-0005-0000-0000-0000A3D90000}"/>
    <cellStyle name="Процентный 7 17 5" xfId="22512" xr:uid="{00000000-0005-0000-0000-0000A4D90000}"/>
    <cellStyle name="Процентный 7 17 6" xfId="27852" xr:uid="{00000000-0005-0000-0000-0000A5D90000}"/>
    <cellStyle name="Процентный 7 17 7" xfId="33192" xr:uid="{00000000-0005-0000-0000-0000A6D90000}"/>
    <cellStyle name="Процентный 7 17 8" xfId="38532" xr:uid="{00000000-0005-0000-0000-0000A7D90000}"/>
    <cellStyle name="Процентный 7 17 9" xfId="43872" xr:uid="{00000000-0005-0000-0000-0000A8D90000}"/>
    <cellStyle name="Процентный 7 18" xfId="1175" xr:uid="{00000000-0005-0000-0000-0000A9D90000}"/>
    <cellStyle name="Процентный 7 18 10" xfId="49238" xr:uid="{00000000-0005-0000-0000-0000AAD90000}"/>
    <cellStyle name="Процентный 7 18 2" xfId="6517" xr:uid="{00000000-0005-0000-0000-0000ABD90000}"/>
    <cellStyle name="Процентный 7 18 2 2" xfId="54579" xr:uid="{00000000-0005-0000-0000-0000ACD90000}"/>
    <cellStyle name="Процентный 7 18 3" xfId="11858" xr:uid="{00000000-0005-0000-0000-0000ADD90000}"/>
    <cellStyle name="Процентный 7 18 4" xfId="17198" xr:uid="{00000000-0005-0000-0000-0000AED90000}"/>
    <cellStyle name="Процентный 7 18 5" xfId="22538" xr:uid="{00000000-0005-0000-0000-0000AFD90000}"/>
    <cellStyle name="Процентный 7 18 6" xfId="27878" xr:uid="{00000000-0005-0000-0000-0000B0D90000}"/>
    <cellStyle name="Процентный 7 18 7" xfId="33218" xr:uid="{00000000-0005-0000-0000-0000B1D90000}"/>
    <cellStyle name="Процентный 7 18 8" xfId="38558" xr:uid="{00000000-0005-0000-0000-0000B2D90000}"/>
    <cellStyle name="Процентный 7 18 9" xfId="43898" xr:uid="{00000000-0005-0000-0000-0000B3D90000}"/>
    <cellStyle name="Процентный 7 19" xfId="1201" xr:uid="{00000000-0005-0000-0000-0000B4D90000}"/>
    <cellStyle name="Процентный 7 19 10" xfId="49264" xr:uid="{00000000-0005-0000-0000-0000B5D90000}"/>
    <cellStyle name="Процентный 7 19 2" xfId="6543" xr:uid="{00000000-0005-0000-0000-0000B6D90000}"/>
    <cellStyle name="Процентный 7 19 2 2" xfId="54605" xr:uid="{00000000-0005-0000-0000-0000B7D90000}"/>
    <cellStyle name="Процентный 7 19 3" xfId="11884" xr:uid="{00000000-0005-0000-0000-0000B8D90000}"/>
    <cellStyle name="Процентный 7 19 4" xfId="17224" xr:uid="{00000000-0005-0000-0000-0000B9D90000}"/>
    <cellStyle name="Процентный 7 19 5" xfId="22564" xr:uid="{00000000-0005-0000-0000-0000BAD90000}"/>
    <cellStyle name="Процентный 7 19 6" xfId="27904" xr:uid="{00000000-0005-0000-0000-0000BBD90000}"/>
    <cellStyle name="Процентный 7 19 7" xfId="33244" xr:uid="{00000000-0005-0000-0000-0000BCD90000}"/>
    <cellStyle name="Процентный 7 19 8" xfId="38584" xr:uid="{00000000-0005-0000-0000-0000BDD90000}"/>
    <cellStyle name="Процентный 7 19 9" xfId="43924" xr:uid="{00000000-0005-0000-0000-0000BED90000}"/>
    <cellStyle name="Процентный 7 2" xfId="435" xr:uid="{00000000-0005-0000-0000-0000BFD90000}"/>
    <cellStyle name="Процентный 7 2 10" xfId="1187" xr:uid="{00000000-0005-0000-0000-0000C0D90000}"/>
    <cellStyle name="Процентный 7 2 10 10" xfId="49250" xr:uid="{00000000-0005-0000-0000-0000C1D90000}"/>
    <cellStyle name="Процентный 7 2 10 2" xfId="6529" xr:uid="{00000000-0005-0000-0000-0000C2D90000}"/>
    <cellStyle name="Процентный 7 2 10 2 2" xfId="54591" xr:uid="{00000000-0005-0000-0000-0000C3D90000}"/>
    <cellStyle name="Процентный 7 2 10 3" xfId="11870" xr:uid="{00000000-0005-0000-0000-0000C4D90000}"/>
    <cellStyle name="Процентный 7 2 10 4" xfId="17210" xr:uid="{00000000-0005-0000-0000-0000C5D90000}"/>
    <cellStyle name="Процентный 7 2 10 5" xfId="22550" xr:uid="{00000000-0005-0000-0000-0000C6D90000}"/>
    <cellStyle name="Процентный 7 2 10 6" xfId="27890" xr:uid="{00000000-0005-0000-0000-0000C7D90000}"/>
    <cellStyle name="Процентный 7 2 10 7" xfId="33230" xr:uid="{00000000-0005-0000-0000-0000C8D90000}"/>
    <cellStyle name="Процентный 7 2 10 8" xfId="38570" xr:uid="{00000000-0005-0000-0000-0000C9D90000}"/>
    <cellStyle name="Процентный 7 2 10 9" xfId="43910" xr:uid="{00000000-0005-0000-0000-0000CAD90000}"/>
    <cellStyle name="Процентный 7 2 100" xfId="3845" xr:uid="{00000000-0005-0000-0000-0000CBD90000}"/>
    <cellStyle name="Процентный 7 2 100 10" xfId="51908" xr:uid="{00000000-0005-0000-0000-0000CCD90000}"/>
    <cellStyle name="Процентный 7 2 100 2" xfId="9188" xr:uid="{00000000-0005-0000-0000-0000CDD90000}"/>
    <cellStyle name="Процентный 7 2 100 2 2" xfId="57249" xr:uid="{00000000-0005-0000-0000-0000CED90000}"/>
    <cellStyle name="Процентный 7 2 100 3" xfId="14528" xr:uid="{00000000-0005-0000-0000-0000CFD90000}"/>
    <cellStyle name="Процентный 7 2 100 4" xfId="19868" xr:uid="{00000000-0005-0000-0000-0000D0D90000}"/>
    <cellStyle name="Процентный 7 2 100 5" xfId="25208" xr:uid="{00000000-0005-0000-0000-0000D1D90000}"/>
    <cellStyle name="Процентный 7 2 100 6" xfId="30548" xr:uid="{00000000-0005-0000-0000-0000D2D90000}"/>
    <cellStyle name="Процентный 7 2 100 7" xfId="35888" xr:uid="{00000000-0005-0000-0000-0000D3D90000}"/>
    <cellStyle name="Процентный 7 2 100 8" xfId="41228" xr:uid="{00000000-0005-0000-0000-0000D4D90000}"/>
    <cellStyle name="Процентный 7 2 100 9" xfId="46568" xr:uid="{00000000-0005-0000-0000-0000D5D90000}"/>
    <cellStyle name="Процентный 7 2 101" xfId="3877" xr:uid="{00000000-0005-0000-0000-0000D6D90000}"/>
    <cellStyle name="Процентный 7 2 101 10" xfId="51940" xr:uid="{00000000-0005-0000-0000-0000D7D90000}"/>
    <cellStyle name="Процентный 7 2 101 2" xfId="9220" xr:uid="{00000000-0005-0000-0000-0000D8D90000}"/>
    <cellStyle name="Процентный 7 2 101 2 2" xfId="57281" xr:uid="{00000000-0005-0000-0000-0000D9D90000}"/>
    <cellStyle name="Процентный 7 2 101 3" xfId="14560" xr:uid="{00000000-0005-0000-0000-0000DAD90000}"/>
    <cellStyle name="Процентный 7 2 101 4" xfId="19900" xr:uid="{00000000-0005-0000-0000-0000DBD90000}"/>
    <cellStyle name="Процентный 7 2 101 5" xfId="25240" xr:uid="{00000000-0005-0000-0000-0000DCD90000}"/>
    <cellStyle name="Процентный 7 2 101 6" xfId="30580" xr:uid="{00000000-0005-0000-0000-0000DDD90000}"/>
    <cellStyle name="Процентный 7 2 101 7" xfId="35920" xr:uid="{00000000-0005-0000-0000-0000DED90000}"/>
    <cellStyle name="Процентный 7 2 101 8" xfId="41260" xr:uid="{00000000-0005-0000-0000-0000DFD90000}"/>
    <cellStyle name="Процентный 7 2 101 9" xfId="46600" xr:uid="{00000000-0005-0000-0000-0000E0D90000}"/>
    <cellStyle name="Процентный 7 2 102" xfId="3909" xr:uid="{00000000-0005-0000-0000-0000E1D90000}"/>
    <cellStyle name="Процентный 7 2 102 10" xfId="51972" xr:uid="{00000000-0005-0000-0000-0000E2D90000}"/>
    <cellStyle name="Процентный 7 2 102 2" xfId="9252" xr:uid="{00000000-0005-0000-0000-0000E3D90000}"/>
    <cellStyle name="Процентный 7 2 102 2 2" xfId="57313" xr:uid="{00000000-0005-0000-0000-0000E4D90000}"/>
    <cellStyle name="Процентный 7 2 102 3" xfId="14592" xr:uid="{00000000-0005-0000-0000-0000E5D90000}"/>
    <cellStyle name="Процентный 7 2 102 4" xfId="19932" xr:uid="{00000000-0005-0000-0000-0000E6D90000}"/>
    <cellStyle name="Процентный 7 2 102 5" xfId="25272" xr:uid="{00000000-0005-0000-0000-0000E7D90000}"/>
    <cellStyle name="Процентный 7 2 102 6" xfId="30612" xr:uid="{00000000-0005-0000-0000-0000E8D90000}"/>
    <cellStyle name="Процентный 7 2 102 7" xfId="35952" xr:uid="{00000000-0005-0000-0000-0000E9D90000}"/>
    <cellStyle name="Процентный 7 2 102 8" xfId="41292" xr:uid="{00000000-0005-0000-0000-0000EAD90000}"/>
    <cellStyle name="Процентный 7 2 102 9" xfId="46632" xr:uid="{00000000-0005-0000-0000-0000EBD90000}"/>
    <cellStyle name="Процентный 7 2 103" xfId="3941" xr:uid="{00000000-0005-0000-0000-0000ECD90000}"/>
    <cellStyle name="Процентный 7 2 103 10" xfId="52004" xr:uid="{00000000-0005-0000-0000-0000EDD90000}"/>
    <cellStyle name="Процентный 7 2 103 2" xfId="9284" xr:uid="{00000000-0005-0000-0000-0000EED90000}"/>
    <cellStyle name="Процентный 7 2 103 2 2" xfId="57345" xr:uid="{00000000-0005-0000-0000-0000EFD90000}"/>
    <cellStyle name="Процентный 7 2 103 3" xfId="14624" xr:uid="{00000000-0005-0000-0000-0000F0D90000}"/>
    <cellStyle name="Процентный 7 2 103 4" xfId="19964" xr:uid="{00000000-0005-0000-0000-0000F1D90000}"/>
    <cellStyle name="Процентный 7 2 103 5" xfId="25304" xr:uid="{00000000-0005-0000-0000-0000F2D90000}"/>
    <cellStyle name="Процентный 7 2 103 6" xfId="30644" xr:uid="{00000000-0005-0000-0000-0000F3D90000}"/>
    <cellStyle name="Процентный 7 2 103 7" xfId="35984" xr:uid="{00000000-0005-0000-0000-0000F4D90000}"/>
    <cellStyle name="Процентный 7 2 103 8" xfId="41324" xr:uid="{00000000-0005-0000-0000-0000F5D90000}"/>
    <cellStyle name="Процентный 7 2 103 9" xfId="46664" xr:uid="{00000000-0005-0000-0000-0000F6D90000}"/>
    <cellStyle name="Процентный 7 2 104" xfId="3973" xr:uid="{00000000-0005-0000-0000-0000F7D90000}"/>
    <cellStyle name="Процентный 7 2 104 10" xfId="52036" xr:uid="{00000000-0005-0000-0000-0000F8D90000}"/>
    <cellStyle name="Процентный 7 2 104 2" xfId="9316" xr:uid="{00000000-0005-0000-0000-0000F9D90000}"/>
    <cellStyle name="Процентный 7 2 104 2 2" xfId="57377" xr:uid="{00000000-0005-0000-0000-0000FAD90000}"/>
    <cellStyle name="Процентный 7 2 104 3" xfId="14656" xr:uid="{00000000-0005-0000-0000-0000FBD90000}"/>
    <cellStyle name="Процентный 7 2 104 4" xfId="19996" xr:uid="{00000000-0005-0000-0000-0000FCD90000}"/>
    <cellStyle name="Процентный 7 2 104 5" xfId="25336" xr:uid="{00000000-0005-0000-0000-0000FDD90000}"/>
    <cellStyle name="Процентный 7 2 104 6" xfId="30676" xr:uid="{00000000-0005-0000-0000-0000FED90000}"/>
    <cellStyle name="Процентный 7 2 104 7" xfId="36016" xr:uid="{00000000-0005-0000-0000-0000FFD90000}"/>
    <cellStyle name="Процентный 7 2 104 8" xfId="41356" xr:uid="{00000000-0005-0000-0000-000000DA0000}"/>
    <cellStyle name="Процентный 7 2 104 9" xfId="46696" xr:uid="{00000000-0005-0000-0000-000001DA0000}"/>
    <cellStyle name="Процентный 7 2 105" xfId="4005" xr:uid="{00000000-0005-0000-0000-000002DA0000}"/>
    <cellStyle name="Процентный 7 2 105 10" xfId="52068" xr:uid="{00000000-0005-0000-0000-000003DA0000}"/>
    <cellStyle name="Процентный 7 2 105 2" xfId="9348" xr:uid="{00000000-0005-0000-0000-000004DA0000}"/>
    <cellStyle name="Процентный 7 2 105 2 2" xfId="57409" xr:uid="{00000000-0005-0000-0000-000005DA0000}"/>
    <cellStyle name="Процентный 7 2 105 3" xfId="14688" xr:uid="{00000000-0005-0000-0000-000006DA0000}"/>
    <cellStyle name="Процентный 7 2 105 4" xfId="20028" xr:uid="{00000000-0005-0000-0000-000007DA0000}"/>
    <cellStyle name="Процентный 7 2 105 5" xfId="25368" xr:uid="{00000000-0005-0000-0000-000008DA0000}"/>
    <cellStyle name="Процентный 7 2 105 6" xfId="30708" xr:uid="{00000000-0005-0000-0000-000009DA0000}"/>
    <cellStyle name="Процентный 7 2 105 7" xfId="36048" xr:uid="{00000000-0005-0000-0000-00000ADA0000}"/>
    <cellStyle name="Процентный 7 2 105 8" xfId="41388" xr:uid="{00000000-0005-0000-0000-00000BDA0000}"/>
    <cellStyle name="Процентный 7 2 105 9" xfId="46728" xr:uid="{00000000-0005-0000-0000-00000CDA0000}"/>
    <cellStyle name="Процентный 7 2 106" xfId="4037" xr:uid="{00000000-0005-0000-0000-00000DDA0000}"/>
    <cellStyle name="Процентный 7 2 106 10" xfId="52100" xr:uid="{00000000-0005-0000-0000-00000EDA0000}"/>
    <cellStyle name="Процентный 7 2 106 2" xfId="9380" xr:uid="{00000000-0005-0000-0000-00000FDA0000}"/>
    <cellStyle name="Процентный 7 2 106 2 2" xfId="57441" xr:uid="{00000000-0005-0000-0000-000010DA0000}"/>
    <cellStyle name="Процентный 7 2 106 3" xfId="14720" xr:uid="{00000000-0005-0000-0000-000011DA0000}"/>
    <cellStyle name="Процентный 7 2 106 4" xfId="20060" xr:uid="{00000000-0005-0000-0000-000012DA0000}"/>
    <cellStyle name="Процентный 7 2 106 5" xfId="25400" xr:uid="{00000000-0005-0000-0000-000013DA0000}"/>
    <cellStyle name="Процентный 7 2 106 6" xfId="30740" xr:uid="{00000000-0005-0000-0000-000014DA0000}"/>
    <cellStyle name="Процентный 7 2 106 7" xfId="36080" xr:uid="{00000000-0005-0000-0000-000015DA0000}"/>
    <cellStyle name="Процентный 7 2 106 8" xfId="41420" xr:uid="{00000000-0005-0000-0000-000016DA0000}"/>
    <cellStyle name="Процентный 7 2 106 9" xfId="46760" xr:uid="{00000000-0005-0000-0000-000017DA0000}"/>
    <cellStyle name="Процентный 7 2 107" xfId="4069" xr:uid="{00000000-0005-0000-0000-000018DA0000}"/>
    <cellStyle name="Процентный 7 2 107 10" xfId="52132" xr:uid="{00000000-0005-0000-0000-000019DA0000}"/>
    <cellStyle name="Процентный 7 2 107 2" xfId="9412" xr:uid="{00000000-0005-0000-0000-00001ADA0000}"/>
    <cellStyle name="Процентный 7 2 107 2 2" xfId="57473" xr:uid="{00000000-0005-0000-0000-00001BDA0000}"/>
    <cellStyle name="Процентный 7 2 107 3" xfId="14752" xr:uid="{00000000-0005-0000-0000-00001CDA0000}"/>
    <cellStyle name="Процентный 7 2 107 4" xfId="20092" xr:uid="{00000000-0005-0000-0000-00001DDA0000}"/>
    <cellStyle name="Процентный 7 2 107 5" xfId="25432" xr:uid="{00000000-0005-0000-0000-00001EDA0000}"/>
    <cellStyle name="Процентный 7 2 107 6" xfId="30772" xr:uid="{00000000-0005-0000-0000-00001FDA0000}"/>
    <cellStyle name="Процентный 7 2 107 7" xfId="36112" xr:uid="{00000000-0005-0000-0000-000020DA0000}"/>
    <cellStyle name="Процентный 7 2 107 8" xfId="41452" xr:uid="{00000000-0005-0000-0000-000021DA0000}"/>
    <cellStyle name="Процентный 7 2 107 9" xfId="46792" xr:uid="{00000000-0005-0000-0000-000022DA0000}"/>
    <cellStyle name="Процентный 7 2 108" xfId="4101" xr:uid="{00000000-0005-0000-0000-000023DA0000}"/>
    <cellStyle name="Процентный 7 2 108 10" xfId="52164" xr:uid="{00000000-0005-0000-0000-000024DA0000}"/>
    <cellStyle name="Процентный 7 2 108 2" xfId="9444" xr:uid="{00000000-0005-0000-0000-000025DA0000}"/>
    <cellStyle name="Процентный 7 2 108 2 2" xfId="57505" xr:uid="{00000000-0005-0000-0000-000026DA0000}"/>
    <cellStyle name="Процентный 7 2 108 3" xfId="14784" xr:uid="{00000000-0005-0000-0000-000027DA0000}"/>
    <cellStyle name="Процентный 7 2 108 4" xfId="20124" xr:uid="{00000000-0005-0000-0000-000028DA0000}"/>
    <cellStyle name="Процентный 7 2 108 5" xfId="25464" xr:uid="{00000000-0005-0000-0000-000029DA0000}"/>
    <cellStyle name="Процентный 7 2 108 6" xfId="30804" xr:uid="{00000000-0005-0000-0000-00002ADA0000}"/>
    <cellStyle name="Процентный 7 2 108 7" xfId="36144" xr:uid="{00000000-0005-0000-0000-00002BDA0000}"/>
    <cellStyle name="Процентный 7 2 108 8" xfId="41484" xr:uid="{00000000-0005-0000-0000-00002CDA0000}"/>
    <cellStyle name="Процентный 7 2 108 9" xfId="46824" xr:uid="{00000000-0005-0000-0000-00002DDA0000}"/>
    <cellStyle name="Процентный 7 2 109" xfId="4133" xr:uid="{00000000-0005-0000-0000-00002EDA0000}"/>
    <cellStyle name="Процентный 7 2 109 10" xfId="52196" xr:uid="{00000000-0005-0000-0000-00002FDA0000}"/>
    <cellStyle name="Процентный 7 2 109 2" xfId="9476" xr:uid="{00000000-0005-0000-0000-000030DA0000}"/>
    <cellStyle name="Процентный 7 2 109 2 2" xfId="57537" xr:uid="{00000000-0005-0000-0000-000031DA0000}"/>
    <cellStyle name="Процентный 7 2 109 3" xfId="14816" xr:uid="{00000000-0005-0000-0000-000032DA0000}"/>
    <cellStyle name="Процентный 7 2 109 4" xfId="20156" xr:uid="{00000000-0005-0000-0000-000033DA0000}"/>
    <cellStyle name="Процентный 7 2 109 5" xfId="25496" xr:uid="{00000000-0005-0000-0000-000034DA0000}"/>
    <cellStyle name="Процентный 7 2 109 6" xfId="30836" xr:uid="{00000000-0005-0000-0000-000035DA0000}"/>
    <cellStyle name="Процентный 7 2 109 7" xfId="36176" xr:uid="{00000000-0005-0000-0000-000036DA0000}"/>
    <cellStyle name="Процентный 7 2 109 8" xfId="41516" xr:uid="{00000000-0005-0000-0000-000037DA0000}"/>
    <cellStyle name="Процентный 7 2 109 9" xfId="46856" xr:uid="{00000000-0005-0000-0000-000038DA0000}"/>
    <cellStyle name="Процентный 7 2 11" xfId="1213" xr:uid="{00000000-0005-0000-0000-000039DA0000}"/>
    <cellStyle name="Процентный 7 2 11 10" xfId="49276" xr:uid="{00000000-0005-0000-0000-00003ADA0000}"/>
    <cellStyle name="Процентный 7 2 11 2" xfId="6555" xr:uid="{00000000-0005-0000-0000-00003BDA0000}"/>
    <cellStyle name="Процентный 7 2 11 2 2" xfId="54617" xr:uid="{00000000-0005-0000-0000-00003CDA0000}"/>
    <cellStyle name="Процентный 7 2 11 3" xfId="11896" xr:uid="{00000000-0005-0000-0000-00003DDA0000}"/>
    <cellStyle name="Процентный 7 2 11 4" xfId="17236" xr:uid="{00000000-0005-0000-0000-00003EDA0000}"/>
    <cellStyle name="Процентный 7 2 11 5" xfId="22576" xr:uid="{00000000-0005-0000-0000-00003FDA0000}"/>
    <cellStyle name="Процентный 7 2 11 6" xfId="27916" xr:uid="{00000000-0005-0000-0000-000040DA0000}"/>
    <cellStyle name="Процентный 7 2 11 7" xfId="33256" xr:uid="{00000000-0005-0000-0000-000041DA0000}"/>
    <cellStyle name="Процентный 7 2 11 8" xfId="38596" xr:uid="{00000000-0005-0000-0000-000042DA0000}"/>
    <cellStyle name="Процентный 7 2 11 9" xfId="43936" xr:uid="{00000000-0005-0000-0000-000043DA0000}"/>
    <cellStyle name="Процентный 7 2 110" xfId="4165" xr:uid="{00000000-0005-0000-0000-000044DA0000}"/>
    <cellStyle name="Процентный 7 2 110 10" xfId="52228" xr:uid="{00000000-0005-0000-0000-000045DA0000}"/>
    <cellStyle name="Процентный 7 2 110 2" xfId="9508" xr:uid="{00000000-0005-0000-0000-000046DA0000}"/>
    <cellStyle name="Процентный 7 2 110 2 2" xfId="57569" xr:uid="{00000000-0005-0000-0000-000047DA0000}"/>
    <cellStyle name="Процентный 7 2 110 3" xfId="14848" xr:uid="{00000000-0005-0000-0000-000048DA0000}"/>
    <cellStyle name="Процентный 7 2 110 4" xfId="20188" xr:uid="{00000000-0005-0000-0000-000049DA0000}"/>
    <cellStyle name="Процентный 7 2 110 5" xfId="25528" xr:uid="{00000000-0005-0000-0000-00004ADA0000}"/>
    <cellStyle name="Процентный 7 2 110 6" xfId="30868" xr:uid="{00000000-0005-0000-0000-00004BDA0000}"/>
    <cellStyle name="Процентный 7 2 110 7" xfId="36208" xr:uid="{00000000-0005-0000-0000-00004CDA0000}"/>
    <cellStyle name="Процентный 7 2 110 8" xfId="41548" xr:uid="{00000000-0005-0000-0000-00004DDA0000}"/>
    <cellStyle name="Процентный 7 2 110 9" xfId="46888" xr:uid="{00000000-0005-0000-0000-00004EDA0000}"/>
    <cellStyle name="Процентный 7 2 111" xfId="4197" xr:uid="{00000000-0005-0000-0000-00004FDA0000}"/>
    <cellStyle name="Процентный 7 2 111 10" xfId="52260" xr:uid="{00000000-0005-0000-0000-000050DA0000}"/>
    <cellStyle name="Процентный 7 2 111 2" xfId="9540" xr:uid="{00000000-0005-0000-0000-000051DA0000}"/>
    <cellStyle name="Процентный 7 2 111 2 2" xfId="57601" xr:uid="{00000000-0005-0000-0000-000052DA0000}"/>
    <cellStyle name="Процентный 7 2 111 3" xfId="14880" xr:uid="{00000000-0005-0000-0000-000053DA0000}"/>
    <cellStyle name="Процентный 7 2 111 4" xfId="20220" xr:uid="{00000000-0005-0000-0000-000054DA0000}"/>
    <cellStyle name="Процентный 7 2 111 5" xfId="25560" xr:uid="{00000000-0005-0000-0000-000055DA0000}"/>
    <cellStyle name="Процентный 7 2 111 6" xfId="30900" xr:uid="{00000000-0005-0000-0000-000056DA0000}"/>
    <cellStyle name="Процентный 7 2 111 7" xfId="36240" xr:uid="{00000000-0005-0000-0000-000057DA0000}"/>
    <cellStyle name="Процентный 7 2 111 8" xfId="41580" xr:uid="{00000000-0005-0000-0000-000058DA0000}"/>
    <cellStyle name="Процентный 7 2 111 9" xfId="46920" xr:uid="{00000000-0005-0000-0000-000059DA0000}"/>
    <cellStyle name="Процентный 7 2 112" xfId="4229" xr:uid="{00000000-0005-0000-0000-00005ADA0000}"/>
    <cellStyle name="Процентный 7 2 112 10" xfId="52292" xr:uid="{00000000-0005-0000-0000-00005BDA0000}"/>
    <cellStyle name="Процентный 7 2 112 2" xfId="9572" xr:uid="{00000000-0005-0000-0000-00005CDA0000}"/>
    <cellStyle name="Процентный 7 2 112 2 2" xfId="57633" xr:uid="{00000000-0005-0000-0000-00005DDA0000}"/>
    <cellStyle name="Процентный 7 2 112 3" xfId="14912" xr:uid="{00000000-0005-0000-0000-00005EDA0000}"/>
    <cellStyle name="Процентный 7 2 112 4" xfId="20252" xr:uid="{00000000-0005-0000-0000-00005FDA0000}"/>
    <cellStyle name="Процентный 7 2 112 5" xfId="25592" xr:uid="{00000000-0005-0000-0000-000060DA0000}"/>
    <cellStyle name="Процентный 7 2 112 6" xfId="30932" xr:uid="{00000000-0005-0000-0000-000061DA0000}"/>
    <cellStyle name="Процентный 7 2 112 7" xfId="36272" xr:uid="{00000000-0005-0000-0000-000062DA0000}"/>
    <cellStyle name="Процентный 7 2 112 8" xfId="41612" xr:uid="{00000000-0005-0000-0000-000063DA0000}"/>
    <cellStyle name="Процентный 7 2 112 9" xfId="46952" xr:uid="{00000000-0005-0000-0000-000064DA0000}"/>
    <cellStyle name="Процентный 7 2 113" xfId="4261" xr:uid="{00000000-0005-0000-0000-000065DA0000}"/>
    <cellStyle name="Процентный 7 2 113 10" xfId="52324" xr:uid="{00000000-0005-0000-0000-000066DA0000}"/>
    <cellStyle name="Процентный 7 2 113 2" xfId="9604" xr:uid="{00000000-0005-0000-0000-000067DA0000}"/>
    <cellStyle name="Процентный 7 2 113 2 2" xfId="57665" xr:uid="{00000000-0005-0000-0000-000068DA0000}"/>
    <cellStyle name="Процентный 7 2 113 3" xfId="14944" xr:uid="{00000000-0005-0000-0000-000069DA0000}"/>
    <cellStyle name="Процентный 7 2 113 4" xfId="20284" xr:uid="{00000000-0005-0000-0000-00006ADA0000}"/>
    <cellStyle name="Процентный 7 2 113 5" xfId="25624" xr:uid="{00000000-0005-0000-0000-00006BDA0000}"/>
    <cellStyle name="Процентный 7 2 113 6" xfId="30964" xr:uid="{00000000-0005-0000-0000-00006CDA0000}"/>
    <cellStyle name="Процентный 7 2 113 7" xfId="36304" xr:uid="{00000000-0005-0000-0000-00006DDA0000}"/>
    <cellStyle name="Процентный 7 2 113 8" xfId="41644" xr:uid="{00000000-0005-0000-0000-00006EDA0000}"/>
    <cellStyle name="Процентный 7 2 113 9" xfId="46984" xr:uid="{00000000-0005-0000-0000-00006FDA0000}"/>
    <cellStyle name="Процентный 7 2 114" xfId="4293" xr:uid="{00000000-0005-0000-0000-000070DA0000}"/>
    <cellStyle name="Процентный 7 2 114 10" xfId="52356" xr:uid="{00000000-0005-0000-0000-000071DA0000}"/>
    <cellStyle name="Процентный 7 2 114 2" xfId="9636" xr:uid="{00000000-0005-0000-0000-000072DA0000}"/>
    <cellStyle name="Процентный 7 2 114 2 2" xfId="57697" xr:uid="{00000000-0005-0000-0000-000073DA0000}"/>
    <cellStyle name="Процентный 7 2 114 3" xfId="14976" xr:uid="{00000000-0005-0000-0000-000074DA0000}"/>
    <cellStyle name="Процентный 7 2 114 4" xfId="20316" xr:uid="{00000000-0005-0000-0000-000075DA0000}"/>
    <cellStyle name="Процентный 7 2 114 5" xfId="25656" xr:uid="{00000000-0005-0000-0000-000076DA0000}"/>
    <cellStyle name="Процентный 7 2 114 6" xfId="30996" xr:uid="{00000000-0005-0000-0000-000077DA0000}"/>
    <cellStyle name="Процентный 7 2 114 7" xfId="36336" xr:uid="{00000000-0005-0000-0000-000078DA0000}"/>
    <cellStyle name="Процентный 7 2 114 8" xfId="41676" xr:uid="{00000000-0005-0000-0000-000079DA0000}"/>
    <cellStyle name="Процентный 7 2 114 9" xfId="47016" xr:uid="{00000000-0005-0000-0000-00007ADA0000}"/>
    <cellStyle name="Процентный 7 2 115" xfId="4325" xr:uid="{00000000-0005-0000-0000-00007BDA0000}"/>
    <cellStyle name="Процентный 7 2 115 10" xfId="52388" xr:uid="{00000000-0005-0000-0000-00007CDA0000}"/>
    <cellStyle name="Процентный 7 2 115 2" xfId="9668" xr:uid="{00000000-0005-0000-0000-00007DDA0000}"/>
    <cellStyle name="Процентный 7 2 115 2 2" xfId="57729" xr:uid="{00000000-0005-0000-0000-00007EDA0000}"/>
    <cellStyle name="Процентный 7 2 115 3" xfId="15008" xr:uid="{00000000-0005-0000-0000-00007FDA0000}"/>
    <cellStyle name="Процентный 7 2 115 4" xfId="20348" xr:uid="{00000000-0005-0000-0000-000080DA0000}"/>
    <cellStyle name="Процентный 7 2 115 5" xfId="25688" xr:uid="{00000000-0005-0000-0000-000081DA0000}"/>
    <cellStyle name="Процентный 7 2 115 6" xfId="31028" xr:uid="{00000000-0005-0000-0000-000082DA0000}"/>
    <cellStyle name="Процентный 7 2 115 7" xfId="36368" xr:uid="{00000000-0005-0000-0000-000083DA0000}"/>
    <cellStyle name="Процентный 7 2 115 8" xfId="41708" xr:uid="{00000000-0005-0000-0000-000084DA0000}"/>
    <cellStyle name="Процентный 7 2 115 9" xfId="47048" xr:uid="{00000000-0005-0000-0000-000085DA0000}"/>
    <cellStyle name="Процентный 7 2 116" xfId="4357" xr:uid="{00000000-0005-0000-0000-000086DA0000}"/>
    <cellStyle name="Процентный 7 2 116 10" xfId="52420" xr:uid="{00000000-0005-0000-0000-000087DA0000}"/>
    <cellStyle name="Процентный 7 2 116 2" xfId="9700" xr:uid="{00000000-0005-0000-0000-000088DA0000}"/>
    <cellStyle name="Процентный 7 2 116 2 2" xfId="57761" xr:uid="{00000000-0005-0000-0000-000089DA0000}"/>
    <cellStyle name="Процентный 7 2 116 3" xfId="15040" xr:uid="{00000000-0005-0000-0000-00008ADA0000}"/>
    <cellStyle name="Процентный 7 2 116 4" xfId="20380" xr:uid="{00000000-0005-0000-0000-00008BDA0000}"/>
    <cellStyle name="Процентный 7 2 116 5" xfId="25720" xr:uid="{00000000-0005-0000-0000-00008CDA0000}"/>
    <cellStyle name="Процентный 7 2 116 6" xfId="31060" xr:uid="{00000000-0005-0000-0000-00008DDA0000}"/>
    <cellStyle name="Процентный 7 2 116 7" xfId="36400" xr:uid="{00000000-0005-0000-0000-00008EDA0000}"/>
    <cellStyle name="Процентный 7 2 116 8" xfId="41740" xr:uid="{00000000-0005-0000-0000-00008FDA0000}"/>
    <cellStyle name="Процентный 7 2 116 9" xfId="47080" xr:uid="{00000000-0005-0000-0000-000090DA0000}"/>
    <cellStyle name="Процентный 7 2 117" xfId="4389" xr:uid="{00000000-0005-0000-0000-000091DA0000}"/>
    <cellStyle name="Процентный 7 2 117 10" xfId="52452" xr:uid="{00000000-0005-0000-0000-000092DA0000}"/>
    <cellStyle name="Процентный 7 2 117 2" xfId="9732" xr:uid="{00000000-0005-0000-0000-000093DA0000}"/>
    <cellStyle name="Процентный 7 2 117 2 2" xfId="57793" xr:uid="{00000000-0005-0000-0000-000094DA0000}"/>
    <cellStyle name="Процентный 7 2 117 3" xfId="15072" xr:uid="{00000000-0005-0000-0000-000095DA0000}"/>
    <cellStyle name="Процентный 7 2 117 4" xfId="20412" xr:uid="{00000000-0005-0000-0000-000096DA0000}"/>
    <cellStyle name="Процентный 7 2 117 5" xfId="25752" xr:uid="{00000000-0005-0000-0000-000097DA0000}"/>
    <cellStyle name="Процентный 7 2 117 6" xfId="31092" xr:uid="{00000000-0005-0000-0000-000098DA0000}"/>
    <cellStyle name="Процентный 7 2 117 7" xfId="36432" xr:uid="{00000000-0005-0000-0000-000099DA0000}"/>
    <cellStyle name="Процентный 7 2 117 8" xfId="41772" xr:uid="{00000000-0005-0000-0000-00009ADA0000}"/>
    <cellStyle name="Процентный 7 2 117 9" xfId="47112" xr:uid="{00000000-0005-0000-0000-00009BDA0000}"/>
    <cellStyle name="Процентный 7 2 118" xfId="4421" xr:uid="{00000000-0005-0000-0000-00009CDA0000}"/>
    <cellStyle name="Процентный 7 2 118 10" xfId="52484" xr:uid="{00000000-0005-0000-0000-00009DDA0000}"/>
    <cellStyle name="Процентный 7 2 118 2" xfId="9764" xr:uid="{00000000-0005-0000-0000-00009EDA0000}"/>
    <cellStyle name="Процентный 7 2 118 2 2" xfId="57825" xr:uid="{00000000-0005-0000-0000-00009FDA0000}"/>
    <cellStyle name="Процентный 7 2 118 3" xfId="15104" xr:uid="{00000000-0005-0000-0000-0000A0DA0000}"/>
    <cellStyle name="Процентный 7 2 118 4" xfId="20444" xr:uid="{00000000-0005-0000-0000-0000A1DA0000}"/>
    <cellStyle name="Процентный 7 2 118 5" xfId="25784" xr:uid="{00000000-0005-0000-0000-0000A2DA0000}"/>
    <cellStyle name="Процентный 7 2 118 6" xfId="31124" xr:uid="{00000000-0005-0000-0000-0000A3DA0000}"/>
    <cellStyle name="Процентный 7 2 118 7" xfId="36464" xr:uid="{00000000-0005-0000-0000-0000A4DA0000}"/>
    <cellStyle name="Процентный 7 2 118 8" xfId="41804" xr:uid="{00000000-0005-0000-0000-0000A5DA0000}"/>
    <cellStyle name="Процентный 7 2 118 9" xfId="47144" xr:uid="{00000000-0005-0000-0000-0000A6DA0000}"/>
    <cellStyle name="Процентный 7 2 119" xfId="4453" xr:uid="{00000000-0005-0000-0000-0000A7DA0000}"/>
    <cellStyle name="Процентный 7 2 119 10" xfId="52516" xr:uid="{00000000-0005-0000-0000-0000A8DA0000}"/>
    <cellStyle name="Процентный 7 2 119 2" xfId="9796" xr:uid="{00000000-0005-0000-0000-0000A9DA0000}"/>
    <cellStyle name="Процентный 7 2 119 2 2" xfId="57857" xr:uid="{00000000-0005-0000-0000-0000AADA0000}"/>
    <cellStyle name="Процентный 7 2 119 3" xfId="15136" xr:uid="{00000000-0005-0000-0000-0000ABDA0000}"/>
    <cellStyle name="Процентный 7 2 119 4" xfId="20476" xr:uid="{00000000-0005-0000-0000-0000ACDA0000}"/>
    <cellStyle name="Процентный 7 2 119 5" xfId="25816" xr:uid="{00000000-0005-0000-0000-0000ADDA0000}"/>
    <cellStyle name="Процентный 7 2 119 6" xfId="31156" xr:uid="{00000000-0005-0000-0000-0000AEDA0000}"/>
    <cellStyle name="Процентный 7 2 119 7" xfId="36496" xr:uid="{00000000-0005-0000-0000-0000AFDA0000}"/>
    <cellStyle name="Процентный 7 2 119 8" xfId="41836" xr:uid="{00000000-0005-0000-0000-0000B0DA0000}"/>
    <cellStyle name="Процентный 7 2 119 9" xfId="47176" xr:uid="{00000000-0005-0000-0000-0000B1DA0000}"/>
    <cellStyle name="Процентный 7 2 12" xfId="1239" xr:uid="{00000000-0005-0000-0000-0000B2DA0000}"/>
    <cellStyle name="Процентный 7 2 12 10" xfId="49302" xr:uid="{00000000-0005-0000-0000-0000B3DA0000}"/>
    <cellStyle name="Процентный 7 2 12 2" xfId="6581" xr:uid="{00000000-0005-0000-0000-0000B4DA0000}"/>
    <cellStyle name="Процентный 7 2 12 2 2" xfId="54643" xr:uid="{00000000-0005-0000-0000-0000B5DA0000}"/>
    <cellStyle name="Процентный 7 2 12 3" xfId="11922" xr:uid="{00000000-0005-0000-0000-0000B6DA0000}"/>
    <cellStyle name="Процентный 7 2 12 4" xfId="17262" xr:uid="{00000000-0005-0000-0000-0000B7DA0000}"/>
    <cellStyle name="Процентный 7 2 12 5" xfId="22602" xr:uid="{00000000-0005-0000-0000-0000B8DA0000}"/>
    <cellStyle name="Процентный 7 2 12 6" xfId="27942" xr:uid="{00000000-0005-0000-0000-0000B9DA0000}"/>
    <cellStyle name="Процентный 7 2 12 7" xfId="33282" xr:uid="{00000000-0005-0000-0000-0000BADA0000}"/>
    <cellStyle name="Процентный 7 2 12 8" xfId="38622" xr:uid="{00000000-0005-0000-0000-0000BBDA0000}"/>
    <cellStyle name="Процентный 7 2 12 9" xfId="43962" xr:uid="{00000000-0005-0000-0000-0000BCDA0000}"/>
    <cellStyle name="Процентный 7 2 120" xfId="4485" xr:uid="{00000000-0005-0000-0000-0000BDDA0000}"/>
    <cellStyle name="Процентный 7 2 120 10" xfId="52548" xr:uid="{00000000-0005-0000-0000-0000BEDA0000}"/>
    <cellStyle name="Процентный 7 2 120 2" xfId="9828" xr:uid="{00000000-0005-0000-0000-0000BFDA0000}"/>
    <cellStyle name="Процентный 7 2 120 2 2" xfId="57889" xr:uid="{00000000-0005-0000-0000-0000C0DA0000}"/>
    <cellStyle name="Процентный 7 2 120 3" xfId="15168" xr:uid="{00000000-0005-0000-0000-0000C1DA0000}"/>
    <cellStyle name="Процентный 7 2 120 4" xfId="20508" xr:uid="{00000000-0005-0000-0000-0000C2DA0000}"/>
    <cellStyle name="Процентный 7 2 120 5" xfId="25848" xr:uid="{00000000-0005-0000-0000-0000C3DA0000}"/>
    <cellStyle name="Процентный 7 2 120 6" xfId="31188" xr:uid="{00000000-0005-0000-0000-0000C4DA0000}"/>
    <cellStyle name="Процентный 7 2 120 7" xfId="36528" xr:uid="{00000000-0005-0000-0000-0000C5DA0000}"/>
    <cellStyle name="Процентный 7 2 120 8" xfId="41868" xr:uid="{00000000-0005-0000-0000-0000C6DA0000}"/>
    <cellStyle name="Процентный 7 2 120 9" xfId="47208" xr:uid="{00000000-0005-0000-0000-0000C7DA0000}"/>
    <cellStyle name="Процентный 7 2 121" xfId="4517" xr:uid="{00000000-0005-0000-0000-0000C8DA0000}"/>
    <cellStyle name="Процентный 7 2 121 10" xfId="52580" xr:uid="{00000000-0005-0000-0000-0000C9DA0000}"/>
    <cellStyle name="Процентный 7 2 121 2" xfId="9860" xr:uid="{00000000-0005-0000-0000-0000CADA0000}"/>
    <cellStyle name="Процентный 7 2 121 2 2" xfId="57921" xr:uid="{00000000-0005-0000-0000-0000CBDA0000}"/>
    <cellStyle name="Процентный 7 2 121 3" xfId="15200" xr:uid="{00000000-0005-0000-0000-0000CCDA0000}"/>
    <cellStyle name="Процентный 7 2 121 4" xfId="20540" xr:uid="{00000000-0005-0000-0000-0000CDDA0000}"/>
    <cellStyle name="Процентный 7 2 121 5" xfId="25880" xr:uid="{00000000-0005-0000-0000-0000CEDA0000}"/>
    <cellStyle name="Процентный 7 2 121 6" xfId="31220" xr:uid="{00000000-0005-0000-0000-0000CFDA0000}"/>
    <cellStyle name="Процентный 7 2 121 7" xfId="36560" xr:uid="{00000000-0005-0000-0000-0000D0DA0000}"/>
    <cellStyle name="Процентный 7 2 121 8" xfId="41900" xr:uid="{00000000-0005-0000-0000-0000D1DA0000}"/>
    <cellStyle name="Процентный 7 2 121 9" xfId="47240" xr:uid="{00000000-0005-0000-0000-0000D2DA0000}"/>
    <cellStyle name="Процентный 7 2 122" xfId="4549" xr:uid="{00000000-0005-0000-0000-0000D3DA0000}"/>
    <cellStyle name="Процентный 7 2 122 10" xfId="52612" xr:uid="{00000000-0005-0000-0000-0000D4DA0000}"/>
    <cellStyle name="Процентный 7 2 122 2" xfId="9892" xr:uid="{00000000-0005-0000-0000-0000D5DA0000}"/>
    <cellStyle name="Процентный 7 2 122 2 2" xfId="57953" xr:uid="{00000000-0005-0000-0000-0000D6DA0000}"/>
    <cellStyle name="Процентный 7 2 122 3" xfId="15232" xr:uid="{00000000-0005-0000-0000-0000D7DA0000}"/>
    <cellStyle name="Процентный 7 2 122 4" xfId="20572" xr:uid="{00000000-0005-0000-0000-0000D8DA0000}"/>
    <cellStyle name="Процентный 7 2 122 5" xfId="25912" xr:uid="{00000000-0005-0000-0000-0000D9DA0000}"/>
    <cellStyle name="Процентный 7 2 122 6" xfId="31252" xr:uid="{00000000-0005-0000-0000-0000DADA0000}"/>
    <cellStyle name="Процентный 7 2 122 7" xfId="36592" xr:uid="{00000000-0005-0000-0000-0000DBDA0000}"/>
    <cellStyle name="Процентный 7 2 122 8" xfId="41932" xr:uid="{00000000-0005-0000-0000-0000DCDA0000}"/>
    <cellStyle name="Процентный 7 2 122 9" xfId="47272" xr:uid="{00000000-0005-0000-0000-0000DDDA0000}"/>
    <cellStyle name="Процентный 7 2 123" xfId="4581" xr:uid="{00000000-0005-0000-0000-0000DEDA0000}"/>
    <cellStyle name="Процентный 7 2 123 10" xfId="52644" xr:uid="{00000000-0005-0000-0000-0000DFDA0000}"/>
    <cellStyle name="Процентный 7 2 123 2" xfId="9924" xr:uid="{00000000-0005-0000-0000-0000E0DA0000}"/>
    <cellStyle name="Процентный 7 2 123 2 2" xfId="57985" xr:uid="{00000000-0005-0000-0000-0000E1DA0000}"/>
    <cellStyle name="Процентный 7 2 123 3" xfId="15264" xr:uid="{00000000-0005-0000-0000-0000E2DA0000}"/>
    <cellStyle name="Процентный 7 2 123 4" xfId="20604" xr:uid="{00000000-0005-0000-0000-0000E3DA0000}"/>
    <cellStyle name="Процентный 7 2 123 5" xfId="25944" xr:uid="{00000000-0005-0000-0000-0000E4DA0000}"/>
    <cellStyle name="Процентный 7 2 123 6" xfId="31284" xr:uid="{00000000-0005-0000-0000-0000E5DA0000}"/>
    <cellStyle name="Процентный 7 2 123 7" xfId="36624" xr:uid="{00000000-0005-0000-0000-0000E6DA0000}"/>
    <cellStyle name="Процентный 7 2 123 8" xfId="41964" xr:uid="{00000000-0005-0000-0000-0000E7DA0000}"/>
    <cellStyle name="Процентный 7 2 123 9" xfId="47304" xr:uid="{00000000-0005-0000-0000-0000E8DA0000}"/>
    <cellStyle name="Процентный 7 2 124" xfId="4613" xr:uid="{00000000-0005-0000-0000-0000E9DA0000}"/>
    <cellStyle name="Процентный 7 2 124 10" xfId="52676" xr:uid="{00000000-0005-0000-0000-0000EADA0000}"/>
    <cellStyle name="Процентный 7 2 124 2" xfId="9956" xr:uid="{00000000-0005-0000-0000-0000EBDA0000}"/>
    <cellStyle name="Процентный 7 2 124 2 2" xfId="58017" xr:uid="{00000000-0005-0000-0000-0000ECDA0000}"/>
    <cellStyle name="Процентный 7 2 124 3" xfId="15296" xr:uid="{00000000-0005-0000-0000-0000EDDA0000}"/>
    <cellStyle name="Процентный 7 2 124 4" xfId="20636" xr:uid="{00000000-0005-0000-0000-0000EEDA0000}"/>
    <cellStyle name="Процентный 7 2 124 5" xfId="25976" xr:uid="{00000000-0005-0000-0000-0000EFDA0000}"/>
    <cellStyle name="Процентный 7 2 124 6" xfId="31316" xr:uid="{00000000-0005-0000-0000-0000F0DA0000}"/>
    <cellStyle name="Процентный 7 2 124 7" xfId="36656" xr:uid="{00000000-0005-0000-0000-0000F1DA0000}"/>
    <cellStyle name="Процентный 7 2 124 8" xfId="41996" xr:uid="{00000000-0005-0000-0000-0000F2DA0000}"/>
    <cellStyle name="Процентный 7 2 124 9" xfId="47336" xr:uid="{00000000-0005-0000-0000-0000F3DA0000}"/>
    <cellStyle name="Процентный 7 2 125" xfId="4645" xr:uid="{00000000-0005-0000-0000-0000F4DA0000}"/>
    <cellStyle name="Процентный 7 2 125 10" xfId="52708" xr:uid="{00000000-0005-0000-0000-0000F5DA0000}"/>
    <cellStyle name="Процентный 7 2 125 2" xfId="9988" xr:uid="{00000000-0005-0000-0000-0000F6DA0000}"/>
    <cellStyle name="Процентный 7 2 125 2 2" xfId="58049" xr:uid="{00000000-0005-0000-0000-0000F7DA0000}"/>
    <cellStyle name="Процентный 7 2 125 3" xfId="15328" xr:uid="{00000000-0005-0000-0000-0000F8DA0000}"/>
    <cellStyle name="Процентный 7 2 125 4" xfId="20668" xr:uid="{00000000-0005-0000-0000-0000F9DA0000}"/>
    <cellStyle name="Процентный 7 2 125 5" xfId="26008" xr:uid="{00000000-0005-0000-0000-0000FADA0000}"/>
    <cellStyle name="Процентный 7 2 125 6" xfId="31348" xr:uid="{00000000-0005-0000-0000-0000FBDA0000}"/>
    <cellStyle name="Процентный 7 2 125 7" xfId="36688" xr:uid="{00000000-0005-0000-0000-0000FCDA0000}"/>
    <cellStyle name="Процентный 7 2 125 8" xfId="42028" xr:uid="{00000000-0005-0000-0000-0000FDDA0000}"/>
    <cellStyle name="Процентный 7 2 125 9" xfId="47368" xr:uid="{00000000-0005-0000-0000-0000FEDA0000}"/>
    <cellStyle name="Процентный 7 2 126" xfId="4677" xr:uid="{00000000-0005-0000-0000-0000FFDA0000}"/>
    <cellStyle name="Процентный 7 2 126 10" xfId="52740" xr:uid="{00000000-0005-0000-0000-000000DB0000}"/>
    <cellStyle name="Процентный 7 2 126 2" xfId="10020" xr:uid="{00000000-0005-0000-0000-000001DB0000}"/>
    <cellStyle name="Процентный 7 2 126 2 2" xfId="58081" xr:uid="{00000000-0005-0000-0000-000002DB0000}"/>
    <cellStyle name="Процентный 7 2 126 3" xfId="15360" xr:uid="{00000000-0005-0000-0000-000003DB0000}"/>
    <cellStyle name="Процентный 7 2 126 4" xfId="20700" xr:uid="{00000000-0005-0000-0000-000004DB0000}"/>
    <cellStyle name="Процентный 7 2 126 5" xfId="26040" xr:uid="{00000000-0005-0000-0000-000005DB0000}"/>
    <cellStyle name="Процентный 7 2 126 6" xfId="31380" xr:uid="{00000000-0005-0000-0000-000006DB0000}"/>
    <cellStyle name="Процентный 7 2 126 7" xfId="36720" xr:uid="{00000000-0005-0000-0000-000007DB0000}"/>
    <cellStyle name="Процентный 7 2 126 8" xfId="42060" xr:uid="{00000000-0005-0000-0000-000008DB0000}"/>
    <cellStyle name="Процентный 7 2 126 9" xfId="47400" xr:uid="{00000000-0005-0000-0000-000009DB0000}"/>
    <cellStyle name="Процентный 7 2 127" xfId="4709" xr:uid="{00000000-0005-0000-0000-00000ADB0000}"/>
    <cellStyle name="Процентный 7 2 127 10" xfId="52772" xr:uid="{00000000-0005-0000-0000-00000BDB0000}"/>
    <cellStyle name="Процентный 7 2 127 2" xfId="10052" xr:uid="{00000000-0005-0000-0000-00000CDB0000}"/>
    <cellStyle name="Процентный 7 2 127 2 2" xfId="58113" xr:uid="{00000000-0005-0000-0000-00000DDB0000}"/>
    <cellStyle name="Процентный 7 2 127 3" xfId="15392" xr:uid="{00000000-0005-0000-0000-00000EDB0000}"/>
    <cellStyle name="Процентный 7 2 127 4" xfId="20732" xr:uid="{00000000-0005-0000-0000-00000FDB0000}"/>
    <cellStyle name="Процентный 7 2 127 5" xfId="26072" xr:uid="{00000000-0005-0000-0000-000010DB0000}"/>
    <cellStyle name="Процентный 7 2 127 6" xfId="31412" xr:uid="{00000000-0005-0000-0000-000011DB0000}"/>
    <cellStyle name="Процентный 7 2 127 7" xfId="36752" xr:uid="{00000000-0005-0000-0000-000012DB0000}"/>
    <cellStyle name="Процентный 7 2 127 8" xfId="42092" xr:uid="{00000000-0005-0000-0000-000013DB0000}"/>
    <cellStyle name="Процентный 7 2 127 9" xfId="47432" xr:uid="{00000000-0005-0000-0000-000014DB0000}"/>
    <cellStyle name="Процентный 7 2 128" xfId="4743" xr:uid="{00000000-0005-0000-0000-000015DB0000}"/>
    <cellStyle name="Процентный 7 2 128 10" xfId="52806" xr:uid="{00000000-0005-0000-0000-000016DB0000}"/>
    <cellStyle name="Процентный 7 2 128 2" xfId="10086" xr:uid="{00000000-0005-0000-0000-000017DB0000}"/>
    <cellStyle name="Процентный 7 2 128 2 2" xfId="58147" xr:uid="{00000000-0005-0000-0000-000018DB0000}"/>
    <cellStyle name="Процентный 7 2 128 3" xfId="15426" xr:uid="{00000000-0005-0000-0000-000019DB0000}"/>
    <cellStyle name="Процентный 7 2 128 4" xfId="20766" xr:uid="{00000000-0005-0000-0000-00001ADB0000}"/>
    <cellStyle name="Процентный 7 2 128 5" xfId="26106" xr:uid="{00000000-0005-0000-0000-00001BDB0000}"/>
    <cellStyle name="Процентный 7 2 128 6" xfId="31446" xr:uid="{00000000-0005-0000-0000-00001CDB0000}"/>
    <cellStyle name="Процентный 7 2 128 7" xfId="36786" xr:uid="{00000000-0005-0000-0000-00001DDB0000}"/>
    <cellStyle name="Процентный 7 2 128 8" xfId="42126" xr:uid="{00000000-0005-0000-0000-00001EDB0000}"/>
    <cellStyle name="Процентный 7 2 128 9" xfId="47466" xr:uid="{00000000-0005-0000-0000-00001FDB0000}"/>
    <cellStyle name="Процентный 7 2 129" xfId="4775" xr:uid="{00000000-0005-0000-0000-000020DB0000}"/>
    <cellStyle name="Процентный 7 2 129 10" xfId="52838" xr:uid="{00000000-0005-0000-0000-000021DB0000}"/>
    <cellStyle name="Процентный 7 2 129 2" xfId="10118" xr:uid="{00000000-0005-0000-0000-000022DB0000}"/>
    <cellStyle name="Процентный 7 2 129 2 2" xfId="58179" xr:uid="{00000000-0005-0000-0000-000023DB0000}"/>
    <cellStyle name="Процентный 7 2 129 3" xfId="15458" xr:uid="{00000000-0005-0000-0000-000024DB0000}"/>
    <cellStyle name="Процентный 7 2 129 4" xfId="20798" xr:uid="{00000000-0005-0000-0000-000025DB0000}"/>
    <cellStyle name="Процентный 7 2 129 5" xfId="26138" xr:uid="{00000000-0005-0000-0000-000026DB0000}"/>
    <cellStyle name="Процентный 7 2 129 6" xfId="31478" xr:uid="{00000000-0005-0000-0000-000027DB0000}"/>
    <cellStyle name="Процентный 7 2 129 7" xfId="36818" xr:uid="{00000000-0005-0000-0000-000028DB0000}"/>
    <cellStyle name="Процентный 7 2 129 8" xfId="42158" xr:uid="{00000000-0005-0000-0000-000029DB0000}"/>
    <cellStyle name="Процентный 7 2 129 9" xfId="47498" xr:uid="{00000000-0005-0000-0000-00002ADB0000}"/>
    <cellStyle name="Процентный 7 2 13" xfId="1265" xr:uid="{00000000-0005-0000-0000-00002BDB0000}"/>
    <cellStyle name="Процентный 7 2 13 10" xfId="49328" xr:uid="{00000000-0005-0000-0000-00002CDB0000}"/>
    <cellStyle name="Процентный 7 2 13 2" xfId="6607" xr:uid="{00000000-0005-0000-0000-00002DDB0000}"/>
    <cellStyle name="Процентный 7 2 13 2 2" xfId="54669" xr:uid="{00000000-0005-0000-0000-00002EDB0000}"/>
    <cellStyle name="Процентный 7 2 13 3" xfId="11948" xr:uid="{00000000-0005-0000-0000-00002FDB0000}"/>
    <cellStyle name="Процентный 7 2 13 4" xfId="17288" xr:uid="{00000000-0005-0000-0000-000030DB0000}"/>
    <cellStyle name="Процентный 7 2 13 5" xfId="22628" xr:uid="{00000000-0005-0000-0000-000031DB0000}"/>
    <cellStyle name="Процентный 7 2 13 6" xfId="27968" xr:uid="{00000000-0005-0000-0000-000032DB0000}"/>
    <cellStyle name="Процентный 7 2 13 7" xfId="33308" xr:uid="{00000000-0005-0000-0000-000033DB0000}"/>
    <cellStyle name="Процентный 7 2 13 8" xfId="38648" xr:uid="{00000000-0005-0000-0000-000034DB0000}"/>
    <cellStyle name="Процентный 7 2 13 9" xfId="43988" xr:uid="{00000000-0005-0000-0000-000035DB0000}"/>
    <cellStyle name="Процентный 7 2 130" xfId="4807" xr:uid="{00000000-0005-0000-0000-000036DB0000}"/>
    <cellStyle name="Процентный 7 2 130 10" xfId="52870" xr:uid="{00000000-0005-0000-0000-000037DB0000}"/>
    <cellStyle name="Процентный 7 2 130 2" xfId="10150" xr:uid="{00000000-0005-0000-0000-000038DB0000}"/>
    <cellStyle name="Процентный 7 2 130 2 2" xfId="58211" xr:uid="{00000000-0005-0000-0000-000039DB0000}"/>
    <cellStyle name="Процентный 7 2 130 3" xfId="15490" xr:uid="{00000000-0005-0000-0000-00003ADB0000}"/>
    <cellStyle name="Процентный 7 2 130 4" xfId="20830" xr:uid="{00000000-0005-0000-0000-00003BDB0000}"/>
    <cellStyle name="Процентный 7 2 130 5" xfId="26170" xr:uid="{00000000-0005-0000-0000-00003CDB0000}"/>
    <cellStyle name="Процентный 7 2 130 6" xfId="31510" xr:uid="{00000000-0005-0000-0000-00003DDB0000}"/>
    <cellStyle name="Процентный 7 2 130 7" xfId="36850" xr:uid="{00000000-0005-0000-0000-00003EDB0000}"/>
    <cellStyle name="Процентный 7 2 130 8" xfId="42190" xr:uid="{00000000-0005-0000-0000-00003FDB0000}"/>
    <cellStyle name="Процентный 7 2 130 9" xfId="47530" xr:uid="{00000000-0005-0000-0000-000040DB0000}"/>
    <cellStyle name="Процентный 7 2 131" xfId="4839" xr:uid="{00000000-0005-0000-0000-000041DB0000}"/>
    <cellStyle name="Процентный 7 2 131 10" xfId="52902" xr:uid="{00000000-0005-0000-0000-000042DB0000}"/>
    <cellStyle name="Процентный 7 2 131 2" xfId="10182" xr:uid="{00000000-0005-0000-0000-000043DB0000}"/>
    <cellStyle name="Процентный 7 2 131 2 2" xfId="58243" xr:uid="{00000000-0005-0000-0000-000044DB0000}"/>
    <cellStyle name="Процентный 7 2 131 3" xfId="15522" xr:uid="{00000000-0005-0000-0000-000045DB0000}"/>
    <cellStyle name="Процентный 7 2 131 4" xfId="20862" xr:uid="{00000000-0005-0000-0000-000046DB0000}"/>
    <cellStyle name="Процентный 7 2 131 5" xfId="26202" xr:uid="{00000000-0005-0000-0000-000047DB0000}"/>
    <cellStyle name="Процентный 7 2 131 6" xfId="31542" xr:uid="{00000000-0005-0000-0000-000048DB0000}"/>
    <cellStyle name="Процентный 7 2 131 7" xfId="36882" xr:uid="{00000000-0005-0000-0000-000049DB0000}"/>
    <cellStyle name="Процентный 7 2 131 8" xfId="42222" xr:uid="{00000000-0005-0000-0000-00004ADB0000}"/>
    <cellStyle name="Процентный 7 2 131 9" xfId="47562" xr:uid="{00000000-0005-0000-0000-00004BDB0000}"/>
    <cellStyle name="Процентный 7 2 132" xfId="4871" xr:uid="{00000000-0005-0000-0000-00004CDB0000}"/>
    <cellStyle name="Процентный 7 2 132 10" xfId="52934" xr:uid="{00000000-0005-0000-0000-00004DDB0000}"/>
    <cellStyle name="Процентный 7 2 132 2" xfId="10214" xr:uid="{00000000-0005-0000-0000-00004EDB0000}"/>
    <cellStyle name="Процентный 7 2 132 2 2" xfId="58275" xr:uid="{00000000-0005-0000-0000-00004FDB0000}"/>
    <cellStyle name="Процентный 7 2 132 3" xfId="15554" xr:uid="{00000000-0005-0000-0000-000050DB0000}"/>
    <cellStyle name="Процентный 7 2 132 4" xfId="20894" xr:uid="{00000000-0005-0000-0000-000051DB0000}"/>
    <cellStyle name="Процентный 7 2 132 5" xfId="26234" xr:uid="{00000000-0005-0000-0000-000052DB0000}"/>
    <cellStyle name="Процентный 7 2 132 6" xfId="31574" xr:uid="{00000000-0005-0000-0000-000053DB0000}"/>
    <cellStyle name="Процентный 7 2 132 7" xfId="36914" xr:uid="{00000000-0005-0000-0000-000054DB0000}"/>
    <cellStyle name="Процентный 7 2 132 8" xfId="42254" xr:uid="{00000000-0005-0000-0000-000055DB0000}"/>
    <cellStyle name="Процентный 7 2 132 9" xfId="47594" xr:uid="{00000000-0005-0000-0000-000056DB0000}"/>
    <cellStyle name="Процентный 7 2 133" xfId="4903" xr:uid="{00000000-0005-0000-0000-000057DB0000}"/>
    <cellStyle name="Процентный 7 2 133 10" xfId="52966" xr:uid="{00000000-0005-0000-0000-000058DB0000}"/>
    <cellStyle name="Процентный 7 2 133 2" xfId="10246" xr:uid="{00000000-0005-0000-0000-000059DB0000}"/>
    <cellStyle name="Процентный 7 2 133 2 2" xfId="58307" xr:uid="{00000000-0005-0000-0000-00005ADB0000}"/>
    <cellStyle name="Процентный 7 2 133 3" xfId="15586" xr:uid="{00000000-0005-0000-0000-00005BDB0000}"/>
    <cellStyle name="Процентный 7 2 133 4" xfId="20926" xr:uid="{00000000-0005-0000-0000-00005CDB0000}"/>
    <cellStyle name="Процентный 7 2 133 5" xfId="26266" xr:uid="{00000000-0005-0000-0000-00005DDB0000}"/>
    <cellStyle name="Процентный 7 2 133 6" xfId="31606" xr:uid="{00000000-0005-0000-0000-00005EDB0000}"/>
    <cellStyle name="Процентный 7 2 133 7" xfId="36946" xr:uid="{00000000-0005-0000-0000-00005FDB0000}"/>
    <cellStyle name="Процентный 7 2 133 8" xfId="42286" xr:uid="{00000000-0005-0000-0000-000060DB0000}"/>
    <cellStyle name="Процентный 7 2 133 9" xfId="47626" xr:uid="{00000000-0005-0000-0000-000061DB0000}"/>
    <cellStyle name="Процентный 7 2 134" xfId="4935" xr:uid="{00000000-0005-0000-0000-000062DB0000}"/>
    <cellStyle name="Процентный 7 2 134 10" xfId="52998" xr:uid="{00000000-0005-0000-0000-000063DB0000}"/>
    <cellStyle name="Процентный 7 2 134 2" xfId="10278" xr:uid="{00000000-0005-0000-0000-000064DB0000}"/>
    <cellStyle name="Процентный 7 2 134 2 2" xfId="58339" xr:uid="{00000000-0005-0000-0000-000065DB0000}"/>
    <cellStyle name="Процентный 7 2 134 3" xfId="15618" xr:uid="{00000000-0005-0000-0000-000066DB0000}"/>
    <cellStyle name="Процентный 7 2 134 4" xfId="20958" xr:uid="{00000000-0005-0000-0000-000067DB0000}"/>
    <cellStyle name="Процентный 7 2 134 5" xfId="26298" xr:uid="{00000000-0005-0000-0000-000068DB0000}"/>
    <cellStyle name="Процентный 7 2 134 6" xfId="31638" xr:uid="{00000000-0005-0000-0000-000069DB0000}"/>
    <cellStyle name="Процентный 7 2 134 7" xfId="36978" xr:uid="{00000000-0005-0000-0000-00006ADB0000}"/>
    <cellStyle name="Процентный 7 2 134 8" xfId="42318" xr:uid="{00000000-0005-0000-0000-00006BDB0000}"/>
    <cellStyle name="Процентный 7 2 134 9" xfId="47658" xr:uid="{00000000-0005-0000-0000-00006CDB0000}"/>
    <cellStyle name="Процентный 7 2 135" xfId="4967" xr:uid="{00000000-0005-0000-0000-00006DDB0000}"/>
    <cellStyle name="Процентный 7 2 135 10" xfId="53030" xr:uid="{00000000-0005-0000-0000-00006EDB0000}"/>
    <cellStyle name="Процентный 7 2 135 2" xfId="10310" xr:uid="{00000000-0005-0000-0000-00006FDB0000}"/>
    <cellStyle name="Процентный 7 2 135 2 2" xfId="58371" xr:uid="{00000000-0005-0000-0000-000070DB0000}"/>
    <cellStyle name="Процентный 7 2 135 3" xfId="15650" xr:uid="{00000000-0005-0000-0000-000071DB0000}"/>
    <cellStyle name="Процентный 7 2 135 4" xfId="20990" xr:uid="{00000000-0005-0000-0000-000072DB0000}"/>
    <cellStyle name="Процентный 7 2 135 5" xfId="26330" xr:uid="{00000000-0005-0000-0000-000073DB0000}"/>
    <cellStyle name="Процентный 7 2 135 6" xfId="31670" xr:uid="{00000000-0005-0000-0000-000074DB0000}"/>
    <cellStyle name="Процентный 7 2 135 7" xfId="37010" xr:uid="{00000000-0005-0000-0000-000075DB0000}"/>
    <cellStyle name="Процентный 7 2 135 8" xfId="42350" xr:uid="{00000000-0005-0000-0000-000076DB0000}"/>
    <cellStyle name="Процентный 7 2 135 9" xfId="47690" xr:uid="{00000000-0005-0000-0000-000077DB0000}"/>
    <cellStyle name="Процентный 7 2 136" xfId="4999" xr:uid="{00000000-0005-0000-0000-000078DB0000}"/>
    <cellStyle name="Процентный 7 2 136 10" xfId="53062" xr:uid="{00000000-0005-0000-0000-000079DB0000}"/>
    <cellStyle name="Процентный 7 2 136 2" xfId="10342" xr:uid="{00000000-0005-0000-0000-00007ADB0000}"/>
    <cellStyle name="Процентный 7 2 136 2 2" xfId="58403" xr:uid="{00000000-0005-0000-0000-00007BDB0000}"/>
    <cellStyle name="Процентный 7 2 136 3" xfId="15682" xr:uid="{00000000-0005-0000-0000-00007CDB0000}"/>
    <cellStyle name="Процентный 7 2 136 4" xfId="21022" xr:uid="{00000000-0005-0000-0000-00007DDB0000}"/>
    <cellStyle name="Процентный 7 2 136 5" xfId="26362" xr:uid="{00000000-0005-0000-0000-00007EDB0000}"/>
    <cellStyle name="Процентный 7 2 136 6" xfId="31702" xr:uid="{00000000-0005-0000-0000-00007FDB0000}"/>
    <cellStyle name="Процентный 7 2 136 7" xfId="37042" xr:uid="{00000000-0005-0000-0000-000080DB0000}"/>
    <cellStyle name="Процентный 7 2 136 8" xfId="42382" xr:uid="{00000000-0005-0000-0000-000081DB0000}"/>
    <cellStyle name="Процентный 7 2 136 9" xfId="47722" xr:uid="{00000000-0005-0000-0000-000082DB0000}"/>
    <cellStyle name="Процентный 7 2 137" xfId="5031" xr:uid="{00000000-0005-0000-0000-000083DB0000}"/>
    <cellStyle name="Процентный 7 2 137 10" xfId="53094" xr:uid="{00000000-0005-0000-0000-000084DB0000}"/>
    <cellStyle name="Процентный 7 2 137 2" xfId="10374" xr:uid="{00000000-0005-0000-0000-000085DB0000}"/>
    <cellStyle name="Процентный 7 2 137 2 2" xfId="58435" xr:uid="{00000000-0005-0000-0000-000086DB0000}"/>
    <cellStyle name="Процентный 7 2 137 3" xfId="15714" xr:uid="{00000000-0005-0000-0000-000087DB0000}"/>
    <cellStyle name="Процентный 7 2 137 4" xfId="21054" xr:uid="{00000000-0005-0000-0000-000088DB0000}"/>
    <cellStyle name="Процентный 7 2 137 5" xfId="26394" xr:uid="{00000000-0005-0000-0000-000089DB0000}"/>
    <cellStyle name="Процентный 7 2 137 6" xfId="31734" xr:uid="{00000000-0005-0000-0000-00008ADB0000}"/>
    <cellStyle name="Процентный 7 2 137 7" xfId="37074" xr:uid="{00000000-0005-0000-0000-00008BDB0000}"/>
    <cellStyle name="Процентный 7 2 137 8" xfId="42414" xr:uid="{00000000-0005-0000-0000-00008CDB0000}"/>
    <cellStyle name="Процентный 7 2 137 9" xfId="47754" xr:uid="{00000000-0005-0000-0000-00008DDB0000}"/>
    <cellStyle name="Процентный 7 2 138" xfId="5063" xr:uid="{00000000-0005-0000-0000-00008EDB0000}"/>
    <cellStyle name="Процентный 7 2 138 10" xfId="53126" xr:uid="{00000000-0005-0000-0000-00008FDB0000}"/>
    <cellStyle name="Процентный 7 2 138 2" xfId="10406" xr:uid="{00000000-0005-0000-0000-000090DB0000}"/>
    <cellStyle name="Процентный 7 2 138 2 2" xfId="58467" xr:uid="{00000000-0005-0000-0000-000091DB0000}"/>
    <cellStyle name="Процентный 7 2 138 3" xfId="15746" xr:uid="{00000000-0005-0000-0000-000092DB0000}"/>
    <cellStyle name="Процентный 7 2 138 4" xfId="21086" xr:uid="{00000000-0005-0000-0000-000093DB0000}"/>
    <cellStyle name="Процентный 7 2 138 5" xfId="26426" xr:uid="{00000000-0005-0000-0000-000094DB0000}"/>
    <cellStyle name="Процентный 7 2 138 6" xfId="31766" xr:uid="{00000000-0005-0000-0000-000095DB0000}"/>
    <cellStyle name="Процентный 7 2 138 7" xfId="37106" xr:uid="{00000000-0005-0000-0000-000096DB0000}"/>
    <cellStyle name="Процентный 7 2 138 8" xfId="42446" xr:uid="{00000000-0005-0000-0000-000097DB0000}"/>
    <cellStyle name="Процентный 7 2 138 9" xfId="47786" xr:uid="{00000000-0005-0000-0000-000098DB0000}"/>
    <cellStyle name="Процентный 7 2 139" xfId="5095" xr:uid="{00000000-0005-0000-0000-000099DB0000}"/>
    <cellStyle name="Процентный 7 2 139 10" xfId="53158" xr:uid="{00000000-0005-0000-0000-00009ADB0000}"/>
    <cellStyle name="Процентный 7 2 139 2" xfId="10438" xr:uid="{00000000-0005-0000-0000-00009BDB0000}"/>
    <cellStyle name="Процентный 7 2 139 2 2" xfId="58499" xr:uid="{00000000-0005-0000-0000-00009CDB0000}"/>
    <cellStyle name="Процентный 7 2 139 3" xfId="15778" xr:uid="{00000000-0005-0000-0000-00009DDB0000}"/>
    <cellStyle name="Процентный 7 2 139 4" xfId="21118" xr:uid="{00000000-0005-0000-0000-00009EDB0000}"/>
    <cellStyle name="Процентный 7 2 139 5" xfId="26458" xr:uid="{00000000-0005-0000-0000-00009FDB0000}"/>
    <cellStyle name="Процентный 7 2 139 6" xfId="31798" xr:uid="{00000000-0005-0000-0000-0000A0DB0000}"/>
    <cellStyle name="Процентный 7 2 139 7" xfId="37138" xr:uid="{00000000-0005-0000-0000-0000A1DB0000}"/>
    <cellStyle name="Процентный 7 2 139 8" xfId="42478" xr:uid="{00000000-0005-0000-0000-0000A2DB0000}"/>
    <cellStyle name="Процентный 7 2 139 9" xfId="47818" xr:uid="{00000000-0005-0000-0000-0000A3DB0000}"/>
    <cellStyle name="Процентный 7 2 14" xfId="1291" xr:uid="{00000000-0005-0000-0000-0000A4DB0000}"/>
    <cellStyle name="Процентный 7 2 14 10" xfId="49354" xr:uid="{00000000-0005-0000-0000-0000A5DB0000}"/>
    <cellStyle name="Процентный 7 2 14 2" xfId="6633" xr:uid="{00000000-0005-0000-0000-0000A6DB0000}"/>
    <cellStyle name="Процентный 7 2 14 2 2" xfId="54695" xr:uid="{00000000-0005-0000-0000-0000A7DB0000}"/>
    <cellStyle name="Процентный 7 2 14 3" xfId="11974" xr:uid="{00000000-0005-0000-0000-0000A8DB0000}"/>
    <cellStyle name="Процентный 7 2 14 4" xfId="17314" xr:uid="{00000000-0005-0000-0000-0000A9DB0000}"/>
    <cellStyle name="Процентный 7 2 14 5" xfId="22654" xr:uid="{00000000-0005-0000-0000-0000AADB0000}"/>
    <cellStyle name="Процентный 7 2 14 6" xfId="27994" xr:uid="{00000000-0005-0000-0000-0000ABDB0000}"/>
    <cellStyle name="Процентный 7 2 14 7" xfId="33334" xr:uid="{00000000-0005-0000-0000-0000ACDB0000}"/>
    <cellStyle name="Процентный 7 2 14 8" xfId="38674" xr:uid="{00000000-0005-0000-0000-0000ADDB0000}"/>
    <cellStyle name="Процентный 7 2 14 9" xfId="44014" xr:uid="{00000000-0005-0000-0000-0000AEDB0000}"/>
    <cellStyle name="Процентный 7 2 140" xfId="5127" xr:uid="{00000000-0005-0000-0000-0000AFDB0000}"/>
    <cellStyle name="Процентный 7 2 140 10" xfId="53190" xr:uid="{00000000-0005-0000-0000-0000B0DB0000}"/>
    <cellStyle name="Процентный 7 2 140 2" xfId="10470" xr:uid="{00000000-0005-0000-0000-0000B1DB0000}"/>
    <cellStyle name="Процентный 7 2 140 2 2" xfId="58531" xr:uid="{00000000-0005-0000-0000-0000B2DB0000}"/>
    <cellStyle name="Процентный 7 2 140 3" xfId="15810" xr:uid="{00000000-0005-0000-0000-0000B3DB0000}"/>
    <cellStyle name="Процентный 7 2 140 4" xfId="21150" xr:uid="{00000000-0005-0000-0000-0000B4DB0000}"/>
    <cellStyle name="Процентный 7 2 140 5" xfId="26490" xr:uid="{00000000-0005-0000-0000-0000B5DB0000}"/>
    <cellStyle name="Процентный 7 2 140 6" xfId="31830" xr:uid="{00000000-0005-0000-0000-0000B6DB0000}"/>
    <cellStyle name="Процентный 7 2 140 7" xfId="37170" xr:uid="{00000000-0005-0000-0000-0000B7DB0000}"/>
    <cellStyle name="Процентный 7 2 140 8" xfId="42510" xr:uid="{00000000-0005-0000-0000-0000B8DB0000}"/>
    <cellStyle name="Процентный 7 2 140 9" xfId="47850" xr:uid="{00000000-0005-0000-0000-0000B9DB0000}"/>
    <cellStyle name="Процентный 7 2 141" xfId="5159" xr:uid="{00000000-0005-0000-0000-0000BADB0000}"/>
    <cellStyle name="Процентный 7 2 141 10" xfId="53222" xr:uid="{00000000-0005-0000-0000-0000BBDB0000}"/>
    <cellStyle name="Процентный 7 2 141 2" xfId="10502" xr:uid="{00000000-0005-0000-0000-0000BCDB0000}"/>
    <cellStyle name="Процентный 7 2 141 2 2" xfId="58563" xr:uid="{00000000-0005-0000-0000-0000BDDB0000}"/>
    <cellStyle name="Процентный 7 2 141 3" xfId="15842" xr:uid="{00000000-0005-0000-0000-0000BEDB0000}"/>
    <cellStyle name="Процентный 7 2 141 4" xfId="21182" xr:uid="{00000000-0005-0000-0000-0000BFDB0000}"/>
    <cellStyle name="Процентный 7 2 141 5" xfId="26522" xr:uid="{00000000-0005-0000-0000-0000C0DB0000}"/>
    <cellStyle name="Процентный 7 2 141 6" xfId="31862" xr:uid="{00000000-0005-0000-0000-0000C1DB0000}"/>
    <cellStyle name="Процентный 7 2 141 7" xfId="37202" xr:uid="{00000000-0005-0000-0000-0000C2DB0000}"/>
    <cellStyle name="Процентный 7 2 141 8" xfId="42542" xr:uid="{00000000-0005-0000-0000-0000C3DB0000}"/>
    <cellStyle name="Процентный 7 2 141 9" xfId="47882" xr:uid="{00000000-0005-0000-0000-0000C4DB0000}"/>
    <cellStyle name="Процентный 7 2 142" xfId="5191" xr:uid="{00000000-0005-0000-0000-0000C5DB0000}"/>
    <cellStyle name="Процентный 7 2 142 10" xfId="53254" xr:uid="{00000000-0005-0000-0000-0000C6DB0000}"/>
    <cellStyle name="Процентный 7 2 142 2" xfId="10534" xr:uid="{00000000-0005-0000-0000-0000C7DB0000}"/>
    <cellStyle name="Процентный 7 2 142 2 2" xfId="58595" xr:uid="{00000000-0005-0000-0000-0000C8DB0000}"/>
    <cellStyle name="Процентный 7 2 142 3" xfId="15874" xr:uid="{00000000-0005-0000-0000-0000C9DB0000}"/>
    <cellStyle name="Процентный 7 2 142 4" xfId="21214" xr:uid="{00000000-0005-0000-0000-0000CADB0000}"/>
    <cellStyle name="Процентный 7 2 142 5" xfId="26554" xr:uid="{00000000-0005-0000-0000-0000CBDB0000}"/>
    <cellStyle name="Процентный 7 2 142 6" xfId="31894" xr:uid="{00000000-0005-0000-0000-0000CCDB0000}"/>
    <cellStyle name="Процентный 7 2 142 7" xfId="37234" xr:uid="{00000000-0005-0000-0000-0000CDDB0000}"/>
    <cellStyle name="Процентный 7 2 142 8" xfId="42574" xr:uid="{00000000-0005-0000-0000-0000CEDB0000}"/>
    <cellStyle name="Процентный 7 2 142 9" xfId="47914" xr:uid="{00000000-0005-0000-0000-0000CFDB0000}"/>
    <cellStyle name="Процентный 7 2 143" xfId="5223" xr:uid="{00000000-0005-0000-0000-0000D0DB0000}"/>
    <cellStyle name="Процентный 7 2 143 10" xfId="53286" xr:uid="{00000000-0005-0000-0000-0000D1DB0000}"/>
    <cellStyle name="Процентный 7 2 143 2" xfId="10566" xr:uid="{00000000-0005-0000-0000-0000D2DB0000}"/>
    <cellStyle name="Процентный 7 2 143 2 2" xfId="58627" xr:uid="{00000000-0005-0000-0000-0000D3DB0000}"/>
    <cellStyle name="Процентный 7 2 143 3" xfId="15906" xr:uid="{00000000-0005-0000-0000-0000D4DB0000}"/>
    <cellStyle name="Процентный 7 2 143 4" xfId="21246" xr:uid="{00000000-0005-0000-0000-0000D5DB0000}"/>
    <cellStyle name="Процентный 7 2 143 5" xfId="26586" xr:uid="{00000000-0005-0000-0000-0000D6DB0000}"/>
    <cellStyle name="Процентный 7 2 143 6" xfId="31926" xr:uid="{00000000-0005-0000-0000-0000D7DB0000}"/>
    <cellStyle name="Процентный 7 2 143 7" xfId="37266" xr:uid="{00000000-0005-0000-0000-0000D8DB0000}"/>
    <cellStyle name="Процентный 7 2 143 8" xfId="42606" xr:uid="{00000000-0005-0000-0000-0000D9DB0000}"/>
    <cellStyle name="Процентный 7 2 143 9" xfId="47946" xr:uid="{00000000-0005-0000-0000-0000DADB0000}"/>
    <cellStyle name="Процентный 7 2 144" xfId="5255" xr:uid="{00000000-0005-0000-0000-0000DBDB0000}"/>
    <cellStyle name="Процентный 7 2 144 10" xfId="53318" xr:uid="{00000000-0005-0000-0000-0000DCDB0000}"/>
    <cellStyle name="Процентный 7 2 144 2" xfId="10598" xr:uid="{00000000-0005-0000-0000-0000DDDB0000}"/>
    <cellStyle name="Процентный 7 2 144 2 2" xfId="58659" xr:uid="{00000000-0005-0000-0000-0000DEDB0000}"/>
    <cellStyle name="Процентный 7 2 144 3" xfId="15938" xr:uid="{00000000-0005-0000-0000-0000DFDB0000}"/>
    <cellStyle name="Процентный 7 2 144 4" xfId="21278" xr:uid="{00000000-0005-0000-0000-0000E0DB0000}"/>
    <cellStyle name="Процентный 7 2 144 5" xfId="26618" xr:uid="{00000000-0005-0000-0000-0000E1DB0000}"/>
    <cellStyle name="Процентный 7 2 144 6" xfId="31958" xr:uid="{00000000-0005-0000-0000-0000E2DB0000}"/>
    <cellStyle name="Процентный 7 2 144 7" xfId="37298" xr:uid="{00000000-0005-0000-0000-0000E3DB0000}"/>
    <cellStyle name="Процентный 7 2 144 8" xfId="42638" xr:uid="{00000000-0005-0000-0000-0000E4DB0000}"/>
    <cellStyle name="Процентный 7 2 144 9" xfId="47978" xr:uid="{00000000-0005-0000-0000-0000E5DB0000}"/>
    <cellStyle name="Процентный 7 2 145" xfId="5287" xr:uid="{00000000-0005-0000-0000-0000E6DB0000}"/>
    <cellStyle name="Процентный 7 2 145 10" xfId="53350" xr:uid="{00000000-0005-0000-0000-0000E7DB0000}"/>
    <cellStyle name="Процентный 7 2 145 2" xfId="10630" xr:uid="{00000000-0005-0000-0000-0000E8DB0000}"/>
    <cellStyle name="Процентный 7 2 145 2 2" xfId="58691" xr:uid="{00000000-0005-0000-0000-0000E9DB0000}"/>
    <cellStyle name="Процентный 7 2 145 3" xfId="15970" xr:uid="{00000000-0005-0000-0000-0000EADB0000}"/>
    <cellStyle name="Процентный 7 2 145 4" xfId="21310" xr:uid="{00000000-0005-0000-0000-0000EBDB0000}"/>
    <cellStyle name="Процентный 7 2 145 5" xfId="26650" xr:uid="{00000000-0005-0000-0000-0000ECDB0000}"/>
    <cellStyle name="Процентный 7 2 145 6" xfId="31990" xr:uid="{00000000-0005-0000-0000-0000EDDB0000}"/>
    <cellStyle name="Процентный 7 2 145 7" xfId="37330" xr:uid="{00000000-0005-0000-0000-0000EEDB0000}"/>
    <cellStyle name="Процентный 7 2 145 8" xfId="42670" xr:uid="{00000000-0005-0000-0000-0000EFDB0000}"/>
    <cellStyle name="Процентный 7 2 145 9" xfId="48010" xr:uid="{00000000-0005-0000-0000-0000F0DB0000}"/>
    <cellStyle name="Процентный 7 2 146" xfId="5319" xr:uid="{00000000-0005-0000-0000-0000F1DB0000}"/>
    <cellStyle name="Процентный 7 2 146 10" xfId="53382" xr:uid="{00000000-0005-0000-0000-0000F2DB0000}"/>
    <cellStyle name="Процентный 7 2 146 2" xfId="10662" xr:uid="{00000000-0005-0000-0000-0000F3DB0000}"/>
    <cellStyle name="Процентный 7 2 146 2 2" xfId="58723" xr:uid="{00000000-0005-0000-0000-0000F4DB0000}"/>
    <cellStyle name="Процентный 7 2 146 3" xfId="16002" xr:uid="{00000000-0005-0000-0000-0000F5DB0000}"/>
    <cellStyle name="Процентный 7 2 146 4" xfId="21342" xr:uid="{00000000-0005-0000-0000-0000F6DB0000}"/>
    <cellStyle name="Процентный 7 2 146 5" xfId="26682" xr:uid="{00000000-0005-0000-0000-0000F7DB0000}"/>
    <cellStyle name="Процентный 7 2 146 6" xfId="32022" xr:uid="{00000000-0005-0000-0000-0000F8DB0000}"/>
    <cellStyle name="Процентный 7 2 146 7" xfId="37362" xr:uid="{00000000-0005-0000-0000-0000F9DB0000}"/>
    <cellStyle name="Процентный 7 2 146 8" xfId="42702" xr:uid="{00000000-0005-0000-0000-0000FADB0000}"/>
    <cellStyle name="Процентный 7 2 146 9" xfId="48042" xr:uid="{00000000-0005-0000-0000-0000FBDB0000}"/>
    <cellStyle name="Процентный 7 2 147" xfId="5351" xr:uid="{00000000-0005-0000-0000-0000FCDB0000}"/>
    <cellStyle name="Процентный 7 2 147 10" xfId="53414" xr:uid="{00000000-0005-0000-0000-0000FDDB0000}"/>
    <cellStyle name="Процентный 7 2 147 2" xfId="10694" xr:uid="{00000000-0005-0000-0000-0000FEDB0000}"/>
    <cellStyle name="Процентный 7 2 147 2 2" xfId="58755" xr:uid="{00000000-0005-0000-0000-0000FFDB0000}"/>
    <cellStyle name="Процентный 7 2 147 3" xfId="16034" xr:uid="{00000000-0005-0000-0000-000000DC0000}"/>
    <cellStyle name="Процентный 7 2 147 4" xfId="21374" xr:uid="{00000000-0005-0000-0000-000001DC0000}"/>
    <cellStyle name="Процентный 7 2 147 5" xfId="26714" xr:uid="{00000000-0005-0000-0000-000002DC0000}"/>
    <cellStyle name="Процентный 7 2 147 6" xfId="32054" xr:uid="{00000000-0005-0000-0000-000003DC0000}"/>
    <cellStyle name="Процентный 7 2 147 7" xfId="37394" xr:uid="{00000000-0005-0000-0000-000004DC0000}"/>
    <cellStyle name="Процентный 7 2 147 8" xfId="42734" xr:uid="{00000000-0005-0000-0000-000005DC0000}"/>
    <cellStyle name="Процентный 7 2 147 9" xfId="48074" xr:uid="{00000000-0005-0000-0000-000006DC0000}"/>
    <cellStyle name="Процентный 7 2 148" xfId="5383" xr:uid="{00000000-0005-0000-0000-000007DC0000}"/>
    <cellStyle name="Процентный 7 2 148 10" xfId="53446" xr:uid="{00000000-0005-0000-0000-000008DC0000}"/>
    <cellStyle name="Процентный 7 2 148 2" xfId="10726" xr:uid="{00000000-0005-0000-0000-000009DC0000}"/>
    <cellStyle name="Процентный 7 2 148 2 2" xfId="58787" xr:uid="{00000000-0005-0000-0000-00000ADC0000}"/>
    <cellStyle name="Процентный 7 2 148 3" xfId="16066" xr:uid="{00000000-0005-0000-0000-00000BDC0000}"/>
    <cellStyle name="Процентный 7 2 148 4" xfId="21406" xr:uid="{00000000-0005-0000-0000-00000CDC0000}"/>
    <cellStyle name="Процентный 7 2 148 5" xfId="26746" xr:uid="{00000000-0005-0000-0000-00000DDC0000}"/>
    <cellStyle name="Процентный 7 2 148 6" xfId="32086" xr:uid="{00000000-0005-0000-0000-00000EDC0000}"/>
    <cellStyle name="Процентный 7 2 148 7" xfId="37426" xr:uid="{00000000-0005-0000-0000-00000FDC0000}"/>
    <cellStyle name="Процентный 7 2 148 8" xfId="42766" xr:uid="{00000000-0005-0000-0000-000010DC0000}"/>
    <cellStyle name="Процентный 7 2 148 9" xfId="48106" xr:uid="{00000000-0005-0000-0000-000011DC0000}"/>
    <cellStyle name="Процентный 7 2 149" xfId="5776" xr:uid="{00000000-0005-0000-0000-000012DC0000}"/>
    <cellStyle name="Процентный 7 2 149 2" xfId="53838" xr:uid="{00000000-0005-0000-0000-000013DC0000}"/>
    <cellStyle name="Процентный 7 2 15" xfId="1317" xr:uid="{00000000-0005-0000-0000-000014DC0000}"/>
    <cellStyle name="Процентный 7 2 15 10" xfId="49380" xr:uid="{00000000-0005-0000-0000-000015DC0000}"/>
    <cellStyle name="Процентный 7 2 15 2" xfId="6659" xr:uid="{00000000-0005-0000-0000-000016DC0000}"/>
    <cellStyle name="Процентный 7 2 15 2 2" xfId="54721" xr:uid="{00000000-0005-0000-0000-000017DC0000}"/>
    <cellStyle name="Процентный 7 2 15 3" xfId="12000" xr:uid="{00000000-0005-0000-0000-000018DC0000}"/>
    <cellStyle name="Процентный 7 2 15 4" xfId="17340" xr:uid="{00000000-0005-0000-0000-000019DC0000}"/>
    <cellStyle name="Процентный 7 2 15 5" xfId="22680" xr:uid="{00000000-0005-0000-0000-00001ADC0000}"/>
    <cellStyle name="Процентный 7 2 15 6" xfId="28020" xr:uid="{00000000-0005-0000-0000-00001BDC0000}"/>
    <cellStyle name="Процентный 7 2 15 7" xfId="33360" xr:uid="{00000000-0005-0000-0000-00001CDC0000}"/>
    <cellStyle name="Процентный 7 2 15 8" xfId="38700" xr:uid="{00000000-0005-0000-0000-00001DDC0000}"/>
    <cellStyle name="Процентный 7 2 15 9" xfId="44040" xr:uid="{00000000-0005-0000-0000-00001EDC0000}"/>
    <cellStyle name="Процентный 7 2 150" xfId="11117" xr:uid="{00000000-0005-0000-0000-00001FDC0000}"/>
    <cellStyle name="Процентный 7 2 151" xfId="16457" xr:uid="{00000000-0005-0000-0000-000020DC0000}"/>
    <cellStyle name="Процентный 7 2 152" xfId="21797" xr:uid="{00000000-0005-0000-0000-000021DC0000}"/>
    <cellStyle name="Процентный 7 2 153" xfId="27137" xr:uid="{00000000-0005-0000-0000-000022DC0000}"/>
    <cellStyle name="Процентный 7 2 154" xfId="32477" xr:uid="{00000000-0005-0000-0000-000023DC0000}"/>
    <cellStyle name="Процентный 7 2 155" xfId="37817" xr:uid="{00000000-0005-0000-0000-000024DC0000}"/>
    <cellStyle name="Процентный 7 2 156" xfId="43157" xr:uid="{00000000-0005-0000-0000-000025DC0000}"/>
    <cellStyle name="Процентный 7 2 157" xfId="48497" xr:uid="{00000000-0005-0000-0000-000026DC0000}"/>
    <cellStyle name="Процентный 7 2 16" xfId="1343" xr:uid="{00000000-0005-0000-0000-000027DC0000}"/>
    <cellStyle name="Процентный 7 2 16 10" xfId="49406" xr:uid="{00000000-0005-0000-0000-000028DC0000}"/>
    <cellStyle name="Процентный 7 2 16 2" xfId="6685" xr:uid="{00000000-0005-0000-0000-000029DC0000}"/>
    <cellStyle name="Процентный 7 2 16 2 2" xfId="54747" xr:uid="{00000000-0005-0000-0000-00002ADC0000}"/>
    <cellStyle name="Процентный 7 2 16 3" xfId="12026" xr:uid="{00000000-0005-0000-0000-00002BDC0000}"/>
    <cellStyle name="Процентный 7 2 16 4" xfId="17366" xr:uid="{00000000-0005-0000-0000-00002CDC0000}"/>
    <cellStyle name="Процентный 7 2 16 5" xfId="22706" xr:uid="{00000000-0005-0000-0000-00002DDC0000}"/>
    <cellStyle name="Процентный 7 2 16 6" xfId="28046" xr:uid="{00000000-0005-0000-0000-00002EDC0000}"/>
    <cellStyle name="Процентный 7 2 16 7" xfId="33386" xr:uid="{00000000-0005-0000-0000-00002FDC0000}"/>
    <cellStyle name="Процентный 7 2 16 8" xfId="38726" xr:uid="{00000000-0005-0000-0000-000030DC0000}"/>
    <cellStyle name="Процентный 7 2 16 9" xfId="44066" xr:uid="{00000000-0005-0000-0000-000031DC0000}"/>
    <cellStyle name="Процентный 7 2 17" xfId="1369" xr:uid="{00000000-0005-0000-0000-000032DC0000}"/>
    <cellStyle name="Процентный 7 2 17 10" xfId="49432" xr:uid="{00000000-0005-0000-0000-000033DC0000}"/>
    <cellStyle name="Процентный 7 2 17 2" xfId="6711" xr:uid="{00000000-0005-0000-0000-000034DC0000}"/>
    <cellStyle name="Процентный 7 2 17 2 2" xfId="54773" xr:uid="{00000000-0005-0000-0000-000035DC0000}"/>
    <cellStyle name="Процентный 7 2 17 3" xfId="12052" xr:uid="{00000000-0005-0000-0000-000036DC0000}"/>
    <cellStyle name="Процентный 7 2 17 4" xfId="17392" xr:uid="{00000000-0005-0000-0000-000037DC0000}"/>
    <cellStyle name="Процентный 7 2 17 5" xfId="22732" xr:uid="{00000000-0005-0000-0000-000038DC0000}"/>
    <cellStyle name="Процентный 7 2 17 6" xfId="28072" xr:uid="{00000000-0005-0000-0000-000039DC0000}"/>
    <cellStyle name="Процентный 7 2 17 7" xfId="33412" xr:uid="{00000000-0005-0000-0000-00003ADC0000}"/>
    <cellStyle name="Процентный 7 2 17 8" xfId="38752" xr:uid="{00000000-0005-0000-0000-00003BDC0000}"/>
    <cellStyle name="Процентный 7 2 17 9" xfId="44092" xr:uid="{00000000-0005-0000-0000-00003CDC0000}"/>
    <cellStyle name="Процентный 7 2 18" xfId="1395" xr:uid="{00000000-0005-0000-0000-00003DDC0000}"/>
    <cellStyle name="Процентный 7 2 18 10" xfId="49458" xr:uid="{00000000-0005-0000-0000-00003EDC0000}"/>
    <cellStyle name="Процентный 7 2 18 2" xfId="6737" xr:uid="{00000000-0005-0000-0000-00003FDC0000}"/>
    <cellStyle name="Процентный 7 2 18 2 2" xfId="54799" xr:uid="{00000000-0005-0000-0000-000040DC0000}"/>
    <cellStyle name="Процентный 7 2 18 3" xfId="12078" xr:uid="{00000000-0005-0000-0000-000041DC0000}"/>
    <cellStyle name="Процентный 7 2 18 4" xfId="17418" xr:uid="{00000000-0005-0000-0000-000042DC0000}"/>
    <cellStyle name="Процентный 7 2 18 5" xfId="22758" xr:uid="{00000000-0005-0000-0000-000043DC0000}"/>
    <cellStyle name="Процентный 7 2 18 6" xfId="28098" xr:uid="{00000000-0005-0000-0000-000044DC0000}"/>
    <cellStyle name="Процентный 7 2 18 7" xfId="33438" xr:uid="{00000000-0005-0000-0000-000045DC0000}"/>
    <cellStyle name="Процентный 7 2 18 8" xfId="38778" xr:uid="{00000000-0005-0000-0000-000046DC0000}"/>
    <cellStyle name="Процентный 7 2 18 9" xfId="44118" xr:uid="{00000000-0005-0000-0000-000047DC0000}"/>
    <cellStyle name="Процентный 7 2 19" xfId="1421" xr:uid="{00000000-0005-0000-0000-000048DC0000}"/>
    <cellStyle name="Процентный 7 2 19 10" xfId="49484" xr:uid="{00000000-0005-0000-0000-000049DC0000}"/>
    <cellStyle name="Процентный 7 2 19 2" xfId="6763" xr:uid="{00000000-0005-0000-0000-00004ADC0000}"/>
    <cellStyle name="Процентный 7 2 19 2 2" xfId="54825" xr:uid="{00000000-0005-0000-0000-00004BDC0000}"/>
    <cellStyle name="Процентный 7 2 19 3" xfId="12104" xr:uid="{00000000-0005-0000-0000-00004CDC0000}"/>
    <cellStyle name="Процентный 7 2 19 4" xfId="17444" xr:uid="{00000000-0005-0000-0000-00004DDC0000}"/>
    <cellStyle name="Процентный 7 2 19 5" xfId="22784" xr:uid="{00000000-0005-0000-0000-00004EDC0000}"/>
    <cellStyle name="Процентный 7 2 19 6" xfId="28124" xr:uid="{00000000-0005-0000-0000-00004FDC0000}"/>
    <cellStyle name="Процентный 7 2 19 7" xfId="33464" xr:uid="{00000000-0005-0000-0000-000050DC0000}"/>
    <cellStyle name="Процентный 7 2 19 8" xfId="38804" xr:uid="{00000000-0005-0000-0000-000051DC0000}"/>
    <cellStyle name="Процентный 7 2 19 9" xfId="44144" xr:uid="{00000000-0005-0000-0000-000052DC0000}"/>
    <cellStyle name="Процентный 7 2 2" xfId="902" xr:uid="{00000000-0005-0000-0000-000053DC0000}"/>
    <cellStyle name="Процентный 7 2 2 10" xfId="48964" xr:uid="{00000000-0005-0000-0000-000054DC0000}"/>
    <cellStyle name="Процентный 7 2 2 2" xfId="6243" xr:uid="{00000000-0005-0000-0000-000055DC0000}"/>
    <cellStyle name="Процентный 7 2 2 2 2" xfId="54305" xr:uid="{00000000-0005-0000-0000-000056DC0000}"/>
    <cellStyle name="Процентный 7 2 2 3" xfId="11584" xr:uid="{00000000-0005-0000-0000-000057DC0000}"/>
    <cellStyle name="Процентный 7 2 2 4" xfId="16924" xr:uid="{00000000-0005-0000-0000-000058DC0000}"/>
    <cellStyle name="Процентный 7 2 2 5" xfId="22264" xr:uid="{00000000-0005-0000-0000-000059DC0000}"/>
    <cellStyle name="Процентный 7 2 2 6" xfId="27604" xr:uid="{00000000-0005-0000-0000-00005ADC0000}"/>
    <cellStyle name="Процентный 7 2 2 7" xfId="32944" xr:uid="{00000000-0005-0000-0000-00005BDC0000}"/>
    <cellStyle name="Процентный 7 2 2 8" xfId="38284" xr:uid="{00000000-0005-0000-0000-00005CDC0000}"/>
    <cellStyle name="Процентный 7 2 2 9" xfId="43624" xr:uid="{00000000-0005-0000-0000-00005DDC0000}"/>
    <cellStyle name="Процентный 7 2 20" xfId="1447" xr:uid="{00000000-0005-0000-0000-00005EDC0000}"/>
    <cellStyle name="Процентный 7 2 20 10" xfId="49510" xr:uid="{00000000-0005-0000-0000-00005FDC0000}"/>
    <cellStyle name="Процентный 7 2 20 2" xfId="6789" xr:uid="{00000000-0005-0000-0000-000060DC0000}"/>
    <cellStyle name="Процентный 7 2 20 2 2" xfId="54851" xr:uid="{00000000-0005-0000-0000-000061DC0000}"/>
    <cellStyle name="Процентный 7 2 20 3" xfId="12130" xr:uid="{00000000-0005-0000-0000-000062DC0000}"/>
    <cellStyle name="Процентный 7 2 20 4" xfId="17470" xr:uid="{00000000-0005-0000-0000-000063DC0000}"/>
    <cellStyle name="Процентный 7 2 20 5" xfId="22810" xr:uid="{00000000-0005-0000-0000-000064DC0000}"/>
    <cellStyle name="Процентный 7 2 20 6" xfId="28150" xr:uid="{00000000-0005-0000-0000-000065DC0000}"/>
    <cellStyle name="Процентный 7 2 20 7" xfId="33490" xr:uid="{00000000-0005-0000-0000-000066DC0000}"/>
    <cellStyle name="Процентный 7 2 20 8" xfId="38830" xr:uid="{00000000-0005-0000-0000-000067DC0000}"/>
    <cellStyle name="Процентный 7 2 20 9" xfId="44170" xr:uid="{00000000-0005-0000-0000-000068DC0000}"/>
    <cellStyle name="Процентный 7 2 21" xfId="1473" xr:uid="{00000000-0005-0000-0000-000069DC0000}"/>
    <cellStyle name="Процентный 7 2 21 10" xfId="49536" xr:uid="{00000000-0005-0000-0000-00006ADC0000}"/>
    <cellStyle name="Процентный 7 2 21 2" xfId="6815" xr:uid="{00000000-0005-0000-0000-00006BDC0000}"/>
    <cellStyle name="Процентный 7 2 21 2 2" xfId="54877" xr:uid="{00000000-0005-0000-0000-00006CDC0000}"/>
    <cellStyle name="Процентный 7 2 21 3" xfId="12156" xr:uid="{00000000-0005-0000-0000-00006DDC0000}"/>
    <cellStyle name="Процентный 7 2 21 4" xfId="17496" xr:uid="{00000000-0005-0000-0000-00006EDC0000}"/>
    <cellStyle name="Процентный 7 2 21 5" xfId="22836" xr:uid="{00000000-0005-0000-0000-00006FDC0000}"/>
    <cellStyle name="Процентный 7 2 21 6" xfId="28176" xr:uid="{00000000-0005-0000-0000-000070DC0000}"/>
    <cellStyle name="Процентный 7 2 21 7" xfId="33516" xr:uid="{00000000-0005-0000-0000-000071DC0000}"/>
    <cellStyle name="Процентный 7 2 21 8" xfId="38856" xr:uid="{00000000-0005-0000-0000-000072DC0000}"/>
    <cellStyle name="Процентный 7 2 21 9" xfId="44196" xr:uid="{00000000-0005-0000-0000-000073DC0000}"/>
    <cellStyle name="Процентный 7 2 22" xfId="1499" xr:uid="{00000000-0005-0000-0000-000074DC0000}"/>
    <cellStyle name="Процентный 7 2 22 10" xfId="49562" xr:uid="{00000000-0005-0000-0000-000075DC0000}"/>
    <cellStyle name="Процентный 7 2 22 2" xfId="6841" xr:uid="{00000000-0005-0000-0000-000076DC0000}"/>
    <cellStyle name="Процентный 7 2 22 2 2" xfId="54903" xr:uid="{00000000-0005-0000-0000-000077DC0000}"/>
    <cellStyle name="Процентный 7 2 22 3" xfId="12182" xr:uid="{00000000-0005-0000-0000-000078DC0000}"/>
    <cellStyle name="Процентный 7 2 22 4" xfId="17522" xr:uid="{00000000-0005-0000-0000-000079DC0000}"/>
    <cellStyle name="Процентный 7 2 22 5" xfId="22862" xr:uid="{00000000-0005-0000-0000-00007ADC0000}"/>
    <cellStyle name="Процентный 7 2 22 6" xfId="28202" xr:uid="{00000000-0005-0000-0000-00007BDC0000}"/>
    <cellStyle name="Процентный 7 2 22 7" xfId="33542" xr:uid="{00000000-0005-0000-0000-00007CDC0000}"/>
    <cellStyle name="Процентный 7 2 22 8" xfId="38882" xr:uid="{00000000-0005-0000-0000-00007DDC0000}"/>
    <cellStyle name="Процентный 7 2 22 9" xfId="44222" xr:uid="{00000000-0005-0000-0000-00007EDC0000}"/>
    <cellStyle name="Процентный 7 2 23" xfId="1525" xr:uid="{00000000-0005-0000-0000-00007FDC0000}"/>
    <cellStyle name="Процентный 7 2 23 10" xfId="49588" xr:uid="{00000000-0005-0000-0000-000080DC0000}"/>
    <cellStyle name="Процентный 7 2 23 2" xfId="6867" xr:uid="{00000000-0005-0000-0000-000081DC0000}"/>
    <cellStyle name="Процентный 7 2 23 2 2" xfId="54929" xr:uid="{00000000-0005-0000-0000-000082DC0000}"/>
    <cellStyle name="Процентный 7 2 23 3" xfId="12208" xr:uid="{00000000-0005-0000-0000-000083DC0000}"/>
    <cellStyle name="Процентный 7 2 23 4" xfId="17548" xr:uid="{00000000-0005-0000-0000-000084DC0000}"/>
    <cellStyle name="Процентный 7 2 23 5" xfId="22888" xr:uid="{00000000-0005-0000-0000-000085DC0000}"/>
    <cellStyle name="Процентный 7 2 23 6" xfId="28228" xr:uid="{00000000-0005-0000-0000-000086DC0000}"/>
    <cellStyle name="Процентный 7 2 23 7" xfId="33568" xr:uid="{00000000-0005-0000-0000-000087DC0000}"/>
    <cellStyle name="Процентный 7 2 23 8" xfId="38908" xr:uid="{00000000-0005-0000-0000-000088DC0000}"/>
    <cellStyle name="Процентный 7 2 23 9" xfId="44248" xr:uid="{00000000-0005-0000-0000-000089DC0000}"/>
    <cellStyle name="Процентный 7 2 24" xfId="1551" xr:uid="{00000000-0005-0000-0000-00008ADC0000}"/>
    <cellStyle name="Процентный 7 2 24 10" xfId="49614" xr:uid="{00000000-0005-0000-0000-00008BDC0000}"/>
    <cellStyle name="Процентный 7 2 24 2" xfId="6893" xr:uid="{00000000-0005-0000-0000-00008CDC0000}"/>
    <cellStyle name="Процентный 7 2 24 2 2" xfId="54955" xr:uid="{00000000-0005-0000-0000-00008DDC0000}"/>
    <cellStyle name="Процентный 7 2 24 3" xfId="12234" xr:uid="{00000000-0005-0000-0000-00008EDC0000}"/>
    <cellStyle name="Процентный 7 2 24 4" xfId="17574" xr:uid="{00000000-0005-0000-0000-00008FDC0000}"/>
    <cellStyle name="Процентный 7 2 24 5" xfId="22914" xr:uid="{00000000-0005-0000-0000-000090DC0000}"/>
    <cellStyle name="Процентный 7 2 24 6" xfId="28254" xr:uid="{00000000-0005-0000-0000-000091DC0000}"/>
    <cellStyle name="Процентный 7 2 24 7" xfId="33594" xr:uid="{00000000-0005-0000-0000-000092DC0000}"/>
    <cellStyle name="Процентный 7 2 24 8" xfId="38934" xr:uid="{00000000-0005-0000-0000-000093DC0000}"/>
    <cellStyle name="Процентный 7 2 24 9" xfId="44274" xr:uid="{00000000-0005-0000-0000-000094DC0000}"/>
    <cellStyle name="Процентный 7 2 25" xfId="1577" xr:uid="{00000000-0005-0000-0000-000095DC0000}"/>
    <cellStyle name="Процентный 7 2 25 10" xfId="49640" xr:uid="{00000000-0005-0000-0000-000096DC0000}"/>
    <cellStyle name="Процентный 7 2 25 2" xfId="6919" xr:uid="{00000000-0005-0000-0000-000097DC0000}"/>
    <cellStyle name="Процентный 7 2 25 2 2" xfId="54981" xr:uid="{00000000-0005-0000-0000-000098DC0000}"/>
    <cellStyle name="Процентный 7 2 25 3" xfId="12260" xr:uid="{00000000-0005-0000-0000-000099DC0000}"/>
    <cellStyle name="Процентный 7 2 25 4" xfId="17600" xr:uid="{00000000-0005-0000-0000-00009ADC0000}"/>
    <cellStyle name="Процентный 7 2 25 5" xfId="22940" xr:uid="{00000000-0005-0000-0000-00009BDC0000}"/>
    <cellStyle name="Процентный 7 2 25 6" xfId="28280" xr:uid="{00000000-0005-0000-0000-00009CDC0000}"/>
    <cellStyle name="Процентный 7 2 25 7" xfId="33620" xr:uid="{00000000-0005-0000-0000-00009DDC0000}"/>
    <cellStyle name="Процентный 7 2 25 8" xfId="38960" xr:uid="{00000000-0005-0000-0000-00009EDC0000}"/>
    <cellStyle name="Процентный 7 2 25 9" xfId="44300" xr:uid="{00000000-0005-0000-0000-00009FDC0000}"/>
    <cellStyle name="Процентный 7 2 26" xfId="1603" xr:uid="{00000000-0005-0000-0000-0000A0DC0000}"/>
    <cellStyle name="Процентный 7 2 26 10" xfId="49666" xr:uid="{00000000-0005-0000-0000-0000A1DC0000}"/>
    <cellStyle name="Процентный 7 2 26 2" xfId="6945" xr:uid="{00000000-0005-0000-0000-0000A2DC0000}"/>
    <cellStyle name="Процентный 7 2 26 2 2" xfId="55007" xr:uid="{00000000-0005-0000-0000-0000A3DC0000}"/>
    <cellStyle name="Процентный 7 2 26 3" xfId="12286" xr:uid="{00000000-0005-0000-0000-0000A4DC0000}"/>
    <cellStyle name="Процентный 7 2 26 4" xfId="17626" xr:uid="{00000000-0005-0000-0000-0000A5DC0000}"/>
    <cellStyle name="Процентный 7 2 26 5" xfId="22966" xr:uid="{00000000-0005-0000-0000-0000A6DC0000}"/>
    <cellStyle name="Процентный 7 2 26 6" xfId="28306" xr:uid="{00000000-0005-0000-0000-0000A7DC0000}"/>
    <cellStyle name="Процентный 7 2 26 7" xfId="33646" xr:uid="{00000000-0005-0000-0000-0000A8DC0000}"/>
    <cellStyle name="Процентный 7 2 26 8" xfId="38986" xr:uid="{00000000-0005-0000-0000-0000A9DC0000}"/>
    <cellStyle name="Процентный 7 2 26 9" xfId="44326" xr:uid="{00000000-0005-0000-0000-0000AADC0000}"/>
    <cellStyle name="Процентный 7 2 27" xfId="1629" xr:uid="{00000000-0005-0000-0000-0000ABDC0000}"/>
    <cellStyle name="Процентный 7 2 27 10" xfId="49692" xr:uid="{00000000-0005-0000-0000-0000ACDC0000}"/>
    <cellStyle name="Процентный 7 2 27 2" xfId="6971" xr:uid="{00000000-0005-0000-0000-0000ADDC0000}"/>
    <cellStyle name="Процентный 7 2 27 2 2" xfId="55033" xr:uid="{00000000-0005-0000-0000-0000AEDC0000}"/>
    <cellStyle name="Процентный 7 2 27 3" xfId="12312" xr:uid="{00000000-0005-0000-0000-0000AFDC0000}"/>
    <cellStyle name="Процентный 7 2 27 4" xfId="17652" xr:uid="{00000000-0005-0000-0000-0000B0DC0000}"/>
    <cellStyle name="Процентный 7 2 27 5" xfId="22992" xr:uid="{00000000-0005-0000-0000-0000B1DC0000}"/>
    <cellStyle name="Процентный 7 2 27 6" xfId="28332" xr:uid="{00000000-0005-0000-0000-0000B2DC0000}"/>
    <cellStyle name="Процентный 7 2 27 7" xfId="33672" xr:uid="{00000000-0005-0000-0000-0000B3DC0000}"/>
    <cellStyle name="Процентный 7 2 27 8" xfId="39012" xr:uid="{00000000-0005-0000-0000-0000B4DC0000}"/>
    <cellStyle name="Процентный 7 2 27 9" xfId="44352" xr:uid="{00000000-0005-0000-0000-0000B5DC0000}"/>
    <cellStyle name="Процентный 7 2 28" xfId="1655" xr:uid="{00000000-0005-0000-0000-0000B6DC0000}"/>
    <cellStyle name="Процентный 7 2 28 10" xfId="49718" xr:uid="{00000000-0005-0000-0000-0000B7DC0000}"/>
    <cellStyle name="Процентный 7 2 28 2" xfId="6997" xr:uid="{00000000-0005-0000-0000-0000B8DC0000}"/>
    <cellStyle name="Процентный 7 2 28 2 2" xfId="55059" xr:uid="{00000000-0005-0000-0000-0000B9DC0000}"/>
    <cellStyle name="Процентный 7 2 28 3" xfId="12338" xr:uid="{00000000-0005-0000-0000-0000BADC0000}"/>
    <cellStyle name="Процентный 7 2 28 4" xfId="17678" xr:uid="{00000000-0005-0000-0000-0000BBDC0000}"/>
    <cellStyle name="Процентный 7 2 28 5" xfId="23018" xr:uid="{00000000-0005-0000-0000-0000BCDC0000}"/>
    <cellStyle name="Процентный 7 2 28 6" xfId="28358" xr:uid="{00000000-0005-0000-0000-0000BDDC0000}"/>
    <cellStyle name="Процентный 7 2 28 7" xfId="33698" xr:uid="{00000000-0005-0000-0000-0000BEDC0000}"/>
    <cellStyle name="Процентный 7 2 28 8" xfId="39038" xr:uid="{00000000-0005-0000-0000-0000BFDC0000}"/>
    <cellStyle name="Процентный 7 2 28 9" xfId="44378" xr:uid="{00000000-0005-0000-0000-0000C0DC0000}"/>
    <cellStyle name="Процентный 7 2 29" xfId="1681" xr:uid="{00000000-0005-0000-0000-0000C1DC0000}"/>
    <cellStyle name="Процентный 7 2 29 10" xfId="49744" xr:uid="{00000000-0005-0000-0000-0000C2DC0000}"/>
    <cellStyle name="Процентный 7 2 29 2" xfId="7023" xr:uid="{00000000-0005-0000-0000-0000C3DC0000}"/>
    <cellStyle name="Процентный 7 2 29 2 2" xfId="55085" xr:uid="{00000000-0005-0000-0000-0000C4DC0000}"/>
    <cellStyle name="Процентный 7 2 29 3" xfId="12364" xr:uid="{00000000-0005-0000-0000-0000C5DC0000}"/>
    <cellStyle name="Процентный 7 2 29 4" xfId="17704" xr:uid="{00000000-0005-0000-0000-0000C6DC0000}"/>
    <cellStyle name="Процентный 7 2 29 5" xfId="23044" xr:uid="{00000000-0005-0000-0000-0000C7DC0000}"/>
    <cellStyle name="Процентный 7 2 29 6" xfId="28384" xr:uid="{00000000-0005-0000-0000-0000C8DC0000}"/>
    <cellStyle name="Процентный 7 2 29 7" xfId="33724" xr:uid="{00000000-0005-0000-0000-0000C9DC0000}"/>
    <cellStyle name="Процентный 7 2 29 8" xfId="39064" xr:uid="{00000000-0005-0000-0000-0000CADC0000}"/>
    <cellStyle name="Процентный 7 2 29 9" xfId="44404" xr:uid="{00000000-0005-0000-0000-0000CBDC0000}"/>
    <cellStyle name="Процентный 7 2 3" xfId="1010" xr:uid="{00000000-0005-0000-0000-0000CCDC0000}"/>
    <cellStyle name="Процентный 7 2 3 10" xfId="49072" xr:uid="{00000000-0005-0000-0000-0000CDDC0000}"/>
    <cellStyle name="Процентный 7 2 3 2" xfId="6351" xr:uid="{00000000-0005-0000-0000-0000CEDC0000}"/>
    <cellStyle name="Процентный 7 2 3 2 2" xfId="54413" xr:uid="{00000000-0005-0000-0000-0000CFDC0000}"/>
    <cellStyle name="Процентный 7 2 3 3" xfId="11692" xr:uid="{00000000-0005-0000-0000-0000D0DC0000}"/>
    <cellStyle name="Процентный 7 2 3 4" xfId="17032" xr:uid="{00000000-0005-0000-0000-0000D1DC0000}"/>
    <cellStyle name="Процентный 7 2 3 5" xfId="22372" xr:uid="{00000000-0005-0000-0000-0000D2DC0000}"/>
    <cellStyle name="Процентный 7 2 3 6" xfId="27712" xr:uid="{00000000-0005-0000-0000-0000D3DC0000}"/>
    <cellStyle name="Процентный 7 2 3 7" xfId="33052" xr:uid="{00000000-0005-0000-0000-0000D4DC0000}"/>
    <cellStyle name="Процентный 7 2 3 8" xfId="38392" xr:uid="{00000000-0005-0000-0000-0000D5DC0000}"/>
    <cellStyle name="Процентный 7 2 3 9" xfId="43732" xr:uid="{00000000-0005-0000-0000-0000D6DC0000}"/>
    <cellStyle name="Процентный 7 2 30" xfId="1707" xr:uid="{00000000-0005-0000-0000-0000D7DC0000}"/>
    <cellStyle name="Процентный 7 2 30 10" xfId="49770" xr:uid="{00000000-0005-0000-0000-0000D8DC0000}"/>
    <cellStyle name="Процентный 7 2 30 2" xfId="7049" xr:uid="{00000000-0005-0000-0000-0000D9DC0000}"/>
    <cellStyle name="Процентный 7 2 30 2 2" xfId="55111" xr:uid="{00000000-0005-0000-0000-0000DADC0000}"/>
    <cellStyle name="Процентный 7 2 30 3" xfId="12390" xr:uid="{00000000-0005-0000-0000-0000DBDC0000}"/>
    <cellStyle name="Процентный 7 2 30 4" xfId="17730" xr:uid="{00000000-0005-0000-0000-0000DCDC0000}"/>
    <cellStyle name="Процентный 7 2 30 5" xfId="23070" xr:uid="{00000000-0005-0000-0000-0000DDDC0000}"/>
    <cellStyle name="Процентный 7 2 30 6" xfId="28410" xr:uid="{00000000-0005-0000-0000-0000DEDC0000}"/>
    <cellStyle name="Процентный 7 2 30 7" xfId="33750" xr:uid="{00000000-0005-0000-0000-0000DFDC0000}"/>
    <cellStyle name="Процентный 7 2 30 8" xfId="39090" xr:uid="{00000000-0005-0000-0000-0000E0DC0000}"/>
    <cellStyle name="Процентный 7 2 30 9" xfId="44430" xr:uid="{00000000-0005-0000-0000-0000E1DC0000}"/>
    <cellStyle name="Процентный 7 2 31" xfId="1733" xr:uid="{00000000-0005-0000-0000-0000E2DC0000}"/>
    <cellStyle name="Процентный 7 2 31 10" xfId="49796" xr:uid="{00000000-0005-0000-0000-0000E3DC0000}"/>
    <cellStyle name="Процентный 7 2 31 2" xfId="7075" xr:uid="{00000000-0005-0000-0000-0000E4DC0000}"/>
    <cellStyle name="Процентный 7 2 31 2 2" xfId="55137" xr:uid="{00000000-0005-0000-0000-0000E5DC0000}"/>
    <cellStyle name="Процентный 7 2 31 3" xfId="12416" xr:uid="{00000000-0005-0000-0000-0000E6DC0000}"/>
    <cellStyle name="Процентный 7 2 31 4" xfId="17756" xr:uid="{00000000-0005-0000-0000-0000E7DC0000}"/>
    <cellStyle name="Процентный 7 2 31 5" xfId="23096" xr:uid="{00000000-0005-0000-0000-0000E8DC0000}"/>
    <cellStyle name="Процентный 7 2 31 6" xfId="28436" xr:uid="{00000000-0005-0000-0000-0000E9DC0000}"/>
    <cellStyle name="Процентный 7 2 31 7" xfId="33776" xr:uid="{00000000-0005-0000-0000-0000EADC0000}"/>
    <cellStyle name="Процентный 7 2 31 8" xfId="39116" xr:uid="{00000000-0005-0000-0000-0000EBDC0000}"/>
    <cellStyle name="Процентный 7 2 31 9" xfId="44456" xr:uid="{00000000-0005-0000-0000-0000ECDC0000}"/>
    <cellStyle name="Процентный 7 2 32" xfId="1759" xr:uid="{00000000-0005-0000-0000-0000EDDC0000}"/>
    <cellStyle name="Процентный 7 2 32 10" xfId="49822" xr:uid="{00000000-0005-0000-0000-0000EEDC0000}"/>
    <cellStyle name="Процентный 7 2 32 2" xfId="7101" xr:uid="{00000000-0005-0000-0000-0000EFDC0000}"/>
    <cellStyle name="Процентный 7 2 32 2 2" xfId="55163" xr:uid="{00000000-0005-0000-0000-0000F0DC0000}"/>
    <cellStyle name="Процентный 7 2 32 3" xfId="12442" xr:uid="{00000000-0005-0000-0000-0000F1DC0000}"/>
    <cellStyle name="Процентный 7 2 32 4" xfId="17782" xr:uid="{00000000-0005-0000-0000-0000F2DC0000}"/>
    <cellStyle name="Процентный 7 2 32 5" xfId="23122" xr:uid="{00000000-0005-0000-0000-0000F3DC0000}"/>
    <cellStyle name="Процентный 7 2 32 6" xfId="28462" xr:uid="{00000000-0005-0000-0000-0000F4DC0000}"/>
    <cellStyle name="Процентный 7 2 32 7" xfId="33802" xr:uid="{00000000-0005-0000-0000-0000F5DC0000}"/>
    <cellStyle name="Процентный 7 2 32 8" xfId="39142" xr:uid="{00000000-0005-0000-0000-0000F6DC0000}"/>
    <cellStyle name="Процентный 7 2 32 9" xfId="44482" xr:uid="{00000000-0005-0000-0000-0000F7DC0000}"/>
    <cellStyle name="Процентный 7 2 33" xfId="1785" xr:uid="{00000000-0005-0000-0000-0000F8DC0000}"/>
    <cellStyle name="Процентный 7 2 33 10" xfId="49848" xr:uid="{00000000-0005-0000-0000-0000F9DC0000}"/>
    <cellStyle name="Процентный 7 2 33 2" xfId="7127" xr:uid="{00000000-0005-0000-0000-0000FADC0000}"/>
    <cellStyle name="Процентный 7 2 33 2 2" xfId="55189" xr:uid="{00000000-0005-0000-0000-0000FBDC0000}"/>
    <cellStyle name="Процентный 7 2 33 3" xfId="12468" xr:uid="{00000000-0005-0000-0000-0000FCDC0000}"/>
    <cellStyle name="Процентный 7 2 33 4" xfId="17808" xr:uid="{00000000-0005-0000-0000-0000FDDC0000}"/>
    <cellStyle name="Процентный 7 2 33 5" xfId="23148" xr:uid="{00000000-0005-0000-0000-0000FEDC0000}"/>
    <cellStyle name="Процентный 7 2 33 6" xfId="28488" xr:uid="{00000000-0005-0000-0000-0000FFDC0000}"/>
    <cellStyle name="Процентный 7 2 33 7" xfId="33828" xr:uid="{00000000-0005-0000-0000-000000DD0000}"/>
    <cellStyle name="Процентный 7 2 33 8" xfId="39168" xr:uid="{00000000-0005-0000-0000-000001DD0000}"/>
    <cellStyle name="Процентный 7 2 33 9" xfId="44508" xr:uid="{00000000-0005-0000-0000-000002DD0000}"/>
    <cellStyle name="Процентный 7 2 34" xfId="1811" xr:uid="{00000000-0005-0000-0000-000003DD0000}"/>
    <cellStyle name="Процентный 7 2 34 10" xfId="49874" xr:uid="{00000000-0005-0000-0000-000004DD0000}"/>
    <cellStyle name="Процентный 7 2 34 2" xfId="7153" xr:uid="{00000000-0005-0000-0000-000005DD0000}"/>
    <cellStyle name="Процентный 7 2 34 2 2" xfId="55215" xr:uid="{00000000-0005-0000-0000-000006DD0000}"/>
    <cellStyle name="Процентный 7 2 34 3" xfId="12494" xr:uid="{00000000-0005-0000-0000-000007DD0000}"/>
    <cellStyle name="Процентный 7 2 34 4" xfId="17834" xr:uid="{00000000-0005-0000-0000-000008DD0000}"/>
    <cellStyle name="Процентный 7 2 34 5" xfId="23174" xr:uid="{00000000-0005-0000-0000-000009DD0000}"/>
    <cellStyle name="Процентный 7 2 34 6" xfId="28514" xr:uid="{00000000-0005-0000-0000-00000ADD0000}"/>
    <cellStyle name="Процентный 7 2 34 7" xfId="33854" xr:uid="{00000000-0005-0000-0000-00000BDD0000}"/>
    <cellStyle name="Процентный 7 2 34 8" xfId="39194" xr:uid="{00000000-0005-0000-0000-00000CDD0000}"/>
    <cellStyle name="Процентный 7 2 34 9" xfId="44534" xr:uid="{00000000-0005-0000-0000-00000DDD0000}"/>
    <cellStyle name="Процентный 7 2 35" xfId="1837" xr:uid="{00000000-0005-0000-0000-00000EDD0000}"/>
    <cellStyle name="Процентный 7 2 35 10" xfId="49900" xr:uid="{00000000-0005-0000-0000-00000FDD0000}"/>
    <cellStyle name="Процентный 7 2 35 2" xfId="7179" xr:uid="{00000000-0005-0000-0000-000010DD0000}"/>
    <cellStyle name="Процентный 7 2 35 2 2" xfId="55241" xr:uid="{00000000-0005-0000-0000-000011DD0000}"/>
    <cellStyle name="Процентный 7 2 35 3" xfId="12520" xr:uid="{00000000-0005-0000-0000-000012DD0000}"/>
    <cellStyle name="Процентный 7 2 35 4" xfId="17860" xr:uid="{00000000-0005-0000-0000-000013DD0000}"/>
    <cellStyle name="Процентный 7 2 35 5" xfId="23200" xr:uid="{00000000-0005-0000-0000-000014DD0000}"/>
    <cellStyle name="Процентный 7 2 35 6" xfId="28540" xr:uid="{00000000-0005-0000-0000-000015DD0000}"/>
    <cellStyle name="Процентный 7 2 35 7" xfId="33880" xr:uid="{00000000-0005-0000-0000-000016DD0000}"/>
    <cellStyle name="Процентный 7 2 35 8" xfId="39220" xr:uid="{00000000-0005-0000-0000-000017DD0000}"/>
    <cellStyle name="Процентный 7 2 35 9" xfId="44560" xr:uid="{00000000-0005-0000-0000-000018DD0000}"/>
    <cellStyle name="Процентный 7 2 36" xfId="1863" xr:uid="{00000000-0005-0000-0000-000019DD0000}"/>
    <cellStyle name="Процентный 7 2 36 10" xfId="49926" xr:uid="{00000000-0005-0000-0000-00001ADD0000}"/>
    <cellStyle name="Процентный 7 2 36 2" xfId="7205" xr:uid="{00000000-0005-0000-0000-00001BDD0000}"/>
    <cellStyle name="Процентный 7 2 36 2 2" xfId="55267" xr:uid="{00000000-0005-0000-0000-00001CDD0000}"/>
    <cellStyle name="Процентный 7 2 36 3" xfId="12546" xr:uid="{00000000-0005-0000-0000-00001DDD0000}"/>
    <cellStyle name="Процентный 7 2 36 4" xfId="17886" xr:uid="{00000000-0005-0000-0000-00001EDD0000}"/>
    <cellStyle name="Процентный 7 2 36 5" xfId="23226" xr:uid="{00000000-0005-0000-0000-00001FDD0000}"/>
    <cellStyle name="Процентный 7 2 36 6" xfId="28566" xr:uid="{00000000-0005-0000-0000-000020DD0000}"/>
    <cellStyle name="Процентный 7 2 36 7" xfId="33906" xr:uid="{00000000-0005-0000-0000-000021DD0000}"/>
    <cellStyle name="Процентный 7 2 36 8" xfId="39246" xr:uid="{00000000-0005-0000-0000-000022DD0000}"/>
    <cellStyle name="Процентный 7 2 36 9" xfId="44586" xr:uid="{00000000-0005-0000-0000-000023DD0000}"/>
    <cellStyle name="Процентный 7 2 37" xfId="1889" xr:uid="{00000000-0005-0000-0000-000024DD0000}"/>
    <cellStyle name="Процентный 7 2 37 10" xfId="49952" xr:uid="{00000000-0005-0000-0000-000025DD0000}"/>
    <cellStyle name="Процентный 7 2 37 2" xfId="7231" xr:uid="{00000000-0005-0000-0000-000026DD0000}"/>
    <cellStyle name="Процентный 7 2 37 2 2" xfId="55293" xr:uid="{00000000-0005-0000-0000-000027DD0000}"/>
    <cellStyle name="Процентный 7 2 37 3" xfId="12572" xr:uid="{00000000-0005-0000-0000-000028DD0000}"/>
    <cellStyle name="Процентный 7 2 37 4" xfId="17912" xr:uid="{00000000-0005-0000-0000-000029DD0000}"/>
    <cellStyle name="Процентный 7 2 37 5" xfId="23252" xr:uid="{00000000-0005-0000-0000-00002ADD0000}"/>
    <cellStyle name="Процентный 7 2 37 6" xfId="28592" xr:uid="{00000000-0005-0000-0000-00002BDD0000}"/>
    <cellStyle name="Процентный 7 2 37 7" xfId="33932" xr:uid="{00000000-0005-0000-0000-00002CDD0000}"/>
    <cellStyle name="Процентный 7 2 37 8" xfId="39272" xr:uid="{00000000-0005-0000-0000-00002DDD0000}"/>
    <cellStyle name="Процентный 7 2 37 9" xfId="44612" xr:uid="{00000000-0005-0000-0000-00002EDD0000}"/>
    <cellStyle name="Процентный 7 2 38" xfId="1915" xr:uid="{00000000-0005-0000-0000-00002FDD0000}"/>
    <cellStyle name="Процентный 7 2 38 10" xfId="49978" xr:uid="{00000000-0005-0000-0000-000030DD0000}"/>
    <cellStyle name="Процентный 7 2 38 2" xfId="7257" xr:uid="{00000000-0005-0000-0000-000031DD0000}"/>
    <cellStyle name="Процентный 7 2 38 2 2" xfId="55319" xr:uid="{00000000-0005-0000-0000-000032DD0000}"/>
    <cellStyle name="Процентный 7 2 38 3" xfId="12598" xr:uid="{00000000-0005-0000-0000-000033DD0000}"/>
    <cellStyle name="Процентный 7 2 38 4" xfId="17938" xr:uid="{00000000-0005-0000-0000-000034DD0000}"/>
    <cellStyle name="Процентный 7 2 38 5" xfId="23278" xr:uid="{00000000-0005-0000-0000-000035DD0000}"/>
    <cellStyle name="Процентный 7 2 38 6" xfId="28618" xr:uid="{00000000-0005-0000-0000-000036DD0000}"/>
    <cellStyle name="Процентный 7 2 38 7" xfId="33958" xr:uid="{00000000-0005-0000-0000-000037DD0000}"/>
    <cellStyle name="Процентный 7 2 38 8" xfId="39298" xr:uid="{00000000-0005-0000-0000-000038DD0000}"/>
    <cellStyle name="Процентный 7 2 38 9" xfId="44638" xr:uid="{00000000-0005-0000-0000-000039DD0000}"/>
    <cellStyle name="Процентный 7 2 39" xfId="1941" xr:uid="{00000000-0005-0000-0000-00003ADD0000}"/>
    <cellStyle name="Процентный 7 2 39 10" xfId="50004" xr:uid="{00000000-0005-0000-0000-00003BDD0000}"/>
    <cellStyle name="Процентный 7 2 39 2" xfId="7283" xr:uid="{00000000-0005-0000-0000-00003CDD0000}"/>
    <cellStyle name="Процентный 7 2 39 2 2" xfId="55345" xr:uid="{00000000-0005-0000-0000-00003DDD0000}"/>
    <cellStyle name="Процентный 7 2 39 3" xfId="12624" xr:uid="{00000000-0005-0000-0000-00003EDD0000}"/>
    <cellStyle name="Процентный 7 2 39 4" xfId="17964" xr:uid="{00000000-0005-0000-0000-00003FDD0000}"/>
    <cellStyle name="Процентный 7 2 39 5" xfId="23304" xr:uid="{00000000-0005-0000-0000-000040DD0000}"/>
    <cellStyle name="Процентный 7 2 39 6" xfId="28644" xr:uid="{00000000-0005-0000-0000-000041DD0000}"/>
    <cellStyle name="Процентный 7 2 39 7" xfId="33984" xr:uid="{00000000-0005-0000-0000-000042DD0000}"/>
    <cellStyle name="Процентный 7 2 39 8" xfId="39324" xr:uid="{00000000-0005-0000-0000-000043DD0000}"/>
    <cellStyle name="Процентный 7 2 39 9" xfId="44664" xr:uid="{00000000-0005-0000-0000-000044DD0000}"/>
    <cellStyle name="Процентный 7 2 4" xfId="1034" xr:uid="{00000000-0005-0000-0000-000045DD0000}"/>
    <cellStyle name="Процентный 7 2 4 10" xfId="49096" xr:uid="{00000000-0005-0000-0000-000046DD0000}"/>
    <cellStyle name="Процентный 7 2 4 2" xfId="6375" xr:uid="{00000000-0005-0000-0000-000047DD0000}"/>
    <cellStyle name="Процентный 7 2 4 2 2" xfId="54437" xr:uid="{00000000-0005-0000-0000-000048DD0000}"/>
    <cellStyle name="Процентный 7 2 4 3" xfId="11716" xr:uid="{00000000-0005-0000-0000-000049DD0000}"/>
    <cellStyle name="Процентный 7 2 4 4" xfId="17056" xr:uid="{00000000-0005-0000-0000-00004ADD0000}"/>
    <cellStyle name="Процентный 7 2 4 5" xfId="22396" xr:uid="{00000000-0005-0000-0000-00004BDD0000}"/>
    <cellStyle name="Процентный 7 2 4 6" xfId="27736" xr:uid="{00000000-0005-0000-0000-00004CDD0000}"/>
    <cellStyle name="Процентный 7 2 4 7" xfId="33076" xr:uid="{00000000-0005-0000-0000-00004DDD0000}"/>
    <cellStyle name="Процентный 7 2 4 8" xfId="38416" xr:uid="{00000000-0005-0000-0000-00004EDD0000}"/>
    <cellStyle name="Процентный 7 2 4 9" xfId="43756" xr:uid="{00000000-0005-0000-0000-00004FDD0000}"/>
    <cellStyle name="Процентный 7 2 40" xfId="1969" xr:uid="{00000000-0005-0000-0000-000050DD0000}"/>
    <cellStyle name="Процентный 7 2 40 10" xfId="50032" xr:uid="{00000000-0005-0000-0000-000051DD0000}"/>
    <cellStyle name="Процентный 7 2 40 2" xfId="7311" xr:uid="{00000000-0005-0000-0000-000052DD0000}"/>
    <cellStyle name="Процентный 7 2 40 2 2" xfId="55373" xr:uid="{00000000-0005-0000-0000-000053DD0000}"/>
    <cellStyle name="Процентный 7 2 40 3" xfId="12652" xr:uid="{00000000-0005-0000-0000-000054DD0000}"/>
    <cellStyle name="Процентный 7 2 40 4" xfId="17992" xr:uid="{00000000-0005-0000-0000-000055DD0000}"/>
    <cellStyle name="Процентный 7 2 40 5" xfId="23332" xr:uid="{00000000-0005-0000-0000-000056DD0000}"/>
    <cellStyle name="Процентный 7 2 40 6" xfId="28672" xr:uid="{00000000-0005-0000-0000-000057DD0000}"/>
    <cellStyle name="Процентный 7 2 40 7" xfId="34012" xr:uid="{00000000-0005-0000-0000-000058DD0000}"/>
    <cellStyle name="Процентный 7 2 40 8" xfId="39352" xr:uid="{00000000-0005-0000-0000-000059DD0000}"/>
    <cellStyle name="Процентный 7 2 40 9" xfId="44692" xr:uid="{00000000-0005-0000-0000-00005ADD0000}"/>
    <cellStyle name="Процентный 7 2 41" xfId="1996" xr:uid="{00000000-0005-0000-0000-00005BDD0000}"/>
    <cellStyle name="Процентный 7 2 41 10" xfId="50060" xr:uid="{00000000-0005-0000-0000-00005CDD0000}"/>
    <cellStyle name="Процентный 7 2 41 2" xfId="7339" xr:uid="{00000000-0005-0000-0000-00005DDD0000}"/>
    <cellStyle name="Процентный 7 2 41 2 2" xfId="55401" xr:uid="{00000000-0005-0000-0000-00005EDD0000}"/>
    <cellStyle name="Процентный 7 2 41 3" xfId="12680" xr:uid="{00000000-0005-0000-0000-00005FDD0000}"/>
    <cellStyle name="Процентный 7 2 41 4" xfId="18020" xr:uid="{00000000-0005-0000-0000-000060DD0000}"/>
    <cellStyle name="Процентный 7 2 41 5" xfId="23360" xr:uid="{00000000-0005-0000-0000-000061DD0000}"/>
    <cellStyle name="Процентный 7 2 41 6" xfId="28700" xr:uid="{00000000-0005-0000-0000-000062DD0000}"/>
    <cellStyle name="Процентный 7 2 41 7" xfId="34040" xr:uid="{00000000-0005-0000-0000-000063DD0000}"/>
    <cellStyle name="Процентный 7 2 41 8" xfId="39380" xr:uid="{00000000-0005-0000-0000-000064DD0000}"/>
    <cellStyle name="Процентный 7 2 41 9" xfId="44720" xr:uid="{00000000-0005-0000-0000-000065DD0000}"/>
    <cellStyle name="Процентный 7 2 42" xfId="2024" xr:uid="{00000000-0005-0000-0000-000066DD0000}"/>
    <cellStyle name="Процентный 7 2 42 10" xfId="50088" xr:uid="{00000000-0005-0000-0000-000067DD0000}"/>
    <cellStyle name="Процентный 7 2 42 2" xfId="7367" xr:uid="{00000000-0005-0000-0000-000068DD0000}"/>
    <cellStyle name="Процентный 7 2 42 2 2" xfId="55429" xr:uid="{00000000-0005-0000-0000-000069DD0000}"/>
    <cellStyle name="Процентный 7 2 42 3" xfId="12708" xr:uid="{00000000-0005-0000-0000-00006ADD0000}"/>
    <cellStyle name="Процентный 7 2 42 4" xfId="18048" xr:uid="{00000000-0005-0000-0000-00006BDD0000}"/>
    <cellStyle name="Процентный 7 2 42 5" xfId="23388" xr:uid="{00000000-0005-0000-0000-00006CDD0000}"/>
    <cellStyle name="Процентный 7 2 42 6" xfId="28728" xr:uid="{00000000-0005-0000-0000-00006DDD0000}"/>
    <cellStyle name="Процентный 7 2 42 7" xfId="34068" xr:uid="{00000000-0005-0000-0000-00006EDD0000}"/>
    <cellStyle name="Процентный 7 2 42 8" xfId="39408" xr:uid="{00000000-0005-0000-0000-00006FDD0000}"/>
    <cellStyle name="Процентный 7 2 42 9" xfId="44748" xr:uid="{00000000-0005-0000-0000-000070DD0000}"/>
    <cellStyle name="Процентный 7 2 43" xfId="2052" xr:uid="{00000000-0005-0000-0000-000071DD0000}"/>
    <cellStyle name="Процентный 7 2 43 10" xfId="50116" xr:uid="{00000000-0005-0000-0000-000072DD0000}"/>
    <cellStyle name="Процентный 7 2 43 2" xfId="7395" xr:uid="{00000000-0005-0000-0000-000073DD0000}"/>
    <cellStyle name="Процентный 7 2 43 2 2" xfId="55457" xr:uid="{00000000-0005-0000-0000-000074DD0000}"/>
    <cellStyle name="Процентный 7 2 43 3" xfId="12736" xr:uid="{00000000-0005-0000-0000-000075DD0000}"/>
    <cellStyle name="Процентный 7 2 43 4" xfId="18076" xr:uid="{00000000-0005-0000-0000-000076DD0000}"/>
    <cellStyle name="Процентный 7 2 43 5" xfId="23416" xr:uid="{00000000-0005-0000-0000-000077DD0000}"/>
    <cellStyle name="Процентный 7 2 43 6" xfId="28756" xr:uid="{00000000-0005-0000-0000-000078DD0000}"/>
    <cellStyle name="Процентный 7 2 43 7" xfId="34096" xr:uid="{00000000-0005-0000-0000-000079DD0000}"/>
    <cellStyle name="Процентный 7 2 43 8" xfId="39436" xr:uid="{00000000-0005-0000-0000-00007ADD0000}"/>
    <cellStyle name="Процентный 7 2 43 9" xfId="44776" xr:uid="{00000000-0005-0000-0000-00007BDD0000}"/>
    <cellStyle name="Процентный 7 2 44" xfId="2080" xr:uid="{00000000-0005-0000-0000-00007CDD0000}"/>
    <cellStyle name="Процентный 7 2 44 10" xfId="50144" xr:uid="{00000000-0005-0000-0000-00007DDD0000}"/>
    <cellStyle name="Процентный 7 2 44 2" xfId="7423" xr:uid="{00000000-0005-0000-0000-00007EDD0000}"/>
    <cellStyle name="Процентный 7 2 44 2 2" xfId="55485" xr:uid="{00000000-0005-0000-0000-00007FDD0000}"/>
    <cellStyle name="Процентный 7 2 44 3" xfId="12764" xr:uid="{00000000-0005-0000-0000-000080DD0000}"/>
    <cellStyle name="Процентный 7 2 44 4" xfId="18104" xr:uid="{00000000-0005-0000-0000-000081DD0000}"/>
    <cellStyle name="Процентный 7 2 44 5" xfId="23444" xr:uid="{00000000-0005-0000-0000-000082DD0000}"/>
    <cellStyle name="Процентный 7 2 44 6" xfId="28784" xr:uid="{00000000-0005-0000-0000-000083DD0000}"/>
    <cellStyle name="Процентный 7 2 44 7" xfId="34124" xr:uid="{00000000-0005-0000-0000-000084DD0000}"/>
    <cellStyle name="Процентный 7 2 44 8" xfId="39464" xr:uid="{00000000-0005-0000-0000-000085DD0000}"/>
    <cellStyle name="Процентный 7 2 44 9" xfId="44804" xr:uid="{00000000-0005-0000-0000-000086DD0000}"/>
    <cellStyle name="Процентный 7 2 45" xfId="2108" xr:uid="{00000000-0005-0000-0000-000087DD0000}"/>
    <cellStyle name="Процентный 7 2 45 10" xfId="50172" xr:uid="{00000000-0005-0000-0000-000088DD0000}"/>
    <cellStyle name="Процентный 7 2 45 2" xfId="7451" xr:uid="{00000000-0005-0000-0000-000089DD0000}"/>
    <cellStyle name="Процентный 7 2 45 2 2" xfId="55513" xr:uid="{00000000-0005-0000-0000-00008ADD0000}"/>
    <cellStyle name="Процентный 7 2 45 3" xfId="12792" xr:uid="{00000000-0005-0000-0000-00008BDD0000}"/>
    <cellStyle name="Процентный 7 2 45 4" xfId="18132" xr:uid="{00000000-0005-0000-0000-00008CDD0000}"/>
    <cellStyle name="Процентный 7 2 45 5" xfId="23472" xr:uid="{00000000-0005-0000-0000-00008DDD0000}"/>
    <cellStyle name="Процентный 7 2 45 6" xfId="28812" xr:uid="{00000000-0005-0000-0000-00008EDD0000}"/>
    <cellStyle name="Процентный 7 2 45 7" xfId="34152" xr:uid="{00000000-0005-0000-0000-00008FDD0000}"/>
    <cellStyle name="Процентный 7 2 45 8" xfId="39492" xr:uid="{00000000-0005-0000-0000-000090DD0000}"/>
    <cellStyle name="Процентный 7 2 45 9" xfId="44832" xr:uid="{00000000-0005-0000-0000-000091DD0000}"/>
    <cellStyle name="Процентный 7 2 46" xfId="2136" xr:uid="{00000000-0005-0000-0000-000092DD0000}"/>
    <cellStyle name="Процентный 7 2 46 10" xfId="50200" xr:uid="{00000000-0005-0000-0000-000093DD0000}"/>
    <cellStyle name="Процентный 7 2 46 2" xfId="7479" xr:uid="{00000000-0005-0000-0000-000094DD0000}"/>
    <cellStyle name="Процентный 7 2 46 2 2" xfId="55541" xr:uid="{00000000-0005-0000-0000-000095DD0000}"/>
    <cellStyle name="Процентный 7 2 46 3" xfId="12820" xr:uid="{00000000-0005-0000-0000-000096DD0000}"/>
    <cellStyle name="Процентный 7 2 46 4" xfId="18160" xr:uid="{00000000-0005-0000-0000-000097DD0000}"/>
    <cellStyle name="Процентный 7 2 46 5" xfId="23500" xr:uid="{00000000-0005-0000-0000-000098DD0000}"/>
    <cellStyle name="Процентный 7 2 46 6" xfId="28840" xr:uid="{00000000-0005-0000-0000-000099DD0000}"/>
    <cellStyle name="Процентный 7 2 46 7" xfId="34180" xr:uid="{00000000-0005-0000-0000-00009ADD0000}"/>
    <cellStyle name="Процентный 7 2 46 8" xfId="39520" xr:uid="{00000000-0005-0000-0000-00009BDD0000}"/>
    <cellStyle name="Процентный 7 2 46 9" xfId="44860" xr:uid="{00000000-0005-0000-0000-00009CDD0000}"/>
    <cellStyle name="Процентный 7 2 47" xfId="2166" xr:uid="{00000000-0005-0000-0000-00009DDD0000}"/>
    <cellStyle name="Процентный 7 2 47 10" xfId="50230" xr:uid="{00000000-0005-0000-0000-00009EDD0000}"/>
    <cellStyle name="Процентный 7 2 47 2" xfId="7509" xr:uid="{00000000-0005-0000-0000-00009FDD0000}"/>
    <cellStyle name="Процентный 7 2 47 2 2" xfId="55571" xr:uid="{00000000-0005-0000-0000-0000A0DD0000}"/>
    <cellStyle name="Процентный 7 2 47 3" xfId="12850" xr:uid="{00000000-0005-0000-0000-0000A1DD0000}"/>
    <cellStyle name="Процентный 7 2 47 4" xfId="18190" xr:uid="{00000000-0005-0000-0000-0000A2DD0000}"/>
    <cellStyle name="Процентный 7 2 47 5" xfId="23530" xr:uid="{00000000-0005-0000-0000-0000A3DD0000}"/>
    <cellStyle name="Процентный 7 2 47 6" xfId="28870" xr:uid="{00000000-0005-0000-0000-0000A4DD0000}"/>
    <cellStyle name="Процентный 7 2 47 7" xfId="34210" xr:uid="{00000000-0005-0000-0000-0000A5DD0000}"/>
    <cellStyle name="Процентный 7 2 47 8" xfId="39550" xr:uid="{00000000-0005-0000-0000-0000A6DD0000}"/>
    <cellStyle name="Процентный 7 2 47 9" xfId="44890" xr:uid="{00000000-0005-0000-0000-0000A7DD0000}"/>
    <cellStyle name="Процентный 7 2 48" xfId="2196" xr:uid="{00000000-0005-0000-0000-0000A8DD0000}"/>
    <cellStyle name="Процентный 7 2 48 10" xfId="50260" xr:uid="{00000000-0005-0000-0000-0000A9DD0000}"/>
    <cellStyle name="Процентный 7 2 48 2" xfId="7539" xr:uid="{00000000-0005-0000-0000-0000AADD0000}"/>
    <cellStyle name="Процентный 7 2 48 2 2" xfId="55601" xr:uid="{00000000-0005-0000-0000-0000ABDD0000}"/>
    <cellStyle name="Процентный 7 2 48 3" xfId="12880" xr:uid="{00000000-0005-0000-0000-0000ACDD0000}"/>
    <cellStyle name="Процентный 7 2 48 4" xfId="18220" xr:uid="{00000000-0005-0000-0000-0000ADDD0000}"/>
    <cellStyle name="Процентный 7 2 48 5" xfId="23560" xr:uid="{00000000-0005-0000-0000-0000AEDD0000}"/>
    <cellStyle name="Процентный 7 2 48 6" xfId="28900" xr:uid="{00000000-0005-0000-0000-0000AFDD0000}"/>
    <cellStyle name="Процентный 7 2 48 7" xfId="34240" xr:uid="{00000000-0005-0000-0000-0000B0DD0000}"/>
    <cellStyle name="Процентный 7 2 48 8" xfId="39580" xr:uid="{00000000-0005-0000-0000-0000B1DD0000}"/>
    <cellStyle name="Процентный 7 2 48 9" xfId="44920" xr:uid="{00000000-0005-0000-0000-0000B2DD0000}"/>
    <cellStyle name="Процентный 7 2 49" xfId="2226" xr:uid="{00000000-0005-0000-0000-0000B3DD0000}"/>
    <cellStyle name="Процентный 7 2 49 10" xfId="50290" xr:uid="{00000000-0005-0000-0000-0000B4DD0000}"/>
    <cellStyle name="Процентный 7 2 49 2" xfId="7569" xr:uid="{00000000-0005-0000-0000-0000B5DD0000}"/>
    <cellStyle name="Процентный 7 2 49 2 2" xfId="55631" xr:uid="{00000000-0005-0000-0000-0000B6DD0000}"/>
    <cellStyle name="Процентный 7 2 49 3" xfId="12910" xr:uid="{00000000-0005-0000-0000-0000B7DD0000}"/>
    <cellStyle name="Процентный 7 2 49 4" xfId="18250" xr:uid="{00000000-0005-0000-0000-0000B8DD0000}"/>
    <cellStyle name="Процентный 7 2 49 5" xfId="23590" xr:uid="{00000000-0005-0000-0000-0000B9DD0000}"/>
    <cellStyle name="Процентный 7 2 49 6" xfId="28930" xr:uid="{00000000-0005-0000-0000-0000BADD0000}"/>
    <cellStyle name="Процентный 7 2 49 7" xfId="34270" xr:uid="{00000000-0005-0000-0000-0000BBDD0000}"/>
    <cellStyle name="Процентный 7 2 49 8" xfId="39610" xr:uid="{00000000-0005-0000-0000-0000BCDD0000}"/>
    <cellStyle name="Процентный 7 2 49 9" xfId="44950" xr:uid="{00000000-0005-0000-0000-0000BDDD0000}"/>
    <cellStyle name="Процентный 7 2 5" xfId="1058" xr:uid="{00000000-0005-0000-0000-0000BEDD0000}"/>
    <cellStyle name="Процентный 7 2 5 10" xfId="49120" xr:uid="{00000000-0005-0000-0000-0000BFDD0000}"/>
    <cellStyle name="Процентный 7 2 5 2" xfId="6399" xr:uid="{00000000-0005-0000-0000-0000C0DD0000}"/>
    <cellStyle name="Процентный 7 2 5 2 2" xfId="54461" xr:uid="{00000000-0005-0000-0000-0000C1DD0000}"/>
    <cellStyle name="Процентный 7 2 5 3" xfId="11740" xr:uid="{00000000-0005-0000-0000-0000C2DD0000}"/>
    <cellStyle name="Процентный 7 2 5 4" xfId="17080" xr:uid="{00000000-0005-0000-0000-0000C3DD0000}"/>
    <cellStyle name="Процентный 7 2 5 5" xfId="22420" xr:uid="{00000000-0005-0000-0000-0000C4DD0000}"/>
    <cellStyle name="Процентный 7 2 5 6" xfId="27760" xr:uid="{00000000-0005-0000-0000-0000C5DD0000}"/>
    <cellStyle name="Процентный 7 2 5 7" xfId="33100" xr:uid="{00000000-0005-0000-0000-0000C6DD0000}"/>
    <cellStyle name="Процентный 7 2 5 8" xfId="38440" xr:uid="{00000000-0005-0000-0000-0000C7DD0000}"/>
    <cellStyle name="Процентный 7 2 5 9" xfId="43780" xr:uid="{00000000-0005-0000-0000-0000C8DD0000}"/>
    <cellStyle name="Процентный 7 2 50" xfId="2256" xr:uid="{00000000-0005-0000-0000-0000C9DD0000}"/>
    <cellStyle name="Процентный 7 2 50 10" xfId="50320" xr:uid="{00000000-0005-0000-0000-0000CADD0000}"/>
    <cellStyle name="Процентный 7 2 50 2" xfId="7599" xr:uid="{00000000-0005-0000-0000-0000CBDD0000}"/>
    <cellStyle name="Процентный 7 2 50 2 2" xfId="55661" xr:uid="{00000000-0005-0000-0000-0000CCDD0000}"/>
    <cellStyle name="Процентный 7 2 50 3" xfId="12940" xr:uid="{00000000-0005-0000-0000-0000CDDD0000}"/>
    <cellStyle name="Процентный 7 2 50 4" xfId="18280" xr:uid="{00000000-0005-0000-0000-0000CEDD0000}"/>
    <cellStyle name="Процентный 7 2 50 5" xfId="23620" xr:uid="{00000000-0005-0000-0000-0000CFDD0000}"/>
    <cellStyle name="Процентный 7 2 50 6" xfId="28960" xr:uid="{00000000-0005-0000-0000-0000D0DD0000}"/>
    <cellStyle name="Процентный 7 2 50 7" xfId="34300" xr:uid="{00000000-0005-0000-0000-0000D1DD0000}"/>
    <cellStyle name="Процентный 7 2 50 8" xfId="39640" xr:uid="{00000000-0005-0000-0000-0000D2DD0000}"/>
    <cellStyle name="Процентный 7 2 50 9" xfId="44980" xr:uid="{00000000-0005-0000-0000-0000D3DD0000}"/>
    <cellStyle name="Процентный 7 2 51" xfId="2286" xr:uid="{00000000-0005-0000-0000-0000D4DD0000}"/>
    <cellStyle name="Процентный 7 2 51 10" xfId="50350" xr:uid="{00000000-0005-0000-0000-0000D5DD0000}"/>
    <cellStyle name="Процентный 7 2 51 2" xfId="7629" xr:uid="{00000000-0005-0000-0000-0000D6DD0000}"/>
    <cellStyle name="Процентный 7 2 51 2 2" xfId="55691" xr:uid="{00000000-0005-0000-0000-0000D7DD0000}"/>
    <cellStyle name="Процентный 7 2 51 3" xfId="12970" xr:uid="{00000000-0005-0000-0000-0000D8DD0000}"/>
    <cellStyle name="Процентный 7 2 51 4" xfId="18310" xr:uid="{00000000-0005-0000-0000-0000D9DD0000}"/>
    <cellStyle name="Процентный 7 2 51 5" xfId="23650" xr:uid="{00000000-0005-0000-0000-0000DADD0000}"/>
    <cellStyle name="Процентный 7 2 51 6" xfId="28990" xr:uid="{00000000-0005-0000-0000-0000DBDD0000}"/>
    <cellStyle name="Процентный 7 2 51 7" xfId="34330" xr:uid="{00000000-0005-0000-0000-0000DCDD0000}"/>
    <cellStyle name="Процентный 7 2 51 8" xfId="39670" xr:uid="{00000000-0005-0000-0000-0000DDDD0000}"/>
    <cellStyle name="Процентный 7 2 51 9" xfId="45010" xr:uid="{00000000-0005-0000-0000-0000DEDD0000}"/>
    <cellStyle name="Процентный 7 2 52" xfId="2316" xr:uid="{00000000-0005-0000-0000-0000DFDD0000}"/>
    <cellStyle name="Процентный 7 2 52 10" xfId="50380" xr:uid="{00000000-0005-0000-0000-0000E0DD0000}"/>
    <cellStyle name="Процентный 7 2 52 2" xfId="7659" xr:uid="{00000000-0005-0000-0000-0000E1DD0000}"/>
    <cellStyle name="Процентный 7 2 52 2 2" xfId="55721" xr:uid="{00000000-0005-0000-0000-0000E2DD0000}"/>
    <cellStyle name="Процентный 7 2 52 3" xfId="13000" xr:uid="{00000000-0005-0000-0000-0000E3DD0000}"/>
    <cellStyle name="Процентный 7 2 52 4" xfId="18340" xr:uid="{00000000-0005-0000-0000-0000E4DD0000}"/>
    <cellStyle name="Процентный 7 2 52 5" xfId="23680" xr:uid="{00000000-0005-0000-0000-0000E5DD0000}"/>
    <cellStyle name="Процентный 7 2 52 6" xfId="29020" xr:uid="{00000000-0005-0000-0000-0000E6DD0000}"/>
    <cellStyle name="Процентный 7 2 52 7" xfId="34360" xr:uid="{00000000-0005-0000-0000-0000E7DD0000}"/>
    <cellStyle name="Процентный 7 2 52 8" xfId="39700" xr:uid="{00000000-0005-0000-0000-0000E8DD0000}"/>
    <cellStyle name="Процентный 7 2 52 9" xfId="45040" xr:uid="{00000000-0005-0000-0000-0000E9DD0000}"/>
    <cellStyle name="Процентный 7 2 53" xfId="2346" xr:uid="{00000000-0005-0000-0000-0000EADD0000}"/>
    <cellStyle name="Процентный 7 2 53 10" xfId="50410" xr:uid="{00000000-0005-0000-0000-0000EBDD0000}"/>
    <cellStyle name="Процентный 7 2 53 2" xfId="7689" xr:uid="{00000000-0005-0000-0000-0000ECDD0000}"/>
    <cellStyle name="Процентный 7 2 53 2 2" xfId="55751" xr:uid="{00000000-0005-0000-0000-0000EDDD0000}"/>
    <cellStyle name="Процентный 7 2 53 3" xfId="13030" xr:uid="{00000000-0005-0000-0000-0000EEDD0000}"/>
    <cellStyle name="Процентный 7 2 53 4" xfId="18370" xr:uid="{00000000-0005-0000-0000-0000EFDD0000}"/>
    <cellStyle name="Процентный 7 2 53 5" xfId="23710" xr:uid="{00000000-0005-0000-0000-0000F0DD0000}"/>
    <cellStyle name="Процентный 7 2 53 6" xfId="29050" xr:uid="{00000000-0005-0000-0000-0000F1DD0000}"/>
    <cellStyle name="Процентный 7 2 53 7" xfId="34390" xr:uid="{00000000-0005-0000-0000-0000F2DD0000}"/>
    <cellStyle name="Процентный 7 2 53 8" xfId="39730" xr:uid="{00000000-0005-0000-0000-0000F3DD0000}"/>
    <cellStyle name="Процентный 7 2 53 9" xfId="45070" xr:uid="{00000000-0005-0000-0000-0000F4DD0000}"/>
    <cellStyle name="Процентный 7 2 54" xfId="2376" xr:uid="{00000000-0005-0000-0000-0000F5DD0000}"/>
    <cellStyle name="Процентный 7 2 54 10" xfId="50440" xr:uid="{00000000-0005-0000-0000-0000F6DD0000}"/>
    <cellStyle name="Процентный 7 2 54 2" xfId="7719" xr:uid="{00000000-0005-0000-0000-0000F7DD0000}"/>
    <cellStyle name="Процентный 7 2 54 2 2" xfId="55781" xr:uid="{00000000-0005-0000-0000-0000F8DD0000}"/>
    <cellStyle name="Процентный 7 2 54 3" xfId="13060" xr:uid="{00000000-0005-0000-0000-0000F9DD0000}"/>
    <cellStyle name="Процентный 7 2 54 4" xfId="18400" xr:uid="{00000000-0005-0000-0000-0000FADD0000}"/>
    <cellStyle name="Процентный 7 2 54 5" xfId="23740" xr:uid="{00000000-0005-0000-0000-0000FBDD0000}"/>
    <cellStyle name="Процентный 7 2 54 6" xfId="29080" xr:uid="{00000000-0005-0000-0000-0000FCDD0000}"/>
    <cellStyle name="Процентный 7 2 54 7" xfId="34420" xr:uid="{00000000-0005-0000-0000-0000FDDD0000}"/>
    <cellStyle name="Процентный 7 2 54 8" xfId="39760" xr:uid="{00000000-0005-0000-0000-0000FEDD0000}"/>
    <cellStyle name="Процентный 7 2 54 9" xfId="45100" xr:uid="{00000000-0005-0000-0000-0000FFDD0000}"/>
    <cellStyle name="Процентный 7 2 55" xfId="2406" xr:uid="{00000000-0005-0000-0000-000000DE0000}"/>
    <cellStyle name="Процентный 7 2 55 10" xfId="50470" xr:uid="{00000000-0005-0000-0000-000001DE0000}"/>
    <cellStyle name="Процентный 7 2 55 2" xfId="7749" xr:uid="{00000000-0005-0000-0000-000002DE0000}"/>
    <cellStyle name="Процентный 7 2 55 2 2" xfId="55811" xr:uid="{00000000-0005-0000-0000-000003DE0000}"/>
    <cellStyle name="Процентный 7 2 55 3" xfId="13090" xr:uid="{00000000-0005-0000-0000-000004DE0000}"/>
    <cellStyle name="Процентный 7 2 55 4" xfId="18430" xr:uid="{00000000-0005-0000-0000-000005DE0000}"/>
    <cellStyle name="Процентный 7 2 55 5" xfId="23770" xr:uid="{00000000-0005-0000-0000-000006DE0000}"/>
    <cellStyle name="Процентный 7 2 55 6" xfId="29110" xr:uid="{00000000-0005-0000-0000-000007DE0000}"/>
    <cellStyle name="Процентный 7 2 55 7" xfId="34450" xr:uid="{00000000-0005-0000-0000-000008DE0000}"/>
    <cellStyle name="Процентный 7 2 55 8" xfId="39790" xr:uid="{00000000-0005-0000-0000-000009DE0000}"/>
    <cellStyle name="Процентный 7 2 55 9" xfId="45130" xr:uid="{00000000-0005-0000-0000-00000ADE0000}"/>
    <cellStyle name="Процентный 7 2 56" xfId="2436" xr:uid="{00000000-0005-0000-0000-00000BDE0000}"/>
    <cellStyle name="Процентный 7 2 56 10" xfId="50500" xr:uid="{00000000-0005-0000-0000-00000CDE0000}"/>
    <cellStyle name="Процентный 7 2 56 2" xfId="7779" xr:uid="{00000000-0005-0000-0000-00000DDE0000}"/>
    <cellStyle name="Процентный 7 2 56 2 2" xfId="55841" xr:uid="{00000000-0005-0000-0000-00000EDE0000}"/>
    <cellStyle name="Процентный 7 2 56 3" xfId="13120" xr:uid="{00000000-0005-0000-0000-00000FDE0000}"/>
    <cellStyle name="Процентный 7 2 56 4" xfId="18460" xr:uid="{00000000-0005-0000-0000-000010DE0000}"/>
    <cellStyle name="Процентный 7 2 56 5" xfId="23800" xr:uid="{00000000-0005-0000-0000-000011DE0000}"/>
    <cellStyle name="Процентный 7 2 56 6" xfId="29140" xr:uid="{00000000-0005-0000-0000-000012DE0000}"/>
    <cellStyle name="Процентный 7 2 56 7" xfId="34480" xr:uid="{00000000-0005-0000-0000-000013DE0000}"/>
    <cellStyle name="Процентный 7 2 56 8" xfId="39820" xr:uid="{00000000-0005-0000-0000-000014DE0000}"/>
    <cellStyle name="Процентный 7 2 56 9" xfId="45160" xr:uid="{00000000-0005-0000-0000-000015DE0000}"/>
    <cellStyle name="Процентный 7 2 57" xfId="2466" xr:uid="{00000000-0005-0000-0000-000016DE0000}"/>
    <cellStyle name="Процентный 7 2 57 10" xfId="50530" xr:uid="{00000000-0005-0000-0000-000017DE0000}"/>
    <cellStyle name="Процентный 7 2 57 2" xfId="7809" xr:uid="{00000000-0005-0000-0000-000018DE0000}"/>
    <cellStyle name="Процентный 7 2 57 2 2" xfId="55871" xr:uid="{00000000-0005-0000-0000-000019DE0000}"/>
    <cellStyle name="Процентный 7 2 57 3" xfId="13150" xr:uid="{00000000-0005-0000-0000-00001ADE0000}"/>
    <cellStyle name="Процентный 7 2 57 4" xfId="18490" xr:uid="{00000000-0005-0000-0000-00001BDE0000}"/>
    <cellStyle name="Процентный 7 2 57 5" xfId="23830" xr:uid="{00000000-0005-0000-0000-00001CDE0000}"/>
    <cellStyle name="Процентный 7 2 57 6" xfId="29170" xr:uid="{00000000-0005-0000-0000-00001DDE0000}"/>
    <cellStyle name="Процентный 7 2 57 7" xfId="34510" xr:uid="{00000000-0005-0000-0000-00001EDE0000}"/>
    <cellStyle name="Процентный 7 2 57 8" xfId="39850" xr:uid="{00000000-0005-0000-0000-00001FDE0000}"/>
    <cellStyle name="Процентный 7 2 57 9" xfId="45190" xr:uid="{00000000-0005-0000-0000-000020DE0000}"/>
    <cellStyle name="Процентный 7 2 58" xfId="2496" xr:uid="{00000000-0005-0000-0000-000021DE0000}"/>
    <cellStyle name="Процентный 7 2 58 10" xfId="50560" xr:uid="{00000000-0005-0000-0000-000022DE0000}"/>
    <cellStyle name="Процентный 7 2 58 2" xfId="7839" xr:uid="{00000000-0005-0000-0000-000023DE0000}"/>
    <cellStyle name="Процентный 7 2 58 2 2" xfId="55901" xr:uid="{00000000-0005-0000-0000-000024DE0000}"/>
    <cellStyle name="Процентный 7 2 58 3" xfId="13180" xr:uid="{00000000-0005-0000-0000-000025DE0000}"/>
    <cellStyle name="Процентный 7 2 58 4" xfId="18520" xr:uid="{00000000-0005-0000-0000-000026DE0000}"/>
    <cellStyle name="Процентный 7 2 58 5" xfId="23860" xr:uid="{00000000-0005-0000-0000-000027DE0000}"/>
    <cellStyle name="Процентный 7 2 58 6" xfId="29200" xr:uid="{00000000-0005-0000-0000-000028DE0000}"/>
    <cellStyle name="Процентный 7 2 58 7" xfId="34540" xr:uid="{00000000-0005-0000-0000-000029DE0000}"/>
    <cellStyle name="Процентный 7 2 58 8" xfId="39880" xr:uid="{00000000-0005-0000-0000-00002ADE0000}"/>
    <cellStyle name="Процентный 7 2 58 9" xfId="45220" xr:uid="{00000000-0005-0000-0000-00002BDE0000}"/>
    <cellStyle name="Процентный 7 2 59" xfId="2528" xr:uid="{00000000-0005-0000-0000-00002CDE0000}"/>
    <cellStyle name="Процентный 7 2 59 10" xfId="50592" xr:uid="{00000000-0005-0000-0000-00002DDE0000}"/>
    <cellStyle name="Процентный 7 2 59 2" xfId="7871" xr:uid="{00000000-0005-0000-0000-00002EDE0000}"/>
    <cellStyle name="Процентный 7 2 59 2 2" xfId="55933" xr:uid="{00000000-0005-0000-0000-00002FDE0000}"/>
    <cellStyle name="Процентный 7 2 59 3" xfId="13212" xr:uid="{00000000-0005-0000-0000-000030DE0000}"/>
    <cellStyle name="Процентный 7 2 59 4" xfId="18552" xr:uid="{00000000-0005-0000-0000-000031DE0000}"/>
    <cellStyle name="Процентный 7 2 59 5" xfId="23892" xr:uid="{00000000-0005-0000-0000-000032DE0000}"/>
    <cellStyle name="Процентный 7 2 59 6" xfId="29232" xr:uid="{00000000-0005-0000-0000-000033DE0000}"/>
    <cellStyle name="Процентный 7 2 59 7" xfId="34572" xr:uid="{00000000-0005-0000-0000-000034DE0000}"/>
    <cellStyle name="Процентный 7 2 59 8" xfId="39912" xr:uid="{00000000-0005-0000-0000-000035DE0000}"/>
    <cellStyle name="Процентный 7 2 59 9" xfId="45252" xr:uid="{00000000-0005-0000-0000-000036DE0000}"/>
    <cellStyle name="Процентный 7 2 6" xfId="1083" xr:uid="{00000000-0005-0000-0000-000037DE0000}"/>
    <cellStyle name="Процентный 7 2 6 10" xfId="49146" xr:uid="{00000000-0005-0000-0000-000038DE0000}"/>
    <cellStyle name="Процентный 7 2 6 2" xfId="6425" xr:uid="{00000000-0005-0000-0000-000039DE0000}"/>
    <cellStyle name="Процентный 7 2 6 2 2" xfId="54487" xr:uid="{00000000-0005-0000-0000-00003ADE0000}"/>
    <cellStyle name="Процентный 7 2 6 3" xfId="11766" xr:uid="{00000000-0005-0000-0000-00003BDE0000}"/>
    <cellStyle name="Процентный 7 2 6 4" xfId="17106" xr:uid="{00000000-0005-0000-0000-00003CDE0000}"/>
    <cellStyle name="Процентный 7 2 6 5" xfId="22446" xr:uid="{00000000-0005-0000-0000-00003DDE0000}"/>
    <cellStyle name="Процентный 7 2 6 6" xfId="27786" xr:uid="{00000000-0005-0000-0000-00003EDE0000}"/>
    <cellStyle name="Процентный 7 2 6 7" xfId="33126" xr:uid="{00000000-0005-0000-0000-00003FDE0000}"/>
    <cellStyle name="Процентный 7 2 6 8" xfId="38466" xr:uid="{00000000-0005-0000-0000-000040DE0000}"/>
    <cellStyle name="Процентный 7 2 6 9" xfId="43806" xr:uid="{00000000-0005-0000-0000-000041DE0000}"/>
    <cellStyle name="Процентный 7 2 60" xfId="2562" xr:uid="{00000000-0005-0000-0000-000042DE0000}"/>
    <cellStyle name="Процентный 7 2 60 10" xfId="50626" xr:uid="{00000000-0005-0000-0000-000043DE0000}"/>
    <cellStyle name="Процентный 7 2 60 2" xfId="7905" xr:uid="{00000000-0005-0000-0000-000044DE0000}"/>
    <cellStyle name="Процентный 7 2 60 2 2" xfId="55967" xr:uid="{00000000-0005-0000-0000-000045DE0000}"/>
    <cellStyle name="Процентный 7 2 60 3" xfId="13246" xr:uid="{00000000-0005-0000-0000-000046DE0000}"/>
    <cellStyle name="Процентный 7 2 60 4" xfId="18586" xr:uid="{00000000-0005-0000-0000-000047DE0000}"/>
    <cellStyle name="Процентный 7 2 60 5" xfId="23926" xr:uid="{00000000-0005-0000-0000-000048DE0000}"/>
    <cellStyle name="Процентный 7 2 60 6" xfId="29266" xr:uid="{00000000-0005-0000-0000-000049DE0000}"/>
    <cellStyle name="Процентный 7 2 60 7" xfId="34606" xr:uid="{00000000-0005-0000-0000-00004ADE0000}"/>
    <cellStyle name="Процентный 7 2 60 8" xfId="39946" xr:uid="{00000000-0005-0000-0000-00004BDE0000}"/>
    <cellStyle name="Процентный 7 2 60 9" xfId="45286" xr:uid="{00000000-0005-0000-0000-00004CDE0000}"/>
    <cellStyle name="Процентный 7 2 61" xfId="2594" xr:uid="{00000000-0005-0000-0000-00004DDE0000}"/>
    <cellStyle name="Процентный 7 2 61 10" xfId="50658" xr:uid="{00000000-0005-0000-0000-00004EDE0000}"/>
    <cellStyle name="Процентный 7 2 61 2" xfId="7937" xr:uid="{00000000-0005-0000-0000-00004FDE0000}"/>
    <cellStyle name="Процентный 7 2 61 2 2" xfId="55999" xr:uid="{00000000-0005-0000-0000-000050DE0000}"/>
    <cellStyle name="Процентный 7 2 61 3" xfId="13278" xr:uid="{00000000-0005-0000-0000-000051DE0000}"/>
    <cellStyle name="Процентный 7 2 61 4" xfId="18618" xr:uid="{00000000-0005-0000-0000-000052DE0000}"/>
    <cellStyle name="Процентный 7 2 61 5" xfId="23958" xr:uid="{00000000-0005-0000-0000-000053DE0000}"/>
    <cellStyle name="Процентный 7 2 61 6" xfId="29298" xr:uid="{00000000-0005-0000-0000-000054DE0000}"/>
    <cellStyle name="Процентный 7 2 61 7" xfId="34638" xr:uid="{00000000-0005-0000-0000-000055DE0000}"/>
    <cellStyle name="Процентный 7 2 61 8" xfId="39978" xr:uid="{00000000-0005-0000-0000-000056DE0000}"/>
    <cellStyle name="Процентный 7 2 61 9" xfId="45318" xr:uid="{00000000-0005-0000-0000-000057DE0000}"/>
    <cellStyle name="Процентный 7 2 62" xfId="2626" xr:uid="{00000000-0005-0000-0000-000058DE0000}"/>
    <cellStyle name="Процентный 7 2 62 10" xfId="50690" xr:uid="{00000000-0005-0000-0000-000059DE0000}"/>
    <cellStyle name="Процентный 7 2 62 2" xfId="7969" xr:uid="{00000000-0005-0000-0000-00005ADE0000}"/>
    <cellStyle name="Процентный 7 2 62 2 2" xfId="56031" xr:uid="{00000000-0005-0000-0000-00005BDE0000}"/>
    <cellStyle name="Процентный 7 2 62 3" xfId="13310" xr:uid="{00000000-0005-0000-0000-00005CDE0000}"/>
    <cellStyle name="Процентный 7 2 62 4" xfId="18650" xr:uid="{00000000-0005-0000-0000-00005DDE0000}"/>
    <cellStyle name="Процентный 7 2 62 5" xfId="23990" xr:uid="{00000000-0005-0000-0000-00005EDE0000}"/>
    <cellStyle name="Процентный 7 2 62 6" xfId="29330" xr:uid="{00000000-0005-0000-0000-00005FDE0000}"/>
    <cellStyle name="Процентный 7 2 62 7" xfId="34670" xr:uid="{00000000-0005-0000-0000-000060DE0000}"/>
    <cellStyle name="Процентный 7 2 62 8" xfId="40010" xr:uid="{00000000-0005-0000-0000-000061DE0000}"/>
    <cellStyle name="Процентный 7 2 62 9" xfId="45350" xr:uid="{00000000-0005-0000-0000-000062DE0000}"/>
    <cellStyle name="Процентный 7 2 63" xfId="2658" xr:uid="{00000000-0005-0000-0000-000063DE0000}"/>
    <cellStyle name="Процентный 7 2 63 10" xfId="50722" xr:uid="{00000000-0005-0000-0000-000064DE0000}"/>
    <cellStyle name="Процентный 7 2 63 2" xfId="8001" xr:uid="{00000000-0005-0000-0000-000065DE0000}"/>
    <cellStyle name="Процентный 7 2 63 2 2" xfId="56063" xr:uid="{00000000-0005-0000-0000-000066DE0000}"/>
    <cellStyle name="Процентный 7 2 63 3" xfId="13342" xr:uid="{00000000-0005-0000-0000-000067DE0000}"/>
    <cellStyle name="Процентный 7 2 63 4" xfId="18682" xr:uid="{00000000-0005-0000-0000-000068DE0000}"/>
    <cellStyle name="Процентный 7 2 63 5" xfId="24022" xr:uid="{00000000-0005-0000-0000-000069DE0000}"/>
    <cellStyle name="Процентный 7 2 63 6" xfId="29362" xr:uid="{00000000-0005-0000-0000-00006ADE0000}"/>
    <cellStyle name="Процентный 7 2 63 7" xfId="34702" xr:uid="{00000000-0005-0000-0000-00006BDE0000}"/>
    <cellStyle name="Процентный 7 2 63 8" xfId="40042" xr:uid="{00000000-0005-0000-0000-00006CDE0000}"/>
    <cellStyle name="Процентный 7 2 63 9" xfId="45382" xr:uid="{00000000-0005-0000-0000-00006DDE0000}"/>
    <cellStyle name="Процентный 7 2 64" xfId="2690" xr:uid="{00000000-0005-0000-0000-00006EDE0000}"/>
    <cellStyle name="Процентный 7 2 64 10" xfId="50754" xr:uid="{00000000-0005-0000-0000-00006FDE0000}"/>
    <cellStyle name="Процентный 7 2 64 2" xfId="8033" xr:uid="{00000000-0005-0000-0000-000070DE0000}"/>
    <cellStyle name="Процентный 7 2 64 2 2" xfId="56095" xr:uid="{00000000-0005-0000-0000-000071DE0000}"/>
    <cellStyle name="Процентный 7 2 64 3" xfId="13374" xr:uid="{00000000-0005-0000-0000-000072DE0000}"/>
    <cellStyle name="Процентный 7 2 64 4" xfId="18714" xr:uid="{00000000-0005-0000-0000-000073DE0000}"/>
    <cellStyle name="Процентный 7 2 64 5" xfId="24054" xr:uid="{00000000-0005-0000-0000-000074DE0000}"/>
    <cellStyle name="Процентный 7 2 64 6" xfId="29394" xr:uid="{00000000-0005-0000-0000-000075DE0000}"/>
    <cellStyle name="Процентный 7 2 64 7" xfId="34734" xr:uid="{00000000-0005-0000-0000-000076DE0000}"/>
    <cellStyle name="Процентный 7 2 64 8" xfId="40074" xr:uid="{00000000-0005-0000-0000-000077DE0000}"/>
    <cellStyle name="Процентный 7 2 64 9" xfId="45414" xr:uid="{00000000-0005-0000-0000-000078DE0000}"/>
    <cellStyle name="Процентный 7 2 65" xfId="2722" xr:uid="{00000000-0005-0000-0000-000079DE0000}"/>
    <cellStyle name="Процентный 7 2 65 10" xfId="50786" xr:uid="{00000000-0005-0000-0000-00007ADE0000}"/>
    <cellStyle name="Процентный 7 2 65 2" xfId="8065" xr:uid="{00000000-0005-0000-0000-00007BDE0000}"/>
    <cellStyle name="Процентный 7 2 65 2 2" xfId="56127" xr:uid="{00000000-0005-0000-0000-00007CDE0000}"/>
    <cellStyle name="Процентный 7 2 65 3" xfId="13406" xr:uid="{00000000-0005-0000-0000-00007DDE0000}"/>
    <cellStyle name="Процентный 7 2 65 4" xfId="18746" xr:uid="{00000000-0005-0000-0000-00007EDE0000}"/>
    <cellStyle name="Процентный 7 2 65 5" xfId="24086" xr:uid="{00000000-0005-0000-0000-00007FDE0000}"/>
    <cellStyle name="Процентный 7 2 65 6" xfId="29426" xr:uid="{00000000-0005-0000-0000-000080DE0000}"/>
    <cellStyle name="Процентный 7 2 65 7" xfId="34766" xr:uid="{00000000-0005-0000-0000-000081DE0000}"/>
    <cellStyle name="Процентный 7 2 65 8" xfId="40106" xr:uid="{00000000-0005-0000-0000-000082DE0000}"/>
    <cellStyle name="Процентный 7 2 65 9" xfId="45446" xr:uid="{00000000-0005-0000-0000-000083DE0000}"/>
    <cellStyle name="Процентный 7 2 66" xfId="2754" xr:uid="{00000000-0005-0000-0000-000084DE0000}"/>
    <cellStyle name="Процентный 7 2 66 10" xfId="50818" xr:uid="{00000000-0005-0000-0000-000085DE0000}"/>
    <cellStyle name="Процентный 7 2 66 2" xfId="8097" xr:uid="{00000000-0005-0000-0000-000086DE0000}"/>
    <cellStyle name="Процентный 7 2 66 2 2" xfId="56159" xr:uid="{00000000-0005-0000-0000-000087DE0000}"/>
    <cellStyle name="Процентный 7 2 66 3" xfId="13438" xr:uid="{00000000-0005-0000-0000-000088DE0000}"/>
    <cellStyle name="Процентный 7 2 66 4" xfId="18778" xr:uid="{00000000-0005-0000-0000-000089DE0000}"/>
    <cellStyle name="Процентный 7 2 66 5" xfId="24118" xr:uid="{00000000-0005-0000-0000-00008ADE0000}"/>
    <cellStyle name="Процентный 7 2 66 6" xfId="29458" xr:uid="{00000000-0005-0000-0000-00008BDE0000}"/>
    <cellStyle name="Процентный 7 2 66 7" xfId="34798" xr:uid="{00000000-0005-0000-0000-00008CDE0000}"/>
    <cellStyle name="Процентный 7 2 66 8" xfId="40138" xr:uid="{00000000-0005-0000-0000-00008DDE0000}"/>
    <cellStyle name="Процентный 7 2 66 9" xfId="45478" xr:uid="{00000000-0005-0000-0000-00008EDE0000}"/>
    <cellStyle name="Процентный 7 2 67" xfId="2788" xr:uid="{00000000-0005-0000-0000-00008FDE0000}"/>
    <cellStyle name="Процентный 7 2 67 10" xfId="50852" xr:uid="{00000000-0005-0000-0000-000090DE0000}"/>
    <cellStyle name="Процентный 7 2 67 2" xfId="8131" xr:uid="{00000000-0005-0000-0000-000091DE0000}"/>
    <cellStyle name="Процентный 7 2 67 2 2" xfId="56193" xr:uid="{00000000-0005-0000-0000-000092DE0000}"/>
    <cellStyle name="Процентный 7 2 67 3" xfId="13472" xr:uid="{00000000-0005-0000-0000-000093DE0000}"/>
    <cellStyle name="Процентный 7 2 67 4" xfId="18812" xr:uid="{00000000-0005-0000-0000-000094DE0000}"/>
    <cellStyle name="Процентный 7 2 67 5" xfId="24152" xr:uid="{00000000-0005-0000-0000-000095DE0000}"/>
    <cellStyle name="Процентный 7 2 67 6" xfId="29492" xr:uid="{00000000-0005-0000-0000-000096DE0000}"/>
    <cellStyle name="Процентный 7 2 67 7" xfId="34832" xr:uid="{00000000-0005-0000-0000-000097DE0000}"/>
    <cellStyle name="Процентный 7 2 67 8" xfId="40172" xr:uid="{00000000-0005-0000-0000-000098DE0000}"/>
    <cellStyle name="Процентный 7 2 67 9" xfId="45512" xr:uid="{00000000-0005-0000-0000-000099DE0000}"/>
    <cellStyle name="Процентный 7 2 68" xfId="2820" xr:uid="{00000000-0005-0000-0000-00009ADE0000}"/>
    <cellStyle name="Процентный 7 2 68 10" xfId="50884" xr:uid="{00000000-0005-0000-0000-00009BDE0000}"/>
    <cellStyle name="Процентный 7 2 68 2" xfId="8163" xr:uid="{00000000-0005-0000-0000-00009CDE0000}"/>
    <cellStyle name="Процентный 7 2 68 2 2" xfId="56225" xr:uid="{00000000-0005-0000-0000-00009DDE0000}"/>
    <cellStyle name="Процентный 7 2 68 3" xfId="13504" xr:uid="{00000000-0005-0000-0000-00009EDE0000}"/>
    <cellStyle name="Процентный 7 2 68 4" xfId="18844" xr:uid="{00000000-0005-0000-0000-00009FDE0000}"/>
    <cellStyle name="Процентный 7 2 68 5" xfId="24184" xr:uid="{00000000-0005-0000-0000-0000A0DE0000}"/>
    <cellStyle name="Процентный 7 2 68 6" xfId="29524" xr:uid="{00000000-0005-0000-0000-0000A1DE0000}"/>
    <cellStyle name="Процентный 7 2 68 7" xfId="34864" xr:uid="{00000000-0005-0000-0000-0000A2DE0000}"/>
    <cellStyle name="Процентный 7 2 68 8" xfId="40204" xr:uid="{00000000-0005-0000-0000-0000A3DE0000}"/>
    <cellStyle name="Процентный 7 2 68 9" xfId="45544" xr:uid="{00000000-0005-0000-0000-0000A4DE0000}"/>
    <cellStyle name="Процентный 7 2 69" xfId="2852" xr:uid="{00000000-0005-0000-0000-0000A5DE0000}"/>
    <cellStyle name="Процентный 7 2 69 10" xfId="50916" xr:uid="{00000000-0005-0000-0000-0000A6DE0000}"/>
    <cellStyle name="Процентный 7 2 69 2" xfId="8195" xr:uid="{00000000-0005-0000-0000-0000A7DE0000}"/>
    <cellStyle name="Процентный 7 2 69 2 2" xfId="56257" xr:uid="{00000000-0005-0000-0000-0000A8DE0000}"/>
    <cellStyle name="Процентный 7 2 69 3" xfId="13536" xr:uid="{00000000-0005-0000-0000-0000A9DE0000}"/>
    <cellStyle name="Процентный 7 2 69 4" xfId="18876" xr:uid="{00000000-0005-0000-0000-0000AADE0000}"/>
    <cellStyle name="Процентный 7 2 69 5" xfId="24216" xr:uid="{00000000-0005-0000-0000-0000ABDE0000}"/>
    <cellStyle name="Процентный 7 2 69 6" xfId="29556" xr:uid="{00000000-0005-0000-0000-0000ACDE0000}"/>
    <cellStyle name="Процентный 7 2 69 7" xfId="34896" xr:uid="{00000000-0005-0000-0000-0000ADDE0000}"/>
    <cellStyle name="Процентный 7 2 69 8" xfId="40236" xr:uid="{00000000-0005-0000-0000-0000AEDE0000}"/>
    <cellStyle name="Процентный 7 2 69 9" xfId="45576" xr:uid="{00000000-0005-0000-0000-0000AFDE0000}"/>
    <cellStyle name="Процентный 7 2 7" xfId="1109" xr:uid="{00000000-0005-0000-0000-0000B0DE0000}"/>
    <cellStyle name="Процентный 7 2 7 10" xfId="49172" xr:uid="{00000000-0005-0000-0000-0000B1DE0000}"/>
    <cellStyle name="Процентный 7 2 7 2" xfId="6451" xr:uid="{00000000-0005-0000-0000-0000B2DE0000}"/>
    <cellStyle name="Процентный 7 2 7 2 2" xfId="54513" xr:uid="{00000000-0005-0000-0000-0000B3DE0000}"/>
    <cellStyle name="Процентный 7 2 7 3" xfId="11792" xr:uid="{00000000-0005-0000-0000-0000B4DE0000}"/>
    <cellStyle name="Процентный 7 2 7 4" xfId="17132" xr:uid="{00000000-0005-0000-0000-0000B5DE0000}"/>
    <cellStyle name="Процентный 7 2 7 5" xfId="22472" xr:uid="{00000000-0005-0000-0000-0000B6DE0000}"/>
    <cellStyle name="Процентный 7 2 7 6" xfId="27812" xr:uid="{00000000-0005-0000-0000-0000B7DE0000}"/>
    <cellStyle name="Процентный 7 2 7 7" xfId="33152" xr:uid="{00000000-0005-0000-0000-0000B8DE0000}"/>
    <cellStyle name="Процентный 7 2 7 8" xfId="38492" xr:uid="{00000000-0005-0000-0000-0000B9DE0000}"/>
    <cellStyle name="Процентный 7 2 7 9" xfId="43832" xr:uid="{00000000-0005-0000-0000-0000BADE0000}"/>
    <cellStyle name="Процентный 7 2 70" xfId="2884" xr:uid="{00000000-0005-0000-0000-0000BBDE0000}"/>
    <cellStyle name="Процентный 7 2 70 10" xfId="50948" xr:uid="{00000000-0005-0000-0000-0000BCDE0000}"/>
    <cellStyle name="Процентный 7 2 70 2" xfId="8227" xr:uid="{00000000-0005-0000-0000-0000BDDE0000}"/>
    <cellStyle name="Процентный 7 2 70 2 2" xfId="56289" xr:uid="{00000000-0005-0000-0000-0000BEDE0000}"/>
    <cellStyle name="Процентный 7 2 70 3" xfId="13568" xr:uid="{00000000-0005-0000-0000-0000BFDE0000}"/>
    <cellStyle name="Процентный 7 2 70 4" xfId="18908" xr:uid="{00000000-0005-0000-0000-0000C0DE0000}"/>
    <cellStyle name="Процентный 7 2 70 5" xfId="24248" xr:uid="{00000000-0005-0000-0000-0000C1DE0000}"/>
    <cellStyle name="Процентный 7 2 70 6" xfId="29588" xr:uid="{00000000-0005-0000-0000-0000C2DE0000}"/>
    <cellStyle name="Процентный 7 2 70 7" xfId="34928" xr:uid="{00000000-0005-0000-0000-0000C3DE0000}"/>
    <cellStyle name="Процентный 7 2 70 8" xfId="40268" xr:uid="{00000000-0005-0000-0000-0000C4DE0000}"/>
    <cellStyle name="Процентный 7 2 70 9" xfId="45608" xr:uid="{00000000-0005-0000-0000-0000C5DE0000}"/>
    <cellStyle name="Процентный 7 2 71" xfId="2916" xr:uid="{00000000-0005-0000-0000-0000C6DE0000}"/>
    <cellStyle name="Процентный 7 2 71 10" xfId="50980" xr:uid="{00000000-0005-0000-0000-0000C7DE0000}"/>
    <cellStyle name="Процентный 7 2 71 2" xfId="8259" xr:uid="{00000000-0005-0000-0000-0000C8DE0000}"/>
    <cellStyle name="Процентный 7 2 71 2 2" xfId="56321" xr:uid="{00000000-0005-0000-0000-0000C9DE0000}"/>
    <cellStyle name="Процентный 7 2 71 3" xfId="13600" xr:uid="{00000000-0005-0000-0000-0000CADE0000}"/>
    <cellStyle name="Процентный 7 2 71 4" xfId="18940" xr:uid="{00000000-0005-0000-0000-0000CBDE0000}"/>
    <cellStyle name="Процентный 7 2 71 5" xfId="24280" xr:uid="{00000000-0005-0000-0000-0000CCDE0000}"/>
    <cellStyle name="Процентный 7 2 71 6" xfId="29620" xr:uid="{00000000-0005-0000-0000-0000CDDE0000}"/>
    <cellStyle name="Процентный 7 2 71 7" xfId="34960" xr:uid="{00000000-0005-0000-0000-0000CEDE0000}"/>
    <cellStyle name="Процентный 7 2 71 8" xfId="40300" xr:uid="{00000000-0005-0000-0000-0000CFDE0000}"/>
    <cellStyle name="Процентный 7 2 71 9" xfId="45640" xr:uid="{00000000-0005-0000-0000-0000D0DE0000}"/>
    <cellStyle name="Процентный 7 2 72" xfId="2948" xr:uid="{00000000-0005-0000-0000-0000D1DE0000}"/>
    <cellStyle name="Процентный 7 2 72 10" xfId="51012" xr:uid="{00000000-0005-0000-0000-0000D2DE0000}"/>
    <cellStyle name="Процентный 7 2 72 2" xfId="8291" xr:uid="{00000000-0005-0000-0000-0000D3DE0000}"/>
    <cellStyle name="Процентный 7 2 72 2 2" xfId="56353" xr:uid="{00000000-0005-0000-0000-0000D4DE0000}"/>
    <cellStyle name="Процентный 7 2 72 3" xfId="13632" xr:uid="{00000000-0005-0000-0000-0000D5DE0000}"/>
    <cellStyle name="Процентный 7 2 72 4" xfId="18972" xr:uid="{00000000-0005-0000-0000-0000D6DE0000}"/>
    <cellStyle name="Процентный 7 2 72 5" xfId="24312" xr:uid="{00000000-0005-0000-0000-0000D7DE0000}"/>
    <cellStyle name="Процентный 7 2 72 6" xfId="29652" xr:uid="{00000000-0005-0000-0000-0000D8DE0000}"/>
    <cellStyle name="Процентный 7 2 72 7" xfId="34992" xr:uid="{00000000-0005-0000-0000-0000D9DE0000}"/>
    <cellStyle name="Процентный 7 2 72 8" xfId="40332" xr:uid="{00000000-0005-0000-0000-0000DADE0000}"/>
    <cellStyle name="Процентный 7 2 72 9" xfId="45672" xr:uid="{00000000-0005-0000-0000-0000DBDE0000}"/>
    <cellStyle name="Процентный 7 2 73" xfId="2980" xr:uid="{00000000-0005-0000-0000-0000DCDE0000}"/>
    <cellStyle name="Процентный 7 2 73 10" xfId="51044" xr:uid="{00000000-0005-0000-0000-0000DDDE0000}"/>
    <cellStyle name="Процентный 7 2 73 2" xfId="8323" xr:uid="{00000000-0005-0000-0000-0000DEDE0000}"/>
    <cellStyle name="Процентный 7 2 73 2 2" xfId="56385" xr:uid="{00000000-0005-0000-0000-0000DFDE0000}"/>
    <cellStyle name="Процентный 7 2 73 3" xfId="13664" xr:uid="{00000000-0005-0000-0000-0000E0DE0000}"/>
    <cellStyle name="Процентный 7 2 73 4" xfId="19004" xr:uid="{00000000-0005-0000-0000-0000E1DE0000}"/>
    <cellStyle name="Процентный 7 2 73 5" xfId="24344" xr:uid="{00000000-0005-0000-0000-0000E2DE0000}"/>
    <cellStyle name="Процентный 7 2 73 6" xfId="29684" xr:uid="{00000000-0005-0000-0000-0000E3DE0000}"/>
    <cellStyle name="Процентный 7 2 73 7" xfId="35024" xr:uid="{00000000-0005-0000-0000-0000E4DE0000}"/>
    <cellStyle name="Процентный 7 2 73 8" xfId="40364" xr:uid="{00000000-0005-0000-0000-0000E5DE0000}"/>
    <cellStyle name="Процентный 7 2 73 9" xfId="45704" xr:uid="{00000000-0005-0000-0000-0000E6DE0000}"/>
    <cellStyle name="Процентный 7 2 74" xfId="3012" xr:uid="{00000000-0005-0000-0000-0000E7DE0000}"/>
    <cellStyle name="Процентный 7 2 74 10" xfId="51076" xr:uid="{00000000-0005-0000-0000-0000E8DE0000}"/>
    <cellStyle name="Процентный 7 2 74 2" xfId="8355" xr:uid="{00000000-0005-0000-0000-0000E9DE0000}"/>
    <cellStyle name="Процентный 7 2 74 2 2" xfId="56417" xr:uid="{00000000-0005-0000-0000-0000EADE0000}"/>
    <cellStyle name="Процентный 7 2 74 3" xfId="13696" xr:uid="{00000000-0005-0000-0000-0000EBDE0000}"/>
    <cellStyle name="Процентный 7 2 74 4" xfId="19036" xr:uid="{00000000-0005-0000-0000-0000ECDE0000}"/>
    <cellStyle name="Процентный 7 2 74 5" xfId="24376" xr:uid="{00000000-0005-0000-0000-0000EDDE0000}"/>
    <cellStyle name="Процентный 7 2 74 6" xfId="29716" xr:uid="{00000000-0005-0000-0000-0000EEDE0000}"/>
    <cellStyle name="Процентный 7 2 74 7" xfId="35056" xr:uid="{00000000-0005-0000-0000-0000EFDE0000}"/>
    <cellStyle name="Процентный 7 2 74 8" xfId="40396" xr:uid="{00000000-0005-0000-0000-0000F0DE0000}"/>
    <cellStyle name="Процентный 7 2 74 9" xfId="45736" xr:uid="{00000000-0005-0000-0000-0000F1DE0000}"/>
    <cellStyle name="Процентный 7 2 75" xfId="3044" xr:uid="{00000000-0005-0000-0000-0000F2DE0000}"/>
    <cellStyle name="Процентный 7 2 75 10" xfId="51108" xr:uid="{00000000-0005-0000-0000-0000F3DE0000}"/>
    <cellStyle name="Процентный 7 2 75 2" xfId="8387" xr:uid="{00000000-0005-0000-0000-0000F4DE0000}"/>
    <cellStyle name="Процентный 7 2 75 2 2" xfId="56449" xr:uid="{00000000-0005-0000-0000-0000F5DE0000}"/>
    <cellStyle name="Процентный 7 2 75 3" xfId="13728" xr:uid="{00000000-0005-0000-0000-0000F6DE0000}"/>
    <cellStyle name="Процентный 7 2 75 4" xfId="19068" xr:uid="{00000000-0005-0000-0000-0000F7DE0000}"/>
    <cellStyle name="Процентный 7 2 75 5" xfId="24408" xr:uid="{00000000-0005-0000-0000-0000F8DE0000}"/>
    <cellStyle name="Процентный 7 2 75 6" xfId="29748" xr:uid="{00000000-0005-0000-0000-0000F9DE0000}"/>
    <cellStyle name="Процентный 7 2 75 7" xfId="35088" xr:uid="{00000000-0005-0000-0000-0000FADE0000}"/>
    <cellStyle name="Процентный 7 2 75 8" xfId="40428" xr:uid="{00000000-0005-0000-0000-0000FBDE0000}"/>
    <cellStyle name="Процентный 7 2 75 9" xfId="45768" xr:uid="{00000000-0005-0000-0000-0000FCDE0000}"/>
    <cellStyle name="Процентный 7 2 76" xfId="3076" xr:uid="{00000000-0005-0000-0000-0000FDDE0000}"/>
    <cellStyle name="Процентный 7 2 76 10" xfId="51140" xr:uid="{00000000-0005-0000-0000-0000FEDE0000}"/>
    <cellStyle name="Процентный 7 2 76 2" xfId="8419" xr:uid="{00000000-0005-0000-0000-0000FFDE0000}"/>
    <cellStyle name="Процентный 7 2 76 2 2" xfId="56481" xr:uid="{00000000-0005-0000-0000-000000DF0000}"/>
    <cellStyle name="Процентный 7 2 76 3" xfId="13760" xr:uid="{00000000-0005-0000-0000-000001DF0000}"/>
    <cellStyle name="Процентный 7 2 76 4" xfId="19100" xr:uid="{00000000-0005-0000-0000-000002DF0000}"/>
    <cellStyle name="Процентный 7 2 76 5" xfId="24440" xr:uid="{00000000-0005-0000-0000-000003DF0000}"/>
    <cellStyle name="Процентный 7 2 76 6" xfId="29780" xr:uid="{00000000-0005-0000-0000-000004DF0000}"/>
    <cellStyle name="Процентный 7 2 76 7" xfId="35120" xr:uid="{00000000-0005-0000-0000-000005DF0000}"/>
    <cellStyle name="Процентный 7 2 76 8" xfId="40460" xr:uid="{00000000-0005-0000-0000-000006DF0000}"/>
    <cellStyle name="Процентный 7 2 76 9" xfId="45800" xr:uid="{00000000-0005-0000-0000-000007DF0000}"/>
    <cellStyle name="Процентный 7 2 77" xfId="3108" xr:uid="{00000000-0005-0000-0000-000008DF0000}"/>
    <cellStyle name="Процентный 7 2 77 10" xfId="51172" xr:uid="{00000000-0005-0000-0000-000009DF0000}"/>
    <cellStyle name="Процентный 7 2 77 2" xfId="8451" xr:uid="{00000000-0005-0000-0000-00000ADF0000}"/>
    <cellStyle name="Процентный 7 2 77 2 2" xfId="56513" xr:uid="{00000000-0005-0000-0000-00000BDF0000}"/>
    <cellStyle name="Процентный 7 2 77 3" xfId="13792" xr:uid="{00000000-0005-0000-0000-00000CDF0000}"/>
    <cellStyle name="Процентный 7 2 77 4" xfId="19132" xr:uid="{00000000-0005-0000-0000-00000DDF0000}"/>
    <cellStyle name="Процентный 7 2 77 5" xfId="24472" xr:uid="{00000000-0005-0000-0000-00000EDF0000}"/>
    <cellStyle name="Процентный 7 2 77 6" xfId="29812" xr:uid="{00000000-0005-0000-0000-00000FDF0000}"/>
    <cellStyle name="Процентный 7 2 77 7" xfId="35152" xr:uid="{00000000-0005-0000-0000-000010DF0000}"/>
    <cellStyle name="Процентный 7 2 77 8" xfId="40492" xr:uid="{00000000-0005-0000-0000-000011DF0000}"/>
    <cellStyle name="Процентный 7 2 77 9" xfId="45832" xr:uid="{00000000-0005-0000-0000-000012DF0000}"/>
    <cellStyle name="Процентный 7 2 78" xfId="3141" xr:uid="{00000000-0005-0000-0000-000013DF0000}"/>
    <cellStyle name="Процентный 7 2 78 10" xfId="51204" xr:uid="{00000000-0005-0000-0000-000014DF0000}"/>
    <cellStyle name="Процентный 7 2 78 2" xfId="8484" xr:uid="{00000000-0005-0000-0000-000015DF0000}"/>
    <cellStyle name="Процентный 7 2 78 2 2" xfId="56545" xr:uid="{00000000-0005-0000-0000-000016DF0000}"/>
    <cellStyle name="Процентный 7 2 78 3" xfId="13824" xr:uid="{00000000-0005-0000-0000-000017DF0000}"/>
    <cellStyle name="Процентный 7 2 78 4" xfId="19164" xr:uid="{00000000-0005-0000-0000-000018DF0000}"/>
    <cellStyle name="Процентный 7 2 78 5" xfId="24504" xr:uid="{00000000-0005-0000-0000-000019DF0000}"/>
    <cellStyle name="Процентный 7 2 78 6" xfId="29844" xr:uid="{00000000-0005-0000-0000-00001ADF0000}"/>
    <cellStyle name="Процентный 7 2 78 7" xfId="35184" xr:uid="{00000000-0005-0000-0000-00001BDF0000}"/>
    <cellStyle name="Процентный 7 2 78 8" xfId="40524" xr:uid="{00000000-0005-0000-0000-00001CDF0000}"/>
    <cellStyle name="Процентный 7 2 78 9" xfId="45864" xr:uid="{00000000-0005-0000-0000-00001DDF0000}"/>
    <cellStyle name="Процентный 7 2 79" xfId="3173" xr:uid="{00000000-0005-0000-0000-00001EDF0000}"/>
    <cellStyle name="Процентный 7 2 79 10" xfId="51236" xr:uid="{00000000-0005-0000-0000-00001FDF0000}"/>
    <cellStyle name="Процентный 7 2 79 2" xfId="8516" xr:uid="{00000000-0005-0000-0000-000020DF0000}"/>
    <cellStyle name="Процентный 7 2 79 2 2" xfId="56577" xr:uid="{00000000-0005-0000-0000-000021DF0000}"/>
    <cellStyle name="Процентный 7 2 79 3" xfId="13856" xr:uid="{00000000-0005-0000-0000-000022DF0000}"/>
    <cellStyle name="Процентный 7 2 79 4" xfId="19196" xr:uid="{00000000-0005-0000-0000-000023DF0000}"/>
    <cellStyle name="Процентный 7 2 79 5" xfId="24536" xr:uid="{00000000-0005-0000-0000-000024DF0000}"/>
    <cellStyle name="Процентный 7 2 79 6" xfId="29876" xr:uid="{00000000-0005-0000-0000-000025DF0000}"/>
    <cellStyle name="Процентный 7 2 79 7" xfId="35216" xr:uid="{00000000-0005-0000-0000-000026DF0000}"/>
    <cellStyle name="Процентный 7 2 79 8" xfId="40556" xr:uid="{00000000-0005-0000-0000-000027DF0000}"/>
    <cellStyle name="Процентный 7 2 79 9" xfId="45896" xr:uid="{00000000-0005-0000-0000-000028DF0000}"/>
    <cellStyle name="Процентный 7 2 8" xfId="1135" xr:uid="{00000000-0005-0000-0000-000029DF0000}"/>
    <cellStyle name="Процентный 7 2 8 10" xfId="49198" xr:uid="{00000000-0005-0000-0000-00002ADF0000}"/>
    <cellStyle name="Процентный 7 2 8 2" xfId="6477" xr:uid="{00000000-0005-0000-0000-00002BDF0000}"/>
    <cellStyle name="Процентный 7 2 8 2 2" xfId="54539" xr:uid="{00000000-0005-0000-0000-00002CDF0000}"/>
    <cellStyle name="Процентный 7 2 8 3" xfId="11818" xr:uid="{00000000-0005-0000-0000-00002DDF0000}"/>
    <cellStyle name="Процентный 7 2 8 4" xfId="17158" xr:uid="{00000000-0005-0000-0000-00002EDF0000}"/>
    <cellStyle name="Процентный 7 2 8 5" xfId="22498" xr:uid="{00000000-0005-0000-0000-00002FDF0000}"/>
    <cellStyle name="Процентный 7 2 8 6" xfId="27838" xr:uid="{00000000-0005-0000-0000-000030DF0000}"/>
    <cellStyle name="Процентный 7 2 8 7" xfId="33178" xr:uid="{00000000-0005-0000-0000-000031DF0000}"/>
    <cellStyle name="Процентный 7 2 8 8" xfId="38518" xr:uid="{00000000-0005-0000-0000-000032DF0000}"/>
    <cellStyle name="Процентный 7 2 8 9" xfId="43858" xr:uid="{00000000-0005-0000-0000-000033DF0000}"/>
    <cellStyle name="Процентный 7 2 80" xfId="3205" xr:uid="{00000000-0005-0000-0000-000034DF0000}"/>
    <cellStyle name="Процентный 7 2 80 10" xfId="51268" xr:uid="{00000000-0005-0000-0000-000035DF0000}"/>
    <cellStyle name="Процентный 7 2 80 2" xfId="8548" xr:uid="{00000000-0005-0000-0000-000036DF0000}"/>
    <cellStyle name="Процентный 7 2 80 2 2" xfId="56609" xr:uid="{00000000-0005-0000-0000-000037DF0000}"/>
    <cellStyle name="Процентный 7 2 80 3" xfId="13888" xr:uid="{00000000-0005-0000-0000-000038DF0000}"/>
    <cellStyle name="Процентный 7 2 80 4" xfId="19228" xr:uid="{00000000-0005-0000-0000-000039DF0000}"/>
    <cellStyle name="Процентный 7 2 80 5" xfId="24568" xr:uid="{00000000-0005-0000-0000-00003ADF0000}"/>
    <cellStyle name="Процентный 7 2 80 6" xfId="29908" xr:uid="{00000000-0005-0000-0000-00003BDF0000}"/>
    <cellStyle name="Процентный 7 2 80 7" xfId="35248" xr:uid="{00000000-0005-0000-0000-00003CDF0000}"/>
    <cellStyle name="Процентный 7 2 80 8" xfId="40588" xr:uid="{00000000-0005-0000-0000-00003DDF0000}"/>
    <cellStyle name="Процентный 7 2 80 9" xfId="45928" xr:uid="{00000000-0005-0000-0000-00003EDF0000}"/>
    <cellStyle name="Процентный 7 2 81" xfId="3237" xr:uid="{00000000-0005-0000-0000-00003FDF0000}"/>
    <cellStyle name="Процентный 7 2 81 10" xfId="51300" xr:uid="{00000000-0005-0000-0000-000040DF0000}"/>
    <cellStyle name="Процентный 7 2 81 2" xfId="8580" xr:uid="{00000000-0005-0000-0000-000041DF0000}"/>
    <cellStyle name="Процентный 7 2 81 2 2" xfId="56641" xr:uid="{00000000-0005-0000-0000-000042DF0000}"/>
    <cellStyle name="Процентный 7 2 81 3" xfId="13920" xr:uid="{00000000-0005-0000-0000-000043DF0000}"/>
    <cellStyle name="Процентный 7 2 81 4" xfId="19260" xr:uid="{00000000-0005-0000-0000-000044DF0000}"/>
    <cellStyle name="Процентный 7 2 81 5" xfId="24600" xr:uid="{00000000-0005-0000-0000-000045DF0000}"/>
    <cellStyle name="Процентный 7 2 81 6" xfId="29940" xr:uid="{00000000-0005-0000-0000-000046DF0000}"/>
    <cellStyle name="Процентный 7 2 81 7" xfId="35280" xr:uid="{00000000-0005-0000-0000-000047DF0000}"/>
    <cellStyle name="Процентный 7 2 81 8" xfId="40620" xr:uid="{00000000-0005-0000-0000-000048DF0000}"/>
    <cellStyle name="Процентный 7 2 81 9" xfId="45960" xr:uid="{00000000-0005-0000-0000-000049DF0000}"/>
    <cellStyle name="Процентный 7 2 82" xfId="3269" xr:uid="{00000000-0005-0000-0000-00004ADF0000}"/>
    <cellStyle name="Процентный 7 2 82 10" xfId="51332" xr:uid="{00000000-0005-0000-0000-00004BDF0000}"/>
    <cellStyle name="Процентный 7 2 82 2" xfId="8612" xr:uid="{00000000-0005-0000-0000-00004CDF0000}"/>
    <cellStyle name="Процентный 7 2 82 2 2" xfId="56673" xr:uid="{00000000-0005-0000-0000-00004DDF0000}"/>
    <cellStyle name="Процентный 7 2 82 3" xfId="13952" xr:uid="{00000000-0005-0000-0000-00004EDF0000}"/>
    <cellStyle name="Процентный 7 2 82 4" xfId="19292" xr:uid="{00000000-0005-0000-0000-00004FDF0000}"/>
    <cellStyle name="Процентный 7 2 82 5" xfId="24632" xr:uid="{00000000-0005-0000-0000-000050DF0000}"/>
    <cellStyle name="Процентный 7 2 82 6" xfId="29972" xr:uid="{00000000-0005-0000-0000-000051DF0000}"/>
    <cellStyle name="Процентный 7 2 82 7" xfId="35312" xr:uid="{00000000-0005-0000-0000-000052DF0000}"/>
    <cellStyle name="Процентный 7 2 82 8" xfId="40652" xr:uid="{00000000-0005-0000-0000-000053DF0000}"/>
    <cellStyle name="Процентный 7 2 82 9" xfId="45992" xr:uid="{00000000-0005-0000-0000-000054DF0000}"/>
    <cellStyle name="Процентный 7 2 83" xfId="3301" xr:uid="{00000000-0005-0000-0000-000055DF0000}"/>
    <cellStyle name="Процентный 7 2 83 10" xfId="51364" xr:uid="{00000000-0005-0000-0000-000056DF0000}"/>
    <cellStyle name="Процентный 7 2 83 2" xfId="8644" xr:uid="{00000000-0005-0000-0000-000057DF0000}"/>
    <cellStyle name="Процентный 7 2 83 2 2" xfId="56705" xr:uid="{00000000-0005-0000-0000-000058DF0000}"/>
    <cellStyle name="Процентный 7 2 83 3" xfId="13984" xr:uid="{00000000-0005-0000-0000-000059DF0000}"/>
    <cellStyle name="Процентный 7 2 83 4" xfId="19324" xr:uid="{00000000-0005-0000-0000-00005ADF0000}"/>
    <cellStyle name="Процентный 7 2 83 5" xfId="24664" xr:uid="{00000000-0005-0000-0000-00005BDF0000}"/>
    <cellStyle name="Процентный 7 2 83 6" xfId="30004" xr:uid="{00000000-0005-0000-0000-00005CDF0000}"/>
    <cellStyle name="Процентный 7 2 83 7" xfId="35344" xr:uid="{00000000-0005-0000-0000-00005DDF0000}"/>
    <cellStyle name="Процентный 7 2 83 8" xfId="40684" xr:uid="{00000000-0005-0000-0000-00005EDF0000}"/>
    <cellStyle name="Процентный 7 2 83 9" xfId="46024" xr:uid="{00000000-0005-0000-0000-00005FDF0000}"/>
    <cellStyle name="Процентный 7 2 84" xfId="3333" xr:uid="{00000000-0005-0000-0000-000060DF0000}"/>
    <cellStyle name="Процентный 7 2 84 10" xfId="51396" xr:uid="{00000000-0005-0000-0000-000061DF0000}"/>
    <cellStyle name="Процентный 7 2 84 2" xfId="8676" xr:uid="{00000000-0005-0000-0000-000062DF0000}"/>
    <cellStyle name="Процентный 7 2 84 2 2" xfId="56737" xr:uid="{00000000-0005-0000-0000-000063DF0000}"/>
    <cellStyle name="Процентный 7 2 84 3" xfId="14016" xr:uid="{00000000-0005-0000-0000-000064DF0000}"/>
    <cellStyle name="Процентный 7 2 84 4" xfId="19356" xr:uid="{00000000-0005-0000-0000-000065DF0000}"/>
    <cellStyle name="Процентный 7 2 84 5" xfId="24696" xr:uid="{00000000-0005-0000-0000-000066DF0000}"/>
    <cellStyle name="Процентный 7 2 84 6" xfId="30036" xr:uid="{00000000-0005-0000-0000-000067DF0000}"/>
    <cellStyle name="Процентный 7 2 84 7" xfId="35376" xr:uid="{00000000-0005-0000-0000-000068DF0000}"/>
    <cellStyle name="Процентный 7 2 84 8" xfId="40716" xr:uid="{00000000-0005-0000-0000-000069DF0000}"/>
    <cellStyle name="Процентный 7 2 84 9" xfId="46056" xr:uid="{00000000-0005-0000-0000-00006ADF0000}"/>
    <cellStyle name="Процентный 7 2 85" xfId="3365" xr:uid="{00000000-0005-0000-0000-00006BDF0000}"/>
    <cellStyle name="Процентный 7 2 85 10" xfId="51428" xr:uid="{00000000-0005-0000-0000-00006CDF0000}"/>
    <cellStyle name="Процентный 7 2 85 2" xfId="8708" xr:uid="{00000000-0005-0000-0000-00006DDF0000}"/>
    <cellStyle name="Процентный 7 2 85 2 2" xfId="56769" xr:uid="{00000000-0005-0000-0000-00006EDF0000}"/>
    <cellStyle name="Процентный 7 2 85 3" xfId="14048" xr:uid="{00000000-0005-0000-0000-00006FDF0000}"/>
    <cellStyle name="Процентный 7 2 85 4" xfId="19388" xr:uid="{00000000-0005-0000-0000-000070DF0000}"/>
    <cellStyle name="Процентный 7 2 85 5" xfId="24728" xr:uid="{00000000-0005-0000-0000-000071DF0000}"/>
    <cellStyle name="Процентный 7 2 85 6" xfId="30068" xr:uid="{00000000-0005-0000-0000-000072DF0000}"/>
    <cellStyle name="Процентный 7 2 85 7" xfId="35408" xr:uid="{00000000-0005-0000-0000-000073DF0000}"/>
    <cellStyle name="Процентный 7 2 85 8" xfId="40748" xr:uid="{00000000-0005-0000-0000-000074DF0000}"/>
    <cellStyle name="Процентный 7 2 85 9" xfId="46088" xr:uid="{00000000-0005-0000-0000-000075DF0000}"/>
    <cellStyle name="Процентный 7 2 86" xfId="3397" xr:uid="{00000000-0005-0000-0000-000076DF0000}"/>
    <cellStyle name="Процентный 7 2 86 10" xfId="51460" xr:uid="{00000000-0005-0000-0000-000077DF0000}"/>
    <cellStyle name="Процентный 7 2 86 2" xfId="8740" xr:uid="{00000000-0005-0000-0000-000078DF0000}"/>
    <cellStyle name="Процентный 7 2 86 2 2" xfId="56801" xr:uid="{00000000-0005-0000-0000-000079DF0000}"/>
    <cellStyle name="Процентный 7 2 86 3" xfId="14080" xr:uid="{00000000-0005-0000-0000-00007ADF0000}"/>
    <cellStyle name="Процентный 7 2 86 4" xfId="19420" xr:uid="{00000000-0005-0000-0000-00007BDF0000}"/>
    <cellStyle name="Процентный 7 2 86 5" xfId="24760" xr:uid="{00000000-0005-0000-0000-00007CDF0000}"/>
    <cellStyle name="Процентный 7 2 86 6" xfId="30100" xr:uid="{00000000-0005-0000-0000-00007DDF0000}"/>
    <cellStyle name="Процентный 7 2 86 7" xfId="35440" xr:uid="{00000000-0005-0000-0000-00007EDF0000}"/>
    <cellStyle name="Процентный 7 2 86 8" xfId="40780" xr:uid="{00000000-0005-0000-0000-00007FDF0000}"/>
    <cellStyle name="Процентный 7 2 86 9" xfId="46120" xr:uid="{00000000-0005-0000-0000-000080DF0000}"/>
    <cellStyle name="Процентный 7 2 87" xfId="3429" xr:uid="{00000000-0005-0000-0000-000081DF0000}"/>
    <cellStyle name="Процентный 7 2 87 10" xfId="51492" xr:uid="{00000000-0005-0000-0000-000082DF0000}"/>
    <cellStyle name="Процентный 7 2 87 2" xfId="8772" xr:uid="{00000000-0005-0000-0000-000083DF0000}"/>
    <cellStyle name="Процентный 7 2 87 2 2" xfId="56833" xr:uid="{00000000-0005-0000-0000-000084DF0000}"/>
    <cellStyle name="Процентный 7 2 87 3" xfId="14112" xr:uid="{00000000-0005-0000-0000-000085DF0000}"/>
    <cellStyle name="Процентный 7 2 87 4" xfId="19452" xr:uid="{00000000-0005-0000-0000-000086DF0000}"/>
    <cellStyle name="Процентный 7 2 87 5" xfId="24792" xr:uid="{00000000-0005-0000-0000-000087DF0000}"/>
    <cellStyle name="Процентный 7 2 87 6" xfId="30132" xr:uid="{00000000-0005-0000-0000-000088DF0000}"/>
    <cellStyle name="Процентный 7 2 87 7" xfId="35472" xr:uid="{00000000-0005-0000-0000-000089DF0000}"/>
    <cellStyle name="Процентный 7 2 87 8" xfId="40812" xr:uid="{00000000-0005-0000-0000-00008ADF0000}"/>
    <cellStyle name="Процентный 7 2 87 9" xfId="46152" xr:uid="{00000000-0005-0000-0000-00008BDF0000}"/>
    <cellStyle name="Процентный 7 2 88" xfId="3461" xr:uid="{00000000-0005-0000-0000-00008CDF0000}"/>
    <cellStyle name="Процентный 7 2 88 10" xfId="51524" xr:uid="{00000000-0005-0000-0000-00008DDF0000}"/>
    <cellStyle name="Процентный 7 2 88 2" xfId="8804" xr:uid="{00000000-0005-0000-0000-00008EDF0000}"/>
    <cellStyle name="Процентный 7 2 88 2 2" xfId="56865" xr:uid="{00000000-0005-0000-0000-00008FDF0000}"/>
    <cellStyle name="Процентный 7 2 88 3" xfId="14144" xr:uid="{00000000-0005-0000-0000-000090DF0000}"/>
    <cellStyle name="Процентный 7 2 88 4" xfId="19484" xr:uid="{00000000-0005-0000-0000-000091DF0000}"/>
    <cellStyle name="Процентный 7 2 88 5" xfId="24824" xr:uid="{00000000-0005-0000-0000-000092DF0000}"/>
    <cellStyle name="Процентный 7 2 88 6" xfId="30164" xr:uid="{00000000-0005-0000-0000-000093DF0000}"/>
    <cellStyle name="Процентный 7 2 88 7" xfId="35504" xr:uid="{00000000-0005-0000-0000-000094DF0000}"/>
    <cellStyle name="Процентный 7 2 88 8" xfId="40844" xr:uid="{00000000-0005-0000-0000-000095DF0000}"/>
    <cellStyle name="Процентный 7 2 88 9" xfId="46184" xr:uid="{00000000-0005-0000-0000-000096DF0000}"/>
    <cellStyle name="Процентный 7 2 89" xfId="3493" xr:uid="{00000000-0005-0000-0000-000097DF0000}"/>
    <cellStyle name="Процентный 7 2 89 10" xfId="51556" xr:uid="{00000000-0005-0000-0000-000098DF0000}"/>
    <cellStyle name="Процентный 7 2 89 2" xfId="8836" xr:uid="{00000000-0005-0000-0000-000099DF0000}"/>
    <cellStyle name="Процентный 7 2 89 2 2" xfId="56897" xr:uid="{00000000-0005-0000-0000-00009ADF0000}"/>
    <cellStyle name="Процентный 7 2 89 3" xfId="14176" xr:uid="{00000000-0005-0000-0000-00009BDF0000}"/>
    <cellStyle name="Процентный 7 2 89 4" xfId="19516" xr:uid="{00000000-0005-0000-0000-00009CDF0000}"/>
    <cellStyle name="Процентный 7 2 89 5" xfId="24856" xr:uid="{00000000-0005-0000-0000-00009DDF0000}"/>
    <cellStyle name="Процентный 7 2 89 6" xfId="30196" xr:uid="{00000000-0005-0000-0000-00009EDF0000}"/>
    <cellStyle name="Процентный 7 2 89 7" xfId="35536" xr:uid="{00000000-0005-0000-0000-00009FDF0000}"/>
    <cellStyle name="Процентный 7 2 89 8" xfId="40876" xr:uid="{00000000-0005-0000-0000-0000A0DF0000}"/>
    <cellStyle name="Процентный 7 2 89 9" xfId="46216" xr:uid="{00000000-0005-0000-0000-0000A1DF0000}"/>
    <cellStyle name="Процентный 7 2 9" xfId="1161" xr:uid="{00000000-0005-0000-0000-0000A2DF0000}"/>
    <cellStyle name="Процентный 7 2 9 10" xfId="49224" xr:uid="{00000000-0005-0000-0000-0000A3DF0000}"/>
    <cellStyle name="Процентный 7 2 9 2" xfId="6503" xr:uid="{00000000-0005-0000-0000-0000A4DF0000}"/>
    <cellStyle name="Процентный 7 2 9 2 2" xfId="54565" xr:uid="{00000000-0005-0000-0000-0000A5DF0000}"/>
    <cellStyle name="Процентный 7 2 9 3" xfId="11844" xr:uid="{00000000-0005-0000-0000-0000A6DF0000}"/>
    <cellStyle name="Процентный 7 2 9 4" xfId="17184" xr:uid="{00000000-0005-0000-0000-0000A7DF0000}"/>
    <cellStyle name="Процентный 7 2 9 5" xfId="22524" xr:uid="{00000000-0005-0000-0000-0000A8DF0000}"/>
    <cellStyle name="Процентный 7 2 9 6" xfId="27864" xr:uid="{00000000-0005-0000-0000-0000A9DF0000}"/>
    <cellStyle name="Процентный 7 2 9 7" xfId="33204" xr:uid="{00000000-0005-0000-0000-0000AADF0000}"/>
    <cellStyle name="Процентный 7 2 9 8" xfId="38544" xr:uid="{00000000-0005-0000-0000-0000ABDF0000}"/>
    <cellStyle name="Процентный 7 2 9 9" xfId="43884" xr:uid="{00000000-0005-0000-0000-0000ACDF0000}"/>
    <cellStyle name="Процентный 7 2 90" xfId="3525" xr:uid="{00000000-0005-0000-0000-0000ADDF0000}"/>
    <cellStyle name="Процентный 7 2 90 10" xfId="51588" xr:uid="{00000000-0005-0000-0000-0000AEDF0000}"/>
    <cellStyle name="Процентный 7 2 90 2" xfId="8868" xr:uid="{00000000-0005-0000-0000-0000AFDF0000}"/>
    <cellStyle name="Процентный 7 2 90 2 2" xfId="56929" xr:uid="{00000000-0005-0000-0000-0000B0DF0000}"/>
    <cellStyle name="Процентный 7 2 90 3" xfId="14208" xr:uid="{00000000-0005-0000-0000-0000B1DF0000}"/>
    <cellStyle name="Процентный 7 2 90 4" xfId="19548" xr:uid="{00000000-0005-0000-0000-0000B2DF0000}"/>
    <cellStyle name="Процентный 7 2 90 5" xfId="24888" xr:uid="{00000000-0005-0000-0000-0000B3DF0000}"/>
    <cellStyle name="Процентный 7 2 90 6" xfId="30228" xr:uid="{00000000-0005-0000-0000-0000B4DF0000}"/>
    <cellStyle name="Процентный 7 2 90 7" xfId="35568" xr:uid="{00000000-0005-0000-0000-0000B5DF0000}"/>
    <cellStyle name="Процентный 7 2 90 8" xfId="40908" xr:uid="{00000000-0005-0000-0000-0000B6DF0000}"/>
    <cellStyle name="Процентный 7 2 90 9" xfId="46248" xr:uid="{00000000-0005-0000-0000-0000B7DF0000}"/>
    <cellStyle name="Процентный 7 2 91" xfId="3557" xr:uid="{00000000-0005-0000-0000-0000B8DF0000}"/>
    <cellStyle name="Процентный 7 2 91 10" xfId="51620" xr:uid="{00000000-0005-0000-0000-0000B9DF0000}"/>
    <cellStyle name="Процентный 7 2 91 2" xfId="8900" xr:uid="{00000000-0005-0000-0000-0000BADF0000}"/>
    <cellStyle name="Процентный 7 2 91 2 2" xfId="56961" xr:uid="{00000000-0005-0000-0000-0000BBDF0000}"/>
    <cellStyle name="Процентный 7 2 91 3" xfId="14240" xr:uid="{00000000-0005-0000-0000-0000BCDF0000}"/>
    <cellStyle name="Процентный 7 2 91 4" xfId="19580" xr:uid="{00000000-0005-0000-0000-0000BDDF0000}"/>
    <cellStyle name="Процентный 7 2 91 5" xfId="24920" xr:uid="{00000000-0005-0000-0000-0000BEDF0000}"/>
    <cellStyle name="Процентный 7 2 91 6" xfId="30260" xr:uid="{00000000-0005-0000-0000-0000BFDF0000}"/>
    <cellStyle name="Процентный 7 2 91 7" xfId="35600" xr:uid="{00000000-0005-0000-0000-0000C0DF0000}"/>
    <cellStyle name="Процентный 7 2 91 8" xfId="40940" xr:uid="{00000000-0005-0000-0000-0000C1DF0000}"/>
    <cellStyle name="Процентный 7 2 91 9" xfId="46280" xr:uid="{00000000-0005-0000-0000-0000C2DF0000}"/>
    <cellStyle name="Процентный 7 2 92" xfId="3589" xr:uid="{00000000-0005-0000-0000-0000C3DF0000}"/>
    <cellStyle name="Процентный 7 2 92 10" xfId="51652" xr:uid="{00000000-0005-0000-0000-0000C4DF0000}"/>
    <cellStyle name="Процентный 7 2 92 2" xfId="8932" xr:uid="{00000000-0005-0000-0000-0000C5DF0000}"/>
    <cellStyle name="Процентный 7 2 92 2 2" xfId="56993" xr:uid="{00000000-0005-0000-0000-0000C6DF0000}"/>
    <cellStyle name="Процентный 7 2 92 3" xfId="14272" xr:uid="{00000000-0005-0000-0000-0000C7DF0000}"/>
    <cellStyle name="Процентный 7 2 92 4" xfId="19612" xr:uid="{00000000-0005-0000-0000-0000C8DF0000}"/>
    <cellStyle name="Процентный 7 2 92 5" xfId="24952" xr:uid="{00000000-0005-0000-0000-0000C9DF0000}"/>
    <cellStyle name="Процентный 7 2 92 6" xfId="30292" xr:uid="{00000000-0005-0000-0000-0000CADF0000}"/>
    <cellStyle name="Процентный 7 2 92 7" xfId="35632" xr:uid="{00000000-0005-0000-0000-0000CBDF0000}"/>
    <cellStyle name="Процентный 7 2 92 8" xfId="40972" xr:uid="{00000000-0005-0000-0000-0000CCDF0000}"/>
    <cellStyle name="Процентный 7 2 92 9" xfId="46312" xr:uid="{00000000-0005-0000-0000-0000CDDF0000}"/>
    <cellStyle name="Процентный 7 2 93" xfId="3621" xr:uid="{00000000-0005-0000-0000-0000CEDF0000}"/>
    <cellStyle name="Процентный 7 2 93 10" xfId="51684" xr:uid="{00000000-0005-0000-0000-0000CFDF0000}"/>
    <cellStyle name="Процентный 7 2 93 2" xfId="8964" xr:uid="{00000000-0005-0000-0000-0000D0DF0000}"/>
    <cellStyle name="Процентный 7 2 93 2 2" xfId="57025" xr:uid="{00000000-0005-0000-0000-0000D1DF0000}"/>
    <cellStyle name="Процентный 7 2 93 3" xfId="14304" xr:uid="{00000000-0005-0000-0000-0000D2DF0000}"/>
    <cellStyle name="Процентный 7 2 93 4" xfId="19644" xr:uid="{00000000-0005-0000-0000-0000D3DF0000}"/>
    <cellStyle name="Процентный 7 2 93 5" xfId="24984" xr:uid="{00000000-0005-0000-0000-0000D4DF0000}"/>
    <cellStyle name="Процентный 7 2 93 6" xfId="30324" xr:uid="{00000000-0005-0000-0000-0000D5DF0000}"/>
    <cellStyle name="Процентный 7 2 93 7" xfId="35664" xr:uid="{00000000-0005-0000-0000-0000D6DF0000}"/>
    <cellStyle name="Процентный 7 2 93 8" xfId="41004" xr:uid="{00000000-0005-0000-0000-0000D7DF0000}"/>
    <cellStyle name="Процентный 7 2 93 9" xfId="46344" xr:uid="{00000000-0005-0000-0000-0000D8DF0000}"/>
    <cellStyle name="Процентный 7 2 94" xfId="3653" xr:uid="{00000000-0005-0000-0000-0000D9DF0000}"/>
    <cellStyle name="Процентный 7 2 94 10" xfId="51716" xr:uid="{00000000-0005-0000-0000-0000DADF0000}"/>
    <cellStyle name="Процентный 7 2 94 2" xfId="8996" xr:uid="{00000000-0005-0000-0000-0000DBDF0000}"/>
    <cellStyle name="Процентный 7 2 94 2 2" xfId="57057" xr:uid="{00000000-0005-0000-0000-0000DCDF0000}"/>
    <cellStyle name="Процентный 7 2 94 3" xfId="14336" xr:uid="{00000000-0005-0000-0000-0000DDDF0000}"/>
    <cellStyle name="Процентный 7 2 94 4" xfId="19676" xr:uid="{00000000-0005-0000-0000-0000DEDF0000}"/>
    <cellStyle name="Процентный 7 2 94 5" xfId="25016" xr:uid="{00000000-0005-0000-0000-0000DFDF0000}"/>
    <cellStyle name="Процентный 7 2 94 6" xfId="30356" xr:uid="{00000000-0005-0000-0000-0000E0DF0000}"/>
    <cellStyle name="Процентный 7 2 94 7" xfId="35696" xr:uid="{00000000-0005-0000-0000-0000E1DF0000}"/>
    <cellStyle name="Процентный 7 2 94 8" xfId="41036" xr:uid="{00000000-0005-0000-0000-0000E2DF0000}"/>
    <cellStyle name="Процентный 7 2 94 9" xfId="46376" xr:uid="{00000000-0005-0000-0000-0000E3DF0000}"/>
    <cellStyle name="Процентный 7 2 95" xfId="3685" xr:uid="{00000000-0005-0000-0000-0000E4DF0000}"/>
    <cellStyle name="Процентный 7 2 95 10" xfId="51748" xr:uid="{00000000-0005-0000-0000-0000E5DF0000}"/>
    <cellStyle name="Процентный 7 2 95 2" xfId="9028" xr:uid="{00000000-0005-0000-0000-0000E6DF0000}"/>
    <cellStyle name="Процентный 7 2 95 2 2" xfId="57089" xr:uid="{00000000-0005-0000-0000-0000E7DF0000}"/>
    <cellStyle name="Процентный 7 2 95 3" xfId="14368" xr:uid="{00000000-0005-0000-0000-0000E8DF0000}"/>
    <cellStyle name="Процентный 7 2 95 4" xfId="19708" xr:uid="{00000000-0005-0000-0000-0000E9DF0000}"/>
    <cellStyle name="Процентный 7 2 95 5" xfId="25048" xr:uid="{00000000-0005-0000-0000-0000EADF0000}"/>
    <cellStyle name="Процентный 7 2 95 6" xfId="30388" xr:uid="{00000000-0005-0000-0000-0000EBDF0000}"/>
    <cellStyle name="Процентный 7 2 95 7" xfId="35728" xr:uid="{00000000-0005-0000-0000-0000ECDF0000}"/>
    <cellStyle name="Процентный 7 2 95 8" xfId="41068" xr:uid="{00000000-0005-0000-0000-0000EDDF0000}"/>
    <cellStyle name="Процентный 7 2 95 9" xfId="46408" xr:uid="{00000000-0005-0000-0000-0000EEDF0000}"/>
    <cellStyle name="Процентный 7 2 96" xfId="3717" xr:uid="{00000000-0005-0000-0000-0000EFDF0000}"/>
    <cellStyle name="Процентный 7 2 96 10" xfId="51780" xr:uid="{00000000-0005-0000-0000-0000F0DF0000}"/>
    <cellStyle name="Процентный 7 2 96 2" xfId="9060" xr:uid="{00000000-0005-0000-0000-0000F1DF0000}"/>
    <cellStyle name="Процентный 7 2 96 2 2" xfId="57121" xr:uid="{00000000-0005-0000-0000-0000F2DF0000}"/>
    <cellStyle name="Процентный 7 2 96 3" xfId="14400" xr:uid="{00000000-0005-0000-0000-0000F3DF0000}"/>
    <cellStyle name="Процентный 7 2 96 4" xfId="19740" xr:uid="{00000000-0005-0000-0000-0000F4DF0000}"/>
    <cellStyle name="Процентный 7 2 96 5" xfId="25080" xr:uid="{00000000-0005-0000-0000-0000F5DF0000}"/>
    <cellStyle name="Процентный 7 2 96 6" xfId="30420" xr:uid="{00000000-0005-0000-0000-0000F6DF0000}"/>
    <cellStyle name="Процентный 7 2 96 7" xfId="35760" xr:uid="{00000000-0005-0000-0000-0000F7DF0000}"/>
    <cellStyle name="Процентный 7 2 96 8" xfId="41100" xr:uid="{00000000-0005-0000-0000-0000F8DF0000}"/>
    <cellStyle name="Процентный 7 2 96 9" xfId="46440" xr:uid="{00000000-0005-0000-0000-0000F9DF0000}"/>
    <cellStyle name="Процентный 7 2 97" xfId="3749" xr:uid="{00000000-0005-0000-0000-0000FADF0000}"/>
    <cellStyle name="Процентный 7 2 97 10" xfId="51812" xr:uid="{00000000-0005-0000-0000-0000FBDF0000}"/>
    <cellStyle name="Процентный 7 2 97 2" xfId="9092" xr:uid="{00000000-0005-0000-0000-0000FCDF0000}"/>
    <cellStyle name="Процентный 7 2 97 2 2" xfId="57153" xr:uid="{00000000-0005-0000-0000-0000FDDF0000}"/>
    <cellStyle name="Процентный 7 2 97 3" xfId="14432" xr:uid="{00000000-0005-0000-0000-0000FEDF0000}"/>
    <cellStyle name="Процентный 7 2 97 4" xfId="19772" xr:uid="{00000000-0005-0000-0000-0000FFDF0000}"/>
    <cellStyle name="Процентный 7 2 97 5" xfId="25112" xr:uid="{00000000-0005-0000-0000-000000E00000}"/>
    <cellStyle name="Процентный 7 2 97 6" xfId="30452" xr:uid="{00000000-0005-0000-0000-000001E00000}"/>
    <cellStyle name="Процентный 7 2 97 7" xfId="35792" xr:uid="{00000000-0005-0000-0000-000002E00000}"/>
    <cellStyle name="Процентный 7 2 97 8" xfId="41132" xr:uid="{00000000-0005-0000-0000-000003E00000}"/>
    <cellStyle name="Процентный 7 2 97 9" xfId="46472" xr:uid="{00000000-0005-0000-0000-000004E00000}"/>
    <cellStyle name="Процентный 7 2 98" xfId="3781" xr:uid="{00000000-0005-0000-0000-000005E00000}"/>
    <cellStyle name="Процентный 7 2 98 10" xfId="51844" xr:uid="{00000000-0005-0000-0000-000006E00000}"/>
    <cellStyle name="Процентный 7 2 98 2" xfId="9124" xr:uid="{00000000-0005-0000-0000-000007E00000}"/>
    <cellStyle name="Процентный 7 2 98 2 2" xfId="57185" xr:uid="{00000000-0005-0000-0000-000008E00000}"/>
    <cellStyle name="Процентный 7 2 98 3" xfId="14464" xr:uid="{00000000-0005-0000-0000-000009E00000}"/>
    <cellStyle name="Процентный 7 2 98 4" xfId="19804" xr:uid="{00000000-0005-0000-0000-00000AE00000}"/>
    <cellStyle name="Процентный 7 2 98 5" xfId="25144" xr:uid="{00000000-0005-0000-0000-00000BE00000}"/>
    <cellStyle name="Процентный 7 2 98 6" xfId="30484" xr:uid="{00000000-0005-0000-0000-00000CE00000}"/>
    <cellStyle name="Процентный 7 2 98 7" xfId="35824" xr:uid="{00000000-0005-0000-0000-00000DE00000}"/>
    <cellStyle name="Процентный 7 2 98 8" xfId="41164" xr:uid="{00000000-0005-0000-0000-00000EE00000}"/>
    <cellStyle name="Процентный 7 2 98 9" xfId="46504" xr:uid="{00000000-0005-0000-0000-00000FE00000}"/>
    <cellStyle name="Процентный 7 2 99" xfId="3813" xr:uid="{00000000-0005-0000-0000-000010E00000}"/>
    <cellStyle name="Процентный 7 2 99 10" xfId="51876" xr:uid="{00000000-0005-0000-0000-000011E00000}"/>
    <cellStyle name="Процентный 7 2 99 2" xfId="9156" xr:uid="{00000000-0005-0000-0000-000012E00000}"/>
    <cellStyle name="Процентный 7 2 99 2 2" xfId="57217" xr:uid="{00000000-0005-0000-0000-000013E00000}"/>
    <cellStyle name="Процентный 7 2 99 3" xfId="14496" xr:uid="{00000000-0005-0000-0000-000014E00000}"/>
    <cellStyle name="Процентный 7 2 99 4" xfId="19836" xr:uid="{00000000-0005-0000-0000-000015E00000}"/>
    <cellStyle name="Процентный 7 2 99 5" xfId="25176" xr:uid="{00000000-0005-0000-0000-000016E00000}"/>
    <cellStyle name="Процентный 7 2 99 6" xfId="30516" xr:uid="{00000000-0005-0000-0000-000017E00000}"/>
    <cellStyle name="Процентный 7 2 99 7" xfId="35856" xr:uid="{00000000-0005-0000-0000-000018E00000}"/>
    <cellStyle name="Процентный 7 2 99 8" xfId="41196" xr:uid="{00000000-0005-0000-0000-000019E00000}"/>
    <cellStyle name="Процентный 7 2 99 9" xfId="46536" xr:uid="{00000000-0005-0000-0000-00001AE00000}"/>
    <cellStyle name="Процентный 7 20" xfId="1227" xr:uid="{00000000-0005-0000-0000-00001BE00000}"/>
    <cellStyle name="Процентный 7 20 10" xfId="49290" xr:uid="{00000000-0005-0000-0000-00001CE00000}"/>
    <cellStyle name="Процентный 7 20 2" xfId="6569" xr:uid="{00000000-0005-0000-0000-00001DE00000}"/>
    <cellStyle name="Процентный 7 20 2 2" xfId="54631" xr:uid="{00000000-0005-0000-0000-00001EE00000}"/>
    <cellStyle name="Процентный 7 20 3" xfId="11910" xr:uid="{00000000-0005-0000-0000-00001FE00000}"/>
    <cellStyle name="Процентный 7 20 4" xfId="17250" xr:uid="{00000000-0005-0000-0000-000020E00000}"/>
    <cellStyle name="Процентный 7 20 5" xfId="22590" xr:uid="{00000000-0005-0000-0000-000021E00000}"/>
    <cellStyle name="Процентный 7 20 6" xfId="27930" xr:uid="{00000000-0005-0000-0000-000022E00000}"/>
    <cellStyle name="Процентный 7 20 7" xfId="33270" xr:uid="{00000000-0005-0000-0000-000023E00000}"/>
    <cellStyle name="Процентный 7 20 8" xfId="38610" xr:uid="{00000000-0005-0000-0000-000024E00000}"/>
    <cellStyle name="Процентный 7 20 9" xfId="43950" xr:uid="{00000000-0005-0000-0000-000025E00000}"/>
    <cellStyle name="Процентный 7 21" xfId="1253" xr:uid="{00000000-0005-0000-0000-000026E00000}"/>
    <cellStyle name="Процентный 7 21 10" xfId="49316" xr:uid="{00000000-0005-0000-0000-000027E00000}"/>
    <cellStyle name="Процентный 7 21 2" xfId="6595" xr:uid="{00000000-0005-0000-0000-000028E00000}"/>
    <cellStyle name="Процентный 7 21 2 2" xfId="54657" xr:uid="{00000000-0005-0000-0000-000029E00000}"/>
    <cellStyle name="Процентный 7 21 3" xfId="11936" xr:uid="{00000000-0005-0000-0000-00002AE00000}"/>
    <cellStyle name="Процентный 7 21 4" xfId="17276" xr:uid="{00000000-0005-0000-0000-00002BE00000}"/>
    <cellStyle name="Процентный 7 21 5" xfId="22616" xr:uid="{00000000-0005-0000-0000-00002CE00000}"/>
    <cellStyle name="Процентный 7 21 6" xfId="27956" xr:uid="{00000000-0005-0000-0000-00002DE00000}"/>
    <cellStyle name="Процентный 7 21 7" xfId="33296" xr:uid="{00000000-0005-0000-0000-00002EE00000}"/>
    <cellStyle name="Процентный 7 21 8" xfId="38636" xr:uid="{00000000-0005-0000-0000-00002FE00000}"/>
    <cellStyle name="Процентный 7 21 9" xfId="43976" xr:uid="{00000000-0005-0000-0000-000030E00000}"/>
    <cellStyle name="Процентный 7 22" xfId="1279" xr:uid="{00000000-0005-0000-0000-000031E00000}"/>
    <cellStyle name="Процентный 7 22 10" xfId="49342" xr:uid="{00000000-0005-0000-0000-000032E00000}"/>
    <cellStyle name="Процентный 7 22 2" xfId="6621" xr:uid="{00000000-0005-0000-0000-000033E00000}"/>
    <cellStyle name="Процентный 7 22 2 2" xfId="54683" xr:uid="{00000000-0005-0000-0000-000034E00000}"/>
    <cellStyle name="Процентный 7 22 3" xfId="11962" xr:uid="{00000000-0005-0000-0000-000035E00000}"/>
    <cellStyle name="Процентный 7 22 4" xfId="17302" xr:uid="{00000000-0005-0000-0000-000036E00000}"/>
    <cellStyle name="Процентный 7 22 5" xfId="22642" xr:uid="{00000000-0005-0000-0000-000037E00000}"/>
    <cellStyle name="Процентный 7 22 6" xfId="27982" xr:uid="{00000000-0005-0000-0000-000038E00000}"/>
    <cellStyle name="Процентный 7 22 7" xfId="33322" xr:uid="{00000000-0005-0000-0000-000039E00000}"/>
    <cellStyle name="Процентный 7 22 8" xfId="38662" xr:uid="{00000000-0005-0000-0000-00003AE00000}"/>
    <cellStyle name="Процентный 7 22 9" xfId="44002" xr:uid="{00000000-0005-0000-0000-00003BE00000}"/>
    <cellStyle name="Процентный 7 23" xfId="1305" xr:uid="{00000000-0005-0000-0000-00003CE00000}"/>
    <cellStyle name="Процентный 7 23 10" xfId="49368" xr:uid="{00000000-0005-0000-0000-00003DE00000}"/>
    <cellStyle name="Процентный 7 23 2" xfId="6647" xr:uid="{00000000-0005-0000-0000-00003EE00000}"/>
    <cellStyle name="Процентный 7 23 2 2" xfId="54709" xr:uid="{00000000-0005-0000-0000-00003FE00000}"/>
    <cellStyle name="Процентный 7 23 3" xfId="11988" xr:uid="{00000000-0005-0000-0000-000040E00000}"/>
    <cellStyle name="Процентный 7 23 4" xfId="17328" xr:uid="{00000000-0005-0000-0000-000041E00000}"/>
    <cellStyle name="Процентный 7 23 5" xfId="22668" xr:uid="{00000000-0005-0000-0000-000042E00000}"/>
    <cellStyle name="Процентный 7 23 6" xfId="28008" xr:uid="{00000000-0005-0000-0000-000043E00000}"/>
    <cellStyle name="Процентный 7 23 7" xfId="33348" xr:uid="{00000000-0005-0000-0000-000044E00000}"/>
    <cellStyle name="Процентный 7 23 8" xfId="38688" xr:uid="{00000000-0005-0000-0000-000045E00000}"/>
    <cellStyle name="Процентный 7 23 9" xfId="44028" xr:uid="{00000000-0005-0000-0000-000046E00000}"/>
    <cellStyle name="Процентный 7 24" xfId="1331" xr:uid="{00000000-0005-0000-0000-000047E00000}"/>
    <cellStyle name="Процентный 7 24 10" xfId="49394" xr:uid="{00000000-0005-0000-0000-000048E00000}"/>
    <cellStyle name="Процентный 7 24 2" xfId="6673" xr:uid="{00000000-0005-0000-0000-000049E00000}"/>
    <cellStyle name="Процентный 7 24 2 2" xfId="54735" xr:uid="{00000000-0005-0000-0000-00004AE00000}"/>
    <cellStyle name="Процентный 7 24 3" xfId="12014" xr:uid="{00000000-0005-0000-0000-00004BE00000}"/>
    <cellStyle name="Процентный 7 24 4" xfId="17354" xr:uid="{00000000-0005-0000-0000-00004CE00000}"/>
    <cellStyle name="Процентный 7 24 5" xfId="22694" xr:uid="{00000000-0005-0000-0000-00004DE00000}"/>
    <cellStyle name="Процентный 7 24 6" xfId="28034" xr:uid="{00000000-0005-0000-0000-00004EE00000}"/>
    <cellStyle name="Процентный 7 24 7" xfId="33374" xr:uid="{00000000-0005-0000-0000-00004FE00000}"/>
    <cellStyle name="Процентный 7 24 8" xfId="38714" xr:uid="{00000000-0005-0000-0000-000050E00000}"/>
    <cellStyle name="Процентный 7 24 9" xfId="44054" xr:uid="{00000000-0005-0000-0000-000051E00000}"/>
    <cellStyle name="Процентный 7 25" xfId="1357" xr:uid="{00000000-0005-0000-0000-000052E00000}"/>
    <cellStyle name="Процентный 7 25 10" xfId="49420" xr:uid="{00000000-0005-0000-0000-000053E00000}"/>
    <cellStyle name="Процентный 7 25 2" xfId="6699" xr:uid="{00000000-0005-0000-0000-000054E00000}"/>
    <cellStyle name="Процентный 7 25 2 2" xfId="54761" xr:uid="{00000000-0005-0000-0000-000055E00000}"/>
    <cellStyle name="Процентный 7 25 3" xfId="12040" xr:uid="{00000000-0005-0000-0000-000056E00000}"/>
    <cellStyle name="Процентный 7 25 4" xfId="17380" xr:uid="{00000000-0005-0000-0000-000057E00000}"/>
    <cellStyle name="Процентный 7 25 5" xfId="22720" xr:uid="{00000000-0005-0000-0000-000058E00000}"/>
    <cellStyle name="Процентный 7 25 6" xfId="28060" xr:uid="{00000000-0005-0000-0000-000059E00000}"/>
    <cellStyle name="Процентный 7 25 7" xfId="33400" xr:uid="{00000000-0005-0000-0000-00005AE00000}"/>
    <cellStyle name="Процентный 7 25 8" xfId="38740" xr:uid="{00000000-0005-0000-0000-00005BE00000}"/>
    <cellStyle name="Процентный 7 25 9" xfId="44080" xr:uid="{00000000-0005-0000-0000-00005CE00000}"/>
    <cellStyle name="Процентный 7 26" xfId="1383" xr:uid="{00000000-0005-0000-0000-00005DE00000}"/>
    <cellStyle name="Процентный 7 26 10" xfId="49446" xr:uid="{00000000-0005-0000-0000-00005EE00000}"/>
    <cellStyle name="Процентный 7 26 2" xfId="6725" xr:uid="{00000000-0005-0000-0000-00005FE00000}"/>
    <cellStyle name="Процентный 7 26 2 2" xfId="54787" xr:uid="{00000000-0005-0000-0000-000060E00000}"/>
    <cellStyle name="Процентный 7 26 3" xfId="12066" xr:uid="{00000000-0005-0000-0000-000061E00000}"/>
    <cellStyle name="Процентный 7 26 4" xfId="17406" xr:uid="{00000000-0005-0000-0000-000062E00000}"/>
    <cellStyle name="Процентный 7 26 5" xfId="22746" xr:uid="{00000000-0005-0000-0000-000063E00000}"/>
    <cellStyle name="Процентный 7 26 6" xfId="28086" xr:uid="{00000000-0005-0000-0000-000064E00000}"/>
    <cellStyle name="Процентный 7 26 7" xfId="33426" xr:uid="{00000000-0005-0000-0000-000065E00000}"/>
    <cellStyle name="Процентный 7 26 8" xfId="38766" xr:uid="{00000000-0005-0000-0000-000066E00000}"/>
    <cellStyle name="Процентный 7 26 9" xfId="44106" xr:uid="{00000000-0005-0000-0000-000067E00000}"/>
    <cellStyle name="Процентный 7 27" xfId="1409" xr:uid="{00000000-0005-0000-0000-000068E00000}"/>
    <cellStyle name="Процентный 7 27 10" xfId="49472" xr:uid="{00000000-0005-0000-0000-000069E00000}"/>
    <cellStyle name="Процентный 7 27 2" xfId="6751" xr:uid="{00000000-0005-0000-0000-00006AE00000}"/>
    <cellStyle name="Процентный 7 27 2 2" xfId="54813" xr:uid="{00000000-0005-0000-0000-00006BE00000}"/>
    <cellStyle name="Процентный 7 27 3" xfId="12092" xr:uid="{00000000-0005-0000-0000-00006CE00000}"/>
    <cellStyle name="Процентный 7 27 4" xfId="17432" xr:uid="{00000000-0005-0000-0000-00006DE00000}"/>
    <cellStyle name="Процентный 7 27 5" xfId="22772" xr:uid="{00000000-0005-0000-0000-00006EE00000}"/>
    <cellStyle name="Процентный 7 27 6" xfId="28112" xr:uid="{00000000-0005-0000-0000-00006FE00000}"/>
    <cellStyle name="Процентный 7 27 7" xfId="33452" xr:uid="{00000000-0005-0000-0000-000070E00000}"/>
    <cellStyle name="Процентный 7 27 8" xfId="38792" xr:uid="{00000000-0005-0000-0000-000071E00000}"/>
    <cellStyle name="Процентный 7 27 9" xfId="44132" xr:uid="{00000000-0005-0000-0000-000072E00000}"/>
    <cellStyle name="Процентный 7 28" xfId="1435" xr:uid="{00000000-0005-0000-0000-000073E00000}"/>
    <cellStyle name="Процентный 7 28 10" xfId="49498" xr:uid="{00000000-0005-0000-0000-000074E00000}"/>
    <cellStyle name="Процентный 7 28 2" xfId="6777" xr:uid="{00000000-0005-0000-0000-000075E00000}"/>
    <cellStyle name="Процентный 7 28 2 2" xfId="54839" xr:uid="{00000000-0005-0000-0000-000076E00000}"/>
    <cellStyle name="Процентный 7 28 3" xfId="12118" xr:uid="{00000000-0005-0000-0000-000077E00000}"/>
    <cellStyle name="Процентный 7 28 4" xfId="17458" xr:uid="{00000000-0005-0000-0000-000078E00000}"/>
    <cellStyle name="Процентный 7 28 5" xfId="22798" xr:uid="{00000000-0005-0000-0000-000079E00000}"/>
    <cellStyle name="Процентный 7 28 6" xfId="28138" xr:uid="{00000000-0005-0000-0000-00007AE00000}"/>
    <cellStyle name="Процентный 7 28 7" xfId="33478" xr:uid="{00000000-0005-0000-0000-00007BE00000}"/>
    <cellStyle name="Процентный 7 28 8" xfId="38818" xr:uid="{00000000-0005-0000-0000-00007CE00000}"/>
    <cellStyle name="Процентный 7 28 9" xfId="44158" xr:uid="{00000000-0005-0000-0000-00007DE00000}"/>
    <cellStyle name="Процентный 7 29" xfId="1461" xr:uid="{00000000-0005-0000-0000-00007EE00000}"/>
    <cellStyle name="Процентный 7 29 10" xfId="49524" xr:uid="{00000000-0005-0000-0000-00007FE00000}"/>
    <cellStyle name="Процентный 7 29 2" xfId="6803" xr:uid="{00000000-0005-0000-0000-000080E00000}"/>
    <cellStyle name="Процентный 7 29 2 2" xfId="54865" xr:uid="{00000000-0005-0000-0000-000081E00000}"/>
    <cellStyle name="Процентный 7 29 3" xfId="12144" xr:uid="{00000000-0005-0000-0000-000082E00000}"/>
    <cellStyle name="Процентный 7 29 4" xfId="17484" xr:uid="{00000000-0005-0000-0000-000083E00000}"/>
    <cellStyle name="Процентный 7 29 5" xfId="22824" xr:uid="{00000000-0005-0000-0000-000084E00000}"/>
    <cellStyle name="Процентный 7 29 6" xfId="28164" xr:uid="{00000000-0005-0000-0000-000085E00000}"/>
    <cellStyle name="Процентный 7 29 7" xfId="33504" xr:uid="{00000000-0005-0000-0000-000086E00000}"/>
    <cellStyle name="Процентный 7 29 8" xfId="38844" xr:uid="{00000000-0005-0000-0000-000087E00000}"/>
    <cellStyle name="Процентный 7 29 9" xfId="44184" xr:uid="{00000000-0005-0000-0000-000088E00000}"/>
    <cellStyle name="Процентный 7 3" xfId="447" xr:uid="{00000000-0005-0000-0000-000089E00000}"/>
    <cellStyle name="Процентный 7 3 10" xfId="43169" xr:uid="{00000000-0005-0000-0000-00008AE00000}"/>
    <cellStyle name="Процентный 7 3 11" xfId="48509" xr:uid="{00000000-0005-0000-0000-00008BE00000}"/>
    <cellStyle name="Процентный 7 3 2" xfId="914" xr:uid="{00000000-0005-0000-0000-00008CE00000}"/>
    <cellStyle name="Процентный 7 3 2 10" xfId="48976" xr:uid="{00000000-0005-0000-0000-00008DE00000}"/>
    <cellStyle name="Процентный 7 3 2 2" xfId="6255" xr:uid="{00000000-0005-0000-0000-00008EE00000}"/>
    <cellStyle name="Процентный 7 3 2 2 2" xfId="54317" xr:uid="{00000000-0005-0000-0000-00008FE00000}"/>
    <cellStyle name="Процентный 7 3 2 3" xfId="11596" xr:uid="{00000000-0005-0000-0000-000090E00000}"/>
    <cellStyle name="Процентный 7 3 2 4" xfId="16936" xr:uid="{00000000-0005-0000-0000-000091E00000}"/>
    <cellStyle name="Процентный 7 3 2 5" xfId="22276" xr:uid="{00000000-0005-0000-0000-000092E00000}"/>
    <cellStyle name="Процентный 7 3 2 6" xfId="27616" xr:uid="{00000000-0005-0000-0000-000093E00000}"/>
    <cellStyle name="Процентный 7 3 2 7" xfId="32956" xr:uid="{00000000-0005-0000-0000-000094E00000}"/>
    <cellStyle name="Процентный 7 3 2 8" xfId="38296" xr:uid="{00000000-0005-0000-0000-000095E00000}"/>
    <cellStyle name="Процентный 7 3 2 9" xfId="43636" xr:uid="{00000000-0005-0000-0000-000096E00000}"/>
    <cellStyle name="Процентный 7 3 3" xfId="5788" xr:uid="{00000000-0005-0000-0000-000097E00000}"/>
    <cellStyle name="Процентный 7 3 3 2" xfId="53850" xr:uid="{00000000-0005-0000-0000-000098E00000}"/>
    <cellStyle name="Процентный 7 3 4" xfId="11129" xr:uid="{00000000-0005-0000-0000-000099E00000}"/>
    <cellStyle name="Процентный 7 3 5" xfId="16469" xr:uid="{00000000-0005-0000-0000-00009AE00000}"/>
    <cellStyle name="Процентный 7 3 6" xfId="21809" xr:uid="{00000000-0005-0000-0000-00009BE00000}"/>
    <cellStyle name="Процентный 7 3 7" xfId="27149" xr:uid="{00000000-0005-0000-0000-00009CE00000}"/>
    <cellStyle name="Процентный 7 3 8" xfId="32489" xr:uid="{00000000-0005-0000-0000-00009DE00000}"/>
    <cellStyle name="Процентный 7 3 9" xfId="37829" xr:uid="{00000000-0005-0000-0000-00009EE00000}"/>
    <cellStyle name="Процентный 7 30" xfId="1487" xr:uid="{00000000-0005-0000-0000-00009FE00000}"/>
    <cellStyle name="Процентный 7 30 10" xfId="49550" xr:uid="{00000000-0005-0000-0000-0000A0E00000}"/>
    <cellStyle name="Процентный 7 30 2" xfId="6829" xr:uid="{00000000-0005-0000-0000-0000A1E00000}"/>
    <cellStyle name="Процентный 7 30 2 2" xfId="54891" xr:uid="{00000000-0005-0000-0000-0000A2E00000}"/>
    <cellStyle name="Процентный 7 30 3" xfId="12170" xr:uid="{00000000-0005-0000-0000-0000A3E00000}"/>
    <cellStyle name="Процентный 7 30 4" xfId="17510" xr:uid="{00000000-0005-0000-0000-0000A4E00000}"/>
    <cellStyle name="Процентный 7 30 5" xfId="22850" xr:uid="{00000000-0005-0000-0000-0000A5E00000}"/>
    <cellStyle name="Процентный 7 30 6" xfId="28190" xr:uid="{00000000-0005-0000-0000-0000A6E00000}"/>
    <cellStyle name="Процентный 7 30 7" xfId="33530" xr:uid="{00000000-0005-0000-0000-0000A7E00000}"/>
    <cellStyle name="Процентный 7 30 8" xfId="38870" xr:uid="{00000000-0005-0000-0000-0000A8E00000}"/>
    <cellStyle name="Процентный 7 30 9" xfId="44210" xr:uid="{00000000-0005-0000-0000-0000A9E00000}"/>
    <cellStyle name="Процентный 7 31" xfId="1513" xr:uid="{00000000-0005-0000-0000-0000AAE00000}"/>
    <cellStyle name="Процентный 7 31 10" xfId="49576" xr:uid="{00000000-0005-0000-0000-0000ABE00000}"/>
    <cellStyle name="Процентный 7 31 2" xfId="6855" xr:uid="{00000000-0005-0000-0000-0000ACE00000}"/>
    <cellStyle name="Процентный 7 31 2 2" xfId="54917" xr:uid="{00000000-0005-0000-0000-0000ADE00000}"/>
    <cellStyle name="Процентный 7 31 3" xfId="12196" xr:uid="{00000000-0005-0000-0000-0000AEE00000}"/>
    <cellStyle name="Процентный 7 31 4" xfId="17536" xr:uid="{00000000-0005-0000-0000-0000AFE00000}"/>
    <cellStyle name="Процентный 7 31 5" xfId="22876" xr:uid="{00000000-0005-0000-0000-0000B0E00000}"/>
    <cellStyle name="Процентный 7 31 6" xfId="28216" xr:uid="{00000000-0005-0000-0000-0000B1E00000}"/>
    <cellStyle name="Процентный 7 31 7" xfId="33556" xr:uid="{00000000-0005-0000-0000-0000B2E00000}"/>
    <cellStyle name="Процентный 7 31 8" xfId="38896" xr:uid="{00000000-0005-0000-0000-0000B3E00000}"/>
    <cellStyle name="Процентный 7 31 9" xfId="44236" xr:uid="{00000000-0005-0000-0000-0000B4E00000}"/>
    <cellStyle name="Процентный 7 32" xfId="1539" xr:uid="{00000000-0005-0000-0000-0000B5E00000}"/>
    <cellStyle name="Процентный 7 32 10" xfId="49602" xr:uid="{00000000-0005-0000-0000-0000B6E00000}"/>
    <cellStyle name="Процентный 7 32 2" xfId="6881" xr:uid="{00000000-0005-0000-0000-0000B7E00000}"/>
    <cellStyle name="Процентный 7 32 2 2" xfId="54943" xr:uid="{00000000-0005-0000-0000-0000B8E00000}"/>
    <cellStyle name="Процентный 7 32 3" xfId="12222" xr:uid="{00000000-0005-0000-0000-0000B9E00000}"/>
    <cellStyle name="Процентный 7 32 4" xfId="17562" xr:uid="{00000000-0005-0000-0000-0000BAE00000}"/>
    <cellStyle name="Процентный 7 32 5" xfId="22902" xr:uid="{00000000-0005-0000-0000-0000BBE00000}"/>
    <cellStyle name="Процентный 7 32 6" xfId="28242" xr:uid="{00000000-0005-0000-0000-0000BCE00000}"/>
    <cellStyle name="Процентный 7 32 7" xfId="33582" xr:uid="{00000000-0005-0000-0000-0000BDE00000}"/>
    <cellStyle name="Процентный 7 32 8" xfId="38922" xr:uid="{00000000-0005-0000-0000-0000BEE00000}"/>
    <cellStyle name="Процентный 7 32 9" xfId="44262" xr:uid="{00000000-0005-0000-0000-0000BFE00000}"/>
    <cellStyle name="Процентный 7 33" xfId="1565" xr:uid="{00000000-0005-0000-0000-0000C0E00000}"/>
    <cellStyle name="Процентный 7 33 10" xfId="49628" xr:uid="{00000000-0005-0000-0000-0000C1E00000}"/>
    <cellStyle name="Процентный 7 33 2" xfId="6907" xr:uid="{00000000-0005-0000-0000-0000C2E00000}"/>
    <cellStyle name="Процентный 7 33 2 2" xfId="54969" xr:uid="{00000000-0005-0000-0000-0000C3E00000}"/>
    <cellStyle name="Процентный 7 33 3" xfId="12248" xr:uid="{00000000-0005-0000-0000-0000C4E00000}"/>
    <cellStyle name="Процентный 7 33 4" xfId="17588" xr:uid="{00000000-0005-0000-0000-0000C5E00000}"/>
    <cellStyle name="Процентный 7 33 5" xfId="22928" xr:uid="{00000000-0005-0000-0000-0000C6E00000}"/>
    <cellStyle name="Процентный 7 33 6" xfId="28268" xr:uid="{00000000-0005-0000-0000-0000C7E00000}"/>
    <cellStyle name="Процентный 7 33 7" xfId="33608" xr:uid="{00000000-0005-0000-0000-0000C8E00000}"/>
    <cellStyle name="Процентный 7 33 8" xfId="38948" xr:uid="{00000000-0005-0000-0000-0000C9E00000}"/>
    <cellStyle name="Процентный 7 33 9" xfId="44288" xr:uid="{00000000-0005-0000-0000-0000CAE00000}"/>
    <cellStyle name="Процентный 7 34" xfId="1591" xr:uid="{00000000-0005-0000-0000-0000CBE00000}"/>
    <cellStyle name="Процентный 7 34 10" xfId="49654" xr:uid="{00000000-0005-0000-0000-0000CCE00000}"/>
    <cellStyle name="Процентный 7 34 2" xfId="6933" xr:uid="{00000000-0005-0000-0000-0000CDE00000}"/>
    <cellStyle name="Процентный 7 34 2 2" xfId="54995" xr:uid="{00000000-0005-0000-0000-0000CEE00000}"/>
    <cellStyle name="Процентный 7 34 3" xfId="12274" xr:uid="{00000000-0005-0000-0000-0000CFE00000}"/>
    <cellStyle name="Процентный 7 34 4" xfId="17614" xr:uid="{00000000-0005-0000-0000-0000D0E00000}"/>
    <cellStyle name="Процентный 7 34 5" xfId="22954" xr:uid="{00000000-0005-0000-0000-0000D1E00000}"/>
    <cellStyle name="Процентный 7 34 6" xfId="28294" xr:uid="{00000000-0005-0000-0000-0000D2E00000}"/>
    <cellStyle name="Процентный 7 34 7" xfId="33634" xr:uid="{00000000-0005-0000-0000-0000D3E00000}"/>
    <cellStyle name="Процентный 7 34 8" xfId="38974" xr:uid="{00000000-0005-0000-0000-0000D4E00000}"/>
    <cellStyle name="Процентный 7 34 9" xfId="44314" xr:uid="{00000000-0005-0000-0000-0000D5E00000}"/>
    <cellStyle name="Процентный 7 35" xfId="1617" xr:uid="{00000000-0005-0000-0000-0000D6E00000}"/>
    <cellStyle name="Процентный 7 35 10" xfId="49680" xr:uid="{00000000-0005-0000-0000-0000D7E00000}"/>
    <cellStyle name="Процентный 7 35 2" xfId="6959" xr:uid="{00000000-0005-0000-0000-0000D8E00000}"/>
    <cellStyle name="Процентный 7 35 2 2" xfId="55021" xr:uid="{00000000-0005-0000-0000-0000D9E00000}"/>
    <cellStyle name="Процентный 7 35 3" xfId="12300" xr:uid="{00000000-0005-0000-0000-0000DAE00000}"/>
    <cellStyle name="Процентный 7 35 4" xfId="17640" xr:uid="{00000000-0005-0000-0000-0000DBE00000}"/>
    <cellStyle name="Процентный 7 35 5" xfId="22980" xr:uid="{00000000-0005-0000-0000-0000DCE00000}"/>
    <cellStyle name="Процентный 7 35 6" xfId="28320" xr:uid="{00000000-0005-0000-0000-0000DDE00000}"/>
    <cellStyle name="Процентный 7 35 7" xfId="33660" xr:uid="{00000000-0005-0000-0000-0000DEE00000}"/>
    <cellStyle name="Процентный 7 35 8" xfId="39000" xr:uid="{00000000-0005-0000-0000-0000DFE00000}"/>
    <cellStyle name="Процентный 7 35 9" xfId="44340" xr:uid="{00000000-0005-0000-0000-0000E0E00000}"/>
    <cellStyle name="Процентный 7 36" xfId="1643" xr:uid="{00000000-0005-0000-0000-0000E1E00000}"/>
    <cellStyle name="Процентный 7 36 10" xfId="49706" xr:uid="{00000000-0005-0000-0000-0000E2E00000}"/>
    <cellStyle name="Процентный 7 36 2" xfId="6985" xr:uid="{00000000-0005-0000-0000-0000E3E00000}"/>
    <cellStyle name="Процентный 7 36 2 2" xfId="55047" xr:uid="{00000000-0005-0000-0000-0000E4E00000}"/>
    <cellStyle name="Процентный 7 36 3" xfId="12326" xr:uid="{00000000-0005-0000-0000-0000E5E00000}"/>
    <cellStyle name="Процентный 7 36 4" xfId="17666" xr:uid="{00000000-0005-0000-0000-0000E6E00000}"/>
    <cellStyle name="Процентный 7 36 5" xfId="23006" xr:uid="{00000000-0005-0000-0000-0000E7E00000}"/>
    <cellStyle name="Процентный 7 36 6" xfId="28346" xr:uid="{00000000-0005-0000-0000-0000E8E00000}"/>
    <cellStyle name="Процентный 7 36 7" xfId="33686" xr:uid="{00000000-0005-0000-0000-0000E9E00000}"/>
    <cellStyle name="Процентный 7 36 8" xfId="39026" xr:uid="{00000000-0005-0000-0000-0000EAE00000}"/>
    <cellStyle name="Процентный 7 36 9" xfId="44366" xr:uid="{00000000-0005-0000-0000-0000EBE00000}"/>
    <cellStyle name="Процентный 7 37" xfId="1669" xr:uid="{00000000-0005-0000-0000-0000ECE00000}"/>
    <cellStyle name="Процентный 7 37 10" xfId="49732" xr:uid="{00000000-0005-0000-0000-0000EDE00000}"/>
    <cellStyle name="Процентный 7 37 2" xfId="7011" xr:uid="{00000000-0005-0000-0000-0000EEE00000}"/>
    <cellStyle name="Процентный 7 37 2 2" xfId="55073" xr:uid="{00000000-0005-0000-0000-0000EFE00000}"/>
    <cellStyle name="Процентный 7 37 3" xfId="12352" xr:uid="{00000000-0005-0000-0000-0000F0E00000}"/>
    <cellStyle name="Процентный 7 37 4" xfId="17692" xr:uid="{00000000-0005-0000-0000-0000F1E00000}"/>
    <cellStyle name="Процентный 7 37 5" xfId="23032" xr:uid="{00000000-0005-0000-0000-0000F2E00000}"/>
    <cellStyle name="Процентный 7 37 6" xfId="28372" xr:uid="{00000000-0005-0000-0000-0000F3E00000}"/>
    <cellStyle name="Процентный 7 37 7" xfId="33712" xr:uid="{00000000-0005-0000-0000-0000F4E00000}"/>
    <cellStyle name="Процентный 7 37 8" xfId="39052" xr:uid="{00000000-0005-0000-0000-0000F5E00000}"/>
    <cellStyle name="Процентный 7 37 9" xfId="44392" xr:uid="{00000000-0005-0000-0000-0000F6E00000}"/>
    <cellStyle name="Процентный 7 38" xfId="1695" xr:uid="{00000000-0005-0000-0000-0000F7E00000}"/>
    <cellStyle name="Процентный 7 38 10" xfId="49758" xr:uid="{00000000-0005-0000-0000-0000F8E00000}"/>
    <cellStyle name="Процентный 7 38 2" xfId="7037" xr:uid="{00000000-0005-0000-0000-0000F9E00000}"/>
    <cellStyle name="Процентный 7 38 2 2" xfId="55099" xr:uid="{00000000-0005-0000-0000-0000FAE00000}"/>
    <cellStyle name="Процентный 7 38 3" xfId="12378" xr:uid="{00000000-0005-0000-0000-0000FBE00000}"/>
    <cellStyle name="Процентный 7 38 4" xfId="17718" xr:uid="{00000000-0005-0000-0000-0000FCE00000}"/>
    <cellStyle name="Процентный 7 38 5" xfId="23058" xr:uid="{00000000-0005-0000-0000-0000FDE00000}"/>
    <cellStyle name="Процентный 7 38 6" xfId="28398" xr:uid="{00000000-0005-0000-0000-0000FEE00000}"/>
    <cellStyle name="Процентный 7 38 7" xfId="33738" xr:uid="{00000000-0005-0000-0000-0000FFE00000}"/>
    <cellStyle name="Процентный 7 38 8" xfId="39078" xr:uid="{00000000-0005-0000-0000-000000E10000}"/>
    <cellStyle name="Процентный 7 38 9" xfId="44418" xr:uid="{00000000-0005-0000-0000-000001E10000}"/>
    <cellStyle name="Процентный 7 39" xfId="1721" xr:uid="{00000000-0005-0000-0000-000002E10000}"/>
    <cellStyle name="Процентный 7 39 10" xfId="49784" xr:uid="{00000000-0005-0000-0000-000003E10000}"/>
    <cellStyle name="Процентный 7 39 2" xfId="7063" xr:uid="{00000000-0005-0000-0000-000004E10000}"/>
    <cellStyle name="Процентный 7 39 2 2" xfId="55125" xr:uid="{00000000-0005-0000-0000-000005E10000}"/>
    <cellStyle name="Процентный 7 39 3" xfId="12404" xr:uid="{00000000-0005-0000-0000-000006E10000}"/>
    <cellStyle name="Процентный 7 39 4" xfId="17744" xr:uid="{00000000-0005-0000-0000-000007E10000}"/>
    <cellStyle name="Процентный 7 39 5" xfId="23084" xr:uid="{00000000-0005-0000-0000-000008E10000}"/>
    <cellStyle name="Процентный 7 39 6" xfId="28424" xr:uid="{00000000-0005-0000-0000-000009E10000}"/>
    <cellStyle name="Процентный 7 39 7" xfId="33764" xr:uid="{00000000-0005-0000-0000-00000AE10000}"/>
    <cellStyle name="Процентный 7 39 8" xfId="39104" xr:uid="{00000000-0005-0000-0000-00000BE10000}"/>
    <cellStyle name="Процентный 7 39 9" xfId="44444" xr:uid="{00000000-0005-0000-0000-00000CE10000}"/>
    <cellStyle name="Процентный 7 4" xfId="459" xr:uid="{00000000-0005-0000-0000-00000DE10000}"/>
    <cellStyle name="Процентный 7 4 10" xfId="43181" xr:uid="{00000000-0005-0000-0000-00000EE10000}"/>
    <cellStyle name="Процентный 7 4 11" xfId="48521" xr:uid="{00000000-0005-0000-0000-00000FE10000}"/>
    <cellStyle name="Процентный 7 4 2" xfId="926" xr:uid="{00000000-0005-0000-0000-000010E10000}"/>
    <cellStyle name="Процентный 7 4 2 10" xfId="48988" xr:uid="{00000000-0005-0000-0000-000011E10000}"/>
    <cellStyle name="Процентный 7 4 2 2" xfId="6267" xr:uid="{00000000-0005-0000-0000-000012E10000}"/>
    <cellStyle name="Процентный 7 4 2 2 2" xfId="54329" xr:uid="{00000000-0005-0000-0000-000013E10000}"/>
    <cellStyle name="Процентный 7 4 2 3" xfId="11608" xr:uid="{00000000-0005-0000-0000-000014E10000}"/>
    <cellStyle name="Процентный 7 4 2 4" xfId="16948" xr:uid="{00000000-0005-0000-0000-000015E10000}"/>
    <cellStyle name="Процентный 7 4 2 5" xfId="22288" xr:uid="{00000000-0005-0000-0000-000016E10000}"/>
    <cellStyle name="Процентный 7 4 2 6" xfId="27628" xr:uid="{00000000-0005-0000-0000-000017E10000}"/>
    <cellStyle name="Процентный 7 4 2 7" xfId="32968" xr:uid="{00000000-0005-0000-0000-000018E10000}"/>
    <cellStyle name="Процентный 7 4 2 8" xfId="38308" xr:uid="{00000000-0005-0000-0000-000019E10000}"/>
    <cellStyle name="Процентный 7 4 2 9" xfId="43648" xr:uid="{00000000-0005-0000-0000-00001AE10000}"/>
    <cellStyle name="Процентный 7 4 3" xfId="5800" xr:uid="{00000000-0005-0000-0000-00001BE10000}"/>
    <cellStyle name="Процентный 7 4 3 2" xfId="53862" xr:uid="{00000000-0005-0000-0000-00001CE10000}"/>
    <cellStyle name="Процентный 7 4 4" xfId="11141" xr:uid="{00000000-0005-0000-0000-00001DE10000}"/>
    <cellStyle name="Процентный 7 4 5" xfId="16481" xr:uid="{00000000-0005-0000-0000-00001EE10000}"/>
    <cellStyle name="Процентный 7 4 6" xfId="21821" xr:uid="{00000000-0005-0000-0000-00001FE10000}"/>
    <cellStyle name="Процентный 7 4 7" xfId="27161" xr:uid="{00000000-0005-0000-0000-000020E10000}"/>
    <cellStyle name="Процентный 7 4 8" xfId="32501" xr:uid="{00000000-0005-0000-0000-000021E10000}"/>
    <cellStyle name="Процентный 7 4 9" xfId="37841" xr:uid="{00000000-0005-0000-0000-000022E10000}"/>
    <cellStyle name="Процентный 7 40" xfId="1747" xr:uid="{00000000-0005-0000-0000-000023E10000}"/>
    <cellStyle name="Процентный 7 40 10" xfId="49810" xr:uid="{00000000-0005-0000-0000-000024E10000}"/>
    <cellStyle name="Процентный 7 40 2" xfId="7089" xr:uid="{00000000-0005-0000-0000-000025E10000}"/>
    <cellStyle name="Процентный 7 40 2 2" xfId="55151" xr:uid="{00000000-0005-0000-0000-000026E10000}"/>
    <cellStyle name="Процентный 7 40 3" xfId="12430" xr:uid="{00000000-0005-0000-0000-000027E10000}"/>
    <cellStyle name="Процентный 7 40 4" xfId="17770" xr:uid="{00000000-0005-0000-0000-000028E10000}"/>
    <cellStyle name="Процентный 7 40 5" xfId="23110" xr:uid="{00000000-0005-0000-0000-000029E10000}"/>
    <cellStyle name="Процентный 7 40 6" xfId="28450" xr:uid="{00000000-0005-0000-0000-00002AE10000}"/>
    <cellStyle name="Процентный 7 40 7" xfId="33790" xr:uid="{00000000-0005-0000-0000-00002BE10000}"/>
    <cellStyle name="Процентный 7 40 8" xfId="39130" xr:uid="{00000000-0005-0000-0000-00002CE10000}"/>
    <cellStyle name="Процентный 7 40 9" xfId="44470" xr:uid="{00000000-0005-0000-0000-00002DE10000}"/>
    <cellStyle name="Процентный 7 41" xfId="1773" xr:uid="{00000000-0005-0000-0000-00002EE10000}"/>
    <cellStyle name="Процентный 7 41 10" xfId="49836" xr:uid="{00000000-0005-0000-0000-00002FE10000}"/>
    <cellStyle name="Процентный 7 41 2" xfId="7115" xr:uid="{00000000-0005-0000-0000-000030E10000}"/>
    <cellStyle name="Процентный 7 41 2 2" xfId="55177" xr:uid="{00000000-0005-0000-0000-000031E10000}"/>
    <cellStyle name="Процентный 7 41 3" xfId="12456" xr:uid="{00000000-0005-0000-0000-000032E10000}"/>
    <cellStyle name="Процентный 7 41 4" xfId="17796" xr:uid="{00000000-0005-0000-0000-000033E10000}"/>
    <cellStyle name="Процентный 7 41 5" xfId="23136" xr:uid="{00000000-0005-0000-0000-000034E10000}"/>
    <cellStyle name="Процентный 7 41 6" xfId="28476" xr:uid="{00000000-0005-0000-0000-000035E10000}"/>
    <cellStyle name="Процентный 7 41 7" xfId="33816" xr:uid="{00000000-0005-0000-0000-000036E10000}"/>
    <cellStyle name="Процентный 7 41 8" xfId="39156" xr:uid="{00000000-0005-0000-0000-000037E10000}"/>
    <cellStyle name="Процентный 7 41 9" xfId="44496" xr:uid="{00000000-0005-0000-0000-000038E10000}"/>
    <cellStyle name="Процентный 7 42" xfId="1799" xr:uid="{00000000-0005-0000-0000-000039E10000}"/>
    <cellStyle name="Процентный 7 42 10" xfId="49862" xr:uid="{00000000-0005-0000-0000-00003AE10000}"/>
    <cellStyle name="Процентный 7 42 2" xfId="7141" xr:uid="{00000000-0005-0000-0000-00003BE10000}"/>
    <cellStyle name="Процентный 7 42 2 2" xfId="55203" xr:uid="{00000000-0005-0000-0000-00003CE10000}"/>
    <cellStyle name="Процентный 7 42 3" xfId="12482" xr:uid="{00000000-0005-0000-0000-00003DE10000}"/>
    <cellStyle name="Процентный 7 42 4" xfId="17822" xr:uid="{00000000-0005-0000-0000-00003EE10000}"/>
    <cellStyle name="Процентный 7 42 5" xfId="23162" xr:uid="{00000000-0005-0000-0000-00003FE10000}"/>
    <cellStyle name="Процентный 7 42 6" xfId="28502" xr:uid="{00000000-0005-0000-0000-000040E10000}"/>
    <cellStyle name="Процентный 7 42 7" xfId="33842" xr:uid="{00000000-0005-0000-0000-000041E10000}"/>
    <cellStyle name="Процентный 7 42 8" xfId="39182" xr:uid="{00000000-0005-0000-0000-000042E10000}"/>
    <cellStyle name="Процентный 7 42 9" xfId="44522" xr:uid="{00000000-0005-0000-0000-000043E10000}"/>
    <cellStyle name="Процентный 7 43" xfId="1825" xr:uid="{00000000-0005-0000-0000-000044E10000}"/>
    <cellStyle name="Процентный 7 43 10" xfId="49888" xr:uid="{00000000-0005-0000-0000-000045E10000}"/>
    <cellStyle name="Процентный 7 43 2" xfId="7167" xr:uid="{00000000-0005-0000-0000-000046E10000}"/>
    <cellStyle name="Процентный 7 43 2 2" xfId="55229" xr:uid="{00000000-0005-0000-0000-000047E10000}"/>
    <cellStyle name="Процентный 7 43 3" xfId="12508" xr:uid="{00000000-0005-0000-0000-000048E10000}"/>
    <cellStyle name="Процентный 7 43 4" xfId="17848" xr:uid="{00000000-0005-0000-0000-000049E10000}"/>
    <cellStyle name="Процентный 7 43 5" xfId="23188" xr:uid="{00000000-0005-0000-0000-00004AE10000}"/>
    <cellStyle name="Процентный 7 43 6" xfId="28528" xr:uid="{00000000-0005-0000-0000-00004BE10000}"/>
    <cellStyle name="Процентный 7 43 7" xfId="33868" xr:uid="{00000000-0005-0000-0000-00004CE10000}"/>
    <cellStyle name="Процентный 7 43 8" xfId="39208" xr:uid="{00000000-0005-0000-0000-00004DE10000}"/>
    <cellStyle name="Процентный 7 43 9" xfId="44548" xr:uid="{00000000-0005-0000-0000-00004EE10000}"/>
    <cellStyle name="Процентный 7 44" xfId="1851" xr:uid="{00000000-0005-0000-0000-00004FE10000}"/>
    <cellStyle name="Процентный 7 44 10" xfId="49914" xr:uid="{00000000-0005-0000-0000-000050E10000}"/>
    <cellStyle name="Процентный 7 44 2" xfId="7193" xr:uid="{00000000-0005-0000-0000-000051E10000}"/>
    <cellStyle name="Процентный 7 44 2 2" xfId="55255" xr:uid="{00000000-0005-0000-0000-000052E10000}"/>
    <cellStyle name="Процентный 7 44 3" xfId="12534" xr:uid="{00000000-0005-0000-0000-000053E10000}"/>
    <cellStyle name="Процентный 7 44 4" xfId="17874" xr:uid="{00000000-0005-0000-0000-000054E10000}"/>
    <cellStyle name="Процентный 7 44 5" xfId="23214" xr:uid="{00000000-0005-0000-0000-000055E10000}"/>
    <cellStyle name="Процентный 7 44 6" xfId="28554" xr:uid="{00000000-0005-0000-0000-000056E10000}"/>
    <cellStyle name="Процентный 7 44 7" xfId="33894" xr:uid="{00000000-0005-0000-0000-000057E10000}"/>
    <cellStyle name="Процентный 7 44 8" xfId="39234" xr:uid="{00000000-0005-0000-0000-000058E10000}"/>
    <cellStyle name="Процентный 7 44 9" xfId="44574" xr:uid="{00000000-0005-0000-0000-000059E10000}"/>
    <cellStyle name="Процентный 7 45" xfId="1877" xr:uid="{00000000-0005-0000-0000-00005AE10000}"/>
    <cellStyle name="Процентный 7 45 10" xfId="49940" xr:uid="{00000000-0005-0000-0000-00005BE10000}"/>
    <cellStyle name="Процентный 7 45 2" xfId="7219" xr:uid="{00000000-0005-0000-0000-00005CE10000}"/>
    <cellStyle name="Процентный 7 45 2 2" xfId="55281" xr:uid="{00000000-0005-0000-0000-00005DE10000}"/>
    <cellStyle name="Процентный 7 45 3" xfId="12560" xr:uid="{00000000-0005-0000-0000-00005EE10000}"/>
    <cellStyle name="Процентный 7 45 4" xfId="17900" xr:uid="{00000000-0005-0000-0000-00005FE10000}"/>
    <cellStyle name="Процентный 7 45 5" xfId="23240" xr:uid="{00000000-0005-0000-0000-000060E10000}"/>
    <cellStyle name="Процентный 7 45 6" xfId="28580" xr:uid="{00000000-0005-0000-0000-000061E10000}"/>
    <cellStyle name="Процентный 7 45 7" xfId="33920" xr:uid="{00000000-0005-0000-0000-000062E10000}"/>
    <cellStyle name="Процентный 7 45 8" xfId="39260" xr:uid="{00000000-0005-0000-0000-000063E10000}"/>
    <cellStyle name="Процентный 7 45 9" xfId="44600" xr:uid="{00000000-0005-0000-0000-000064E10000}"/>
    <cellStyle name="Процентный 7 46" xfId="1903" xr:uid="{00000000-0005-0000-0000-000065E10000}"/>
    <cellStyle name="Процентный 7 46 10" xfId="49966" xr:uid="{00000000-0005-0000-0000-000066E10000}"/>
    <cellStyle name="Процентный 7 46 2" xfId="7245" xr:uid="{00000000-0005-0000-0000-000067E10000}"/>
    <cellStyle name="Процентный 7 46 2 2" xfId="55307" xr:uid="{00000000-0005-0000-0000-000068E10000}"/>
    <cellStyle name="Процентный 7 46 3" xfId="12586" xr:uid="{00000000-0005-0000-0000-000069E10000}"/>
    <cellStyle name="Процентный 7 46 4" xfId="17926" xr:uid="{00000000-0005-0000-0000-00006AE10000}"/>
    <cellStyle name="Процентный 7 46 5" xfId="23266" xr:uid="{00000000-0005-0000-0000-00006BE10000}"/>
    <cellStyle name="Процентный 7 46 6" xfId="28606" xr:uid="{00000000-0005-0000-0000-00006CE10000}"/>
    <cellStyle name="Процентный 7 46 7" xfId="33946" xr:uid="{00000000-0005-0000-0000-00006DE10000}"/>
    <cellStyle name="Процентный 7 46 8" xfId="39286" xr:uid="{00000000-0005-0000-0000-00006EE10000}"/>
    <cellStyle name="Процентный 7 46 9" xfId="44626" xr:uid="{00000000-0005-0000-0000-00006FE10000}"/>
    <cellStyle name="Процентный 7 47" xfId="1929" xr:uid="{00000000-0005-0000-0000-000070E10000}"/>
    <cellStyle name="Процентный 7 47 10" xfId="49992" xr:uid="{00000000-0005-0000-0000-000071E10000}"/>
    <cellStyle name="Процентный 7 47 2" xfId="7271" xr:uid="{00000000-0005-0000-0000-000072E10000}"/>
    <cellStyle name="Процентный 7 47 2 2" xfId="55333" xr:uid="{00000000-0005-0000-0000-000073E10000}"/>
    <cellStyle name="Процентный 7 47 3" xfId="12612" xr:uid="{00000000-0005-0000-0000-000074E10000}"/>
    <cellStyle name="Процентный 7 47 4" xfId="17952" xr:uid="{00000000-0005-0000-0000-000075E10000}"/>
    <cellStyle name="Процентный 7 47 5" xfId="23292" xr:uid="{00000000-0005-0000-0000-000076E10000}"/>
    <cellStyle name="Процентный 7 47 6" xfId="28632" xr:uid="{00000000-0005-0000-0000-000077E10000}"/>
    <cellStyle name="Процентный 7 47 7" xfId="33972" xr:uid="{00000000-0005-0000-0000-000078E10000}"/>
    <cellStyle name="Процентный 7 47 8" xfId="39312" xr:uid="{00000000-0005-0000-0000-000079E10000}"/>
    <cellStyle name="Процентный 7 47 9" xfId="44652" xr:uid="{00000000-0005-0000-0000-00007AE10000}"/>
    <cellStyle name="Процентный 7 48" xfId="1957" xr:uid="{00000000-0005-0000-0000-00007BE10000}"/>
    <cellStyle name="Процентный 7 48 10" xfId="50020" xr:uid="{00000000-0005-0000-0000-00007CE10000}"/>
    <cellStyle name="Процентный 7 48 2" xfId="7299" xr:uid="{00000000-0005-0000-0000-00007DE10000}"/>
    <cellStyle name="Процентный 7 48 2 2" xfId="55361" xr:uid="{00000000-0005-0000-0000-00007EE10000}"/>
    <cellStyle name="Процентный 7 48 3" xfId="12640" xr:uid="{00000000-0005-0000-0000-00007FE10000}"/>
    <cellStyle name="Процентный 7 48 4" xfId="17980" xr:uid="{00000000-0005-0000-0000-000080E10000}"/>
    <cellStyle name="Процентный 7 48 5" xfId="23320" xr:uid="{00000000-0005-0000-0000-000081E10000}"/>
    <cellStyle name="Процентный 7 48 6" xfId="28660" xr:uid="{00000000-0005-0000-0000-000082E10000}"/>
    <cellStyle name="Процентный 7 48 7" xfId="34000" xr:uid="{00000000-0005-0000-0000-000083E10000}"/>
    <cellStyle name="Процентный 7 48 8" xfId="39340" xr:uid="{00000000-0005-0000-0000-000084E10000}"/>
    <cellStyle name="Процентный 7 48 9" xfId="44680" xr:uid="{00000000-0005-0000-0000-000085E10000}"/>
    <cellStyle name="Процентный 7 49" xfId="1984" xr:uid="{00000000-0005-0000-0000-000086E10000}"/>
    <cellStyle name="Процентный 7 49 10" xfId="50048" xr:uid="{00000000-0005-0000-0000-000087E10000}"/>
    <cellStyle name="Процентный 7 49 2" xfId="7327" xr:uid="{00000000-0005-0000-0000-000088E10000}"/>
    <cellStyle name="Процентный 7 49 2 2" xfId="55389" xr:uid="{00000000-0005-0000-0000-000089E10000}"/>
    <cellStyle name="Процентный 7 49 3" xfId="12668" xr:uid="{00000000-0005-0000-0000-00008AE10000}"/>
    <cellStyle name="Процентный 7 49 4" xfId="18008" xr:uid="{00000000-0005-0000-0000-00008BE10000}"/>
    <cellStyle name="Процентный 7 49 5" xfId="23348" xr:uid="{00000000-0005-0000-0000-00008CE10000}"/>
    <cellStyle name="Процентный 7 49 6" xfId="28688" xr:uid="{00000000-0005-0000-0000-00008DE10000}"/>
    <cellStyle name="Процентный 7 49 7" xfId="34028" xr:uid="{00000000-0005-0000-0000-00008EE10000}"/>
    <cellStyle name="Процентный 7 49 8" xfId="39368" xr:uid="{00000000-0005-0000-0000-00008FE10000}"/>
    <cellStyle name="Процентный 7 49 9" xfId="44708" xr:uid="{00000000-0005-0000-0000-000090E10000}"/>
    <cellStyle name="Процентный 7 5" xfId="471" xr:uid="{00000000-0005-0000-0000-000091E10000}"/>
    <cellStyle name="Процентный 7 5 10" xfId="43193" xr:uid="{00000000-0005-0000-0000-000092E10000}"/>
    <cellStyle name="Процентный 7 5 11" xfId="48533" xr:uid="{00000000-0005-0000-0000-000093E10000}"/>
    <cellStyle name="Процентный 7 5 2" xfId="938" xr:uid="{00000000-0005-0000-0000-000094E10000}"/>
    <cellStyle name="Процентный 7 5 2 10" xfId="49000" xr:uid="{00000000-0005-0000-0000-000095E10000}"/>
    <cellStyle name="Процентный 7 5 2 2" xfId="6279" xr:uid="{00000000-0005-0000-0000-000096E10000}"/>
    <cellStyle name="Процентный 7 5 2 2 2" xfId="54341" xr:uid="{00000000-0005-0000-0000-000097E10000}"/>
    <cellStyle name="Процентный 7 5 2 3" xfId="11620" xr:uid="{00000000-0005-0000-0000-000098E10000}"/>
    <cellStyle name="Процентный 7 5 2 4" xfId="16960" xr:uid="{00000000-0005-0000-0000-000099E10000}"/>
    <cellStyle name="Процентный 7 5 2 5" xfId="22300" xr:uid="{00000000-0005-0000-0000-00009AE10000}"/>
    <cellStyle name="Процентный 7 5 2 6" xfId="27640" xr:uid="{00000000-0005-0000-0000-00009BE10000}"/>
    <cellStyle name="Процентный 7 5 2 7" xfId="32980" xr:uid="{00000000-0005-0000-0000-00009CE10000}"/>
    <cellStyle name="Процентный 7 5 2 8" xfId="38320" xr:uid="{00000000-0005-0000-0000-00009DE10000}"/>
    <cellStyle name="Процентный 7 5 2 9" xfId="43660" xr:uid="{00000000-0005-0000-0000-00009EE10000}"/>
    <cellStyle name="Процентный 7 5 3" xfId="5812" xr:uid="{00000000-0005-0000-0000-00009FE10000}"/>
    <cellStyle name="Процентный 7 5 3 2" xfId="53874" xr:uid="{00000000-0005-0000-0000-0000A0E10000}"/>
    <cellStyle name="Процентный 7 5 4" xfId="11153" xr:uid="{00000000-0005-0000-0000-0000A1E10000}"/>
    <cellStyle name="Процентный 7 5 5" xfId="16493" xr:uid="{00000000-0005-0000-0000-0000A2E10000}"/>
    <cellStyle name="Процентный 7 5 6" xfId="21833" xr:uid="{00000000-0005-0000-0000-0000A3E10000}"/>
    <cellStyle name="Процентный 7 5 7" xfId="27173" xr:uid="{00000000-0005-0000-0000-0000A4E10000}"/>
    <cellStyle name="Процентный 7 5 8" xfId="32513" xr:uid="{00000000-0005-0000-0000-0000A5E10000}"/>
    <cellStyle name="Процентный 7 5 9" xfId="37853" xr:uid="{00000000-0005-0000-0000-0000A6E10000}"/>
    <cellStyle name="Процентный 7 50" xfId="2012" xr:uid="{00000000-0005-0000-0000-0000A7E10000}"/>
    <cellStyle name="Процентный 7 50 10" xfId="50076" xr:uid="{00000000-0005-0000-0000-0000A8E10000}"/>
    <cellStyle name="Процентный 7 50 2" xfId="7355" xr:uid="{00000000-0005-0000-0000-0000A9E10000}"/>
    <cellStyle name="Процентный 7 50 2 2" xfId="55417" xr:uid="{00000000-0005-0000-0000-0000AAE10000}"/>
    <cellStyle name="Процентный 7 50 3" xfId="12696" xr:uid="{00000000-0005-0000-0000-0000ABE10000}"/>
    <cellStyle name="Процентный 7 50 4" xfId="18036" xr:uid="{00000000-0005-0000-0000-0000ACE10000}"/>
    <cellStyle name="Процентный 7 50 5" xfId="23376" xr:uid="{00000000-0005-0000-0000-0000ADE10000}"/>
    <cellStyle name="Процентный 7 50 6" xfId="28716" xr:uid="{00000000-0005-0000-0000-0000AEE10000}"/>
    <cellStyle name="Процентный 7 50 7" xfId="34056" xr:uid="{00000000-0005-0000-0000-0000AFE10000}"/>
    <cellStyle name="Процентный 7 50 8" xfId="39396" xr:uid="{00000000-0005-0000-0000-0000B0E10000}"/>
    <cellStyle name="Процентный 7 50 9" xfId="44736" xr:uid="{00000000-0005-0000-0000-0000B1E10000}"/>
    <cellStyle name="Процентный 7 51" xfId="2040" xr:uid="{00000000-0005-0000-0000-0000B2E10000}"/>
    <cellStyle name="Процентный 7 51 10" xfId="50104" xr:uid="{00000000-0005-0000-0000-0000B3E10000}"/>
    <cellStyle name="Процентный 7 51 2" xfId="7383" xr:uid="{00000000-0005-0000-0000-0000B4E10000}"/>
    <cellStyle name="Процентный 7 51 2 2" xfId="55445" xr:uid="{00000000-0005-0000-0000-0000B5E10000}"/>
    <cellStyle name="Процентный 7 51 3" xfId="12724" xr:uid="{00000000-0005-0000-0000-0000B6E10000}"/>
    <cellStyle name="Процентный 7 51 4" xfId="18064" xr:uid="{00000000-0005-0000-0000-0000B7E10000}"/>
    <cellStyle name="Процентный 7 51 5" xfId="23404" xr:uid="{00000000-0005-0000-0000-0000B8E10000}"/>
    <cellStyle name="Процентный 7 51 6" xfId="28744" xr:uid="{00000000-0005-0000-0000-0000B9E10000}"/>
    <cellStyle name="Процентный 7 51 7" xfId="34084" xr:uid="{00000000-0005-0000-0000-0000BAE10000}"/>
    <cellStyle name="Процентный 7 51 8" xfId="39424" xr:uid="{00000000-0005-0000-0000-0000BBE10000}"/>
    <cellStyle name="Процентный 7 51 9" xfId="44764" xr:uid="{00000000-0005-0000-0000-0000BCE10000}"/>
    <cellStyle name="Процентный 7 52" xfId="2068" xr:uid="{00000000-0005-0000-0000-0000BDE10000}"/>
    <cellStyle name="Процентный 7 52 10" xfId="50132" xr:uid="{00000000-0005-0000-0000-0000BEE10000}"/>
    <cellStyle name="Процентный 7 52 2" xfId="7411" xr:uid="{00000000-0005-0000-0000-0000BFE10000}"/>
    <cellStyle name="Процентный 7 52 2 2" xfId="55473" xr:uid="{00000000-0005-0000-0000-0000C0E10000}"/>
    <cellStyle name="Процентный 7 52 3" xfId="12752" xr:uid="{00000000-0005-0000-0000-0000C1E10000}"/>
    <cellStyle name="Процентный 7 52 4" xfId="18092" xr:uid="{00000000-0005-0000-0000-0000C2E10000}"/>
    <cellStyle name="Процентный 7 52 5" xfId="23432" xr:uid="{00000000-0005-0000-0000-0000C3E10000}"/>
    <cellStyle name="Процентный 7 52 6" xfId="28772" xr:uid="{00000000-0005-0000-0000-0000C4E10000}"/>
    <cellStyle name="Процентный 7 52 7" xfId="34112" xr:uid="{00000000-0005-0000-0000-0000C5E10000}"/>
    <cellStyle name="Процентный 7 52 8" xfId="39452" xr:uid="{00000000-0005-0000-0000-0000C6E10000}"/>
    <cellStyle name="Процентный 7 52 9" xfId="44792" xr:uid="{00000000-0005-0000-0000-0000C7E10000}"/>
    <cellStyle name="Процентный 7 53" xfId="2096" xr:uid="{00000000-0005-0000-0000-0000C8E10000}"/>
    <cellStyle name="Процентный 7 53 10" xfId="50160" xr:uid="{00000000-0005-0000-0000-0000C9E10000}"/>
    <cellStyle name="Процентный 7 53 2" xfId="7439" xr:uid="{00000000-0005-0000-0000-0000CAE10000}"/>
    <cellStyle name="Процентный 7 53 2 2" xfId="55501" xr:uid="{00000000-0005-0000-0000-0000CBE10000}"/>
    <cellStyle name="Процентный 7 53 3" xfId="12780" xr:uid="{00000000-0005-0000-0000-0000CCE10000}"/>
    <cellStyle name="Процентный 7 53 4" xfId="18120" xr:uid="{00000000-0005-0000-0000-0000CDE10000}"/>
    <cellStyle name="Процентный 7 53 5" xfId="23460" xr:uid="{00000000-0005-0000-0000-0000CEE10000}"/>
    <cellStyle name="Процентный 7 53 6" xfId="28800" xr:uid="{00000000-0005-0000-0000-0000CFE10000}"/>
    <cellStyle name="Процентный 7 53 7" xfId="34140" xr:uid="{00000000-0005-0000-0000-0000D0E10000}"/>
    <cellStyle name="Процентный 7 53 8" xfId="39480" xr:uid="{00000000-0005-0000-0000-0000D1E10000}"/>
    <cellStyle name="Процентный 7 53 9" xfId="44820" xr:uid="{00000000-0005-0000-0000-0000D2E10000}"/>
    <cellStyle name="Процентный 7 54" xfId="2124" xr:uid="{00000000-0005-0000-0000-0000D3E10000}"/>
    <cellStyle name="Процентный 7 54 10" xfId="50188" xr:uid="{00000000-0005-0000-0000-0000D4E10000}"/>
    <cellStyle name="Процентный 7 54 2" xfId="7467" xr:uid="{00000000-0005-0000-0000-0000D5E10000}"/>
    <cellStyle name="Процентный 7 54 2 2" xfId="55529" xr:uid="{00000000-0005-0000-0000-0000D6E10000}"/>
    <cellStyle name="Процентный 7 54 3" xfId="12808" xr:uid="{00000000-0005-0000-0000-0000D7E10000}"/>
    <cellStyle name="Процентный 7 54 4" xfId="18148" xr:uid="{00000000-0005-0000-0000-0000D8E10000}"/>
    <cellStyle name="Процентный 7 54 5" xfId="23488" xr:uid="{00000000-0005-0000-0000-0000D9E10000}"/>
    <cellStyle name="Процентный 7 54 6" xfId="28828" xr:uid="{00000000-0005-0000-0000-0000DAE10000}"/>
    <cellStyle name="Процентный 7 54 7" xfId="34168" xr:uid="{00000000-0005-0000-0000-0000DBE10000}"/>
    <cellStyle name="Процентный 7 54 8" xfId="39508" xr:uid="{00000000-0005-0000-0000-0000DCE10000}"/>
    <cellStyle name="Процентный 7 54 9" xfId="44848" xr:uid="{00000000-0005-0000-0000-0000DDE10000}"/>
    <cellStyle name="Процентный 7 55" xfId="2154" xr:uid="{00000000-0005-0000-0000-0000DEE10000}"/>
    <cellStyle name="Процентный 7 55 10" xfId="50218" xr:uid="{00000000-0005-0000-0000-0000DFE10000}"/>
    <cellStyle name="Процентный 7 55 2" xfId="7497" xr:uid="{00000000-0005-0000-0000-0000E0E10000}"/>
    <cellStyle name="Процентный 7 55 2 2" xfId="55559" xr:uid="{00000000-0005-0000-0000-0000E1E10000}"/>
    <cellStyle name="Процентный 7 55 3" xfId="12838" xr:uid="{00000000-0005-0000-0000-0000E2E10000}"/>
    <cellStyle name="Процентный 7 55 4" xfId="18178" xr:uid="{00000000-0005-0000-0000-0000E3E10000}"/>
    <cellStyle name="Процентный 7 55 5" xfId="23518" xr:uid="{00000000-0005-0000-0000-0000E4E10000}"/>
    <cellStyle name="Процентный 7 55 6" xfId="28858" xr:uid="{00000000-0005-0000-0000-0000E5E10000}"/>
    <cellStyle name="Процентный 7 55 7" xfId="34198" xr:uid="{00000000-0005-0000-0000-0000E6E10000}"/>
    <cellStyle name="Процентный 7 55 8" xfId="39538" xr:uid="{00000000-0005-0000-0000-0000E7E10000}"/>
    <cellStyle name="Процентный 7 55 9" xfId="44878" xr:uid="{00000000-0005-0000-0000-0000E8E10000}"/>
    <cellStyle name="Процентный 7 56" xfId="2184" xr:uid="{00000000-0005-0000-0000-0000E9E10000}"/>
    <cellStyle name="Процентный 7 56 10" xfId="50248" xr:uid="{00000000-0005-0000-0000-0000EAE10000}"/>
    <cellStyle name="Процентный 7 56 2" xfId="7527" xr:uid="{00000000-0005-0000-0000-0000EBE10000}"/>
    <cellStyle name="Процентный 7 56 2 2" xfId="55589" xr:uid="{00000000-0005-0000-0000-0000ECE10000}"/>
    <cellStyle name="Процентный 7 56 3" xfId="12868" xr:uid="{00000000-0005-0000-0000-0000EDE10000}"/>
    <cellStyle name="Процентный 7 56 4" xfId="18208" xr:uid="{00000000-0005-0000-0000-0000EEE10000}"/>
    <cellStyle name="Процентный 7 56 5" xfId="23548" xr:uid="{00000000-0005-0000-0000-0000EFE10000}"/>
    <cellStyle name="Процентный 7 56 6" xfId="28888" xr:uid="{00000000-0005-0000-0000-0000F0E10000}"/>
    <cellStyle name="Процентный 7 56 7" xfId="34228" xr:uid="{00000000-0005-0000-0000-0000F1E10000}"/>
    <cellStyle name="Процентный 7 56 8" xfId="39568" xr:uid="{00000000-0005-0000-0000-0000F2E10000}"/>
    <cellStyle name="Процентный 7 56 9" xfId="44908" xr:uid="{00000000-0005-0000-0000-0000F3E10000}"/>
    <cellStyle name="Процентный 7 57" xfId="2214" xr:uid="{00000000-0005-0000-0000-0000F4E10000}"/>
    <cellStyle name="Процентный 7 57 10" xfId="50278" xr:uid="{00000000-0005-0000-0000-0000F5E10000}"/>
    <cellStyle name="Процентный 7 57 2" xfId="7557" xr:uid="{00000000-0005-0000-0000-0000F6E10000}"/>
    <cellStyle name="Процентный 7 57 2 2" xfId="55619" xr:uid="{00000000-0005-0000-0000-0000F7E10000}"/>
    <cellStyle name="Процентный 7 57 3" xfId="12898" xr:uid="{00000000-0005-0000-0000-0000F8E10000}"/>
    <cellStyle name="Процентный 7 57 4" xfId="18238" xr:uid="{00000000-0005-0000-0000-0000F9E10000}"/>
    <cellStyle name="Процентный 7 57 5" xfId="23578" xr:uid="{00000000-0005-0000-0000-0000FAE10000}"/>
    <cellStyle name="Процентный 7 57 6" xfId="28918" xr:uid="{00000000-0005-0000-0000-0000FBE10000}"/>
    <cellStyle name="Процентный 7 57 7" xfId="34258" xr:uid="{00000000-0005-0000-0000-0000FCE10000}"/>
    <cellStyle name="Процентный 7 57 8" xfId="39598" xr:uid="{00000000-0005-0000-0000-0000FDE10000}"/>
    <cellStyle name="Процентный 7 57 9" xfId="44938" xr:uid="{00000000-0005-0000-0000-0000FEE10000}"/>
    <cellStyle name="Процентный 7 58" xfId="2244" xr:uid="{00000000-0005-0000-0000-0000FFE10000}"/>
    <cellStyle name="Процентный 7 58 10" xfId="50308" xr:uid="{00000000-0005-0000-0000-000000E20000}"/>
    <cellStyle name="Процентный 7 58 2" xfId="7587" xr:uid="{00000000-0005-0000-0000-000001E20000}"/>
    <cellStyle name="Процентный 7 58 2 2" xfId="55649" xr:uid="{00000000-0005-0000-0000-000002E20000}"/>
    <cellStyle name="Процентный 7 58 3" xfId="12928" xr:uid="{00000000-0005-0000-0000-000003E20000}"/>
    <cellStyle name="Процентный 7 58 4" xfId="18268" xr:uid="{00000000-0005-0000-0000-000004E20000}"/>
    <cellStyle name="Процентный 7 58 5" xfId="23608" xr:uid="{00000000-0005-0000-0000-000005E20000}"/>
    <cellStyle name="Процентный 7 58 6" xfId="28948" xr:uid="{00000000-0005-0000-0000-000006E20000}"/>
    <cellStyle name="Процентный 7 58 7" xfId="34288" xr:uid="{00000000-0005-0000-0000-000007E20000}"/>
    <cellStyle name="Процентный 7 58 8" xfId="39628" xr:uid="{00000000-0005-0000-0000-000008E20000}"/>
    <cellStyle name="Процентный 7 58 9" xfId="44968" xr:uid="{00000000-0005-0000-0000-000009E20000}"/>
    <cellStyle name="Процентный 7 59" xfId="2274" xr:uid="{00000000-0005-0000-0000-00000AE20000}"/>
    <cellStyle name="Процентный 7 59 10" xfId="50338" xr:uid="{00000000-0005-0000-0000-00000BE20000}"/>
    <cellStyle name="Процентный 7 59 2" xfId="7617" xr:uid="{00000000-0005-0000-0000-00000CE20000}"/>
    <cellStyle name="Процентный 7 59 2 2" xfId="55679" xr:uid="{00000000-0005-0000-0000-00000DE20000}"/>
    <cellStyle name="Процентный 7 59 3" xfId="12958" xr:uid="{00000000-0005-0000-0000-00000EE20000}"/>
    <cellStyle name="Процентный 7 59 4" xfId="18298" xr:uid="{00000000-0005-0000-0000-00000FE20000}"/>
    <cellStyle name="Процентный 7 59 5" xfId="23638" xr:uid="{00000000-0005-0000-0000-000010E20000}"/>
    <cellStyle name="Процентный 7 59 6" xfId="28978" xr:uid="{00000000-0005-0000-0000-000011E20000}"/>
    <cellStyle name="Процентный 7 59 7" xfId="34318" xr:uid="{00000000-0005-0000-0000-000012E20000}"/>
    <cellStyle name="Процентный 7 59 8" xfId="39658" xr:uid="{00000000-0005-0000-0000-000013E20000}"/>
    <cellStyle name="Процентный 7 59 9" xfId="44998" xr:uid="{00000000-0005-0000-0000-000014E20000}"/>
    <cellStyle name="Процентный 7 6" xfId="483" xr:uid="{00000000-0005-0000-0000-000015E20000}"/>
    <cellStyle name="Процентный 7 6 10" xfId="43205" xr:uid="{00000000-0005-0000-0000-000016E20000}"/>
    <cellStyle name="Процентный 7 6 11" xfId="48545" xr:uid="{00000000-0005-0000-0000-000017E20000}"/>
    <cellStyle name="Процентный 7 6 2" xfId="950" xr:uid="{00000000-0005-0000-0000-000018E20000}"/>
    <cellStyle name="Процентный 7 6 2 10" xfId="49012" xr:uid="{00000000-0005-0000-0000-000019E20000}"/>
    <cellStyle name="Процентный 7 6 2 2" xfId="6291" xr:uid="{00000000-0005-0000-0000-00001AE20000}"/>
    <cellStyle name="Процентный 7 6 2 2 2" xfId="54353" xr:uid="{00000000-0005-0000-0000-00001BE20000}"/>
    <cellStyle name="Процентный 7 6 2 3" xfId="11632" xr:uid="{00000000-0005-0000-0000-00001CE20000}"/>
    <cellStyle name="Процентный 7 6 2 4" xfId="16972" xr:uid="{00000000-0005-0000-0000-00001DE20000}"/>
    <cellStyle name="Процентный 7 6 2 5" xfId="22312" xr:uid="{00000000-0005-0000-0000-00001EE20000}"/>
    <cellStyle name="Процентный 7 6 2 6" xfId="27652" xr:uid="{00000000-0005-0000-0000-00001FE20000}"/>
    <cellStyle name="Процентный 7 6 2 7" xfId="32992" xr:uid="{00000000-0005-0000-0000-000020E20000}"/>
    <cellStyle name="Процентный 7 6 2 8" xfId="38332" xr:uid="{00000000-0005-0000-0000-000021E20000}"/>
    <cellStyle name="Процентный 7 6 2 9" xfId="43672" xr:uid="{00000000-0005-0000-0000-000022E20000}"/>
    <cellStyle name="Процентный 7 6 3" xfId="5824" xr:uid="{00000000-0005-0000-0000-000023E20000}"/>
    <cellStyle name="Процентный 7 6 3 2" xfId="53886" xr:uid="{00000000-0005-0000-0000-000024E20000}"/>
    <cellStyle name="Процентный 7 6 4" xfId="11165" xr:uid="{00000000-0005-0000-0000-000025E20000}"/>
    <cellStyle name="Процентный 7 6 5" xfId="16505" xr:uid="{00000000-0005-0000-0000-000026E20000}"/>
    <cellStyle name="Процентный 7 6 6" xfId="21845" xr:uid="{00000000-0005-0000-0000-000027E20000}"/>
    <cellStyle name="Процентный 7 6 7" xfId="27185" xr:uid="{00000000-0005-0000-0000-000028E20000}"/>
    <cellStyle name="Процентный 7 6 8" xfId="32525" xr:uid="{00000000-0005-0000-0000-000029E20000}"/>
    <cellStyle name="Процентный 7 6 9" xfId="37865" xr:uid="{00000000-0005-0000-0000-00002AE20000}"/>
    <cellStyle name="Процентный 7 60" xfId="2304" xr:uid="{00000000-0005-0000-0000-00002BE20000}"/>
    <cellStyle name="Процентный 7 60 10" xfId="50368" xr:uid="{00000000-0005-0000-0000-00002CE20000}"/>
    <cellStyle name="Процентный 7 60 2" xfId="7647" xr:uid="{00000000-0005-0000-0000-00002DE20000}"/>
    <cellStyle name="Процентный 7 60 2 2" xfId="55709" xr:uid="{00000000-0005-0000-0000-00002EE20000}"/>
    <cellStyle name="Процентный 7 60 3" xfId="12988" xr:uid="{00000000-0005-0000-0000-00002FE20000}"/>
    <cellStyle name="Процентный 7 60 4" xfId="18328" xr:uid="{00000000-0005-0000-0000-000030E20000}"/>
    <cellStyle name="Процентный 7 60 5" xfId="23668" xr:uid="{00000000-0005-0000-0000-000031E20000}"/>
    <cellStyle name="Процентный 7 60 6" xfId="29008" xr:uid="{00000000-0005-0000-0000-000032E20000}"/>
    <cellStyle name="Процентный 7 60 7" xfId="34348" xr:uid="{00000000-0005-0000-0000-000033E20000}"/>
    <cellStyle name="Процентный 7 60 8" xfId="39688" xr:uid="{00000000-0005-0000-0000-000034E20000}"/>
    <cellStyle name="Процентный 7 60 9" xfId="45028" xr:uid="{00000000-0005-0000-0000-000035E20000}"/>
    <cellStyle name="Процентный 7 61" xfId="2334" xr:uid="{00000000-0005-0000-0000-000036E20000}"/>
    <cellStyle name="Процентный 7 61 10" xfId="50398" xr:uid="{00000000-0005-0000-0000-000037E20000}"/>
    <cellStyle name="Процентный 7 61 2" xfId="7677" xr:uid="{00000000-0005-0000-0000-000038E20000}"/>
    <cellStyle name="Процентный 7 61 2 2" xfId="55739" xr:uid="{00000000-0005-0000-0000-000039E20000}"/>
    <cellStyle name="Процентный 7 61 3" xfId="13018" xr:uid="{00000000-0005-0000-0000-00003AE20000}"/>
    <cellStyle name="Процентный 7 61 4" xfId="18358" xr:uid="{00000000-0005-0000-0000-00003BE20000}"/>
    <cellStyle name="Процентный 7 61 5" xfId="23698" xr:uid="{00000000-0005-0000-0000-00003CE20000}"/>
    <cellStyle name="Процентный 7 61 6" xfId="29038" xr:uid="{00000000-0005-0000-0000-00003DE20000}"/>
    <cellStyle name="Процентный 7 61 7" xfId="34378" xr:uid="{00000000-0005-0000-0000-00003EE20000}"/>
    <cellStyle name="Процентный 7 61 8" xfId="39718" xr:uid="{00000000-0005-0000-0000-00003FE20000}"/>
    <cellStyle name="Процентный 7 61 9" xfId="45058" xr:uid="{00000000-0005-0000-0000-000040E20000}"/>
    <cellStyle name="Процентный 7 62" xfId="2364" xr:uid="{00000000-0005-0000-0000-000041E20000}"/>
    <cellStyle name="Процентный 7 62 10" xfId="50428" xr:uid="{00000000-0005-0000-0000-000042E20000}"/>
    <cellStyle name="Процентный 7 62 2" xfId="7707" xr:uid="{00000000-0005-0000-0000-000043E20000}"/>
    <cellStyle name="Процентный 7 62 2 2" xfId="55769" xr:uid="{00000000-0005-0000-0000-000044E20000}"/>
    <cellStyle name="Процентный 7 62 3" xfId="13048" xr:uid="{00000000-0005-0000-0000-000045E20000}"/>
    <cellStyle name="Процентный 7 62 4" xfId="18388" xr:uid="{00000000-0005-0000-0000-000046E20000}"/>
    <cellStyle name="Процентный 7 62 5" xfId="23728" xr:uid="{00000000-0005-0000-0000-000047E20000}"/>
    <cellStyle name="Процентный 7 62 6" xfId="29068" xr:uid="{00000000-0005-0000-0000-000048E20000}"/>
    <cellStyle name="Процентный 7 62 7" xfId="34408" xr:uid="{00000000-0005-0000-0000-000049E20000}"/>
    <cellStyle name="Процентный 7 62 8" xfId="39748" xr:uid="{00000000-0005-0000-0000-00004AE20000}"/>
    <cellStyle name="Процентный 7 62 9" xfId="45088" xr:uid="{00000000-0005-0000-0000-00004BE20000}"/>
    <cellStyle name="Процентный 7 63" xfId="2394" xr:uid="{00000000-0005-0000-0000-00004CE20000}"/>
    <cellStyle name="Процентный 7 63 10" xfId="50458" xr:uid="{00000000-0005-0000-0000-00004DE20000}"/>
    <cellStyle name="Процентный 7 63 2" xfId="7737" xr:uid="{00000000-0005-0000-0000-00004EE20000}"/>
    <cellStyle name="Процентный 7 63 2 2" xfId="55799" xr:uid="{00000000-0005-0000-0000-00004FE20000}"/>
    <cellStyle name="Процентный 7 63 3" xfId="13078" xr:uid="{00000000-0005-0000-0000-000050E20000}"/>
    <cellStyle name="Процентный 7 63 4" xfId="18418" xr:uid="{00000000-0005-0000-0000-000051E20000}"/>
    <cellStyle name="Процентный 7 63 5" xfId="23758" xr:uid="{00000000-0005-0000-0000-000052E20000}"/>
    <cellStyle name="Процентный 7 63 6" xfId="29098" xr:uid="{00000000-0005-0000-0000-000053E20000}"/>
    <cellStyle name="Процентный 7 63 7" xfId="34438" xr:uid="{00000000-0005-0000-0000-000054E20000}"/>
    <cellStyle name="Процентный 7 63 8" xfId="39778" xr:uid="{00000000-0005-0000-0000-000055E20000}"/>
    <cellStyle name="Процентный 7 63 9" xfId="45118" xr:uid="{00000000-0005-0000-0000-000056E20000}"/>
    <cellStyle name="Процентный 7 64" xfId="2424" xr:uid="{00000000-0005-0000-0000-000057E20000}"/>
    <cellStyle name="Процентный 7 64 10" xfId="50488" xr:uid="{00000000-0005-0000-0000-000058E20000}"/>
    <cellStyle name="Процентный 7 64 2" xfId="7767" xr:uid="{00000000-0005-0000-0000-000059E20000}"/>
    <cellStyle name="Процентный 7 64 2 2" xfId="55829" xr:uid="{00000000-0005-0000-0000-00005AE20000}"/>
    <cellStyle name="Процентный 7 64 3" xfId="13108" xr:uid="{00000000-0005-0000-0000-00005BE20000}"/>
    <cellStyle name="Процентный 7 64 4" xfId="18448" xr:uid="{00000000-0005-0000-0000-00005CE20000}"/>
    <cellStyle name="Процентный 7 64 5" xfId="23788" xr:uid="{00000000-0005-0000-0000-00005DE20000}"/>
    <cellStyle name="Процентный 7 64 6" xfId="29128" xr:uid="{00000000-0005-0000-0000-00005EE20000}"/>
    <cellStyle name="Процентный 7 64 7" xfId="34468" xr:uid="{00000000-0005-0000-0000-00005FE20000}"/>
    <cellStyle name="Процентный 7 64 8" xfId="39808" xr:uid="{00000000-0005-0000-0000-000060E20000}"/>
    <cellStyle name="Процентный 7 64 9" xfId="45148" xr:uid="{00000000-0005-0000-0000-000061E20000}"/>
    <cellStyle name="Процентный 7 65" xfId="2454" xr:uid="{00000000-0005-0000-0000-000062E20000}"/>
    <cellStyle name="Процентный 7 65 10" xfId="50518" xr:uid="{00000000-0005-0000-0000-000063E20000}"/>
    <cellStyle name="Процентный 7 65 2" xfId="7797" xr:uid="{00000000-0005-0000-0000-000064E20000}"/>
    <cellStyle name="Процентный 7 65 2 2" xfId="55859" xr:uid="{00000000-0005-0000-0000-000065E20000}"/>
    <cellStyle name="Процентный 7 65 3" xfId="13138" xr:uid="{00000000-0005-0000-0000-000066E20000}"/>
    <cellStyle name="Процентный 7 65 4" xfId="18478" xr:uid="{00000000-0005-0000-0000-000067E20000}"/>
    <cellStyle name="Процентный 7 65 5" xfId="23818" xr:uid="{00000000-0005-0000-0000-000068E20000}"/>
    <cellStyle name="Процентный 7 65 6" xfId="29158" xr:uid="{00000000-0005-0000-0000-000069E20000}"/>
    <cellStyle name="Процентный 7 65 7" xfId="34498" xr:uid="{00000000-0005-0000-0000-00006AE20000}"/>
    <cellStyle name="Процентный 7 65 8" xfId="39838" xr:uid="{00000000-0005-0000-0000-00006BE20000}"/>
    <cellStyle name="Процентный 7 65 9" xfId="45178" xr:uid="{00000000-0005-0000-0000-00006CE20000}"/>
    <cellStyle name="Процентный 7 66" xfId="2484" xr:uid="{00000000-0005-0000-0000-00006DE20000}"/>
    <cellStyle name="Процентный 7 66 10" xfId="50548" xr:uid="{00000000-0005-0000-0000-00006EE20000}"/>
    <cellStyle name="Процентный 7 66 2" xfId="7827" xr:uid="{00000000-0005-0000-0000-00006FE20000}"/>
    <cellStyle name="Процентный 7 66 2 2" xfId="55889" xr:uid="{00000000-0005-0000-0000-000070E20000}"/>
    <cellStyle name="Процентный 7 66 3" xfId="13168" xr:uid="{00000000-0005-0000-0000-000071E20000}"/>
    <cellStyle name="Процентный 7 66 4" xfId="18508" xr:uid="{00000000-0005-0000-0000-000072E20000}"/>
    <cellStyle name="Процентный 7 66 5" xfId="23848" xr:uid="{00000000-0005-0000-0000-000073E20000}"/>
    <cellStyle name="Процентный 7 66 6" xfId="29188" xr:uid="{00000000-0005-0000-0000-000074E20000}"/>
    <cellStyle name="Процентный 7 66 7" xfId="34528" xr:uid="{00000000-0005-0000-0000-000075E20000}"/>
    <cellStyle name="Процентный 7 66 8" xfId="39868" xr:uid="{00000000-0005-0000-0000-000076E20000}"/>
    <cellStyle name="Процентный 7 66 9" xfId="45208" xr:uid="{00000000-0005-0000-0000-000077E20000}"/>
    <cellStyle name="Процентный 7 67" xfId="2516" xr:uid="{00000000-0005-0000-0000-000078E20000}"/>
    <cellStyle name="Процентный 7 67 10" xfId="50580" xr:uid="{00000000-0005-0000-0000-000079E20000}"/>
    <cellStyle name="Процентный 7 67 2" xfId="7859" xr:uid="{00000000-0005-0000-0000-00007AE20000}"/>
    <cellStyle name="Процентный 7 67 2 2" xfId="55921" xr:uid="{00000000-0005-0000-0000-00007BE20000}"/>
    <cellStyle name="Процентный 7 67 3" xfId="13200" xr:uid="{00000000-0005-0000-0000-00007CE20000}"/>
    <cellStyle name="Процентный 7 67 4" xfId="18540" xr:uid="{00000000-0005-0000-0000-00007DE20000}"/>
    <cellStyle name="Процентный 7 67 5" xfId="23880" xr:uid="{00000000-0005-0000-0000-00007EE20000}"/>
    <cellStyle name="Процентный 7 67 6" xfId="29220" xr:uid="{00000000-0005-0000-0000-00007FE20000}"/>
    <cellStyle name="Процентный 7 67 7" xfId="34560" xr:uid="{00000000-0005-0000-0000-000080E20000}"/>
    <cellStyle name="Процентный 7 67 8" xfId="39900" xr:uid="{00000000-0005-0000-0000-000081E20000}"/>
    <cellStyle name="Процентный 7 67 9" xfId="45240" xr:uid="{00000000-0005-0000-0000-000082E20000}"/>
    <cellStyle name="Процентный 7 68" xfId="2550" xr:uid="{00000000-0005-0000-0000-000083E20000}"/>
    <cellStyle name="Процентный 7 68 10" xfId="50614" xr:uid="{00000000-0005-0000-0000-000084E20000}"/>
    <cellStyle name="Процентный 7 68 2" xfId="7893" xr:uid="{00000000-0005-0000-0000-000085E20000}"/>
    <cellStyle name="Процентный 7 68 2 2" xfId="55955" xr:uid="{00000000-0005-0000-0000-000086E20000}"/>
    <cellStyle name="Процентный 7 68 3" xfId="13234" xr:uid="{00000000-0005-0000-0000-000087E20000}"/>
    <cellStyle name="Процентный 7 68 4" xfId="18574" xr:uid="{00000000-0005-0000-0000-000088E20000}"/>
    <cellStyle name="Процентный 7 68 5" xfId="23914" xr:uid="{00000000-0005-0000-0000-000089E20000}"/>
    <cellStyle name="Процентный 7 68 6" xfId="29254" xr:uid="{00000000-0005-0000-0000-00008AE20000}"/>
    <cellStyle name="Процентный 7 68 7" xfId="34594" xr:uid="{00000000-0005-0000-0000-00008BE20000}"/>
    <cellStyle name="Процентный 7 68 8" xfId="39934" xr:uid="{00000000-0005-0000-0000-00008CE20000}"/>
    <cellStyle name="Процентный 7 68 9" xfId="45274" xr:uid="{00000000-0005-0000-0000-00008DE20000}"/>
    <cellStyle name="Процентный 7 69" xfId="2582" xr:uid="{00000000-0005-0000-0000-00008EE20000}"/>
    <cellStyle name="Процентный 7 69 10" xfId="50646" xr:uid="{00000000-0005-0000-0000-00008FE20000}"/>
    <cellStyle name="Процентный 7 69 2" xfId="7925" xr:uid="{00000000-0005-0000-0000-000090E20000}"/>
    <cellStyle name="Процентный 7 69 2 2" xfId="55987" xr:uid="{00000000-0005-0000-0000-000091E20000}"/>
    <cellStyle name="Процентный 7 69 3" xfId="13266" xr:uid="{00000000-0005-0000-0000-000092E20000}"/>
    <cellStyle name="Процентный 7 69 4" xfId="18606" xr:uid="{00000000-0005-0000-0000-000093E20000}"/>
    <cellStyle name="Процентный 7 69 5" xfId="23946" xr:uid="{00000000-0005-0000-0000-000094E20000}"/>
    <cellStyle name="Процентный 7 69 6" xfId="29286" xr:uid="{00000000-0005-0000-0000-000095E20000}"/>
    <cellStyle name="Процентный 7 69 7" xfId="34626" xr:uid="{00000000-0005-0000-0000-000096E20000}"/>
    <cellStyle name="Процентный 7 69 8" xfId="39966" xr:uid="{00000000-0005-0000-0000-000097E20000}"/>
    <cellStyle name="Процентный 7 69 9" xfId="45306" xr:uid="{00000000-0005-0000-0000-000098E20000}"/>
    <cellStyle name="Процентный 7 7" xfId="495" xr:uid="{00000000-0005-0000-0000-000099E20000}"/>
    <cellStyle name="Процентный 7 7 10" xfId="43217" xr:uid="{00000000-0005-0000-0000-00009AE20000}"/>
    <cellStyle name="Процентный 7 7 11" xfId="48557" xr:uid="{00000000-0005-0000-0000-00009BE20000}"/>
    <cellStyle name="Процентный 7 7 2" xfId="962" xr:uid="{00000000-0005-0000-0000-00009CE20000}"/>
    <cellStyle name="Процентный 7 7 2 10" xfId="49024" xr:uid="{00000000-0005-0000-0000-00009DE20000}"/>
    <cellStyle name="Процентный 7 7 2 2" xfId="6303" xr:uid="{00000000-0005-0000-0000-00009EE20000}"/>
    <cellStyle name="Процентный 7 7 2 2 2" xfId="54365" xr:uid="{00000000-0005-0000-0000-00009FE20000}"/>
    <cellStyle name="Процентный 7 7 2 3" xfId="11644" xr:uid="{00000000-0005-0000-0000-0000A0E20000}"/>
    <cellStyle name="Процентный 7 7 2 4" xfId="16984" xr:uid="{00000000-0005-0000-0000-0000A1E20000}"/>
    <cellStyle name="Процентный 7 7 2 5" xfId="22324" xr:uid="{00000000-0005-0000-0000-0000A2E20000}"/>
    <cellStyle name="Процентный 7 7 2 6" xfId="27664" xr:uid="{00000000-0005-0000-0000-0000A3E20000}"/>
    <cellStyle name="Процентный 7 7 2 7" xfId="33004" xr:uid="{00000000-0005-0000-0000-0000A4E20000}"/>
    <cellStyle name="Процентный 7 7 2 8" xfId="38344" xr:uid="{00000000-0005-0000-0000-0000A5E20000}"/>
    <cellStyle name="Процентный 7 7 2 9" xfId="43684" xr:uid="{00000000-0005-0000-0000-0000A6E20000}"/>
    <cellStyle name="Процентный 7 7 3" xfId="5836" xr:uid="{00000000-0005-0000-0000-0000A7E20000}"/>
    <cellStyle name="Процентный 7 7 3 2" xfId="53898" xr:uid="{00000000-0005-0000-0000-0000A8E20000}"/>
    <cellStyle name="Процентный 7 7 4" xfId="11177" xr:uid="{00000000-0005-0000-0000-0000A9E20000}"/>
    <cellStyle name="Процентный 7 7 5" xfId="16517" xr:uid="{00000000-0005-0000-0000-0000AAE20000}"/>
    <cellStyle name="Процентный 7 7 6" xfId="21857" xr:uid="{00000000-0005-0000-0000-0000ABE20000}"/>
    <cellStyle name="Процентный 7 7 7" xfId="27197" xr:uid="{00000000-0005-0000-0000-0000ACE20000}"/>
    <cellStyle name="Процентный 7 7 8" xfId="32537" xr:uid="{00000000-0005-0000-0000-0000ADE20000}"/>
    <cellStyle name="Процентный 7 7 9" xfId="37877" xr:uid="{00000000-0005-0000-0000-0000AEE20000}"/>
    <cellStyle name="Процентный 7 70" xfId="2614" xr:uid="{00000000-0005-0000-0000-0000AFE20000}"/>
    <cellStyle name="Процентный 7 70 10" xfId="50678" xr:uid="{00000000-0005-0000-0000-0000B0E20000}"/>
    <cellStyle name="Процентный 7 70 2" xfId="7957" xr:uid="{00000000-0005-0000-0000-0000B1E20000}"/>
    <cellStyle name="Процентный 7 70 2 2" xfId="56019" xr:uid="{00000000-0005-0000-0000-0000B2E20000}"/>
    <cellStyle name="Процентный 7 70 3" xfId="13298" xr:uid="{00000000-0005-0000-0000-0000B3E20000}"/>
    <cellStyle name="Процентный 7 70 4" xfId="18638" xr:uid="{00000000-0005-0000-0000-0000B4E20000}"/>
    <cellStyle name="Процентный 7 70 5" xfId="23978" xr:uid="{00000000-0005-0000-0000-0000B5E20000}"/>
    <cellStyle name="Процентный 7 70 6" xfId="29318" xr:uid="{00000000-0005-0000-0000-0000B6E20000}"/>
    <cellStyle name="Процентный 7 70 7" xfId="34658" xr:uid="{00000000-0005-0000-0000-0000B7E20000}"/>
    <cellStyle name="Процентный 7 70 8" xfId="39998" xr:uid="{00000000-0005-0000-0000-0000B8E20000}"/>
    <cellStyle name="Процентный 7 70 9" xfId="45338" xr:uid="{00000000-0005-0000-0000-0000B9E20000}"/>
    <cellStyle name="Процентный 7 71" xfId="2646" xr:uid="{00000000-0005-0000-0000-0000BAE20000}"/>
    <cellStyle name="Процентный 7 71 10" xfId="50710" xr:uid="{00000000-0005-0000-0000-0000BBE20000}"/>
    <cellStyle name="Процентный 7 71 2" xfId="7989" xr:uid="{00000000-0005-0000-0000-0000BCE20000}"/>
    <cellStyle name="Процентный 7 71 2 2" xfId="56051" xr:uid="{00000000-0005-0000-0000-0000BDE20000}"/>
    <cellStyle name="Процентный 7 71 3" xfId="13330" xr:uid="{00000000-0005-0000-0000-0000BEE20000}"/>
    <cellStyle name="Процентный 7 71 4" xfId="18670" xr:uid="{00000000-0005-0000-0000-0000BFE20000}"/>
    <cellStyle name="Процентный 7 71 5" xfId="24010" xr:uid="{00000000-0005-0000-0000-0000C0E20000}"/>
    <cellStyle name="Процентный 7 71 6" xfId="29350" xr:uid="{00000000-0005-0000-0000-0000C1E20000}"/>
    <cellStyle name="Процентный 7 71 7" xfId="34690" xr:uid="{00000000-0005-0000-0000-0000C2E20000}"/>
    <cellStyle name="Процентный 7 71 8" xfId="40030" xr:uid="{00000000-0005-0000-0000-0000C3E20000}"/>
    <cellStyle name="Процентный 7 71 9" xfId="45370" xr:uid="{00000000-0005-0000-0000-0000C4E20000}"/>
    <cellStyle name="Процентный 7 72" xfId="2678" xr:uid="{00000000-0005-0000-0000-0000C5E20000}"/>
    <cellStyle name="Процентный 7 72 10" xfId="50742" xr:uid="{00000000-0005-0000-0000-0000C6E20000}"/>
    <cellStyle name="Процентный 7 72 2" xfId="8021" xr:uid="{00000000-0005-0000-0000-0000C7E20000}"/>
    <cellStyle name="Процентный 7 72 2 2" xfId="56083" xr:uid="{00000000-0005-0000-0000-0000C8E20000}"/>
    <cellStyle name="Процентный 7 72 3" xfId="13362" xr:uid="{00000000-0005-0000-0000-0000C9E20000}"/>
    <cellStyle name="Процентный 7 72 4" xfId="18702" xr:uid="{00000000-0005-0000-0000-0000CAE20000}"/>
    <cellStyle name="Процентный 7 72 5" xfId="24042" xr:uid="{00000000-0005-0000-0000-0000CBE20000}"/>
    <cellStyle name="Процентный 7 72 6" xfId="29382" xr:uid="{00000000-0005-0000-0000-0000CCE20000}"/>
    <cellStyle name="Процентный 7 72 7" xfId="34722" xr:uid="{00000000-0005-0000-0000-0000CDE20000}"/>
    <cellStyle name="Процентный 7 72 8" xfId="40062" xr:uid="{00000000-0005-0000-0000-0000CEE20000}"/>
    <cellStyle name="Процентный 7 72 9" xfId="45402" xr:uid="{00000000-0005-0000-0000-0000CFE20000}"/>
    <cellStyle name="Процентный 7 73" xfId="2710" xr:uid="{00000000-0005-0000-0000-0000D0E20000}"/>
    <cellStyle name="Процентный 7 73 10" xfId="50774" xr:uid="{00000000-0005-0000-0000-0000D1E20000}"/>
    <cellStyle name="Процентный 7 73 2" xfId="8053" xr:uid="{00000000-0005-0000-0000-0000D2E20000}"/>
    <cellStyle name="Процентный 7 73 2 2" xfId="56115" xr:uid="{00000000-0005-0000-0000-0000D3E20000}"/>
    <cellStyle name="Процентный 7 73 3" xfId="13394" xr:uid="{00000000-0005-0000-0000-0000D4E20000}"/>
    <cellStyle name="Процентный 7 73 4" xfId="18734" xr:uid="{00000000-0005-0000-0000-0000D5E20000}"/>
    <cellStyle name="Процентный 7 73 5" xfId="24074" xr:uid="{00000000-0005-0000-0000-0000D6E20000}"/>
    <cellStyle name="Процентный 7 73 6" xfId="29414" xr:uid="{00000000-0005-0000-0000-0000D7E20000}"/>
    <cellStyle name="Процентный 7 73 7" xfId="34754" xr:uid="{00000000-0005-0000-0000-0000D8E20000}"/>
    <cellStyle name="Процентный 7 73 8" xfId="40094" xr:uid="{00000000-0005-0000-0000-0000D9E20000}"/>
    <cellStyle name="Процентный 7 73 9" xfId="45434" xr:uid="{00000000-0005-0000-0000-0000DAE20000}"/>
    <cellStyle name="Процентный 7 74" xfId="2742" xr:uid="{00000000-0005-0000-0000-0000DBE20000}"/>
    <cellStyle name="Процентный 7 74 10" xfId="50806" xr:uid="{00000000-0005-0000-0000-0000DCE20000}"/>
    <cellStyle name="Процентный 7 74 2" xfId="8085" xr:uid="{00000000-0005-0000-0000-0000DDE20000}"/>
    <cellStyle name="Процентный 7 74 2 2" xfId="56147" xr:uid="{00000000-0005-0000-0000-0000DEE20000}"/>
    <cellStyle name="Процентный 7 74 3" xfId="13426" xr:uid="{00000000-0005-0000-0000-0000DFE20000}"/>
    <cellStyle name="Процентный 7 74 4" xfId="18766" xr:uid="{00000000-0005-0000-0000-0000E0E20000}"/>
    <cellStyle name="Процентный 7 74 5" xfId="24106" xr:uid="{00000000-0005-0000-0000-0000E1E20000}"/>
    <cellStyle name="Процентный 7 74 6" xfId="29446" xr:uid="{00000000-0005-0000-0000-0000E2E20000}"/>
    <cellStyle name="Процентный 7 74 7" xfId="34786" xr:uid="{00000000-0005-0000-0000-0000E3E20000}"/>
    <cellStyle name="Процентный 7 74 8" xfId="40126" xr:uid="{00000000-0005-0000-0000-0000E4E20000}"/>
    <cellStyle name="Процентный 7 74 9" xfId="45466" xr:uid="{00000000-0005-0000-0000-0000E5E20000}"/>
    <cellStyle name="Процентный 7 75" xfId="2776" xr:uid="{00000000-0005-0000-0000-0000E6E20000}"/>
    <cellStyle name="Процентный 7 75 10" xfId="50840" xr:uid="{00000000-0005-0000-0000-0000E7E20000}"/>
    <cellStyle name="Процентный 7 75 2" xfId="8119" xr:uid="{00000000-0005-0000-0000-0000E8E20000}"/>
    <cellStyle name="Процентный 7 75 2 2" xfId="56181" xr:uid="{00000000-0005-0000-0000-0000E9E20000}"/>
    <cellStyle name="Процентный 7 75 3" xfId="13460" xr:uid="{00000000-0005-0000-0000-0000EAE20000}"/>
    <cellStyle name="Процентный 7 75 4" xfId="18800" xr:uid="{00000000-0005-0000-0000-0000EBE20000}"/>
    <cellStyle name="Процентный 7 75 5" xfId="24140" xr:uid="{00000000-0005-0000-0000-0000ECE20000}"/>
    <cellStyle name="Процентный 7 75 6" xfId="29480" xr:uid="{00000000-0005-0000-0000-0000EDE20000}"/>
    <cellStyle name="Процентный 7 75 7" xfId="34820" xr:uid="{00000000-0005-0000-0000-0000EEE20000}"/>
    <cellStyle name="Процентный 7 75 8" xfId="40160" xr:uid="{00000000-0005-0000-0000-0000EFE20000}"/>
    <cellStyle name="Процентный 7 75 9" xfId="45500" xr:uid="{00000000-0005-0000-0000-0000F0E20000}"/>
    <cellStyle name="Процентный 7 76" xfId="2808" xr:uid="{00000000-0005-0000-0000-0000F1E20000}"/>
    <cellStyle name="Процентный 7 76 10" xfId="50872" xr:uid="{00000000-0005-0000-0000-0000F2E20000}"/>
    <cellStyle name="Процентный 7 76 2" xfId="8151" xr:uid="{00000000-0005-0000-0000-0000F3E20000}"/>
    <cellStyle name="Процентный 7 76 2 2" xfId="56213" xr:uid="{00000000-0005-0000-0000-0000F4E20000}"/>
    <cellStyle name="Процентный 7 76 3" xfId="13492" xr:uid="{00000000-0005-0000-0000-0000F5E20000}"/>
    <cellStyle name="Процентный 7 76 4" xfId="18832" xr:uid="{00000000-0005-0000-0000-0000F6E20000}"/>
    <cellStyle name="Процентный 7 76 5" xfId="24172" xr:uid="{00000000-0005-0000-0000-0000F7E20000}"/>
    <cellStyle name="Процентный 7 76 6" xfId="29512" xr:uid="{00000000-0005-0000-0000-0000F8E20000}"/>
    <cellStyle name="Процентный 7 76 7" xfId="34852" xr:uid="{00000000-0005-0000-0000-0000F9E20000}"/>
    <cellStyle name="Процентный 7 76 8" xfId="40192" xr:uid="{00000000-0005-0000-0000-0000FAE20000}"/>
    <cellStyle name="Процентный 7 76 9" xfId="45532" xr:uid="{00000000-0005-0000-0000-0000FBE20000}"/>
    <cellStyle name="Процентный 7 77" xfId="2840" xr:uid="{00000000-0005-0000-0000-0000FCE20000}"/>
    <cellStyle name="Процентный 7 77 10" xfId="50904" xr:uid="{00000000-0005-0000-0000-0000FDE20000}"/>
    <cellStyle name="Процентный 7 77 2" xfId="8183" xr:uid="{00000000-0005-0000-0000-0000FEE20000}"/>
    <cellStyle name="Процентный 7 77 2 2" xfId="56245" xr:uid="{00000000-0005-0000-0000-0000FFE20000}"/>
    <cellStyle name="Процентный 7 77 3" xfId="13524" xr:uid="{00000000-0005-0000-0000-000000E30000}"/>
    <cellStyle name="Процентный 7 77 4" xfId="18864" xr:uid="{00000000-0005-0000-0000-000001E30000}"/>
    <cellStyle name="Процентный 7 77 5" xfId="24204" xr:uid="{00000000-0005-0000-0000-000002E30000}"/>
    <cellStyle name="Процентный 7 77 6" xfId="29544" xr:uid="{00000000-0005-0000-0000-000003E30000}"/>
    <cellStyle name="Процентный 7 77 7" xfId="34884" xr:uid="{00000000-0005-0000-0000-000004E30000}"/>
    <cellStyle name="Процентный 7 77 8" xfId="40224" xr:uid="{00000000-0005-0000-0000-000005E30000}"/>
    <cellStyle name="Процентный 7 77 9" xfId="45564" xr:uid="{00000000-0005-0000-0000-000006E30000}"/>
    <cellStyle name="Процентный 7 78" xfId="2872" xr:uid="{00000000-0005-0000-0000-000007E30000}"/>
    <cellStyle name="Процентный 7 78 10" xfId="50936" xr:uid="{00000000-0005-0000-0000-000008E30000}"/>
    <cellStyle name="Процентный 7 78 2" xfId="8215" xr:uid="{00000000-0005-0000-0000-000009E30000}"/>
    <cellStyle name="Процентный 7 78 2 2" xfId="56277" xr:uid="{00000000-0005-0000-0000-00000AE30000}"/>
    <cellStyle name="Процентный 7 78 3" xfId="13556" xr:uid="{00000000-0005-0000-0000-00000BE30000}"/>
    <cellStyle name="Процентный 7 78 4" xfId="18896" xr:uid="{00000000-0005-0000-0000-00000CE30000}"/>
    <cellStyle name="Процентный 7 78 5" xfId="24236" xr:uid="{00000000-0005-0000-0000-00000DE30000}"/>
    <cellStyle name="Процентный 7 78 6" xfId="29576" xr:uid="{00000000-0005-0000-0000-00000EE30000}"/>
    <cellStyle name="Процентный 7 78 7" xfId="34916" xr:uid="{00000000-0005-0000-0000-00000FE30000}"/>
    <cellStyle name="Процентный 7 78 8" xfId="40256" xr:uid="{00000000-0005-0000-0000-000010E30000}"/>
    <cellStyle name="Процентный 7 78 9" xfId="45596" xr:uid="{00000000-0005-0000-0000-000011E30000}"/>
    <cellStyle name="Процентный 7 79" xfId="2904" xr:uid="{00000000-0005-0000-0000-000012E30000}"/>
    <cellStyle name="Процентный 7 79 10" xfId="50968" xr:uid="{00000000-0005-0000-0000-000013E30000}"/>
    <cellStyle name="Процентный 7 79 2" xfId="8247" xr:uid="{00000000-0005-0000-0000-000014E30000}"/>
    <cellStyle name="Процентный 7 79 2 2" xfId="56309" xr:uid="{00000000-0005-0000-0000-000015E30000}"/>
    <cellStyle name="Процентный 7 79 3" xfId="13588" xr:uid="{00000000-0005-0000-0000-000016E30000}"/>
    <cellStyle name="Процентный 7 79 4" xfId="18928" xr:uid="{00000000-0005-0000-0000-000017E30000}"/>
    <cellStyle name="Процентный 7 79 5" xfId="24268" xr:uid="{00000000-0005-0000-0000-000018E30000}"/>
    <cellStyle name="Процентный 7 79 6" xfId="29608" xr:uid="{00000000-0005-0000-0000-000019E30000}"/>
    <cellStyle name="Процентный 7 79 7" xfId="34948" xr:uid="{00000000-0005-0000-0000-00001AE30000}"/>
    <cellStyle name="Процентный 7 79 8" xfId="40288" xr:uid="{00000000-0005-0000-0000-00001BE30000}"/>
    <cellStyle name="Процентный 7 79 9" xfId="45628" xr:uid="{00000000-0005-0000-0000-00001CE30000}"/>
    <cellStyle name="Процентный 7 8" xfId="507" xr:uid="{00000000-0005-0000-0000-00001DE30000}"/>
    <cellStyle name="Процентный 7 8 10" xfId="43229" xr:uid="{00000000-0005-0000-0000-00001EE30000}"/>
    <cellStyle name="Процентный 7 8 11" xfId="48569" xr:uid="{00000000-0005-0000-0000-00001FE30000}"/>
    <cellStyle name="Процентный 7 8 2" xfId="974" xr:uid="{00000000-0005-0000-0000-000020E30000}"/>
    <cellStyle name="Процентный 7 8 2 10" xfId="49036" xr:uid="{00000000-0005-0000-0000-000021E30000}"/>
    <cellStyle name="Процентный 7 8 2 2" xfId="6315" xr:uid="{00000000-0005-0000-0000-000022E30000}"/>
    <cellStyle name="Процентный 7 8 2 2 2" xfId="54377" xr:uid="{00000000-0005-0000-0000-000023E30000}"/>
    <cellStyle name="Процентный 7 8 2 3" xfId="11656" xr:uid="{00000000-0005-0000-0000-000024E30000}"/>
    <cellStyle name="Процентный 7 8 2 4" xfId="16996" xr:uid="{00000000-0005-0000-0000-000025E30000}"/>
    <cellStyle name="Процентный 7 8 2 5" xfId="22336" xr:uid="{00000000-0005-0000-0000-000026E30000}"/>
    <cellStyle name="Процентный 7 8 2 6" xfId="27676" xr:uid="{00000000-0005-0000-0000-000027E30000}"/>
    <cellStyle name="Процентный 7 8 2 7" xfId="33016" xr:uid="{00000000-0005-0000-0000-000028E30000}"/>
    <cellStyle name="Процентный 7 8 2 8" xfId="38356" xr:uid="{00000000-0005-0000-0000-000029E30000}"/>
    <cellStyle name="Процентный 7 8 2 9" xfId="43696" xr:uid="{00000000-0005-0000-0000-00002AE30000}"/>
    <cellStyle name="Процентный 7 8 3" xfId="5848" xr:uid="{00000000-0005-0000-0000-00002BE30000}"/>
    <cellStyle name="Процентный 7 8 3 2" xfId="53910" xr:uid="{00000000-0005-0000-0000-00002CE30000}"/>
    <cellStyle name="Процентный 7 8 4" xfId="11189" xr:uid="{00000000-0005-0000-0000-00002DE30000}"/>
    <cellStyle name="Процентный 7 8 5" xfId="16529" xr:uid="{00000000-0005-0000-0000-00002EE30000}"/>
    <cellStyle name="Процентный 7 8 6" xfId="21869" xr:uid="{00000000-0005-0000-0000-00002FE30000}"/>
    <cellStyle name="Процентный 7 8 7" xfId="27209" xr:uid="{00000000-0005-0000-0000-000030E30000}"/>
    <cellStyle name="Процентный 7 8 8" xfId="32549" xr:uid="{00000000-0005-0000-0000-000031E30000}"/>
    <cellStyle name="Процентный 7 8 9" xfId="37889" xr:uid="{00000000-0005-0000-0000-000032E30000}"/>
    <cellStyle name="Процентный 7 80" xfId="2936" xr:uid="{00000000-0005-0000-0000-000033E30000}"/>
    <cellStyle name="Процентный 7 80 10" xfId="51000" xr:uid="{00000000-0005-0000-0000-000034E30000}"/>
    <cellStyle name="Процентный 7 80 2" xfId="8279" xr:uid="{00000000-0005-0000-0000-000035E30000}"/>
    <cellStyle name="Процентный 7 80 2 2" xfId="56341" xr:uid="{00000000-0005-0000-0000-000036E30000}"/>
    <cellStyle name="Процентный 7 80 3" xfId="13620" xr:uid="{00000000-0005-0000-0000-000037E30000}"/>
    <cellStyle name="Процентный 7 80 4" xfId="18960" xr:uid="{00000000-0005-0000-0000-000038E30000}"/>
    <cellStyle name="Процентный 7 80 5" xfId="24300" xr:uid="{00000000-0005-0000-0000-000039E30000}"/>
    <cellStyle name="Процентный 7 80 6" xfId="29640" xr:uid="{00000000-0005-0000-0000-00003AE30000}"/>
    <cellStyle name="Процентный 7 80 7" xfId="34980" xr:uid="{00000000-0005-0000-0000-00003BE30000}"/>
    <cellStyle name="Процентный 7 80 8" xfId="40320" xr:uid="{00000000-0005-0000-0000-00003CE30000}"/>
    <cellStyle name="Процентный 7 80 9" xfId="45660" xr:uid="{00000000-0005-0000-0000-00003DE30000}"/>
    <cellStyle name="Процентный 7 81" xfId="2968" xr:uid="{00000000-0005-0000-0000-00003EE30000}"/>
    <cellStyle name="Процентный 7 81 10" xfId="51032" xr:uid="{00000000-0005-0000-0000-00003FE30000}"/>
    <cellStyle name="Процентный 7 81 2" xfId="8311" xr:uid="{00000000-0005-0000-0000-000040E30000}"/>
    <cellStyle name="Процентный 7 81 2 2" xfId="56373" xr:uid="{00000000-0005-0000-0000-000041E30000}"/>
    <cellStyle name="Процентный 7 81 3" xfId="13652" xr:uid="{00000000-0005-0000-0000-000042E30000}"/>
    <cellStyle name="Процентный 7 81 4" xfId="18992" xr:uid="{00000000-0005-0000-0000-000043E30000}"/>
    <cellStyle name="Процентный 7 81 5" xfId="24332" xr:uid="{00000000-0005-0000-0000-000044E30000}"/>
    <cellStyle name="Процентный 7 81 6" xfId="29672" xr:uid="{00000000-0005-0000-0000-000045E30000}"/>
    <cellStyle name="Процентный 7 81 7" xfId="35012" xr:uid="{00000000-0005-0000-0000-000046E30000}"/>
    <cellStyle name="Процентный 7 81 8" xfId="40352" xr:uid="{00000000-0005-0000-0000-000047E30000}"/>
    <cellStyle name="Процентный 7 81 9" xfId="45692" xr:uid="{00000000-0005-0000-0000-000048E30000}"/>
    <cellStyle name="Процентный 7 82" xfId="3000" xr:uid="{00000000-0005-0000-0000-000049E30000}"/>
    <cellStyle name="Процентный 7 82 10" xfId="51064" xr:uid="{00000000-0005-0000-0000-00004AE30000}"/>
    <cellStyle name="Процентный 7 82 2" xfId="8343" xr:uid="{00000000-0005-0000-0000-00004BE30000}"/>
    <cellStyle name="Процентный 7 82 2 2" xfId="56405" xr:uid="{00000000-0005-0000-0000-00004CE30000}"/>
    <cellStyle name="Процентный 7 82 3" xfId="13684" xr:uid="{00000000-0005-0000-0000-00004DE30000}"/>
    <cellStyle name="Процентный 7 82 4" xfId="19024" xr:uid="{00000000-0005-0000-0000-00004EE30000}"/>
    <cellStyle name="Процентный 7 82 5" xfId="24364" xr:uid="{00000000-0005-0000-0000-00004FE30000}"/>
    <cellStyle name="Процентный 7 82 6" xfId="29704" xr:uid="{00000000-0005-0000-0000-000050E30000}"/>
    <cellStyle name="Процентный 7 82 7" xfId="35044" xr:uid="{00000000-0005-0000-0000-000051E30000}"/>
    <cellStyle name="Процентный 7 82 8" xfId="40384" xr:uid="{00000000-0005-0000-0000-000052E30000}"/>
    <cellStyle name="Процентный 7 82 9" xfId="45724" xr:uid="{00000000-0005-0000-0000-000053E30000}"/>
    <cellStyle name="Процентный 7 83" xfId="3032" xr:uid="{00000000-0005-0000-0000-000054E30000}"/>
    <cellStyle name="Процентный 7 83 10" xfId="51096" xr:uid="{00000000-0005-0000-0000-000055E30000}"/>
    <cellStyle name="Процентный 7 83 2" xfId="8375" xr:uid="{00000000-0005-0000-0000-000056E30000}"/>
    <cellStyle name="Процентный 7 83 2 2" xfId="56437" xr:uid="{00000000-0005-0000-0000-000057E30000}"/>
    <cellStyle name="Процентный 7 83 3" xfId="13716" xr:uid="{00000000-0005-0000-0000-000058E30000}"/>
    <cellStyle name="Процентный 7 83 4" xfId="19056" xr:uid="{00000000-0005-0000-0000-000059E30000}"/>
    <cellStyle name="Процентный 7 83 5" xfId="24396" xr:uid="{00000000-0005-0000-0000-00005AE30000}"/>
    <cellStyle name="Процентный 7 83 6" xfId="29736" xr:uid="{00000000-0005-0000-0000-00005BE30000}"/>
    <cellStyle name="Процентный 7 83 7" xfId="35076" xr:uid="{00000000-0005-0000-0000-00005CE30000}"/>
    <cellStyle name="Процентный 7 83 8" xfId="40416" xr:uid="{00000000-0005-0000-0000-00005DE30000}"/>
    <cellStyle name="Процентный 7 83 9" xfId="45756" xr:uid="{00000000-0005-0000-0000-00005EE30000}"/>
    <cellStyle name="Процентный 7 84" xfId="3064" xr:uid="{00000000-0005-0000-0000-00005FE30000}"/>
    <cellStyle name="Процентный 7 84 10" xfId="51128" xr:uid="{00000000-0005-0000-0000-000060E30000}"/>
    <cellStyle name="Процентный 7 84 2" xfId="8407" xr:uid="{00000000-0005-0000-0000-000061E30000}"/>
    <cellStyle name="Процентный 7 84 2 2" xfId="56469" xr:uid="{00000000-0005-0000-0000-000062E30000}"/>
    <cellStyle name="Процентный 7 84 3" xfId="13748" xr:uid="{00000000-0005-0000-0000-000063E30000}"/>
    <cellStyle name="Процентный 7 84 4" xfId="19088" xr:uid="{00000000-0005-0000-0000-000064E30000}"/>
    <cellStyle name="Процентный 7 84 5" xfId="24428" xr:uid="{00000000-0005-0000-0000-000065E30000}"/>
    <cellStyle name="Процентный 7 84 6" xfId="29768" xr:uid="{00000000-0005-0000-0000-000066E30000}"/>
    <cellStyle name="Процентный 7 84 7" xfId="35108" xr:uid="{00000000-0005-0000-0000-000067E30000}"/>
    <cellStyle name="Процентный 7 84 8" xfId="40448" xr:uid="{00000000-0005-0000-0000-000068E30000}"/>
    <cellStyle name="Процентный 7 84 9" xfId="45788" xr:uid="{00000000-0005-0000-0000-000069E30000}"/>
    <cellStyle name="Процентный 7 85" xfId="3096" xr:uid="{00000000-0005-0000-0000-00006AE30000}"/>
    <cellStyle name="Процентный 7 85 10" xfId="51160" xr:uid="{00000000-0005-0000-0000-00006BE30000}"/>
    <cellStyle name="Процентный 7 85 2" xfId="8439" xr:uid="{00000000-0005-0000-0000-00006CE30000}"/>
    <cellStyle name="Процентный 7 85 2 2" xfId="56501" xr:uid="{00000000-0005-0000-0000-00006DE30000}"/>
    <cellStyle name="Процентный 7 85 3" xfId="13780" xr:uid="{00000000-0005-0000-0000-00006EE30000}"/>
    <cellStyle name="Процентный 7 85 4" xfId="19120" xr:uid="{00000000-0005-0000-0000-00006FE30000}"/>
    <cellStyle name="Процентный 7 85 5" xfId="24460" xr:uid="{00000000-0005-0000-0000-000070E30000}"/>
    <cellStyle name="Процентный 7 85 6" xfId="29800" xr:uid="{00000000-0005-0000-0000-000071E30000}"/>
    <cellStyle name="Процентный 7 85 7" xfId="35140" xr:uid="{00000000-0005-0000-0000-000072E30000}"/>
    <cellStyle name="Процентный 7 85 8" xfId="40480" xr:uid="{00000000-0005-0000-0000-000073E30000}"/>
    <cellStyle name="Процентный 7 85 9" xfId="45820" xr:uid="{00000000-0005-0000-0000-000074E30000}"/>
    <cellStyle name="Процентный 7 86" xfId="3129" xr:uid="{00000000-0005-0000-0000-000075E30000}"/>
    <cellStyle name="Процентный 7 86 10" xfId="51192" xr:uid="{00000000-0005-0000-0000-000076E30000}"/>
    <cellStyle name="Процентный 7 86 2" xfId="8472" xr:uid="{00000000-0005-0000-0000-000077E30000}"/>
    <cellStyle name="Процентный 7 86 2 2" xfId="56533" xr:uid="{00000000-0005-0000-0000-000078E30000}"/>
    <cellStyle name="Процентный 7 86 3" xfId="13812" xr:uid="{00000000-0005-0000-0000-000079E30000}"/>
    <cellStyle name="Процентный 7 86 4" xfId="19152" xr:uid="{00000000-0005-0000-0000-00007AE30000}"/>
    <cellStyle name="Процентный 7 86 5" xfId="24492" xr:uid="{00000000-0005-0000-0000-00007BE30000}"/>
    <cellStyle name="Процентный 7 86 6" xfId="29832" xr:uid="{00000000-0005-0000-0000-00007CE30000}"/>
    <cellStyle name="Процентный 7 86 7" xfId="35172" xr:uid="{00000000-0005-0000-0000-00007DE30000}"/>
    <cellStyle name="Процентный 7 86 8" xfId="40512" xr:uid="{00000000-0005-0000-0000-00007EE30000}"/>
    <cellStyle name="Процентный 7 86 9" xfId="45852" xr:uid="{00000000-0005-0000-0000-00007FE30000}"/>
    <cellStyle name="Процентный 7 87" xfId="3161" xr:uid="{00000000-0005-0000-0000-000080E30000}"/>
    <cellStyle name="Процентный 7 87 10" xfId="51224" xr:uid="{00000000-0005-0000-0000-000081E30000}"/>
    <cellStyle name="Процентный 7 87 2" xfId="8504" xr:uid="{00000000-0005-0000-0000-000082E30000}"/>
    <cellStyle name="Процентный 7 87 2 2" xfId="56565" xr:uid="{00000000-0005-0000-0000-000083E30000}"/>
    <cellStyle name="Процентный 7 87 3" xfId="13844" xr:uid="{00000000-0005-0000-0000-000084E30000}"/>
    <cellStyle name="Процентный 7 87 4" xfId="19184" xr:uid="{00000000-0005-0000-0000-000085E30000}"/>
    <cellStyle name="Процентный 7 87 5" xfId="24524" xr:uid="{00000000-0005-0000-0000-000086E30000}"/>
    <cellStyle name="Процентный 7 87 6" xfId="29864" xr:uid="{00000000-0005-0000-0000-000087E30000}"/>
    <cellStyle name="Процентный 7 87 7" xfId="35204" xr:uid="{00000000-0005-0000-0000-000088E30000}"/>
    <cellStyle name="Процентный 7 87 8" xfId="40544" xr:uid="{00000000-0005-0000-0000-000089E30000}"/>
    <cellStyle name="Процентный 7 87 9" xfId="45884" xr:uid="{00000000-0005-0000-0000-00008AE30000}"/>
    <cellStyle name="Процентный 7 88" xfId="3193" xr:uid="{00000000-0005-0000-0000-00008BE30000}"/>
    <cellStyle name="Процентный 7 88 10" xfId="51256" xr:uid="{00000000-0005-0000-0000-00008CE30000}"/>
    <cellStyle name="Процентный 7 88 2" xfId="8536" xr:uid="{00000000-0005-0000-0000-00008DE30000}"/>
    <cellStyle name="Процентный 7 88 2 2" xfId="56597" xr:uid="{00000000-0005-0000-0000-00008EE30000}"/>
    <cellStyle name="Процентный 7 88 3" xfId="13876" xr:uid="{00000000-0005-0000-0000-00008FE30000}"/>
    <cellStyle name="Процентный 7 88 4" xfId="19216" xr:uid="{00000000-0005-0000-0000-000090E30000}"/>
    <cellStyle name="Процентный 7 88 5" xfId="24556" xr:uid="{00000000-0005-0000-0000-000091E30000}"/>
    <cellStyle name="Процентный 7 88 6" xfId="29896" xr:uid="{00000000-0005-0000-0000-000092E30000}"/>
    <cellStyle name="Процентный 7 88 7" xfId="35236" xr:uid="{00000000-0005-0000-0000-000093E30000}"/>
    <cellStyle name="Процентный 7 88 8" xfId="40576" xr:uid="{00000000-0005-0000-0000-000094E30000}"/>
    <cellStyle name="Процентный 7 88 9" xfId="45916" xr:uid="{00000000-0005-0000-0000-000095E30000}"/>
    <cellStyle name="Процентный 7 89" xfId="3225" xr:uid="{00000000-0005-0000-0000-000096E30000}"/>
    <cellStyle name="Процентный 7 89 10" xfId="51288" xr:uid="{00000000-0005-0000-0000-000097E30000}"/>
    <cellStyle name="Процентный 7 89 2" xfId="8568" xr:uid="{00000000-0005-0000-0000-000098E30000}"/>
    <cellStyle name="Процентный 7 89 2 2" xfId="56629" xr:uid="{00000000-0005-0000-0000-000099E30000}"/>
    <cellStyle name="Процентный 7 89 3" xfId="13908" xr:uid="{00000000-0005-0000-0000-00009AE30000}"/>
    <cellStyle name="Процентный 7 89 4" xfId="19248" xr:uid="{00000000-0005-0000-0000-00009BE30000}"/>
    <cellStyle name="Процентный 7 89 5" xfId="24588" xr:uid="{00000000-0005-0000-0000-00009CE30000}"/>
    <cellStyle name="Процентный 7 89 6" xfId="29928" xr:uid="{00000000-0005-0000-0000-00009DE30000}"/>
    <cellStyle name="Процентный 7 89 7" xfId="35268" xr:uid="{00000000-0005-0000-0000-00009EE30000}"/>
    <cellStyle name="Процентный 7 89 8" xfId="40608" xr:uid="{00000000-0005-0000-0000-00009FE30000}"/>
    <cellStyle name="Процентный 7 89 9" xfId="45948" xr:uid="{00000000-0005-0000-0000-0000A0E30000}"/>
    <cellStyle name="Процентный 7 9" xfId="519" xr:uid="{00000000-0005-0000-0000-0000A1E30000}"/>
    <cellStyle name="Процентный 7 9 10" xfId="43241" xr:uid="{00000000-0005-0000-0000-0000A2E30000}"/>
    <cellStyle name="Процентный 7 9 11" xfId="48581" xr:uid="{00000000-0005-0000-0000-0000A3E30000}"/>
    <cellStyle name="Процентный 7 9 2" xfId="986" xr:uid="{00000000-0005-0000-0000-0000A4E30000}"/>
    <cellStyle name="Процентный 7 9 2 10" xfId="49048" xr:uid="{00000000-0005-0000-0000-0000A5E30000}"/>
    <cellStyle name="Процентный 7 9 2 2" xfId="6327" xr:uid="{00000000-0005-0000-0000-0000A6E30000}"/>
    <cellStyle name="Процентный 7 9 2 2 2" xfId="54389" xr:uid="{00000000-0005-0000-0000-0000A7E30000}"/>
    <cellStyle name="Процентный 7 9 2 3" xfId="11668" xr:uid="{00000000-0005-0000-0000-0000A8E30000}"/>
    <cellStyle name="Процентный 7 9 2 4" xfId="17008" xr:uid="{00000000-0005-0000-0000-0000A9E30000}"/>
    <cellStyle name="Процентный 7 9 2 5" xfId="22348" xr:uid="{00000000-0005-0000-0000-0000AAE30000}"/>
    <cellStyle name="Процентный 7 9 2 6" xfId="27688" xr:uid="{00000000-0005-0000-0000-0000ABE30000}"/>
    <cellStyle name="Процентный 7 9 2 7" xfId="33028" xr:uid="{00000000-0005-0000-0000-0000ACE30000}"/>
    <cellStyle name="Процентный 7 9 2 8" xfId="38368" xr:uid="{00000000-0005-0000-0000-0000ADE30000}"/>
    <cellStyle name="Процентный 7 9 2 9" xfId="43708" xr:uid="{00000000-0005-0000-0000-0000AEE30000}"/>
    <cellStyle name="Процентный 7 9 3" xfId="5860" xr:uid="{00000000-0005-0000-0000-0000AFE30000}"/>
    <cellStyle name="Процентный 7 9 3 2" xfId="53922" xr:uid="{00000000-0005-0000-0000-0000B0E30000}"/>
    <cellStyle name="Процентный 7 9 4" xfId="11201" xr:uid="{00000000-0005-0000-0000-0000B1E30000}"/>
    <cellStyle name="Процентный 7 9 5" xfId="16541" xr:uid="{00000000-0005-0000-0000-0000B2E30000}"/>
    <cellStyle name="Процентный 7 9 6" xfId="21881" xr:uid="{00000000-0005-0000-0000-0000B3E30000}"/>
    <cellStyle name="Процентный 7 9 7" xfId="27221" xr:uid="{00000000-0005-0000-0000-0000B4E30000}"/>
    <cellStyle name="Процентный 7 9 8" xfId="32561" xr:uid="{00000000-0005-0000-0000-0000B5E30000}"/>
    <cellStyle name="Процентный 7 9 9" xfId="37901" xr:uid="{00000000-0005-0000-0000-0000B6E30000}"/>
    <cellStyle name="Процентный 7 90" xfId="3257" xr:uid="{00000000-0005-0000-0000-0000B7E30000}"/>
    <cellStyle name="Процентный 7 90 10" xfId="51320" xr:uid="{00000000-0005-0000-0000-0000B8E30000}"/>
    <cellStyle name="Процентный 7 90 2" xfId="8600" xr:uid="{00000000-0005-0000-0000-0000B9E30000}"/>
    <cellStyle name="Процентный 7 90 2 2" xfId="56661" xr:uid="{00000000-0005-0000-0000-0000BAE30000}"/>
    <cellStyle name="Процентный 7 90 3" xfId="13940" xr:uid="{00000000-0005-0000-0000-0000BBE30000}"/>
    <cellStyle name="Процентный 7 90 4" xfId="19280" xr:uid="{00000000-0005-0000-0000-0000BCE30000}"/>
    <cellStyle name="Процентный 7 90 5" xfId="24620" xr:uid="{00000000-0005-0000-0000-0000BDE30000}"/>
    <cellStyle name="Процентный 7 90 6" xfId="29960" xr:uid="{00000000-0005-0000-0000-0000BEE30000}"/>
    <cellStyle name="Процентный 7 90 7" xfId="35300" xr:uid="{00000000-0005-0000-0000-0000BFE30000}"/>
    <cellStyle name="Процентный 7 90 8" xfId="40640" xr:uid="{00000000-0005-0000-0000-0000C0E30000}"/>
    <cellStyle name="Процентный 7 90 9" xfId="45980" xr:uid="{00000000-0005-0000-0000-0000C1E30000}"/>
    <cellStyle name="Процентный 7 91" xfId="3289" xr:uid="{00000000-0005-0000-0000-0000C2E30000}"/>
    <cellStyle name="Процентный 7 91 10" xfId="51352" xr:uid="{00000000-0005-0000-0000-0000C3E30000}"/>
    <cellStyle name="Процентный 7 91 2" xfId="8632" xr:uid="{00000000-0005-0000-0000-0000C4E30000}"/>
    <cellStyle name="Процентный 7 91 2 2" xfId="56693" xr:uid="{00000000-0005-0000-0000-0000C5E30000}"/>
    <cellStyle name="Процентный 7 91 3" xfId="13972" xr:uid="{00000000-0005-0000-0000-0000C6E30000}"/>
    <cellStyle name="Процентный 7 91 4" xfId="19312" xr:uid="{00000000-0005-0000-0000-0000C7E30000}"/>
    <cellStyle name="Процентный 7 91 5" xfId="24652" xr:uid="{00000000-0005-0000-0000-0000C8E30000}"/>
    <cellStyle name="Процентный 7 91 6" xfId="29992" xr:uid="{00000000-0005-0000-0000-0000C9E30000}"/>
    <cellStyle name="Процентный 7 91 7" xfId="35332" xr:uid="{00000000-0005-0000-0000-0000CAE30000}"/>
    <cellStyle name="Процентный 7 91 8" xfId="40672" xr:uid="{00000000-0005-0000-0000-0000CBE30000}"/>
    <cellStyle name="Процентный 7 91 9" xfId="46012" xr:uid="{00000000-0005-0000-0000-0000CCE30000}"/>
    <cellStyle name="Процентный 7 92" xfId="3321" xr:uid="{00000000-0005-0000-0000-0000CDE30000}"/>
    <cellStyle name="Процентный 7 92 10" xfId="51384" xr:uid="{00000000-0005-0000-0000-0000CEE30000}"/>
    <cellStyle name="Процентный 7 92 2" xfId="8664" xr:uid="{00000000-0005-0000-0000-0000CFE30000}"/>
    <cellStyle name="Процентный 7 92 2 2" xfId="56725" xr:uid="{00000000-0005-0000-0000-0000D0E30000}"/>
    <cellStyle name="Процентный 7 92 3" xfId="14004" xr:uid="{00000000-0005-0000-0000-0000D1E30000}"/>
    <cellStyle name="Процентный 7 92 4" xfId="19344" xr:uid="{00000000-0005-0000-0000-0000D2E30000}"/>
    <cellStyle name="Процентный 7 92 5" xfId="24684" xr:uid="{00000000-0005-0000-0000-0000D3E30000}"/>
    <cellStyle name="Процентный 7 92 6" xfId="30024" xr:uid="{00000000-0005-0000-0000-0000D4E30000}"/>
    <cellStyle name="Процентный 7 92 7" xfId="35364" xr:uid="{00000000-0005-0000-0000-0000D5E30000}"/>
    <cellStyle name="Процентный 7 92 8" xfId="40704" xr:uid="{00000000-0005-0000-0000-0000D6E30000}"/>
    <cellStyle name="Процентный 7 92 9" xfId="46044" xr:uid="{00000000-0005-0000-0000-0000D7E30000}"/>
    <cellStyle name="Процентный 7 93" xfId="3353" xr:uid="{00000000-0005-0000-0000-0000D8E30000}"/>
    <cellStyle name="Процентный 7 93 10" xfId="51416" xr:uid="{00000000-0005-0000-0000-0000D9E30000}"/>
    <cellStyle name="Процентный 7 93 2" xfId="8696" xr:uid="{00000000-0005-0000-0000-0000DAE30000}"/>
    <cellStyle name="Процентный 7 93 2 2" xfId="56757" xr:uid="{00000000-0005-0000-0000-0000DBE30000}"/>
    <cellStyle name="Процентный 7 93 3" xfId="14036" xr:uid="{00000000-0005-0000-0000-0000DCE30000}"/>
    <cellStyle name="Процентный 7 93 4" xfId="19376" xr:uid="{00000000-0005-0000-0000-0000DDE30000}"/>
    <cellStyle name="Процентный 7 93 5" xfId="24716" xr:uid="{00000000-0005-0000-0000-0000DEE30000}"/>
    <cellStyle name="Процентный 7 93 6" xfId="30056" xr:uid="{00000000-0005-0000-0000-0000DFE30000}"/>
    <cellStyle name="Процентный 7 93 7" xfId="35396" xr:uid="{00000000-0005-0000-0000-0000E0E30000}"/>
    <cellStyle name="Процентный 7 93 8" xfId="40736" xr:uid="{00000000-0005-0000-0000-0000E1E30000}"/>
    <cellStyle name="Процентный 7 93 9" xfId="46076" xr:uid="{00000000-0005-0000-0000-0000E2E30000}"/>
    <cellStyle name="Процентный 7 94" xfId="3385" xr:uid="{00000000-0005-0000-0000-0000E3E30000}"/>
    <cellStyle name="Процентный 7 94 10" xfId="51448" xr:uid="{00000000-0005-0000-0000-0000E4E30000}"/>
    <cellStyle name="Процентный 7 94 2" xfId="8728" xr:uid="{00000000-0005-0000-0000-0000E5E30000}"/>
    <cellStyle name="Процентный 7 94 2 2" xfId="56789" xr:uid="{00000000-0005-0000-0000-0000E6E30000}"/>
    <cellStyle name="Процентный 7 94 3" xfId="14068" xr:uid="{00000000-0005-0000-0000-0000E7E30000}"/>
    <cellStyle name="Процентный 7 94 4" xfId="19408" xr:uid="{00000000-0005-0000-0000-0000E8E30000}"/>
    <cellStyle name="Процентный 7 94 5" xfId="24748" xr:uid="{00000000-0005-0000-0000-0000E9E30000}"/>
    <cellStyle name="Процентный 7 94 6" xfId="30088" xr:uid="{00000000-0005-0000-0000-0000EAE30000}"/>
    <cellStyle name="Процентный 7 94 7" xfId="35428" xr:uid="{00000000-0005-0000-0000-0000EBE30000}"/>
    <cellStyle name="Процентный 7 94 8" xfId="40768" xr:uid="{00000000-0005-0000-0000-0000ECE30000}"/>
    <cellStyle name="Процентный 7 94 9" xfId="46108" xr:uid="{00000000-0005-0000-0000-0000EDE30000}"/>
    <cellStyle name="Процентный 7 95" xfId="3417" xr:uid="{00000000-0005-0000-0000-0000EEE30000}"/>
    <cellStyle name="Процентный 7 95 10" xfId="51480" xr:uid="{00000000-0005-0000-0000-0000EFE30000}"/>
    <cellStyle name="Процентный 7 95 2" xfId="8760" xr:uid="{00000000-0005-0000-0000-0000F0E30000}"/>
    <cellStyle name="Процентный 7 95 2 2" xfId="56821" xr:uid="{00000000-0005-0000-0000-0000F1E30000}"/>
    <cellStyle name="Процентный 7 95 3" xfId="14100" xr:uid="{00000000-0005-0000-0000-0000F2E30000}"/>
    <cellStyle name="Процентный 7 95 4" xfId="19440" xr:uid="{00000000-0005-0000-0000-0000F3E30000}"/>
    <cellStyle name="Процентный 7 95 5" xfId="24780" xr:uid="{00000000-0005-0000-0000-0000F4E30000}"/>
    <cellStyle name="Процентный 7 95 6" xfId="30120" xr:uid="{00000000-0005-0000-0000-0000F5E30000}"/>
    <cellStyle name="Процентный 7 95 7" xfId="35460" xr:uid="{00000000-0005-0000-0000-0000F6E30000}"/>
    <cellStyle name="Процентный 7 95 8" xfId="40800" xr:uid="{00000000-0005-0000-0000-0000F7E30000}"/>
    <cellStyle name="Процентный 7 95 9" xfId="46140" xr:uid="{00000000-0005-0000-0000-0000F8E30000}"/>
    <cellStyle name="Процентный 7 96" xfId="3449" xr:uid="{00000000-0005-0000-0000-0000F9E30000}"/>
    <cellStyle name="Процентный 7 96 10" xfId="51512" xr:uid="{00000000-0005-0000-0000-0000FAE30000}"/>
    <cellStyle name="Процентный 7 96 2" xfId="8792" xr:uid="{00000000-0005-0000-0000-0000FBE30000}"/>
    <cellStyle name="Процентный 7 96 2 2" xfId="56853" xr:uid="{00000000-0005-0000-0000-0000FCE30000}"/>
    <cellStyle name="Процентный 7 96 3" xfId="14132" xr:uid="{00000000-0005-0000-0000-0000FDE30000}"/>
    <cellStyle name="Процентный 7 96 4" xfId="19472" xr:uid="{00000000-0005-0000-0000-0000FEE30000}"/>
    <cellStyle name="Процентный 7 96 5" xfId="24812" xr:uid="{00000000-0005-0000-0000-0000FFE30000}"/>
    <cellStyle name="Процентный 7 96 6" xfId="30152" xr:uid="{00000000-0005-0000-0000-000000E40000}"/>
    <cellStyle name="Процентный 7 96 7" xfId="35492" xr:uid="{00000000-0005-0000-0000-000001E40000}"/>
    <cellStyle name="Процентный 7 96 8" xfId="40832" xr:uid="{00000000-0005-0000-0000-000002E40000}"/>
    <cellStyle name="Процентный 7 96 9" xfId="46172" xr:uid="{00000000-0005-0000-0000-000003E40000}"/>
    <cellStyle name="Процентный 7 97" xfId="3481" xr:uid="{00000000-0005-0000-0000-000004E40000}"/>
    <cellStyle name="Процентный 7 97 10" xfId="51544" xr:uid="{00000000-0005-0000-0000-000005E40000}"/>
    <cellStyle name="Процентный 7 97 2" xfId="8824" xr:uid="{00000000-0005-0000-0000-000006E40000}"/>
    <cellStyle name="Процентный 7 97 2 2" xfId="56885" xr:uid="{00000000-0005-0000-0000-000007E40000}"/>
    <cellStyle name="Процентный 7 97 3" xfId="14164" xr:uid="{00000000-0005-0000-0000-000008E40000}"/>
    <cellStyle name="Процентный 7 97 4" xfId="19504" xr:uid="{00000000-0005-0000-0000-000009E40000}"/>
    <cellStyle name="Процентный 7 97 5" xfId="24844" xr:uid="{00000000-0005-0000-0000-00000AE40000}"/>
    <cellStyle name="Процентный 7 97 6" xfId="30184" xr:uid="{00000000-0005-0000-0000-00000BE40000}"/>
    <cellStyle name="Процентный 7 97 7" xfId="35524" xr:uid="{00000000-0005-0000-0000-00000CE40000}"/>
    <cellStyle name="Процентный 7 97 8" xfId="40864" xr:uid="{00000000-0005-0000-0000-00000DE40000}"/>
    <cellStyle name="Процентный 7 97 9" xfId="46204" xr:uid="{00000000-0005-0000-0000-00000EE40000}"/>
    <cellStyle name="Процентный 7 98" xfId="3513" xr:uid="{00000000-0005-0000-0000-00000FE40000}"/>
    <cellStyle name="Процентный 7 98 10" xfId="51576" xr:uid="{00000000-0005-0000-0000-000010E40000}"/>
    <cellStyle name="Процентный 7 98 2" xfId="8856" xr:uid="{00000000-0005-0000-0000-000011E40000}"/>
    <cellStyle name="Процентный 7 98 2 2" xfId="56917" xr:uid="{00000000-0005-0000-0000-000012E40000}"/>
    <cellStyle name="Процентный 7 98 3" xfId="14196" xr:uid="{00000000-0005-0000-0000-000013E40000}"/>
    <cellStyle name="Процентный 7 98 4" xfId="19536" xr:uid="{00000000-0005-0000-0000-000014E40000}"/>
    <cellStyle name="Процентный 7 98 5" xfId="24876" xr:uid="{00000000-0005-0000-0000-000015E40000}"/>
    <cellStyle name="Процентный 7 98 6" xfId="30216" xr:uid="{00000000-0005-0000-0000-000016E40000}"/>
    <cellStyle name="Процентный 7 98 7" xfId="35556" xr:uid="{00000000-0005-0000-0000-000017E40000}"/>
    <cellStyle name="Процентный 7 98 8" xfId="40896" xr:uid="{00000000-0005-0000-0000-000018E40000}"/>
    <cellStyle name="Процентный 7 98 9" xfId="46236" xr:uid="{00000000-0005-0000-0000-000019E40000}"/>
    <cellStyle name="Процентный 7 99" xfId="3545" xr:uid="{00000000-0005-0000-0000-00001AE40000}"/>
    <cellStyle name="Процентный 7 99 10" xfId="51608" xr:uid="{00000000-0005-0000-0000-00001BE40000}"/>
    <cellStyle name="Процентный 7 99 2" xfId="8888" xr:uid="{00000000-0005-0000-0000-00001CE40000}"/>
    <cellStyle name="Процентный 7 99 2 2" xfId="56949" xr:uid="{00000000-0005-0000-0000-00001DE40000}"/>
    <cellStyle name="Процентный 7 99 3" xfId="14228" xr:uid="{00000000-0005-0000-0000-00001EE40000}"/>
    <cellStyle name="Процентный 7 99 4" xfId="19568" xr:uid="{00000000-0005-0000-0000-00001FE40000}"/>
    <cellStyle name="Процентный 7 99 5" xfId="24908" xr:uid="{00000000-0005-0000-0000-000020E40000}"/>
    <cellStyle name="Процентный 7 99 6" xfId="30248" xr:uid="{00000000-0005-0000-0000-000021E40000}"/>
    <cellStyle name="Процентный 7 99 7" xfId="35588" xr:uid="{00000000-0005-0000-0000-000022E40000}"/>
    <cellStyle name="Процентный 7 99 8" xfId="40928" xr:uid="{00000000-0005-0000-0000-000023E40000}"/>
    <cellStyle name="Процентный 7 99 9" xfId="46268" xr:uid="{00000000-0005-0000-0000-000024E40000}"/>
    <cellStyle name="Процентный 8" xfId="1059" xr:uid="{00000000-0005-0000-0000-000025E40000}"/>
    <cellStyle name="Процентный 8 10" xfId="1293" xr:uid="{00000000-0005-0000-0000-000026E40000}"/>
    <cellStyle name="Процентный 8 10 10" xfId="49356" xr:uid="{00000000-0005-0000-0000-000027E40000}"/>
    <cellStyle name="Процентный 8 10 2" xfId="6635" xr:uid="{00000000-0005-0000-0000-000028E40000}"/>
    <cellStyle name="Процентный 8 10 2 2" xfId="54697" xr:uid="{00000000-0005-0000-0000-000029E40000}"/>
    <cellStyle name="Процентный 8 10 3" xfId="11976" xr:uid="{00000000-0005-0000-0000-00002AE40000}"/>
    <cellStyle name="Процентный 8 10 4" xfId="17316" xr:uid="{00000000-0005-0000-0000-00002BE40000}"/>
    <cellStyle name="Процентный 8 10 5" xfId="22656" xr:uid="{00000000-0005-0000-0000-00002CE40000}"/>
    <cellStyle name="Процентный 8 10 6" xfId="27996" xr:uid="{00000000-0005-0000-0000-00002DE40000}"/>
    <cellStyle name="Процентный 8 10 7" xfId="33336" xr:uid="{00000000-0005-0000-0000-00002EE40000}"/>
    <cellStyle name="Процентный 8 10 8" xfId="38676" xr:uid="{00000000-0005-0000-0000-00002FE40000}"/>
    <cellStyle name="Процентный 8 10 9" xfId="44016" xr:uid="{00000000-0005-0000-0000-000030E40000}"/>
    <cellStyle name="Процентный 8 100" xfId="3975" xr:uid="{00000000-0005-0000-0000-000031E40000}"/>
    <cellStyle name="Процентный 8 100 10" xfId="52038" xr:uid="{00000000-0005-0000-0000-000032E40000}"/>
    <cellStyle name="Процентный 8 100 2" xfId="9318" xr:uid="{00000000-0005-0000-0000-000033E40000}"/>
    <cellStyle name="Процентный 8 100 2 2" xfId="57379" xr:uid="{00000000-0005-0000-0000-000034E40000}"/>
    <cellStyle name="Процентный 8 100 3" xfId="14658" xr:uid="{00000000-0005-0000-0000-000035E40000}"/>
    <cellStyle name="Процентный 8 100 4" xfId="19998" xr:uid="{00000000-0005-0000-0000-000036E40000}"/>
    <cellStyle name="Процентный 8 100 5" xfId="25338" xr:uid="{00000000-0005-0000-0000-000037E40000}"/>
    <cellStyle name="Процентный 8 100 6" xfId="30678" xr:uid="{00000000-0005-0000-0000-000038E40000}"/>
    <cellStyle name="Процентный 8 100 7" xfId="36018" xr:uid="{00000000-0005-0000-0000-000039E40000}"/>
    <cellStyle name="Процентный 8 100 8" xfId="41358" xr:uid="{00000000-0005-0000-0000-00003AE40000}"/>
    <cellStyle name="Процентный 8 100 9" xfId="46698" xr:uid="{00000000-0005-0000-0000-00003BE40000}"/>
    <cellStyle name="Процентный 8 101" xfId="4007" xr:uid="{00000000-0005-0000-0000-00003CE40000}"/>
    <cellStyle name="Процентный 8 101 10" xfId="52070" xr:uid="{00000000-0005-0000-0000-00003DE40000}"/>
    <cellStyle name="Процентный 8 101 2" xfId="9350" xr:uid="{00000000-0005-0000-0000-00003EE40000}"/>
    <cellStyle name="Процентный 8 101 2 2" xfId="57411" xr:uid="{00000000-0005-0000-0000-00003FE40000}"/>
    <cellStyle name="Процентный 8 101 3" xfId="14690" xr:uid="{00000000-0005-0000-0000-000040E40000}"/>
    <cellStyle name="Процентный 8 101 4" xfId="20030" xr:uid="{00000000-0005-0000-0000-000041E40000}"/>
    <cellStyle name="Процентный 8 101 5" xfId="25370" xr:uid="{00000000-0005-0000-0000-000042E40000}"/>
    <cellStyle name="Процентный 8 101 6" xfId="30710" xr:uid="{00000000-0005-0000-0000-000043E40000}"/>
    <cellStyle name="Процентный 8 101 7" xfId="36050" xr:uid="{00000000-0005-0000-0000-000044E40000}"/>
    <cellStyle name="Процентный 8 101 8" xfId="41390" xr:uid="{00000000-0005-0000-0000-000045E40000}"/>
    <cellStyle name="Процентный 8 101 9" xfId="46730" xr:uid="{00000000-0005-0000-0000-000046E40000}"/>
    <cellStyle name="Процентный 8 102" xfId="4039" xr:uid="{00000000-0005-0000-0000-000047E40000}"/>
    <cellStyle name="Процентный 8 102 10" xfId="52102" xr:uid="{00000000-0005-0000-0000-000048E40000}"/>
    <cellStyle name="Процентный 8 102 2" xfId="9382" xr:uid="{00000000-0005-0000-0000-000049E40000}"/>
    <cellStyle name="Процентный 8 102 2 2" xfId="57443" xr:uid="{00000000-0005-0000-0000-00004AE40000}"/>
    <cellStyle name="Процентный 8 102 3" xfId="14722" xr:uid="{00000000-0005-0000-0000-00004BE40000}"/>
    <cellStyle name="Процентный 8 102 4" xfId="20062" xr:uid="{00000000-0005-0000-0000-00004CE40000}"/>
    <cellStyle name="Процентный 8 102 5" xfId="25402" xr:uid="{00000000-0005-0000-0000-00004DE40000}"/>
    <cellStyle name="Процентный 8 102 6" xfId="30742" xr:uid="{00000000-0005-0000-0000-00004EE40000}"/>
    <cellStyle name="Процентный 8 102 7" xfId="36082" xr:uid="{00000000-0005-0000-0000-00004FE40000}"/>
    <cellStyle name="Процентный 8 102 8" xfId="41422" xr:uid="{00000000-0005-0000-0000-000050E40000}"/>
    <cellStyle name="Процентный 8 102 9" xfId="46762" xr:uid="{00000000-0005-0000-0000-000051E40000}"/>
    <cellStyle name="Процентный 8 103" xfId="4071" xr:uid="{00000000-0005-0000-0000-000052E40000}"/>
    <cellStyle name="Процентный 8 103 10" xfId="52134" xr:uid="{00000000-0005-0000-0000-000053E40000}"/>
    <cellStyle name="Процентный 8 103 2" xfId="9414" xr:uid="{00000000-0005-0000-0000-000054E40000}"/>
    <cellStyle name="Процентный 8 103 2 2" xfId="57475" xr:uid="{00000000-0005-0000-0000-000055E40000}"/>
    <cellStyle name="Процентный 8 103 3" xfId="14754" xr:uid="{00000000-0005-0000-0000-000056E40000}"/>
    <cellStyle name="Процентный 8 103 4" xfId="20094" xr:uid="{00000000-0005-0000-0000-000057E40000}"/>
    <cellStyle name="Процентный 8 103 5" xfId="25434" xr:uid="{00000000-0005-0000-0000-000058E40000}"/>
    <cellStyle name="Процентный 8 103 6" xfId="30774" xr:uid="{00000000-0005-0000-0000-000059E40000}"/>
    <cellStyle name="Процентный 8 103 7" xfId="36114" xr:uid="{00000000-0005-0000-0000-00005AE40000}"/>
    <cellStyle name="Процентный 8 103 8" xfId="41454" xr:uid="{00000000-0005-0000-0000-00005BE40000}"/>
    <cellStyle name="Процентный 8 103 9" xfId="46794" xr:uid="{00000000-0005-0000-0000-00005CE40000}"/>
    <cellStyle name="Процентный 8 104" xfId="4103" xr:uid="{00000000-0005-0000-0000-00005DE40000}"/>
    <cellStyle name="Процентный 8 104 10" xfId="52166" xr:uid="{00000000-0005-0000-0000-00005EE40000}"/>
    <cellStyle name="Процентный 8 104 2" xfId="9446" xr:uid="{00000000-0005-0000-0000-00005FE40000}"/>
    <cellStyle name="Процентный 8 104 2 2" xfId="57507" xr:uid="{00000000-0005-0000-0000-000060E40000}"/>
    <cellStyle name="Процентный 8 104 3" xfId="14786" xr:uid="{00000000-0005-0000-0000-000061E40000}"/>
    <cellStyle name="Процентный 8 104 4" xfId="20126" xr:uid="{00000000-0005-0000-0000-000062E40000}"/>
    <cellStyle name="Процентный 8 104 5" xfId="25466" xr:uid="{00000000-0005-0000-0000-000063E40000}"/>
    <cellStyle name="Процентный 8 104 6" xfId="30806" xr:uid="{00000000-0005-0000-0000-000064E40000}"/>
    <cellStyle name="Процентный 8 104 7" xfId="36146" xr:uid="{00000000-0005-0000-0000-000065E40000}"/>
    <cellStyle name="Процентный 8 104 8" xfId="41486" xr:uid="{00000000-0005-0000-0000-000066E40000}"/>
    <cellStyle name="Процентный 8 104 9" xfId="46826" xr:uid="{00000000-0005-0000-0000-000067E40000}"/>
    <cellStyle name="Процентный 8 105" xfId="4135" xr:uid="{00000000-0005-0000-0000-000068E40000}"/>
    <cellStyle name="Процентный 8 105 10" xfId="52198" xr:uid="{00000000-0005-0000-0000-000069E40000}"/>
    <cellStyle name="Процентный 8 105 2" xfId="9478" xr:uid="{00000000-0005-0000-0000-00006AE40000}"/>
    <cellStyle name="Процентный 8 105 2 2" xfId="57539" xr:uid="{00000000-0005-0000-0000-00006BE40000}"/>
    <cellStyle name="Процентный 8 105 3" xfId="14818" xr:uid="{00000000-0005-0000-0000-00006CE40000}"/>
    <cellStyle name="Процентный 8 105 4" xfId="20158" xr:uid="{00000000-0005-0000-0000-00006DE40000}"/>
    <cellStyle name="Процентный 8 105 5" xfId="25498" xr:uid="{00000000-0005-0000-0000-00006EE40000}"/>
    <cellStyle name="Процентный 8 105 6" xfId="30838" xr:uid="{00000000-0005-0000-0000-00006FE40000}"/>
    <cellStyle name="Процентный 8 105 7" xfId="36178" xr:uid="{00000000-0005-0000-0000-000070E40000}"/>
    <cellStyle name="Процентный 8 105 8" xfId="41518" xr:uid="{00000000-0005-0000-0000-000071E40000}"/>
    <cellStyle name="Процентный 8 105 9" xfId="46858" xr:uid="{00000000-0005-0000-0000-000072E40000}"/>
    <cellStyle name="Процентный 8 106" xfId="4167" xr:uid="{00000000-0005-0000-0000-000073E40000}"/>
    <cellStyle name="Процентный 8 106 10" xfId="52230" xr:uid="{00000000-0005-0000-0000-000074E40000}"/>
    <cellStyle name="Процентный 8 106 2" xfId="9510" xr:uid="{00000000-0005-0000-0000-000075E40000}"/>
    <cellStyle name="Процентный 8 106 2 2" xfId="57571" xr:uid="{00000000-0005-0000-0000-000076E40000}"/>
    <cellStyle name="Процентный 8 106 3" xfId="14850" xr:uid="{00000000-0005-0000-0000-000077E40000}"/>
    <cellStyle name="Процентный 8 106 4" xfId="20190" xr:uid="{00000000-0005-0000-0000-000078E40000}"/>
    <cellStyle name="Процентный 8 106 5" xfId="25530" xr:uid="{00000000-0005-0000-0000-000079E40000}"/>
    <cellStyle name="Процентный 8 106 6" xfId="30870" xr:uid="{00000000-0005-0000-0000-00007AE40000}"/>
    <cellStyle name="Процентный 8 106 7" xfId="36210" xr:uid="{00000000-0005-0000-0000-00007BE40000}"/>
    <cellStyle name="Процентный 8 106 8" xfId="41550" xr:uid="{00000000-0005-0000-0000-00007CE40000}"/>
    <cellStyle name="Процентный 8 106 9" xfId="46890" xr:uid="{00000000-0005-0000-0000-00007DE40000}"/>
    <cellStyle name="Процентный 8 107" xfId="4199" xr:uid="{00000000-0005-0000-0000-00007EE40000}"/>
    <cellStyle name="Процентный 8 107 10" xfId="52262" xr:uid="{00000000-0005-0000-0000-00007FE40000}"/>
    <cellStyle name="Процентный 8 107 2" xfId="9542" xr:uid="{00000000-0005-0000-0000-000080E40000}"/>
    <cellStyle name="Процентный 8 107 2 2" xfId="57603" xr:uid="{00000000-0005-0000-0000-000081E40000}"/>
    <cellStyle name="Процентный 8 107 3" xfId="14882" xr:uid="{00000000-0005-0000-0000-000082E40000}"/>
    <cellStyle name="Процентный 8 107 4" xfId="20222" xr:uid="{00000000-0005-0000-0000-000083E40000}"/>
    <cellStyle name="Процентный 8 107 5" xfId="25562" xr:uid="{00000000-0005-0000-0000-000084E40000}"/>
    <cellStyle name="Процентный 8 107 6" xfId="30902" xr:uid="{00000000-0005-0000-0000-000085E40000}"/>
    <cellStyle name="Процентный 8 107 7" xfId="36242" xr:uid="{00000000-0005-0000-0000-000086E40000}"/>
    <cellStyle name="Процентный 8 107 8" xfId="41582" xr:uid="{00000000-0005-0000-0000-000087E40000}"/>
    <cellStyle name="Процентный 8 107 9" xfId="46922" xr:uid="{00000000-0005-0000-0000-000088E40000}"/>
    <cellStyle name="Процентный 8 108" xfId="4231" xr:uid="{00000000-0005-0000-0000-000089E40000}"/>
    <cellStyle name="Процентный 8 108 10" xfId="52294" xr:uid="{00000000-0005-0000-0000-00008AE40000}"/>
    <cellStyle name="Процентный 8 108 2" xfId="9574" xr:uid="{00000000-0005-0000-0000-00008BE40000}"/>
    <cellStyle name="Процентный 8 108 2 2" xfId="57635" xr:uid="{00000000-0005-0000-0000-00008CE40000}"/>
    <cellStyle name="Процентный 8 108 3" xfId="14914" xr:uid="{00000000-0005-0000-0000-00008DE40000}"/>
    <cellStyle name="Процентный 8 108 4" xfId="20254" xr:uid="{00000000-0005-0000-0000-00008EE40000}"/>
    <cellStyle name="Процентный 8 108 5" xfId="25594" xr:uid="{00000000-0005-0000-0000-00008FE40000}"/>
    <cellStyle name="Процентный 8 108 6" xfId="30934" xr:uid="{00000000-0005-0000-0000-000090E40000}"/>
    <cellStyle name="Процентный 8 108 7" xfId="36274" xr:uid="{00000000-0005-0000-0000-000091E40000}"/>
    <cellStyle name="Процентный 8 108 8" xfId="41614" xr:uid="{00000000-0005-0000-0000-000092E40000}"/>
    <cellStyle name="Процентный 8 108 9" xfId="46954" xr:uid="{00000000-0005-0000-0000-000093E40000}"/>
    <cellStyle name="Процентный 8 109" xfId="4263" xr:uid="{00000000-0005-0000-0000-000094E40000}"/>
    <cellStyle name="Процентный 8 109 10" xfId="52326" xr:uid="{00000000-0005-0000-0000-000095E40000}"/>
    <cellStyle name="Процентный 8 109 2" xfId="9606" xr:uid="{00000000-0005-0000-0000-000096E40000}"/>
    <cellStyle name="Процентный 8 109 2 2" xfId="57667" xr:uid="{00000000-0005-0000-0000-000097E40000}"/>
    <cellStyle name="Процентный 8 109 3" xfId="14946" xr:uid="{00000000-0005-0000-0000-000098E40000}"/>
    <cellStyle name="Процентный 8 109 4" xfId="20286" xr:uid="{00000000-0005-0000-0000-000099E40000}"/>
    <cellStyle name="Процентный 8 109 5" xfId="25626" xr:uid="{00000000-0005-0000-0000-00009AE40000}"/>
    <cellStyle name="Процентный 8 109 6" xfId="30966" xr:uid="{00000000-0005-0000-0000-00009BE40000}"/>
    <cellStyle name="Процентный 8 109 7" xfId="36306" xr:uid="{00000000-0005-0000-0000-00009CE40000}"/>
    <cellStyle name="Процентный 8 109 8" xfId="41646" xr:uid="{00000000-0005-0000-0000-00009DE40000}"/>
    <cellStyle name="Процентный 8 109 9" xfId="46986" xr:uid="{00000000-0005-0000-0000-00009EE40000}"/>
    <cellStyle name="Процентный 8 11" xfId="1319" xr:uid="{00000000-0005-0000-0000-00009FE40000}"/>
    <cellStyle name="Процентный 8 11 10" xfId="49382" xr:uid="{00000000-0005-0000-0000-0000A0E40000}"/>
    <cellStyle name="Процентный 8 11 2" xfId="6661" xr:uid="{00000000-0005-0000-0000-0000A1E40000}"/>
    <cellStyle name="Процентный 8 11 2 2" xfId="54723" xr:uid="{00000000-0005-0000-0000-0000A2E40000}"/>
    <cellStyle name="Процентный 8 11 3" xfId="12002" xr:uid="{00000000-0005-0000-0000-0000A3E40000}"/>
    <cellStyle name="Процентный 8 11 4" xfId="17342" xr:uid="{00000000-0005-0000-0000-0000A4E40000}"/>
    <cellStyle name="Процентный 8 11 5" xfId="22682" xr:uid="{00000000-0005-0000-0000-0000A5E40000}"/>
    <cellStyle name="Процентный 8 11 6" xfId="28022" xr:uid="{00000000-0005-0000-0000-0000A6E40000}"/>
    <cellStyle name="Процентный 8 11 7" xfId="33362" xr:uid="{00000000-0005-0000-0000-0000A7E40000}"/>
    <cellStyle name="Процентный 8 11 8" xfId="38702" xr:uid="{00000000-0005-0000-0000-0000A8E40000}"/>
    <cellStyle name="Процентный 8 11 9" xfId="44042" xr:uid="{00000000-0005-0000-0000-0000A9E40000}"/>
    <cellStyle name="Процентный 8 110" xfId="4295" xr:uid="{00000000-0005-0000-0000-0000AAE40000}"/>
    <cellStyle name="Процентный 8 110 10" xfId="52358" xr:uid="{00000000-0005-0000-0000-0000ABE40000}"/>
    <cellStyle name="Процентный 8 110 2" xfId="9638" xr:uid="{00000000-0005-0000-0000-0000ACE40000}"/>
    <cellStyle name="Процентный 8 110 2 2" xfId="57699" xr:uid="{00000000-0005-0000-0000-0000ADE40000}"/>
    <cellStyle name="Процентный 8 110 3" xfId="14978" xr:uid="{00000000-0005-0000-0000-0000AEE40000}"/>
    <cellStyle name="Процентный 8 110 4" xfId="20318" xr:uid="{00000000-0005-0000-0000-0000AFE40000}"/>
    <cellStyle name="Процентный 8 110 5" xfId="25658" xr:uid="{00000000-0005-0000-0000-0000B0E40000}"/>
    <cellStyle name="Процентный 8 110 6" xfId="30998" xr:uid="{00000000-0005-0000-0000-0000B1E40000}"/>
    <cellStyle name="Процентный 8 110 7" xfId="36338" xr:uid="{00000000-0005-0000-0000-0000B2E40000}"/>
    <cellStyle name="Процентный 8 110 8" xfId="41678" xr:uid="{00000000-0005-0000-0000-0000B3E40000}"/>
    <cellStyle name="Процентный 8 110 9" xfId="47018" xr:uid="{00000000-0005-0000-0000-0000B4E40000}"/>
    <cellStyle name="Процентный 8 111" xfId="4327" xr:uid="{00000000-0005-0000-0000-0000B5E40000}"/>
    <cellStyle name="Процентный 8 111 10" xfId="52390" xr:uid="{00000000-0005-0000-0000-0000B6E40000}"/>
    <cellStyle name="Процентный 8 111 2" xfId="9670" xr:uid="{00000000-0005-0000-0000-0000B7E40000}"/>
    <cellStyle name="Процентный 8 111 2 2" xfId="57731" xr:uid="{00000000-0005-0000-0000-0000B8E40000}"/>
    <cellStyle name="Процентный 8 111 3" xfId="15010" xr:uid="{00000000-0005-0000-0000-0000B9E40000}"/>
    <cellStyle name="Процентный 8 111 4" xfId="20350" xr:uid="{00000000-0005-0000-0000-0000BAE40000}"/>
    <cellStyle name="Процентный 8 111 5" xfId="25690" xr:uid="{00000000-0005-0000-0000-0000BBE40000}"/>
    <cellStyle name="Процентный 8 111 6" xfId="31030" xr:uid="{00000000-0005-0000-0000-0000BCE40000}"/>
    <cellStyle name="Процентный 8 111 7" xfId="36370" xr:uid="{00000000-0005-0000-0000-0000BDE40000}"/>
    <cellStyle name="Процентный 8 111 8" xfId="41710" xr:uid="{00000000-0005-0000-0000-0000BEE40000}"/>
    <cellStyle name="Процентный 8 111 9" xfId="47050" xr:uid="{00000000-0005-0000-0000-0000BFE40000}"/>
    <cellStyle name="Процентный 8 112" xfId="4359" xr:uid="{00000000-0005-0000-0000-0000C0E40000}"/>
    <cellStyle name="Процентный 8 112 10" xfId="52422" xr:uid="{00000000-0005-0000-0000-0000C1E40000}"/>
    <cellStyle name="Процентный 8 112 2" xfId="9702" xr:uid="{00000000-0005-0000-0000-0000C2E40000}"/>
    <cellStyle name="Процентный 8 112 2 2" xfId="57763" xr:uid="{00000000-0005-0000-0000-0000C3E40000}"/>
    <cellStyle name="Процентный 8 112 3" xfId="15042" xr:uid="{00000000-0005-0000-0000-0000C4E40000}"/>
    <cellStyle name="Процентный 8 112 4" xfId="20382" xr:uid="{00000000-0005-0000-0000-0000C5E40000}"/>
    <cellStyle name="Процентный 8 112 5" xfId="25722" xr:uid="{00000000-0005-0000-0000-0000C6E40000}"/>
    <cellStyle name="Процентный 8 112 6" xfId="31062" xr:uid="{00000000-0005-0000-0000-0000C7E40000}"/>
    <cellStyle name="Процентный 8 112 7" xfId="36402" xr:uid="{00000000-0005-0000-0000-0000C8E40000}"/>
    <cellStyle name="Процентный 8 112 8" xfId="41742" xr:uid="{00000000-0005-0000-0000-0000C9E40000}"/>
    <cellStyle name="Процентный 8 112 9" xfId="47082" xr:uid="{00000000-0005-0000-0000-0000CAE40000}"/>
    <cellStyle name="Процентный 8 113" xfId="4391" xr:uid="{00000000-0005-0000-0000-0000CBE40000}"/>
    <cellStyle name="Процентный 8 113 10" xfId="52454" xr:uid="{00000000-0005-0000-0000-0000CCE40000}"/>
    <cellStyle name="Процентный 8 113 2" xfId="9734" xr:uid="{00000000-0005-0000-0000-0000CDE40000}"/>
    <cellStyle name="Процентный 8 113 2 2" xfId="57795" xr:uid="{00000000-0005-0000-0000-0000CEE40000}"/>
    <cellStyle name="Процентный 8 113 3" xfId="15074" xr:uid="{00000000-0005-0000-0000-0000CFE40000}"/>
    <cellStyle name="Процентный 8 113 4" xfId="20414" xr:uid="{00000000-0005-0000-0000-0000D0E40000}"/>
    <cellStyle name="Процентный 8 113 5" xfId="25754" xr:uid="{00000000-0005-0000-0000-0000D1E40000}"/>
    <cellStyle name="Процентный 8 113 6" xfId="31094" xr:uid="{00000000-0005-0000-0000-0000D2E40000}"/>
    <cellStyle name="Процентный 8 113 7" xfId="36434" xr:uid="{00000000-0005-0000-0000-0000D3E40000}"/>
    <cellStyle name="Процентный 8 113 8" xfId="41774" xr:uid="{00000000-0005-0000-0000-0000D4E40000}"/>
    <cellStyle name="Процентный 8 113 9" xfId="47114" xr:uid="{00000000-0005-0000-0000-0000D5E40000}"/>
    <cellStyle name="Процентный 8 114" xfId="4423" xr:uid="{00000000-0005-0000-0000-0000D6E40000}"/>
    <cellStyle name="Процентный 8 114 10" xfId="52486" xr:uid="{00000000-0005-0000-0000-0000D7E40000}"/>
    <cellStyle name="Процентный 8 114 2" xfId="9766" xr:uid="{00000000-0005-0000-0000-0000D8E40000}"/>
    <cellStyle name="Процентный 8 114 2 2" xfId="57827" xr:uid="{00000000-0005-0000-0000-0000D9E40000}"/>
    <cellStyle name="Процентный 8 114 3" xfId="15106" xr:uid="{00000000-0005-0000-0000-0000DAE40000}"/>
    <cellStyle name="Процентный 8 114 4" xfId="20446" xr:uid="{00000000-0005-0000-0000-0000DBE40000}"/>
    <cellStyle name="Процентный 8 114 5" xfId="25786" xr:uid="{00000000-0005-0000-0000-0000DCE40000}"/>
    <cellStyle name="Процентный 8 114 6" xfId="31126" xr:uid="{00000000-0005-0000-0000-0000DDE40000}"/>
    <cellStyle name="Процентный 8 114 7" xfId="36466" xr:uid="{00000000-0005-0000-0000-0000DEE40000}"/>
    <cellStyle name="Процентный 8 114 8" xfId="41806" xr:uid="{00000000-0005-0000-0000-0000DFE40000}"/>
    <cellStyle name="Процентный 8 114 9" xfId="47146" xr:uid="{00000000-0005-0000-0000-0000E0E40000}"/>
    <cellStyle name="Процентный 8 115" xfId="4455" xr:uid="{00000000-0005-0000-0000-0000E1E40000}"/>
    <cellStyle name="Процентный 8 115 10" xfId="52518" xr:uid="{00000000-0005-0000-0000-0000E2E40000}"/>
    <cellStyle name="Процентный 8 115 2" xfId="9798" xr:uid="{00000000-0005-0000-0000-0000E3E40000}"/>
    <cellStyle name="Процентный 8 115 2 2" xfId="57859" xr:uid="{00000000-0005-0000-0000-0000E4E40000}"/>
    <cellStyle name="Процентный 8 115 3" xfId="15138" xr:uid="{00000000-0005-0000-0000-0000E5E40000}"/>
    <cellStyle name="Процентный 8 115 4" xfId="20478" xr:uid="{00000000-0005-0000-0000-0000E6E40000}"/>
    <cellStyle name="Процентный 8 115 5" xfId="25818" xr:uid="{00000000-0005-0000-0000-0000E7E40000}"/>
    <cellStyle name="Процентный 8 115 6" xfId="31158" xr:uid="{00000000-0005-0000-0000-0000E8E40000}"/>
    <cellStyle name="Процентный 8 115 7" xfId="36498" xr:uid="{00000000-0005-0000-0000-0000E9E40000}"/>
    <cellStyle name="Процентный 8 115 8" xfId="41838" xr:uid="{00000000-0005-0000-0000-0000EAE40000}"/>
    <cellStyle name="Процентный 8 115 9" xfId="47178" xr:uid="{00000000-0005-0000-0000-0000EBE40000}"/>
    <cellStyle name="Процентный 8 116" xfId="4487" xr:uid="{00000000-0005-0000-0000-0000ECE40000}"/>
    <cellStyle name="Процентный 8 116 10" xfId="52550" xr:uid="{00000000-0005-0000-0000-0000EDE40000}"/>
    <cellStyle name="Процентный 8 116 2" xfId="9830" xr:uid="{00000000-0005-0000-0000-0000EEE40000}"/>
    <cellStyle name="Процентный 8 116 2 2" xfId="57891" xr:uid="{00000000-0005-0000-0000-0000EFE40000}"/>
    <cellStyle name="Процентный 8 116 3" xfId="15170" xr:uid="{00000000-0005-0000-0000-0000F0E40000}"/>
    <cellStyle name="Процентный 8 116 4" xfId="20510" xr:uid="{00000000-0005-0000-0000-0000F1E40000}"/>
    <cellStyle name="Процентный 8 116 5" xfId="25850" xr:uid="{00000000-0005-0000-0000-0000F2E40000}"/>
    <cellStyle name="Процентный 8 116 6" xfId="31190" xr:uid="{00000000-0005-0000-0000-0000F3E40000}"/>
    <cellStyle name="Процентный 8 116 7" xfId="36530" xr:uid="{00000000-0005-0000-0000-0000F4E40000}"/>
    <cellStyle name="Процентный 8 116 8" xfId="41870" xr:uid="{00000000-0005-0000-0000-0000F5E40000}"/>
    <cellStyle name="Процентный 8 116 9" xfId="47210" xr:uid="{00000000-0005-0000-0000-0000F6E40000}"/>
    <cellStyle name="Процентный 8 117" xfId="4519" xr:uid="{00000000-0005-0000-0000-0000F7E40000}"/>
    <cellStyle name="Процентный 8 117 10" xfId="52582" xr:uid="{00000000-0005-0000-0000-0000F8E40000}"/>
    <cellStyle name="Процентный 8 117 2" xfId="9862" xr:uid="{00000000-0005-0000-0000-0000F9E40000}"/>
    <cellStyle name="Процентный 8 117 2 2" xfId="57923" xr:uid="{00000000-0005-0000-0000-0000FAE40000}"/>
    <cellStyle name="Процентный 8 117 3" xfId="15202" xr:uid="{00000000-0005-0000-0000-0000FBE40000}"/>
    <cellStyle name="Процентный 8 117 4" xfId="20542" xr:uid="{00000000-0005-0000-0000-0000FCE40000}"/>
    <cellStyle name="Процентный 8 117 5" xfId="25882" xr:uid="{00000000-0005-0000-0000-0000FDE40000}"/>
    <cellStyle name="Процентный 8 117 6" xfId="31222" xr:uid="{00000000-0005-0000-0000-0000FEE40000}"/>
    <cellStyle name="Процентный 8 117 7" xfId="36562" xr:uid="{00000000-0005-0000-0000-0000FFE40000}"/>
    <cellStyle name="Процентный 8 117 8" xfId="41902" xr:uid="{00000000-0005-0000-0000-000000E50000}"/>
    <cellStyle name="Процентный 8 117 9" xfId="47242" xr:uid="{00000000-0005-0000-0000-000001E50000}"/>
    <cellStyle name="Процентный 8 118" xfId="4551" xr:uid="{00000000-0005-0000-0000-000002E50000}"/>
    <cellStyle name="Процентный 8 118 10" xfId="52614" xr:uid="{00000000-0005-0000-0000-000003E50000}"/>
    <cellStyle name="Процентный 8 118 2" xfId="9894" xr:uid="{00000000-0005-0000-0000-000004E50000}"/>
    <cellStyle name="Процентный 8 118 2 2" xfId="57955" xr:uid="{00000000-0005-0000-0000-000005E50000}"/>
    <cellStyle name="Процентный 8 118 3" xfId="15234" xr:uid="{00000000-0005-0000-0000-000006E50000}"/>
    <cellStyle name="Процентный 8 118 4" xfId="20574" xr:uid="{00000000-0005-0000-0000-000007E50000}"/>
    <cellStyle name="Процентный 8 118 5" xfId="25914" xr:uid="{00000000-0005-0000-0000-000008E50000}"/>
    <cellStyle name="Процентный 8 118 6" xfId="31254" xr:uid="{00000000-0005-0000-0000-000009E50000}"/>
    <cellStyle name="Процентный 8 118 7" xfId="36594" xr:uid="{00000000-0005-0000-0000-00000AE50000}"/>
    <cellStyle name="Процентный 8 118 8" xfId="41934" xr:uid="{00000000-0005-0000-0000-00000BE50000}"/>
    <cellStyle name="Процентный 8 118 9" xfId="47274" xr:uid="{00000000-0005-0000-0000-00000CE50000}"/>
    <cellStyle name="Процентный 8 119" xfId="4583" xr:uid="{00000000-0005-0000-0000-00000DE50000}"/>
    <cellStyle name="Процентный 8 119 10" xfId="52646" xr:uid="{00000000-0005-0000-0000-00000EE50000}"/>
    <cellStyle name="Процентный 8 119 2" xfId="9926" xr:uid="{00000000-0005-0000-0000-00000FE50000}"/>
    <cellStyle name="Процентный 8 119 2 2" xfId="57987" xr:uid="{00000000-0005-0000-0000-000010E50000}"/>
    <cellStyle name="Процентный 8 119 3" xfId="15266" xr:uid="{00000000-0005-0000-0000-000011E50000}"/>
    <cellStyle name="Процентный 8 119 4" xfId="20606" xr:uid="{00000000-0005-0000-0000-000012E50000}"/>
    <cellStyle name="Процентный 8 119 5" xfId="25946" xr:uid="{00000000-0005-0000-0000-000013E50000}"/>
    <cellStyle name="Процентный 8 119 6" xfId="31286" xr:uid="{00000000-0005-0000-0000-000014E50000}"/>
    <cellStyle name="Процентный 8 119 7" xfId="36626" xr:uid="{00000000-0005-0000-0000-000015E50000}"/>
    <cellStyle name="Процентный 8 119 8" xfId="41966" xr:uid="{00000000-0005-0000-0000-000016E50000}"/>
    <cellStyle name="Процентный 8 119 9" xfId="47306" xr:uid="{00000000-0005-0000-0000-000017E50000}"/>
    <cellStyle name="Процентный 8 12" xfId="1345" xr:uid="{00000000-0005-0000-0000-000018E50000}"/>
    <cellStyle name="Процентный 8 12 10" xfId="49408" xr:uid="{00000000-0005-0000-0000-000019E50000}"/>
    <cellStyle name="Процентный 8 12 2" xfId="6687" xr:uid="{00000000-0005-0000-0000-00001AE50000}"/>
    <cellStyle name="Процентный 8 12 2 2" xfId="54749" xr:uid="{00000000-0005-0000-0000-00001BE50000}"/>
    <cellStyle name="Процентный 8 12 3" xfId="12028" xr:uid="{00000000-0005-0000-0000-00001CE50000}"/>
    <cellStyle name="Процентный 8 12 4" xfId="17368" xr:uid="{00000000-0005-0000-0000-00001DE50000}"/>
    <cellStyle name="Процентный 8 12 5" xfId="22708" xr:uid="{00000000-0005-0000-0000-00001EE50000}"/>
    <cellStyle name="Процентный 8 12 6" xfId="28048" xr:uid="{00000000-0005-0000-0000-00001FE50000}"/>
    <cellStyle name="Процентный 8 12 7" xfId="33388" xr:uid="{00000000-0005-0000-0000-000020E50000}"/>
    <cellStyle name="Процентный 8 12 8" xfId="38728" xr:uid="{00000000-0005-0000-0000-000021E50000}"/>
    <cellStyle name="Процентный 8 12 9" xfId="44068" xr:uid="{00000000-0005-0000-0000-000022E50000}"/>
    <cellStyle name="Процентный 8 120" xfId="4615" xr:uid="{00000000-0005-0000-0000-000023E50000}"/>
    <cellStyle name="Процентный 8 120 10" xfId="52678" xr:uid="{00000000-0005-0000-0000-000024E50000}"/>
    <cellStyle name="Процентный 8 120 2" xfId="9958" xr:uid="{00000000-0005-0000-0000-000025E50000}"/>
    <cellStyle name="Процентный 8 120 2 2" xfId="58019" xr:uid="{00000000-0005-0000-0000-000026E50000}"/>
    <cellStyle name="Процентный 8 120 3" xfId="15298" xr:uid="{00000000-0005-0000-0000-000027E50000}"/>
    <cellStyle name="Процентный 8 120 4" xfId="20638" xr:uid="{00000000-0005-0000-0000-000028E50000}"/>
    <cellStyle name="Процентный 8 120 5" xfId="25978" xr:uid="{00000000-0005-0000-0000-000029E50000}"/>
    <cellStyle name="Процентный 8 120 6" xfId="31318" xr:uid="{00000000-0005-0000-0000-00002AE50000}"/>
    <cellStyle name="Процентный 8 120 7" xfId="36658" xr:uid="{00000000-0005-0000-0000-00002BE50000}"/>
    <cellStyle name="Процентный 8 120 8" xfId="41998" xr:uid="{00000000-0005-0000-0000-00002CE50000}"/>
    <cellStyle name="Процентный 8 120 9" xfId="47338" xr:uid="{00000000-0005-0000-0000-00002DE50000}"/>
    <cellStyle name="Процентный 8 121" xfId="4647" xr:uid="{00000000-0005-0000-0000-00002EE50000}"/>
    <cellStyle name="Процентный 8 121 10" xfId="52710" xr:uid="{00000000-0005-0000-0000-00002FE50000}"/>
    <cellStyle name="Процентный 8 121 2" xfId="9990" xr:uid="{00000000-0005-0000-0000-000030E50000}"/>
    <cellStyle name="Процентный 8 121 2 2" xfId="58051" xr:uid="{00000000-0005-0000-0000-000031E50000}"/>
    <cellStyle name="Процентный 8 121 3" xfId="15330" xr:uid="{00000000-0005-0000-0000-000032E50000}"/>
    <cellStyle name="Процентный 8 121 4" xfId="20670" xr:uid="{00000000-0005-0000-0000-000033E50000}"/>
    <cellStyle name="Процентный 8 121 5" xfId="26010" xr:uid="{00000000-0005-0000-0000-000034E50000}"/>
    <cellStyle name="Процентный 8 121 6" xfId="31350" xr:uid="{00000000-0005-0000-0000-000035E50000}"/>
    <cellStyle name="Процентный 8 121 7" xfId="36690" xr:uid="{00000000-0005-0000-0000-000036E50000}"/>
    <cellStyle name="Процентный 8 121 8" xfId="42030" xr:uid="{00000000-0005-0000-0000-000037E50000}"/>
    <cellStyle name="Процентный 8 121 9" xfId="47370" xr:uid="{00000000-0005-0000-0000-000038E50000}"/>
    <cellStyle name="Процентный 8 122" xfId="4679" xr:uid="{00000000-0005-0000-0000-000039E50000}"/>
    <cellStyle name="Процентный 8 122 10" xfId="52742" xr:uid="{00000000-0005-0000-0000-00003AE50000}"/>
    <cellStyle name="Процентный 8 122 2" xfId="10022" xr:uid="{00000000-0005-0000-0000-00003BE50000}"/>
    <cellStyle name="Процентный 8 122 2 2" xfId="58083" xr:uid="{00000000-0005-0000-0000-00003CE50000}"/>
    <cellStyle name="Процентный 8 122 3" xfId="15362" xr:uid="{00000000-0005-0000-0000-00003DE50000}"/>
    <cellStyle name="Процентный 8 122 4" xfId="20702" xr:uid="{00000000-0005-0000-0000-00003EE50000}"/>
    <cellStyle name="Процентный 8 122 5" xfId="26042" xr:uid="{00000000-0005-0000-0000-00003FE50000}"/>
    <cellStyle name="Процентный 8 122 6" xfId="31382" xr:uid="{00000000-0005-0000-0000-000040E50000}"/>
    <cellStyle name="Процентный 8 122 7" xfId="36722" xr:uid="{00000000-0005-0000-0000-000041E50000}"/>
    <cellStyle name="Процентный 8 122 8" xfId="42062" xr:uid="{00000000-0005-0000-0000-000042E50000}"/>
    <cellStyle name="Процентный 8 122 9" xfId="47402" xr:uid="{00000000-0005-0000-0000-000043E50000}"/>
    <cellStyle name="Процентный 8 123" xfId="4711" xr:uid="{00000000-0005-0000-0000-000044E50000}"/>
    <cellStyle name="Процентный 8 123 10" xfId="52774" xr:uid="{00000000-0005-0000-0000-000045E50000}"/>
    <cellStyle name="Процентный 8 123 2" xfId="10054" xr:uid="{00000000-0005-0000-0000-000046E50000}"/>
    <cellStyle name="Процентный 8 123 2 2" xfId="58115" xr:uid="{00000000-0005-0000-0000-000047E50000}"/>
    <cellStyle name="Процентный 8 123 3" xfId="15394" xr:uid="{00000000-0005-0000-0000-000048E50000}"/>
    <cellStyle name="Процентный 8 123 4" xfId="20734" xr:uid="{00000000-0005-0000-0000-000049E50000}"/>
    <cellStyle name="Процентный 8 123 5" xfId="26074" xr:uid="{00000000-0005-0000-0000-00004AE50000}"/>
    <cellStyle name="Процентный 8 123 6" xfId="31414" xr:uid="{00000000-0005-0000-0000-00004BE50000}"/>
    <cellStyle name="Процентный 8 123 7" xfId="36754" xr:uid="{00000000-0005-0000-0000-00004CE50000}"/>
    <cellStyle name="Процентный 8 123 8" xfId="42094" xr:uid="{00000000-0005-0000-0000-00004DE50000}"/>
    <cellStyle name="Процентный 8 123 9" xfId="47434" xr:uid="{00000000-0005-0000-0000-00004EE50000}"/>
    <cellStyle name="Процентный 8 124" xfId="4745" xr:uid="{00000000-0005-0000-0000-00004FE50000}"/>
    <cellStyle name="Процентный 8 124 10" xfId="52808" xr:uid="{00000000-0005-0000-0000-000050E50000}"/>
    <cellStyle name="Процентный 8 124 2" xfId="10088" xr:uid="{00000000-0005-0000-0000-000051E50000}"/>
    <cellStyle name="Процентный 8 124 2 2" xfId="58149" xr:uid="{00000000-0005-0000-0000-000052E50000}"/>
    <cellStyle name="Процентный 8 124 3" xfId="15428" xr:uid="{00000000-0005-0000-0000-000053E50000}"/>
    <cellStyle name="Процентный 8 124 4" xfId="20768" xr:uid="{00000000-0005-0000-0000-000054E50000}"/>
    <cellStyle name="Процентный 8 124 5" xfId="26108" xr:uid="{00000000-0005-0000-0000-000055E50000}"/>
    <cellStyle name="Процентный 8 124 6" xfId="31448" xr:uid="{00000000-0005-0000-0000-000056E50000}"/>
    <cellStyle name="Процентный 8 124 7" xfId="36788" xr:uid="{00000000-0005-0000-0000-000057E50000}"/>
    <cellStyle name="Процентный 8 124 8" xfId="42128" xr:uid="{00000000-0005-0000-0000-000058E50000}"/>
    <cellStyle name="Процентный 8 124 9" xfId="47468" xr:uid="{00000000-0005-0000-0000-000059E50000}"/>
    <cellStyle name="Процентный 8 125" xfId="4777" xr:uid="{00000000-0005-0000-0000-00005AE50000}"/>
    <cellStyle name="Процентный 8 125 10" xfId="52840" xr:uid="{00000000-0005-0000-0000-00005BE50000}"/>
    <cellStyle name="Процентный 8 125 2" xfId="10120" xr:uid="{00000000-0005-0000-0000-00005CE50000}"/>
    <cellStyle name="Процентный 8 125 2 2" xfId="58181" xr:uid="{00000000-0005-0000-0000-00005DE50000}"/>
    <cellStyle name="Процентный 8 125 3" xfId="15460" xr:uid="{00000000-0005-0000-0000-00005EE50000}"/>
    <cellStyle name="Процентный 8 125 4" xfId="20800" xr:uid="{00000000-0005-0000-0000-00005FE50000}"/>
    <cellStyle name="Процентный 8 125 5" xfId="26140" xr:uid="{00000000-0005-0000-0000-000060E50000}"/>
    <cellStyle name="Процентный 8 125 6" xfId="31480" xr:uid="{00000000-0005-0000-0000-000061E50000}"/>
    <cellStyle name="Процентный 8 125 7" xfId="36820" xr:uid="{00000000-0005-0000-0000-000062E50000}"/>
    <cellStyle name="Процентный 8 125 8" xfId="42160" xr:uid="{00000000-0005-0000-0000-000063E50000}"/>
    <cellStyle name="Процентный 8 125 9" xfId="47500" xr:uid="{00000000-0005-0000-0000-000064E50000}"/>
    <cellStyle name="Процентный 8 126" xfId="4809" xr:uid="{00000000-0005-0000-0000-000065E50000}"/>
    <cellStyle name="Процентный 8 126 10" xfId="52872" xr:uid="{00000000-0005-0000-0000-000066E50000}"/>
    <cellStyle name="Процентный 8 126 2" xfId="10152" xr:uid="{00000000-0005-0000-0000-000067E50000}"/>
    <cellStyle name="Процентный 8 126 2 2" xfId="58213" xr:uid="{00000000-0005-0000-0000-000068E50000}"/>
    <cellStyle name="Процентный 8 126 3" xfId="15492" xr:uid="{00000000-0005-0000-0000-000069E50000}"/>
    <cellStyle name="Процентный 8 126 4" xfId="20832" xr:uid="{00000000-0005-0000-0000-00006AE50000}"/>
    <cellStyle name="Процентный 8 126 5" xfId="26172" xr:uid="{00000000-0005-0000-0000-00006BE50000}"/>
    <cellStyle name="Процентный 8 126 6" xfId="31512" xr:uid="{00000000-0005-0000-0000-00006CE50000}"/>
    <cellStyle name="Процентный 8 126 7" xfId="36852" xr:uid="{00000000-0005-0000-0000-00006DE50000}"/>
    <cellStyle name="Процентный 8 126 8" xfId="42192" xr:uid="{00000000-0005-0000-0000-00006EE50000}"/>
    <cellStyle name="Процентный 8 126 9" xfId="47532" xr:uid="{00000000-0005-0000-0000-00006FE50000}"/>
    <cellStyle name="Процентный 8 127" xfId="4841" xr:uid="{00000000-0005-0000-0000-000070E50000}"/>
    <cellStyle name="Процентный 8 127 10" xfId="52904" xr:uid="{00000000-0005-0000-0000-000071E50000}"/>
    <cellStyle name="Процентный 8 127 2" xfId="10184" xr:uid="{00000000-0005-0000-0000-000072E50000}"/>
    <cellStyle name="Процентный 8 127 2 2" xfId="58245" xr:uid="{00000000-0005-0000-0000-000073E50000}"/>
    <cellStyle name="Процентный 8 127 3" xfId="15524" xr:uid="{00000000-0005-0000-0000-000074E50000}"/>
    <cellStyle name="Процентный 8 127 4" xfId="20864" xr:uid="{00000000-0005-0000-0000-000075E50000}"/>
    <cellStyle name="Процентный 8 127 5" xfId="26204" xr:uid="{00000000-0005-0000-0000-000076E50000}"/>
    <cellStyle name="Процентный 8 127 6" xfId="31544" xr:uid="{00000000-0005-0000-0000-000077E50000}"/>
    <cellStyle name="Процентный 8 127 7" xfId="36884" xr:uid="{00000000-0005-0000-0000-000078E50000}"/>
    <cellStyle name="Процентный 8 127 8" xfId="42224" xr:uid="{00000000-0005-0000-0000-000079E50000}"/>
    <cellStyle name="Процентный 8 127 9" xfId="47564" xr:uid="{00000000-0005-0000-0000-00007AE50000}"/>
    <cellStyle name="Процентный 8 128" xfId="4873" xr:uid="{00000000-0005-0000-0000-00007BE50000}"/>
    <cellStyle name="Процентный 8 128 10" xfId="52936" xr:uid="{00000000-0005-0000-0000-00007CE50000}"/>
    <cellStyle name="Процентный 8 128 2" xfId="10216" xr:uid="{00000000-0005-0000-0000-00007DE50000}"/>
    <cellStyle name="Процентный 8 128 2 2" xfId="58277" xr:uid="{00000000-0005-0000-0000-00007EE50000}"/>
    <cellStyle name="Процентный 8 128 3" xfId="15556" xr:uid="{00000000-0005-0000-0000-00007FE50000}"/>
    <cellStyle name="Процентный 8 128 4" xfId="20896" xr:uid="{00000000-0005-0000-0000-000080E50000}"/>
    <cellStyle name="Процентный 8 128 5" xfId="26236" xr:uid="{00000000-0005-0000-0000-000081E50000}"/>
    <cellStyle name="Процентный 8 128 6" xfId="31576" xr:uid="{00000000-0005-0000-0000-000082E50000}"/>
    <cellStyle name="Процентный 8 128 7" xfId="36916" xr:uid="{00000000-0005-0000-0000-000083E50000}"/>
    <cellStyle name="Процентный 8 128 8" xfId="42256" xr:uid="{00000000-0005-0000-0000-000084E50000}"/>
    <cellStyle name="Процентный 8 128 9" xfId="47596" xr:uid="{00000000-0005-0000-0000-000085E50000}"/>
    <cellStyle name="Процентный 8 129" xfId="4905" xr:uid="{00000000-0005-0000-0000-000086E50000}"/>
    <cellStyle name="Процентный 8 129 10" xfId="52968" xr:uid="{00000000-0005-0000-0000-000087E50000}"/>
    <cellStyle name="Процентный 8 129 2" xfId="10248" xr:uid="{00000000-0005-0000-0000-000088E50000}"/>
    <cellStyle name="Процентный 8 129 2 2" xfId="58309" xr:uid="{00000000-0005-0000-0000-000089E50000}"/>
    <cellStyle name="Процентный 8 129 3" xfId="15588" xr:uid="{00000000-0005-0000-0000-00008AE50000}"/>
    <cellStyle name="Процентный 8 129 4" xfId="20928" xr:uid="{00000000-0005-0000-0000-00008BE50000}"/>
    <cellStyle name="Процентный 8 129 5" xfId="26268" xr:uid="{00000000-0005-0000-0000-00008CE50000}"/>
    <cellStyle name="Процентный 8 129 6" xfId="31608" xr:uid="{00000000-0005-0000-0000-00008DE50000}"/>
    <cellStyle name="Процентный 8 129 7" xfId="36948" xr:uid="{00000000-0005-0000-0000-00008EE50000}"/>
    <cellStyle name="Процентный 8 129 8" xfId="42288" xr:uid="{00000000-0005-0000-0000-00008FE50000}"/>
    <cellStyle name="Процентный 8 129 9" xfId="47628" xr:uid="{00000000-0005-0000-0000-000090E50000}"/>
    <cellStyle name="Процентный 8 13" xfId="1371" xr:uid="{00000000-0005-0000-0000-000091E50000}"/>
    <cellStyle name="Процентный 8 13 10" xfId="49434" xr:uid="{00000000-0005-0000-0000-000092E50000}"/>
    <cellStyle name="Процентный 8 13 2" xfId="6713" xr:uid="{00000000-0005-0000-0000-000093E50000}"/>
    <cellStyle name="Процентный 8 13 2 2" xfId="54775" xr:uid="{00000000-0005-0000-0000-000094E50000}"/>
    <cellStyle name="Процентный 8 13 3" xfId="12054" xr:uid="{00000000-0005-0000-0000-000095E50000}"/>
    <cellStyle name="Процентный 8 13 4" xfId="17394" xr:uid="{00000000-0005-0000-0000-000096E50000}"/>
    <cellStyle name="Процентный 8 13 5" xfId="22734" xr:uid="{00000000-0005-0000-0000-000097E50000}"/>
    <cellStyle name="Процентный 8 13 6" xfId="28074" xr:uid="{00000000-0005-0000-0000-000098E50000}"/>
    <cellStyle name="Процентный 8 13 7" xfId="33414" xr:uid="{00000000-0005-0000-0000-000099E50000}"/>
    <cellStyle name="Процентный 8 13 8" xfId="38754" xr:uid="{00000000-0005-0000-0000-00009AE50000}"/>
    <cellStyle name="Процентный 8 13 9" xfId="44094" xr:uid="{00000000-0005-0000-0000-00009BE50000}"/>
    <cellStyle name="Процентный 8 130" xfId="4937" xr:uid="{00000000-0005-0000-0000-00009CE50000}"/>
    <cellStyle name="Процентный 8 130 10" xfId="53000" xr:uid="{00000000-0005-0000-0000-00009DE50000}"/>
    <cellStyle name="Процентный 8 130 2" xfId="10280" xr:uid="{00000000-0005-0000-0000-00009EE50000}"/>
    <cellStyle name="Процентный 8 130 2 2" xfId="58341" xr:uid="{00000000-0005-0000-0000-00009FE50000}"/>
    <cellStyle name="Процентный 8 130 3" xfId="15620" xr:uid="{00000000-0005-0000-0000-0000A0E50000}"/>
    <cellStyle name="Процентный 8 130 4" xfId="20960" xr:uid="{00000000-0005-0000-0000-0000A1E50000}"/>
    <cellStyle name="Процентный 8 130 5" xfId="26300" xr:uid="{00000000-0005-0000-0000-0000A2E50000}"/>
    <cellStyle name="Процентный 8 130 6" xfId="31640" xr:uid="{00000000-0005-0000-0000-0000A3E50000}"/>
    <cellStyle name="Процентный 8 130 7" xfId="36980" xr:uid="{00000000-0005-0000-0000-0000A4E50000}"/>
    <cellStyle name="Процентный 8 130 8" xfId="42320" xr:uid="{00000000-0005-0000-0000-0000A5E50000}"/>
    <cellStyle name="Процентный 8 130 9" xfId="47660" xr:uid="{00000000-0005-0000-0000-0000A6E50000}"/>
    <cellStyle name="Процентный 8 131" xfId="4969" xr:uid="{00000000-0005-0000-0000-0000A7E50000}"/>
    <cellStyle name="Процентный 8 131 10" xfId="53032" xr:uid="{00000000-0005-0000-0000-0000A8E50000}"/>
    <cellStyle name="Процентный 8 131 2" xfId="10312" xr:uid="{00000000-0005-0000-0000-0000A9E50000}"/>
    <cellStyle name="Процентный 8 131 2 2" xfId="58373" xr:uid="{00000000-0005-0000-0000-0000AAE50000}"/>
    <cellStyle name="Процентный 8 131 3" xfId="15652" xr:uid="{00000000-0005-0000-0000-0000ABE50000}"/>
    <cellStyle name="Процентный 8 131 4" xfId="20992" xr:uid="{00000000-0005-0000-0000-0000ACE50000}"/>
    <cellStyle name="Процентный 8 131 5" xfId="26332" xr:uid="{00000000-0005-0000-0000-0000ADE50000}"/>
    <cellStyle name="Процентный 8 131 6" xfId="31672" xr:uid="{00000000-0005-0000-0000-0000AEE50000}"/>
    <cellStyle name="Процентный 8 131 7" xfId="37012" xr:uid="{00000000-0005-0000-0000-0000AFE50000}"/>
    <cellStyle name="Процентный 8 131 8" xfId="42352" xr:uid="{00000000-0005-0000-0000-0000B0E50000}"/>
    <cellStyle name="Процентный 8 131 9" xfId="47692" xr:uid="{00000000-0005-0000-0000-0000B1E50000}"/>
    <cellStyle name="Процентный 8 132" xfId="5001" xr:uid="{00000000-0005-0000-0000-0000B2E50000}"/>
    <cellStyle name="Процентный 8 132 10" xfId="53064" xr:uid="{00000000-0005-0000-0000-0000B3E50000}"/>
    <cellStyle name="Процентный 8 132 2" xfId="10344" xr:uid="{00000000-0005-0000-0000-0000B4E50000}"/>
    <cellStyle name="Процентный 8 132 2 2" xfId="58405" xr:uid="{00000000-0005-0000-0000-0000B5E50000}"/>
    <cellStyle name="Процентный 8 132 3" xfId="15684" xr:uid="{00000000-0005-0000-0000-0000B6E50000}"/>
    <cellStyle name="Процентный 8 132 4" xfId="21024" xr:uid="{00000000-0005-0000-0000-0000B7E50000}"/>
    <cellStyle name="Процентный 8 132 5" xfId="26364" xr:uid="{00000000-0005-0000-0000-0000B8E50000}"/>
    <cellStyle name="Процентный 8 132 6" xfId="31704" xr:uid="{00000000-0005-0000-0000-0000B9E50000}"/>
    <cellStyle name="Процентный 8 132 7" xfId="37044" xr:uid="{00000000-0005-0000-0000-0000BAE50000}"/>
    <cellStyle name="Процентный 8 132 8" xfId="42384" xr:uid="{00000000-0005-0000-0000-0000BBE50000}"/>
    <cellStyle name="Процентный 8 132 9" xfId="47724" xr:uid="{00000000-0005-0000-0000-0000BCE50000}"/>
    <cellStyle name="Процентный 8 133" xfId="5033" xr:uid="{00000000-0005-0000-0000-0000BDE50000}"/>
    <cellStyle name="Процентный 8 133 10" xfId="53096" xr:uid="{00000000-0005-0000-0000-0000BEE50000}"/>
    <cellStyle name="Процентный 8 133 2" xfId="10376" xr:uid="{00000000-0005-0000-0000-0000BFE50000}"/>
    <cellStyle name="Процентный 8 133 2 2" xfId="58437" xr:uid="{00000000-0005-0000-0000-0000C0E50000}"/>
    <cellStyle name="Процентный 8 133 3" xfId="15716" xr:uid="{00000000-0005-0000-0000-0000C1E50000}"/>
    <cellStyle name="Процентный 8 133 4" xfId="21056" xr:uid="{00000000-0005-0000-0000-0000C2E50000}"/>
    <cellStyle name="Процентный 8 133 5" xfId="26396" xr:uid="{00000000-0005-0000-0000-0000C3E50000}"/>
    <cellStyle name="Процентный 8 133 6" xfId="31736" xr:uid="{00000000-0005-0000-0000-0000C4E50000}"/>
    <cellStyle name="Процентный 8 133 7" xfId="37076" xr:uid="{00000000-0005-0000-0000-0000C5E50000}"/>
    <cellStyle name="Процентный 8 133 8" xfId="42416" xr:uid="{00000000-0005-0000-0000-0000C6E50000}"/>
    <cellStyle name="Процентный 8 133 9" xfId="47756" xr:uid="{00000000-0005-0000-0000-0000C7E50000}"/>
    <cellStyle name="Процентный 8 134" xfId="5065" xr:uid="{00000000-0005-0000-0000-0000C8E50000}"/>
    <cellStyle name="Процентный 8 134 10" xfId="53128" xr:uid="{00000000-0005-0000-0000-0000C9E50000}"/>
    <cellStyle name="Процентный 8 134 2" xfId="10408" xr:uid="{00000000-0005-0000-0000-0000CAE50000}"/>
    <cellStyle name="Процентный 8 134 2 2" xfId="58469" xr:uid="{00000000-0005-0000-0000-0000CBE50000}"/>
    <cellStyle name="Процентный 8 134 3" xfId="15748" xr:uid="{00000000-0005-0000-0000-0000CCE50000}"/>
    <cellStyle name="Процентный 8 134 4" xfId="21088" xr:uid="{00000000-0005-0000-0000-0000CDE50000}"/>
    <cellStyle name="Процентный 8 134 5" xfId="26428" xr:uid="{00000000-0005-0000-0000-0000CEE50000}"/>
    <cellStyle name="Процентный 8 134 6" xfId="31768" xr:uid="{00000000-0005-0000-0000-0000CFE50000}"/>
    <cellStyle name="Процентный 8 134 7" xfId="37108" xr:uid="{00000000-0005-0000-0000-0000D0E50000}"/>
    <cellStyle name="Процентный 8 134 8" xfId="42448" xr:uid="{00000000-0005-0000-0000-0000D1E50000}"/>
    <cellStyle name="Процентный 8 134 9" xfId="47788" xr:uid="{00000000-0005-0000-0000-0000D2E50000}"/>
    <cellStyle name="Процентный 8 135" xfId="5097" xr:uid="{00000000-0005-0000-0000-0000D3E50000}"/>
    <cellStyle name="Процентный 8 135 10" xfId="53160" xr:uid="{00000000-0005-0000-0000-0000D4E50000}"/>
    <cellStyle name="Процентный 8 135 2" xfId="10440" xr:uid="{00000000-0005-0000-0000-0000D5E50000}"/>
    <cellStyle name="Процентный 8 135 2 2" xfId="58501" xr:uid="{00000000-0005-0000-0000-0000D6E50000}"/>
    <cellStyle name="Процентный 8 135 3" xfId="15780" xr:uid="{00000000-0005-0000-0000-0000D7E50000}"/>
    <cellStyle name="Процентный 8 135 4" xfId="21120" xr:uid="{00000000-0005-0000-0000-0000D8E50000}"/>
    <cellStyle name="Процентный 8 135 5" xfId="26460" xr:uid="{00000000-0005-0000-0000-0000D9E50000}"/>
    <cellStyle name="Процентный 8 135 6" xfId="31800" xr:uid="{00000000-0005-0000-0000-0000DAE50000}"/>
    <cellStyle name="Процентный 8 135 7" xfId="37140" xr:uid="{00000000-0005-0000-0000-0000DBE50000}"/>
    <cellStyle name="Процентный 8 135 8" xfId="42480" xr:uid="{00000000-0005-0000-0000-0000DCE50000}"/>
    <cellStyle name="Процентный 8 135 9" xfId="47820" xr:uid="{00000000-0005-0000-0000-0000DDE50000}"/>
    <cellStyle name="Процентный 8 136" xfId="5129" xr:uid="{00000000-0005-0000-0000-0000DEE50000}"/>
    <cellStyle name="Процентный 8 136 10" xfId="53192" xr:uid="{00000000-0005-0000-0000-0000DFE50000}"/>
    <cellStyle name="Процентный 8 136 2" xfId="10472" xr:uid="{00000000-0005-0000-0000-0000E0E50000}"/>
    <cellStyle name="Процентный 8 136 2 2" xfId="58533" xr:uid="{00000000-0005-0000-0000-0000E1E50000}"/>
    <cellStyle name="Процентный 8 136 3" xfId="15812" xr:uid="{00000000-0005-0000-0000-0000E2E50000}"/>
    <cellStyle name="Процентный 8 136 4" xfId="21152" xr:uid="{00000000-0005-0000-0000-0000E3E50000}"/>
    <cellStyle name="Процентный 8 136 5" xfId="26492" xr:uid="{00000000-0005-0000-0000-0000E4E50000}"/>
    <cellStyle name="Процентный 8 136 6" xfId="31832" xr:uid="{00000000-0005-0000-0000-0000E5E50000}"/>
    <cellStyle name="Процентный 8 136 7" xfId="37172" xr:uid="{00000000-0005-0000-0000-0000E6E50000}"/>
    <cellStyle name="Процентный 8 136 8" xfId="42512" xr:uid="{00000000-0005-0000-0000-0000E7E50000}"/>
    <cellStyle name="Процентный 8 136 9" xfId="47852" xr:uid="{00000000-0005-0000-0000-0000E8E50000}"/>
    <cellStyle name="Процентный 8 137" xfId="5161" xr:uid="{00000000-0005-0000-0000-0000E9E50000}"/>
    <cellStyle name="Процентный 8 137 10" xfId="53224" xr:uid="{00000000-0005-0000-0000-0000EAE50000}"/>
    <cellStyle name="Процентный 8 137 2" xfId="10504" xr:uid="{00000000-0005-0000-0000-0000EBE50000}"/>
    <cellStyle name="Процентный 8 137 2 2" xfId="58565" xr:uid="{00000000-0005-0000-0000-0000ECE50000}"/>
    <cellStyle name="Процентный 8 137 3" xfId="15844" xr:uid="{00000000-0005-0000-0000-0000EDE50000}"/>
    <cellStyle name="Процентный 8 137 4" xfId="21184" xr:uid="{00000000-0005-0000-0000-0000EEE50000}"/>
    <cellStyle name="Процентный 8 137 5" xfId="26524" xr:uid="{00000000-0005-0000-0000-0000EFE50000}"/>
    <cellStyle name="Процентный 8 137 6" xfId="31864" xr:uid="{00000000-0005-0000-0000-0000F0E50000}"/>
    <cellStyle name="Процентный 8 137 7" xfId="37204" xr:uid="{00000000-0005-0000-0000-0000F1E50000}"/>
    <cellStyle name="Процентный 8 137 8" xfId="42544" xr:uid="{00000000-0005-0000-0000-0000F2E50000}"/>
    <cellStyle name="Процентный 8 137 9" xfId="47884" xr:uid="{00000000-0005-0000-0000-0000F3E50000}"/>
    <cellStyle name="Процентный 8 138" xfId="5193" xr:uid="{00000000-0005-0000-0000-0000F4E50000}"/>
    <cellStyle name="Процентный 8 138 10" xfId="53256" xr:uid="{00000000-0005-0000-0000-0000F5E50000}"/>
    <cellStyle name="Процентный 8 138 2" xfId="10536" xr:uid="{00000000-0005-0000-0000-0000F6E50000}"/>
    <cellStyle name="Процентный 8 138 2 2" xfId="58597" xr:uid="{00000000-0005-0000-0000-0000F7E50000}"/>
    <cellStyle name="Процентный 8 138 3" xfId="15876" xr:uid="{00000000-0005-0000-0000-0000F8E50000}"/>
    <cellStyle name="Процентный 8 138 4" xfId="21216" xr:uid="{00000000-0005-0000-0000-0000F9E50000}"/>
    <cellStyle name="Процентный 8 138 5" xfId="26556" xr:uid="{00000000-0005-0000-0000-0000FAE50000}"/>
    <cellStyle name="Процентный 8 138 6" xfId="31896" xr:uid="{00000000-0005-0000-0000-0000FBE50000}"/>
    <cellStyle name="Процентный 8 138 7" xfId="37236" xr:uid="{00000000-0005-0000-0000-0000FCE50000}"/>
    <cellStyle name="Процентный 8 138 8" xfId="42576" xr:uid="{00000000-0005-0000-0000-0000FDE50000}"/>
    <cellStyle name="Процентный 8 138 9" xfId="47916" xr:uid="{00000000-0005-0000-0000-0000FEE50000}"/>
    <cellStyle name="Процентный 8 139" xfId="5225" xr:uid="{00000000-0005-0000-0000-0000FFE50000}"/>
    <cellStyle name="Процентный 8 139 10" xfId="53288" xr:uid="{00000000-0005-0000-0000-000000E60000}"/>
    <cellStyle name="Процентный 8 139 2" xfId="10568" xr:uid="{00000000-0005-0000-0000-000001E60000}"/>
    <cellStyle name="Процентный 8 139 2 2" xfId="58629" xr:uid="{00000000-0005-0000-0000-000002E60000}"/>
    <cellStyle name="Процентный 8 139 3" xfId="15908" xr:uid="{00000000-0005-0000-0000-000003E60000}"/>
    <cellStyle name="Процентный 8 139 4" xfId="21248" xr:uid="{00000000-0005-0000-0000-000004E60000}"/>
    <cellStyle name="Процентный 8 139 5" xfId="26588" xr:uid="{00000000-0005-0000-0000-000005E60000}"/>
    <cellStyle name="Процентный 8 139 6" xfId="31928" xr:uid="{00000000-0005-0000-0000-000006E60000}"/>
    <cellStyle name="Процентный 8 139 7" xfId="37268" xr:uid="{00000000-0005-0000-0000-000007E60000}"/>
    <cellStyle name="Процентный 8 139 8" xfId="42608" xr:uid="{00000000-0005-0000-0000-000008E60000}"/>
    <cellStyle name="Процентный 8 139 9" xfId="47948" xr:uid="{00000000-0005-0000-0000-000009E60000}"/>
    <cellStyle name="Процентный 8 14" xfId="1397" xr:uid="{00000000-0005-0000-0000-00000AE60000}"/>
    <cellStyle name="Процентный 8 14 10" xfId="49460" xr:uid="{00000000-0005-0000-0000-00000BE60000}"/>
    <cellStyle name="Процентный 8 14 2" xfId="6739" xr:uid="{00000000-0005-0000-0000-00000CE60000}"/>
    <cellStyle name="Процентный 8 14 2 2" xfId="54801" xr:uid="{00000000-0005-0000-0000-00000DE60000}"/>
    <cellStyle name="Процентный 8 14 3" xfId="12080" xr:uid="{00000000-0005-0000-0000-00000EE60000}"/>
    <cellStyle name="Процентный 8 14 4" xfId="17420" xr:uid="{00000000-0005-0000-0000-00000FE60000}"/>
    <cellStyle name="Процентный 8 14 5" xfId="22760" xr:uid="{00000000-0005-0000-0000-000010E60000}"/>
    <cellStyle name="Процентный 8 14 6" xfId="28100" xr:uid="{00000000-0005-0000-0000-000011E60000}"/>
    <cellStyle name="Процентный 8 14 7" xfId="33440" xr:uid="{00000000-0005-0000-0000-000012E60000}"/>
    <cellStyle name="Процентный 8 14 8" xfId="38780" xr:uid="{00000000-0005-0000-0000-000013E60000}"/>
    <cellStyle name="Процентный 8 14 9" xfId="44120" xr:uid="{00000000-0005-0000-0000-000014E60000}"/>
    <cellStyle name="Процентный 8 140" xfId="5257" xr:uid="{00000000-0005-0000-0000-000015E60000}"/>
    <cellStyle name="Процентный 8 140 10" xfId="53320" xr:uid="{00000000-0005-0000-0000-000016E60000}"/>
    <cellStyle name="Процентный 8 140 2" xfId="10600" xr:uid="{00000000-0005-0000-0000-000017E60000}"/>
    <cellStyle name="Процентный 8 140 2 2" xfId="58661" xr:uid="{00000000-0005-0000-0000-000018E60000}"/>
    <cellStyle name="Процентный 8 140 3" xfId="15940" xr:uid="{00000000-0005-0000-0000-000019E60000}"/>
    <cellStyle name="Процентный 8 140 4" xfId="21280" xr:uid="{00000000-0005-0000-0000-00001AE60000}"/>
    <cellStyle name="Процентный 8 140 5" xfId="26620" xr:uid="{00000000-0005-0000-0000-00001BE60000}"/>
    <cellStyle name="Процентный 8 140 6" xfId="31960" xr:uid="{00000000-0005-0000-0000-00001CE60000}"/>
    <cellStyle name="Процентный 8 140 7" xfId="37300" xr:uid="{00000000-0005-0000-0000-00001DE60000}"/>
    <cellStyle name="Процентный 8 140 8" xfId="42640" xr:uid="{00000000-0005-0000-0000-00001EE60000}"/>
    <cellStyle name="Процентный 8 140 9" xfId="47980" xr:uid="{00000000-0005-0000-0000-00001FE60000}"/>
    <cellStyle name="Процентный 8 141" xfId="5289" xr:uid="{00000000-0005-0000-0000-000020E60000}"/>
    <cellStyle name="Процентный 8 141 10" xfId="53352" xr:uid="{00000000-0005-0000-0000-000021E60000}"/>
    <cellStyle name="Процентный 8 141 2" xfId="10632" xr:uid="{00000000-0005-0000-0000-000022E60000}"/>
    <cellStyle name="Процентный 8 141 2 2" xfId="58693" xr:uid="{00000000-0005-0000-0000-000023E60000}"/>
    <cellStyle name="Процентный 8 141 3" xfId="15972" xr:uid="{00000000-0005-0000-0000-000024E60000}"/>
    <cellStyle name="Процентный 8 141 4" xfId="21312" xr:uid="{00000000-0005-0000-0000-000025E60000}"/>
    <cellStyle name="Процентный 8 141 5" xfId="26652" xr:uid="{00000000-0005-0000-0000-000026E60000}"/>
    <cellStyle name="Процентный 8 141 6" xfId="31992" xr:uid="{00000000-0005-0000-0000-000027E60000}"/>
    <cellStyle name="Процентный 8 141 7" xfId="37332" xr:uid="{00000000-0005-0000-0000-000028E60000}"/>
    <cellStyle name="Процентный 8 141 8" xfId="42672" xr:uid="{00000000-0005-0000-0000-000029E60000}"/>
    <cellStyle name="Процентный 8 141 9" xfId="48012" xr:uid="{00000000-0005-0000-0000-00002AE60000}"/>
    <cellStyle name="Процентный 8 142" xfId="5321" xr:uid="{00000000-0005-0000-0000-00002BE60000}"/>
    <cellStyle name="Процентный 8 142 10" xfId="53384" xr:uid="{00000000-0005-0000-0000-00002CE60000}"/>
    <cellStyle name="Процентный 8 142 2" xfId="10664" xr:uid="{00000000-0005-0000-0000-00002DE60000}"/>
    <cellStyle name="Процентный 8 142 2 2" xfId="58725" xr:uid="{00000000-0005-0000-0000-00002EE60000}"/>
    <cellStyle name="Процентный 8 142 3" xfId="16004" xr:uid="{00000000-0005-0000-0000-00002FE60000}"/>
    <cellStyle name="Процентный 8 142 4" xfId="21344" xr:uid="{00000000-0005-0000-0000-000030E60000}"/>
    <cellStyle name="Процентный 8 142 5" xfId="26684" xr:uid="{00000000-0005-0000-0000-000031E60000}"/>
    <cellStyle name="Процентный 8 142 6" xfId="32024" xr:uid="{00000000-0005-0000-0000-000032E60000}"/>
    <cellStyle name="Процентный 8 142 7" xfId="37364" xr:uid="{00000000-0005-0000-0000-000033E60000}"/>
    <cellStyle name="Процентный 8 142 8" xfId="42704" xr:uid="{00000000-0005-0000-0000-000034E60000}"/>
    <cellStyle name="Процентный 8 142 9" xfId="48044" xr:uid="{00000000-0005-0000-0000-000035E60000}"/>
    <cellStyle name="Процентный 8 143" xfId="5353" xr:uid="{00000000-0005-0000-0000-000036E60000}"/>
    <cellStyle name="Процентный 8 143 10" xfId="53416" xr:uid="{00000000-0005-0000-0000-000037E60000}"/>
    <cellStyle name="Процентный 8 143 2" xfId="10696" xr:uid="{00000000-0005-0000-0000-000038E60000}"/>
    <cellStyle name="Процентный 8 143 2 2" xfId="58757" xr:uid="{00000000-0005-0000-0000-000039E60000}"/>
    <cellStyle name="Процентный 8 143 3" xfId="16036" xr:uid="{00000000-0005-0000-0000-00003AE60000}"/>
    <cellStyle name="Процентный 8 143 4" xfId="21376" xr:uid="{00000000-0005-0000-0000-00003BE60000}"/>
    <cellStyle name="Процентный 8 143 5" xfId="26716" xr:uid="{00000000-0005-0000-0000-00003CE60000}"/>
    <cellStyle name="Процентный 8 143 6" xfId="32056" xr:uid="{00000000-0005-0000-0000-00003DE60000}"/>
    <cellStyle name="Процентный 8 143 7" xfId="37396" xr:uid="{00000000-0005-0000-0000-00003EE60000}"/>
    <cellStyle name="Процентный 8 143 8" xfId="42736" xr:uid="{00000000-0005-0000-0000-00003FE60000}"/>
    <cellStyle name="Процентный 8 143 9" xfId="48076" xr:uid="{00000000-0005-0000-0000-000040E60000}"/>
    <cellStyle name="Процентный 8 144" xfId="5385" xr:uid="{00000000-0005-0000-0000-000041E60000}"/>
    <cellStyle name="Процентный 8 144 10" xfId="53448" xr:uid="{00000000-0005-0000-0000-000042E60000}"/>
    <cellStyle name="Процентный 8 144 2" xfId="10728" xr:uid="{00000000-0005-0000-0000-000043E60000}"/>
    <cellStyle name="Процентный 8 144 2 2" xfId="58789" xr:uid="{00000000-0005-0000-0000-000044E60000}"/>
    <cellStyle name="Процентный 8 144 3" xfId="16068" xr:uid="{00000000-0005-0000-0000-000045E60000}"/>
    <cellStyle name="Процентный 8 144 4" xfId="21408" xr:uid="{00000000-0005-0000-0000-000046E60000}"/>
    <cellStyle name="Процентный 8 144 5" xfId="26748" xr:uid="{00000000-0005-0000-0000-000047E60000}"/>
    <cellStyle name="Процентный 8 144 6" xfId="32088" xr:uid="{00000000-0005-0000-0000-000048E60000}"/>
    <cellStyle name="Процентный 8 144 7" xfId="37428" xr:uid="{00000000-0005-0000-0000-000049E60000}"/>
    <cellStyle name="Процентный 8 144 8" xfId="42768" xr:uid="{00000000-0005-0000-0000-00004AE60000}"/>
    <cellStyle name="Процентный 8 144 9" xfId="48108" xr:uid="{00000000-0005-0000-0000-00004BE60000}"/>
    <cellStyle name="Процентный 8 145" xfId="6401" xr:uid="{00000000-0005-0000-0000-00004CE60000}"/>
    <cellStyle name="Процентный 8 145 2" xfId="54463" xr:uid="{00000000-0005-0000-0000-00004DE60000}"/>
    <cellStyle name="Процентный 8 146" xfId="11742" xr:uid="{00000000-0005-0000-0000-00004EE60000}"/>
    <cellStyle name="Процентный 8 147" xfId="17082" xr:uid="{00000000-0005-0000-0000-00004FE60000}"/>
    <cellStyle name="Процентный 8 148" xfId="22422" xr:uid="{00000000-0005-0000-0000-000050E60000}"/>
    <cellStyle name="Процентный 8 149" xfId="27762" xr:uid="{00000000-0005-0000-0000-000051E60000}"/>
    <cellStyle name="Процентный 8 15" xfId="1423" xr:uid="{00000000-0005-0000-0000-000052E60000}"/>
    <cellStyle name="Процентный 8 15 10" xfId="49486" xr:uid="{00000000-0005-0000-0000-000053E60000}"/>
    <cellStyle name="Процентный 8 15 2" xfId="6765" xr:uid="{00000000-0005-0000-0000-000054E60000}"/>
    <cellStyle name="Процентный 8 15 2 2" xfId="54827" xr:uid="{00000000-0005-0000-0000-000055E60000}"/>
    <cellStyle name="Процентный 8 15 3" xfId="12106" xr:uid="{00000000-0005-0000-0000-000056E60000}"/>
    <cellStyle name="Процентный 8 15 4" xfId="17446" xr:uid="{00000000-0005-0000-0000-000057E60000}"/>
    <cellStyle name="Процентный 8 15 5" xfId="22786" xr:uid="{00000000-0005-0000-0000-000058E60000}"/>
    <cellStyle name="Процентный 8 15 6" xfId="28126" xr:uid="{00000000-0005-0000-0000-000059E60000}"/>
    <cellStyle name="Процентный 8 15 7" xfId="33466" xr:uid="{00000000-0005-0000-0000-00005AE60000}"/>
    <cellStyle name="Процентный 8 15 8" xfId="38806" xr:uid="{00000000-0005-0000-0000-00005BE60000}"/>
    <cellStyle name="Процентный 8 15 9" xfId="44146" xr:uid="{00000000-0005-0000-0000-00005CE60000}"/>
    <cellStyle name="Процентный 8 150" xfId="33102" xr:uid="{00000000-0005-0000-0000-00005DE60000}"/>
    <cellStyle name="Процентный 8 151" xfId="38442" xr:uid="{00000000-0005-0000-0000-00005EE60000}"/>
    <cellStyle name="Процентный 8 152" xfId="43782" xr:uid="{00000000-0005-0000-0000-00005FE60000}"/>
    <cellStyle name="Процентный 8 153" xfId="49122" xr:uid="{00000000-0005-0000-0000-000060E60000}"/>
    <cellStyle name="Процентный 8 16" xfId="1449" xr:uid="{00000000-0005-0000-0000-000061E60000}"/>
    <cellStyle name="Процентный 8 16 10" xfId="49512" xr:uid="{00000000-0005-0000-0000-000062E60000}"/>
    <cellStyle name="Процентный 8 16 2" xfId="6791" xr:uid="{00000000-0005-0000-0000-000063E60000}"/>
    <cellStyle name="Процентный 8 16 2 2" xfId="54853" xr:uid="{00000000-0005-0000-0000-000064E60000}"/>
    <cellStyle name="Процентный 8 16 3" xfId="12132" xr:uid="{00000000-0005-0000-0000-000065E60000}"/>
    <cellStyle name="Процентный 8 16 4" xfId="17472" xr:uid="{00000000-0005-0000-0000-000066E60000}"/>
    <cellStyle name="Процентный 8 16 5" xfId="22812" xr:uid="{00000000-0005-0000-0000-000067E60000}"/>
    <cellStyle name="Процентный 8 16 6" xfId="28152" xr:uid="{00000000-0005-0000-0000-000068E60000}"/>
    <cellStyle name="Процентный 8 16 7" xfId="33492" xr:uid="{00000000-0005-0000-0000-000069E60000}"/>
    <cellStyle name="Процентный 8 16 8" xfId="38832" xr:uid="{00000000-0005-0000-0000-00006AE60000}"/>
    <cellStyle name="Процентный 8 16 9" xfId="44172" xr:uid="{00000000-0005-0000-0000-00006BE60000}"/>
    <cellStyle name="Процентный 8 17" xfId="1475" xr:uid="{00000000-0005-0000-0000-00006CE60000}"/>
    <cellStyle name="Процентный 8 17 10" xfId="49538" xr:uid="{00000000-0005-0000-0000-00006DE60000}"/>
    <cellStyle name="Процентный 8 17 2" xfId="6817" xr:uid="{00000000-0005-0000-0000-00006EE60000}"/>
    <cellStyle name="Процентный 8 17 2 2" xfId="54879" xr:uid="{00000000-0005-0000-0000-00006FE60000}"/>
    <cellStyle name="Процентный 8 17 3" xfId="12158" xr:uid="{00000000-0005-0000-0000-000070E60000}"/>
    <cellStyle name="Процентный 8 17 4" xfId="17498" xr:uid="{00000000-0005-0000-0000-000071E60000}"/>
    <cellStyle name="Процентный 8 17 5" xfId="22838" xr:uid="{00000000-0005-0000-0000-000072E60000}"/>
    <cellStyle name="Процентный 8 17 6" xfId="28178" xr:uid="{00000000-0005-0000-0000-000073E60000}"/>
    <cellStyle name="Процентный 8 17 7" xfId="33518" xr:uid="{00000000-0005-0000-0000-000074E60000}"/>
    <cellStyle name="Процентный 8 17 8" xfId="38858" xr:uid="{00000000-0005-0000-0000-000075E60000}"/>
    <cellStyle name="Процентный 8 17 9" xfId="44198" xr:uid="{00000000-0005-0000-0000-000076E60000}"/>
    <cellStyle name="Процентный 8 18" xfId="1501" xr:uid="{00000000-0005-0000-0000-000077E60000}"/>
    <cellStyle name="Процентный 8 18 10" xfId="49564" xr:uid="{00000000-0005-0000-0000-000078E60000}"/>
    <cellStyle name="Процентный 8 18 2" xfId="6843" xr:uid="{00000000-0005-0000-0000-000079E60000}"/>
    <cellStyle name="Процентный 8 18 2 2" xfId="54905" xr:uid="{00000000-0005-0000-0000-00007AE60000}"/>
    <cellStyle name="Процентный 8 18 3" xfId="12184" xr:uid="{00000000-0005-0000-0000-00007BE60000}"/>
    <cellStyle name="Процентный 8 18 4" xfId="17524" xr:uid="{00000000-0005-0000-0000-00007CE60000}"/>
    <cellStyle name="Процентный 8 18 5" xfId="22864" xr:uid="{00000000-0005-0000-0000-00007DE60000}"/>
    <cellStyle name="Процентный 8 18 6" xfId="28204" xr:uid="{00000000-0005-0000-0000-00007EE60000}"/>
    <cellStyle name="Процентный 8 18 7" xfId="33544" xr:uid="{00000000-0005-0000-0000-00007FE60000}"/>
    <cellStyle name="Процентный 8 18 8" xfId="38884" xr:uid="{00000000-0005-0000-0000-000080E60000}"/>
    <cellStyle name="Процентный 8 18 9" xfId="44224" xr:uid="{00000000-0005-0000-0000-000081E60000}"/>
    <cellStyle name="Процентный 8 19" xfId="1527" xr:uid="{00000000-0005-0000-0000-000082E60000}"/>
    <cellStyle name="Процентный 8 19 10" xfId="49590" xr:uid="{00000000-0005-0000-0000-000083E60000}"/>
    <cellStyle name="Процентный 8 19 2" xfId="6869" xr:uid="{00000000-0005-0000-0000-000084E60000}"/>
    <cellStyle name="Процентный 8 19 2 2" xfId="54931" xr:uid="{00000000-0005-0000-0000-000085E60000}"/>
    <cellStyle name="Процентный 8 19 3" xfId="12210" xr:uid="{00000000-0005-0000-0000-000086E60000}"/>
    <cellStyle name="Процентный 8 19 4" xfId="17550" xr:uid="{00000000-0005-0000-0000-000087E60000}"/>
    <cellStyle name="Процентный 8 19 5" xfId="22890" xr:uid="{00000000-0005-0000-0000-000088E60000}"/>
    <cellStyle name="Процентный 8 19 6" xfId="28230" xr:uid="{00000000-0005-0000-0000-000089E60000}"/>
    <cellStyle name="Процентный 8 19 7" xfId="33570" xr:uid="{00000000-0005-0000-0000-00008AE60000}"/>
    <cellStyle name="Процентный 8 19 8" xfId="38910" xr:uid="{00000000-0005-0000-0000-00008BE60000}"/>
    <cellStyle name="Процентный 8 19 9" xfId="44250" xr:uid="{00000000-0005-0000-0000-00008CE60000}"/>
    <cellStyle name="Процентный 8 2" xfId="1085" xr:uid="{00000000-0005-0000-0000-00008DE60000}"/>
    <cellStyle name="Процентный 8 2 10" xfId="49148" xr:uid="{00000000-0005-0000-0000-00008EE60000}"/>
    <cellStyle name="Процентный 8 2 2" xfId="6427" xr:uid="{00000000-0005-0000-0000-00008FE60000}"/>
    <cellStyle name="Процентный 8 2 2 2" xfId="54489" xr:uid="{00000000-0005-0000-0000-000090E60000}"/>
    <cellStyle name="Процентный 8 2 3" xfId="11768" xr:uid="{00000000-0005-0000-0000-000091E60000}"/>
    <cellStyle name="Процентный 8 2 4" xfId="17108" xr:uid="{00000000-0005-0000-0000-000092E60000}"/>
    <cellStyle name="Процентный 8 2 5" xfId="22448" xr:uid="{00000000-0005-0000-0000-000093E60000}"/>
    <cellStyle name="Процентный 8 2 6" xfId="27788" xr:uid="{00000000-0005-0000-0000-000094E60000}"/>
    <cellStyle name="Процентный 8 2 7" xfId="33128" xr:uid="{00000000-0005-0000-0000-000095E60000}"/>
    <cellStyle name="Процентный 8 2 8" xfId="38468" xr:uid="{00000000-0005-0000-0000-000096E60000}"/>
    <cellStyle name="Процентный 8 2 9" xfId="43808" xr:uid="{00000000-0005-0000-0000-000097E60000}"/>
    <cellStyle name="Процентный 8 20" xfId="1553" xr:uid="{00000000-0005-0000-0000-000098E60000}"/>
    <cellStyle name="Процентный 8 20 10" xfId="49616" xr:uid="{00000000-0005-0000-0000-000099E60000}"/>
    <cellStyle name="Процентный 8 20 2" xfId="6895" xr:uid="{00000000-0005-0000-0000-00009AE60000}"/>
    <cellStyle name="Процентный 8 20 2 2" xfId="54957" xr:uid="{00000000-0005-0000-0000-00009BE60000}"/>
    <cellStyle name="Процентный 8 20 3" xfId="12236" xr:uid="{00000000-0005-0000-0000-00009CE60000}"/>
    <cellStyle name="Процентный 8 20 4" xfId="17576" xr:uid="{00000000-0005-0000-0000-00009DE60000}"/>
    <cellStyle name="Процентный 8 20 5" xfId="22916" xr:uid="{00000000-0005-0000-0000-00009EE60000}"/>
    <cellStyle name="Процентный 8 20 6" xfId="28256" xr:uid="{00000000-0005-0000-0000-00009FE60000}"/>
    <cellStyle name="Процентный 8 20 7" xfId="33596" xr:uid="{00000000-0005-0000-0000-0000A0E60000}"/>
    <cellStyle name="Процентный 8 20 8" xfId="38936" xr:uid="{00000000-0005-0000-0000-0000A1E60000}"/>
    <cellStyle name="Процентный 8 20 9" xfId="44276" xr:uid="{00000000-0005-0000-0000-0000A2E60000}"/>
    <cellStyle name="Процентный 8 21" xfId="1579" xr:uid="{00000000-0005-0000-0000-0000A3E60000}"/>
    <cellStyle name="Процентный 8 21 10" xfId="49642" xr:uid="{00000000-0005-0000-0000-0000A4E60000}"/>
    <cellStyle name="Процентный 8 21 2" xfId="6921" xr:uid="{00000000-0005-0000-0000-0000A5E60000}"/>
    <cellStyle name="Процентный 8 21 2 2" xfId="54983" xr:uid="{00000000-0005-0000-0000-0000A6E60000}"/>
    <cellStyle name="Процентный 8 21 3" xfId="12262" xr:uid="{00000000-0005-0000-0000-0000A7E60000}"/>
    <cellStyle name="Процентный 8 21 4" xfId="17602" xr:uid="{00000000-0005-0000-0000-0000A8E60000}"/>
    <cellStyle name="Процентный 8 21 5" xfId="22942" xr:uid="{00000000-0005-0000-0000-0000A9E60000}"/>
    <cellStyle name="Процентный 8 21 6" xfId="28282" xr:uid="{00000000-0005-0000-0000-0000AAE60000}"/>
    <cellStyle name="Процентный 8 21 7" xfId="33622" xr:uid="{00000000-0005-0000-0000-0000ABE60000}"/>
    <cellStyle name="Процентный 8 21 8" xfId="38962" xr:uid="{00000000-0005-0000-0000-0000ACE60000}"/>
    <cellStyle name="Процентный 8 21 9" xfId="44302" xr:uid="{00000000-0005-0000-0000-0000ADE60000}"/>
    <cellStyle name="Процентный 8 22" xfId="1605" xr:uid="{00000000-0005-0000-0000-0000AEE60000}"/>
    <cellStyle name="Процентный 8 22 10" xfId="49668" xr:uid="{00000000-0005-0000-0000-0000AFE60000}"/>
    <cellStyle name="Процентный 8 22 2" xfId="6947" xr:uid="{00000000-0005-0000-0000-0000B0E60000}"/>
    <cellStyle name="Процентный 8 22 2 2" xfId="55009" xr:uid="{00000000-0005-0000-0000-0000B1E60000}"/>
    <cellStyle name="Процентный 8 22 3" xfId="12288" xr:uid="{00000000-0005-0000-0000-0000B2E60000}"/>
    <cellStyle name="Процентный 8 22 4" xfId="17628" xr:uid="{00000000-0005-0000-0000-0000B3E60000}"/>
    <cellStyle name="Процентный 8 22 5" xfId="22968" xr:uid="{00000000-0005-0000-0000-0000B4E60000}"/>
    <cellStyle name="Процентный 8 22 6" xfId="28308" xr:uid="{00000000-0005-0000-0000-0000B5E60000}"/>
    <cellStyle name="Процентный 8 22 7" xfId="33648" xr:uid="{00000000-0005-0000-0000-0000B6E60000}"/>
    <cellStyle name="Процентный 8 22 8" xfId="38988" xr:uid="{00000000-0005-0000-0000-0000B7E60000}"/>
    <cellStyle name="Процентный 8 22 9" xfId="44328" xr:uid="{00000000-0005-0000-0000-0000B8E60000}"/>
    <cellStyle name="Процентный 8 23" xfId="1631" xr:uid="{00000000-0005-0000-0000-0000B9E60000}"/>
    <cellStyle name="Процентный 8 23 10" xfId="49694" xr:uid="{00000000-0005-0000-0000-0000BAE60000}"/>
    <cellStyle name="Процентный 8 23 2" xfId="6973" xr:uid="{00000000-0005-0000-0000-0000BBE60000}"/>
    <cellStyle name="Процентный 8 23 2 2" xfId="55035" xr:uid="{00000000-0005-0000-0000-0000BCE60000}"/>
    <cellStyle name="Процентный 8 23 3" xfId="12314" xr:uid="{00000000-0005-0000-0000-0000BDE60000}"/>
    <cellStyle name="Процентный 8 23 4" xfId="17654" xr:uid="{00000000-0005-0000-0000-0000BEE60000}"/>
    <cellStyle name="Процентный 8 23 5" xfId="22994" xr:uid="{00000000-0005-0000-0000-0000BFE60000}"/>
    <cellStyle name="Процентный 8 23 6" xfId="28334" xr:uid="{00000000-0005-0000-0000-0000C0E60000}"/>
    <cellStyle name="Процентный 8 23 7" xfId="33674" xr:uid="{00000000-0005-0000-0000-0000C1E60000}"/>
    <cellStyle name="Процентный 8 23 8" xfId="39014" xr:uid="{00000000-0005-0000-0000-0000C2E60000}"/>
    <cellStyle name="Процентный 8 23 9" xfId="44354" xr:uid="{00000000-0005-0000-0000-0000C3E60000}"/>
    <cellStyle name="Процентный 8 24" xfId="1657" xr:uid="{00000000-0005-0000-0000-0000C4E60000}"/>
    <cellStyle name="Процентный 8 24 10" xfId="49720" xr:uid="{00000000-0005-0000-0000-0000C5E60000}"/>
    <cellStyle name="Процентный 8 24 2" xfId="6999" xr:uid="{00000000-0005-0000-0000-0000C6E60000}"/>
    <cellStyle name="Процентный 8 24 2 2" xfId="55061" xr:uid="{00000000-0005-0000-0000-0000C7E60000}"/>
    <cellStyle name="Процентный 8 24 3" xfId="12340" xr:uid="{00000000-0005-0000-0000-0000C8E60000}"/>
    <cellStyle name="Процентный 8 24 4" xfId="17680" xr:uid="{00000000-0005-0000-0000-0000C9E60000}"/>
    <cellStyle name="Процентный 8 24 5" xfId="23020" xr:uid="{00000000-0005-0000-0000-0000CAE60000}"/>
    <cellStyle name="Процентный 8 24 6" xfId="28360" xr:uid="{00000000-0005-0000-0000-0000CBE60000}"/>
    <cellStyle name="Процентный 8 24 7" xfId="33700" xr:uid="{00000000-0005-0000-0000-0000CCE60000}"/>
    <cellStyle name="Процентный 8 24 8" xfId="39040" xr:uid="{00000000-0005-0000-0000-0000CDE60000}"/>
    <cellStyle name="Процентный 8 24 9" xfId="44380" xr:uid="{00000000-0005-0000-0000-0000CEE60000}"/>
    <cellStyle name="Процентный 8 25" xfId="1683" xr:uid="{00000000-0005-0000-0000-0000CFE60000}"/>
    <cellStyle name="Процентный 8 25 10" xfId="49746" xr:uid="{00000000-0005-0000-0000-0000D0E60000}"/>
    <cellStyle name="Процентный 8 25 2" xfId="7025" xr:uid="{00000000-0005-0000-0000-0000D1E60000}"/>
    <cellStyle name="Процентный 8 25 2 2" xfId="55087" xr:uid="{00000000-0005-0000-0000-0000D2E60000}"/>
    <cellStyle name="Процентный 8 25 3" xfId="12366" xr:uid="{00000000-0005-0000-0000-0000D3E60000}"/>
    <cellStyle name="Процентный 8 25 4" xfId="17706" xr:uid="{00000000-0005-0000-0000-0000D4E60000}"/>
    <cellStyle name="Процентный 8 25 5" xfId="23046" xr:uid="{00000000-0005-0000-0000-0000D5E60000}"/>
    <cellStyle name="Процентный 8 25 6" xfId="28386" xr:uid="{00000000-0005-0000-0000-0000D6E60000}"/>
    <cellStyle name="Процентный 8 25 7" xfId="33726" xr:uid="{00000000-0005-0000-0000-0000D7E60000}"/>
    <cellStyle name="Процентный 8 25 8" xfId="39066" xr:uid="{00000000-0005-0000-0000-0000D8E60000}"/>
    <cellStyle name="Процентный 8 25 9" xfId="44406" xr:uid="{00000000-0005-0000-0000-0000D9E60000}"/>
    <cellStyle name="Процентный 8 26" xfId="1709" xr:uid="{00000000-0005-0000-0000-0000DAE60000}"/>
    <cellStyle name="Процентный 8 26 10" xfId="49772" xr:uid="{00000000-0005-0000-0000-0000DBE60000}"/>
    <cellStyle name="Процентный 8 26 2" xfId="7051" xr:uid="{00000000-0005-0000-0000-0000DCE60000}"/>
    <cellStyle name="Процентный 8 26 2 2" xfId="55113" xr:uid="{00000000-0005-0000-0000-0000DDE60000}"/>
    <cellStyle name="Процентный 8 26 3" xfId="12392" xr:uid="{00000000-0005-0000-0000-0000DEE60000}"/>
    <cellStyle name="Процентный 8 26 4" xfId="17732" xr:uid="{00000000-0005-0000-0000-0000DFE60000}"/>
    <cellStyle name="Процентный 8 26 5" xfId="23072" xr:uid="{00000000-0005-0000-0000-0000E0E60000}"/>
    <cellStyle name="Процентный 8 26 6" xfId="28412" xr:uid="{00000000-0005-0000-0000-0000E1E60000}"/>
    <cellStyle name="Процентный 8 26 7" xfId="33752" xr:uid="{00000000-0005-0000-0000-0000E2E60000}"/>
    <cellStyle name="Процентный 8 26 8" xfId="39092" xr:uid="{00000000-0005-0000-0000-0000E3E60000}"/>
    <cellStyle name="Процентный 8 26 9" xfId="44432" xr:uid="{00000000-0005-0000-0000-0000E4E60000}"/>
    <cellStyle name="Процентный 8 27" xfId="1735" xr:uid="{00000000-0005-0000-0000-0000E5E60000}"/>
    <cellStyle name="Процентный 8 27 10" xfId="49798" xr:uid="{00000000-0005-0000-0000-0000E6E60000}"/>
    <cellStyle name="Процентный 8 27 2" xfId="7077" xr:uid="{00000000-0005-0000-0000-0000E7E60000}"/>
    <cellStyle name="Процентный 8 27 2 2" xfId="55139" xr:uid="{00000000-0005-0000-0000-0000E8E60000}"/>
    <cellStyle name="Процентный 8 27 3" xfId="12418" xr:uid="{00000000-0005-0000-0000-0000E9E60000}"/>
    <cellStyle name="Процентный 8 27 4" xfId="17758" xr:uid="{00000000-0005-0000-0000-0000EAE60000}"/>
    <cellStyle name="Процентный 8 27 5" xfId="23098" xr:uid="{00000000-0005-0000-0000-0000EBE60000}"/>
    <cellStyle name="Процентный 8 27 6" xfId="28438" xr:uid="{00000000-0005-0000-0000-0000ECE60000}"/>
    <cellStyle name="Процентный 8 27 7" xfId="33778" xr:uid="{00000000-0005-0000-0000-0000EDE60000}"/>
    <cellStyle name="Процентный 8 27 8" xfId="39118" xr:uid="{00000000-0005-0000-0000-0000EEE60000}"/>
    <cellStyle name="Процентный 8 27 9" xfId="44458" xr:uid="{00000000-0005-0000-0000-0000EFE60000}"/>
    <cellStyle name="Процентный 8 28" xfId="1761" xr:uid="{00000000-0005-0000-0000-0000F0E60000}"/>
    <cellStyle name="Процентный 8 28 10" xfId="49824" xr:uid="{00000000-0005-0000-0000-0000F1E60000}"/>
    <cellStyle name="Процентный 8 28 2" xfId="7103" xr:uid="{00000000-0005-0000-0000-0000F2E60000}"/>
    <cellStyle name="Процентный 8 28 2 2" xfId="55165" xr:uid="{00000000-0005-0000-0000-0000F3E60000}"/>
    <cellStyle name="Процентный 8 28 3" xfId="12444" xr:uid="{00000000-0005-0000-0000-0000F4E60000}"/>
    <cellStyle name="Процентный 8 28 4" xfId="17784" xr:uid="{00000000-0005-0000-0000-0000F5E60000}"/>
    <cellStyle name="Процентный 8 28 5" xfId="23124" xr:uid="{00000000-0005-0000-0000-0000F6E60000}"/>
    <cellStyle name="Процентный 8 28 6" xfId="28464" xr:uid="{00000000-0005-0000-0000-0000F7E60000}"/>
    <cellStyle name="Процентный 8 28 7" xfId="33804" xr:uid="{00000000-0005-0000-0000-0000F8E60000}"/>
    <cellStyle name="Процентный 8 28 8" xfId="39144" xr:uid="{00000000-0005-0000-0000-0000F9E60000}"/>
    <cellStyle name="Процентный 8 28 9" xfId="44484" xr:uid="{00000000-0005-0000-0000-0000FAE60000}"/>
    <cellStyle name="Процентный 8 29" xfId="1787" xr:uid="{00000000-0005-0000-0000-0000FBE60000}"/>
    <cellStyle name="Процентный 8 29 10" xfId="49850" xr:uid="{00000000-0005-0000-0000-0000FCE60000}"/>
    <cellStyle name="Процентный 8 29 2" xfId="7129" xr:uid="{00000000-0005-0000-0000-0000FDE60000}"/>
    <cellStyle name="Процентный 8 29 2 2" xfId="55191" xr:uid="{00000000-0005-0000-0000-0000FEE60000}"/>
    <cellStyle name="Процентный 8 29 3" xfId="12470" xr:uid="{00000000-0005-0000-0000-0000FFE60000}"/>
    <cellStyle name="Процентный 8 29 4" xfId="17810" xr:uid="{00000000-0005-0000-0000-000000E70000}"/>
    <cellStyle name="Процентный 8 29 5" xfId="23150" xr:uid="{00000000-0005-0000-0000-000001E70000}"/>
    <cellStyle name="Процентный 8 29 6" xfId="28490" xr:uid="{00000000-0005-0000-0000-000002E70000}"/>
    <cellStyle name="Процентный 8 29 7" xfId="33830" xr:uid="{00000000-0005-0000-0000-000003E70000}"/>
    <cellStyle name="Процентный 8 29 8" xfId="39170" xr:uid="{00000000-0005-0000-0000-000004E70000}"/>
    <cellStyle name="Процентный 8 29 9" xfId="44510" xr:uid="{00000000-0005-0000-0000-000005E70000}"/>
    <cellStyle name="Процентный 8 3" xfId="1111" xr:uid="{00000000-0005-0000-0000-000006E70000}"/>
    <cellStyle name="Процентный 8 3 10" xfId="49174" xr:uid="{00000000-0005-0000-0000-000007E70000}"/>
    <cellStyle name="Процентный 8 3 2" xfId="6453" xr:uid="{00000000-0005-0000-0000-000008E70000}"/>
    <cellStyle name="Процентный 8 3 2 2" xfId="54515" xr:uid="{00000000-0005-0000-0000-000009E70000}"/>
    <cellStyle name="Процентный 8 3 3" xfId="11794" xr:uid="{00000000-0005-0000-0000-00000AE70000}"/>
    <cellStyle name="Процентный 8 3 4" xfId="17134" xr:uid="{00000000-0005-0000-0000-00000BE70000}"/>
    <cellStyle name="Процентный 8 3 5" xfId="22474" xr:uid="{00000000-0005-0000-0000-00000CE70000}"/>
    <cellStyle name="Процентный 8 3 6" xfId="27814" xr:uid="{00000000-0005-0000-0000-00000DE70000}"/>
    <cellStyle name="Процентный 8 3 7" xfId="33154" xr:uid="{00000000-0005-0000-0000-00000EE70000}"/>
    <cellStyle name="Процентный 8 3 8" xfId="38494" xr:uid="{00000000-0005-0000-0000-00000FE70000}"/>
    <cellStyle name="Процентный 8 3 9" xfId="43834" xr:uid="{00000000-0005-0000-0000-000010E70000}"/>
    <cellStyle name="Процентный 8 30" xfId="1813" xr:uid="{00000000-0005-0000-0000-000011E70000}"/>
    <cellStyle name="Процентный 8 30 10" xfId="49876" xr:uid="{00000000-0005-0000-0000-000012E70000}"/>
    <cellStyle name="Процентный 8 30 2" xfId="7155" xr:uid="{00000000-0005-0000-0000-000013E70000}"/>
    <cellStyle name="Процентный 8 30 2 2" xfId="55217" xr:uid="{00000000-0005-0000-0000-000014E70000}"/>
    <cellStyle name="Процентный 8 30 3" xfId="12496" xr:uid="{00000000-0005-0000-0000-000015E70000}"/>
    <cellStyle name="Процентный 8 30 4" xfId="17836" xr:uid="{00000000-0005-0000-0000-000016E70000}"/>
    <cellStyle name="Процентный 8 30 5" xfId="23176" xr:uid="{00000000-0005-0000-0000-000017E70000}"/>
    <cellStyle name="Процентный 8 30 6" xfId="28516" xr:uid="{00000000-0005-0000-0000-000018E70000}"/>
    <cellStyle name="Процентный 8 30 7" xfId="33856" xr:uid="{00000000-0005-0000-0000-000019E70000}"/>
    <cellStyle name="Процентный 8 30 8" xfId="39196" xr:uid="{00000000-0005-0000-0000-00001AE70000}"/>
    <cellStyle name="Процентный 8 30 9" xfId="44536" xr:uid="{00000000-0005-0000-0000-00001BE70000}"/>
    <cellStyle name="Процентный 8 31" xfId="1839" xr:uid="{00000000-0005-0000-0000-00001CE70000}"/>
    <cellStyle name="Процентный 8 31 10" xfId="49902" xr:uid="{00000000-0005-0000-0000-00001DE70000}"/>
    <cellStyle name="Процентный 8 31 2" xfId="7181" xr:uid="{00000000-0005-0000-0000-00001EE70000}"/>
    <cellStyle name="Процентный 8 31 2 2" xfId="55243" xr:uid="{00000000-0005-0000-0000-00001FE70000}"/>
    <cellStyle name="Процентный 8 31 3" xfId="12522" xr:uid="{00000000-0005-0000-0000-000020E70000}"/>
    <cellStyle name="Процентный 8 31 4" xfId="17862" xr:uid="{00000000-0005-0000-0000-000021E70000}"/>
    <cellStyle name="Процентный 8 31 5" xfId="23202" xr:uid="{00000000-0005-0000-0000-000022E70000}"/>
    <cellStyle name="Процентный 8 31 6" xfId="28542" xr:uid="{00000000-0005-0000-0000-000023E70000}"/>
    <cellStyle name="Процентный 8 31 7" xfId="33882" xr:uid="{00000000-0005-0000-0000-000024E70000}"/>
    <cellStyle name="Процентный 8 31 8" xfId="39222" xr:uid="{00000000-0005-0000-0000-000025E70000}"/>
    <cellStyle name="Процентный 8 31 9" xfId="44562" xr:uid="{00000000-0005-0000-0000-000026E70000}"/>
    <cellStyle name="Процентный 8 32" xfId="1865" xr:uid="{00000000-0005-0000-0000-000027E70000}"/>
    <cellStyle name="Процентный 8 32 10" xfId="49928" xr:uid="{00000000-0005-0000-0000-000028E70000}"/>
    <cellStyle name="Процентный 8 32 2" xfId="7207" xr:uid="{00000000-0005-0000-0000-000029E70000}"/>
    <cellStyle name="Процентный 8 32 2 2" xfId="55269" xr:uid="{00000000-0005-0000-0000-00002AE70000}"/>
    <cellStyle name="Процентный 8 32 3" xfId="12548" xr:uid="{00000000-0005-0000-0000-00002BE70000}"/>
    <cellStyle name="Процентный 8 32 4" xfId="17888" xr:uid="{00000000-0005-0000-0000-00002CE70000}"/>
    <cellStyle name="Процентный 8 32 5" xfId="23228" xr:uid="{00000000-0005-0000-0000-00002DE70000}"/>
    <cellStyle name="Процентный 8 32 6" xfId="28568" xr:uid="{00000000-0005-0000-0000-00002EE70000}"/>
    <cellStyle name="Процентный 8 32 7" xfId="33908" xr:uid="{00000000-0005-0000-0000-00002FE70000}"/>
    <cellStyle name="Процентный 8 32 8" xfId="39248" xr:uid="{00000000-0005-0000-0000-000030E70000}"/>
    <cellStyle name="Процентный 8 32 9" xfId="44588" xr:uid="{00000000-0005-0000-0000-000031E70000}"/>
    <cellStyle name="Процентный 8 33" xfId="1891" xr:uid="{00000000-0005-0000-0000-000032E70000}"/>
    <cellStyle name="Процентный 8 33 10" xfId="49954" xr:uid="{00000000-0005-0000-0000-000033E70000}"/>
    <cellStyle name="Процентный 8 33 2" xfId="7233" xr:uid="{00000000-0005-0000-0000-000034E70000}"/>
    <cellStyle name="Процентный 8 33 2 2" xfId="55295" xr:uid="{00000000-0005-0000-0000-000035E70000}"/>
    <cellStyle name="Процентный 8 33 3" xfId="12574" xr:uid="{00000000-0005-0000-0000-000036E70000}"/>
    <cellStyle name="Процентный 8 33 4" xfId="17914" xr:uid="{00000000-0005-0000-0000-000037E70000}"/>
    <cellStyle name="Процентный 8 33 5" xfId="23254" xr:uid="{00000000-0005-0000-0000-000038E70000}"/>
    <cellStyle name="Процентный 8 33 6" xfId="28594" xr:uid="{00000000-0005-0000-0000-000039E70000}"/>
    <cellStyle name="Процентный 8 33 7" xfId="33934" xr:uid="{00000000-0005-0000-0000-00003AE70000}"/>
    <cellStyle name="Процентный 8 33 8" xfId="39274" xr:uid="{00000000-0005-0000-0000-00003BE70000}"/>
    <cellStyle name="Процентный 8 33 9" xfId="44614" xr:uid="{00000000-0005-0000-0000-00003CE70000}"/>
    <cellStyle name="Процентный 8 34" xfId="1917" xr:uid="{00000000-0005-0000-0000-00003DE70000}"/>
    <cellStyle name="Процентный 8 34 10" xfId="49980" xr:uid="{00000000-0005-0000-0000-00003EE70000}"/>
    <cellStyle name="Процентный 8 34 2" xfId="7259" xr:uid="{00000000-0005-0000-0000-00003FE70000}"/>
    <cellStyle name="Процентный 8 34 2 2" xfId="55321" xr:uid="{00000000-0005-0000-0000-000040E70000}"/>
    <cellStyle name="Процентный 8 34 3" xfId="12600" xr:uid="{00000000-0005-0000-0000-000041E70000}"/>
    <cellStyle name="Процентный 8 34 4" xfId="17940" xr:uid="{00000000-0005-0000-0000-000042E70000}"/>
    <cellStyle name="Процентный 8 34 5" xfId="23280" xr:uid="{00000000-0005-0000-0000-000043E70000}"/>
    <cellStyle name="Процентный 8 34 6" xfId="28620" xr:uid="{00000000-0005-0000-0000-000044E70000}"/>
    <cellStyle name="Процентный 8 34 7" xfId="33960" xr:uid="{00000000-0005-0000-0000-000045E70000}"/>
    <cellStyle name="Процентный 8 34 8" xfId="39300" xr:uid="{00000000-0005-0000-0000-000046E70000}"/>
    <cellStyle name="Процентный 8 34 9" xfId="44640" xr:uid="{00000000-0005-0000-0000-000047E70000}"/>
    <cellStyle name="Процентный 8 35" xfId="1943" xr:uid="{00000000-0005-0000-0000-000048E70000}"/>
    <cellStyle name="Процентный 8 35 10" xfId="50006" xr:uid="{00000000-0005-0000-0000-000049E70000}"/>
    <cellStyle name="Процентный 8 35 2" xfId="7285" xr:uid="{00000000-0005-0000-0000-00004AE70000}"/>
    <cellStyle name="Процентный 8 35 2 2" xfId="55347" xr:uid="{00000000-0005-0000-0000-00004BE70000}"/>
    <cellStyle name="Процентный 8 35 3" xfId="12626" xr:uid="{00000000-0005-0000-0000-00004CE70000}"/>
    <cellStyle name="Процентный 8 35 4" xfId="17966" xr:uid="{00000000-0005-0000-0000-00004DE70000}"/>
    <cellStyle name="Процентный 8 35 5" xfId="23306" xr:uid="{00000000-0005-0000-0000-00004EE70000}"/>
    <cellStyle name="Процентный 8 35 6" xfId="28646" xr:uid="{00000000-0005-0000-0000-00004FE70000}"/>
    <cellStyle name="Процентный 8 35 7" xfId="33986" xr:uid="{00000000-0005-0000-0000-000050E70000}"/>
    <cellStyle name="Процентный 8 35 8" xfId="39326" xr:uid="{00000000-0005-0000-0000-000051E70000}"/>
    <cellStyle name="Процентный 8 35 9" xfId="44666" xr:uid="{00000000-0005-0000-0000-000052E70000}"/>
    <cellStyle name="Процентный 8 36" xfId="1971" xr:uid="{00000000-0005-0000-0000-000053E70000}"/>
    <cellStyle name="Процентный 8 36 10" xfId="50034" xr:uid="{00000000-0005-0000-0000-000054E70000}"/>
    <cellStyle name="Процентный 8 36 2" xfId="7313" xr:uid="{00000000-0005-0000-0000-000055E70000}"/>
    <cellStyle name="Процентный 8 36 2 2" xfId="55375" xr:uid="{00000000-0005-0000-0000-000056E70000}"/>
    <cellStyle name="Процентный 8 36 3" xfId="12654" xr:uid="{00000000-0005-0000-0000-000057E70000}"/>
    <cellStyle name="Процентный 8 36 4" xfId="17994" xr:uid="{00000000-0005-0000-0000-000058E70000}"/>
    <cellStyle name="Процентный 8 36 5" xfId="23334" xr:uid="{00000000-0005-0000-0000-000059E70000}"/>
    <cellStyle name="Процентный 8 36 6" xfId="28674" xr:uid="{00000000-0005-0000-0000-00005AE70000}"/>
    <cellStyle name="Процентный 8 36 7" xfId="34014" xr:uid="{00000000-0005-0000-0000-00005BE70000}"/>
    <cellStyle name="Процентный 8 36 8" xfId="39354" xr:uid="{00000000-0005-0000-0000-00005CE70000}"/>
    <cellStyle name="Процентный 8 36 9" xfId="44694" xr:uid="{00000000-0005-0000-0000-00005DE70000}"/>
    <cellStyle name="Процентный 8 37" xfId="1998" xr:uid="{00000000-0005-0000-0000-00005EE70000}"/>
    <cellStyle name="Процентный 8 37 10" xfId="50062" xr:uid="{00000000-0005-0000-0000-00005FE70000}"/>
    <cellStyle name="Процентный 8 37 2" xfId="7341" xr:uid="{00000000-0005-0000-0000-000060E70000}"/>
    <cellStyle name="Процентный 8 37 2 2" xfId="55403" xr:uid="{00000000-0005-0000-0000-000061E70000}"/>
    <cellStyle name="Процентный 8 37 3" xfId="12682" xr:uid="{00000000-0005-0000-0000-000062E70000}"/>
    <cellStyle name="Процентный 8 37 4" xfId="18022" xr:uid="{00000000-0005-0000-0000-000063E70000}"/>
    <cellStyle name="Процентный 8 37 5" xfId="23362" xr:uid="{00000000-0005-0000-0000-000064E70000}"/>
    <cellStyle name="Процентный 8 37 6" xfId="28702" xr:uid="{00000000-0005-0000-0000-000065E70000}"/>
    <cellStyle name="Процентный 8 37 7" xfId="34042" xr:uid="{00000000-0005-0000-0000-000066E70000}"/>
    <cellStyle name="Процентный 8 37 8" xfId="39382" xr:uid="{00000000-0005-0000-0000-000067E70000}"/>
    <cellStyle name="Процентный 8 37 9" xfId="44722" xr:uid="{00000000-0005-0000-0000-000068E70000}"/>
    <cellStyle name="Процентный 8 38" xfId="2026" xr:uid="{00000000-0005-0000-0000-000069E70000}"/>
    <cellStyle name="Процентный 8 38 10" xfId="50090" xr:uid="{00000000-0005-0000-0000-00006AE70000}"/>
    <cellStyle name="Процентный 8 38 2" xfId="7369" xr:uid="{00000000-0005-0000-0000-00006BE70000}"/>
    <cellStyle name="Процентный 8 38 2 2" xfId="55431" xr:uid="{00000000-0005-0000-0000-00006CE70000}"/>
    <cellStyle name="Процентный 8 38 3" xfId="12710" xr:uid="{00000000-0005-0000-0000-00006DE70000}"/>
    <cellStyle name="Процентный 8 38 4" xfId="18050" xr:uid="{00000000-0005-0000-0000-00006EE70000}"/>
    <cellStyle name="Процентный 8 38 5" xfId="23390" xr:uid="{00000000-0005-0000-0000-00006FE70000}"/>
    <cellStyle name="Процентный 8 38 6" xfId="28730" xr:uid="{00000000-0005-0000-0000-000070E70000}"/>
    <cellStyle name="Процентный 8 38 7" xfId="34070" xr:uid="{00000000-0005-0000-0000-000071E70000}"/>
    <cellStyle name="Процентный 8 38 8" xfId="39410" xr:uid="{00000000-0005-0000-0000-000072E70000}"/>
    <cellStyle name="Процентный 8 38 9" xfId="44750" xr:uid="{00000000-0005-0000-0000-000073E70000}"/>
    <cellStyle name="Процентный 8 39" xfId="2054" xr:uid="{00000000-0005-0000-0000-000074E70000}"/>
    <cellStyle name="Процентный 8 39 10" xfId="50118" xr:uid="{00000000-0005-0000-0000-000075E70000}"/>
    <cellStyle name="Процентный 8 39 2" xfId="7397" xr:uid="{00000000-0005-0000-0000-000076E70000}"/>
    <cellStyle name="Процентный 8 39 2 2" xfId="55459" xr:uid="{00000000-0005-0000-0000-000077E70000}"/>
    <cellStyle name="Процентный 8 39 3" xfId="12738" xr:uid="{00000000-0005-0000-0000-000078E70000}"/>
    <cellStyle name="Процентный 8 39 4" xfId="18078" xr:uid="{00000000-0005-0000-0000-000079E70000}"/>
    <cellStyle name="Процентный 8 39 5" xfId="23418" xr:uid="{00000000-0005-0000-0000-00007AE70000}"/>
    <cellStyle name="Процентный 8 39 6" xfId="28758" xr:uid="{00000000-0005-0000-0000-00007BE70000}"/>
    <cellStyle name="Процентный 8 39 7" xfId="34098" xr:uid="{00000000-0005-0000-0000-00007CE70000}"/>
    <cellStyle name="Процентный 8 39 8" xfId="39438" xr:uid="{00000000-0005-0000-0000-00007DE70000}"/>
    <cellStyle name="Процентный 8 39 9" xfId="44778" xr:uid="{00000000-0005-0000-0000-00007EE70000}"/>
    <cellStyle name="Процентный 8 4" xfId="1137" xr:uid="{00000000-0005-0000-0000-00007FE70000}"/>
    <cellStyle name="Процентный 8 4 10" xfId="49200" xr:uid="{00000000-0005-0000-0000-000080E70000}"/>
    <cellStyle name="Процентный 8 4 2" xfId="6479" xr:uid="{00000000-0005-0000-0000-000081E70000}"/>
    <cellStyle name="Процентный 8 4 2 2" xfId="54541" xr:uid="{00000000-0005-0000-0000-000082E70000}"/>
    <cellStyle name="Процентный 8 4 3" xfId="11820" xr:uid="{00000000-0005-0000-0000-000083E70000}"/>
    <cellStyle name="Процентный 8 4 4" xfId="17160" xr:uid="{00000000-0005-0000-0000-000084E70000}"/>
    <cellStyle name="Процентный 8 4 5" xfId="22500" xr:uid="{00000000-0005-0000-0000-000085E70000}"/>
    <cellStyle name="Процентный 8 4 6" xfId="27840" xr:uid="{00000000-0005-0000-0000-000086E70000}"/>
    <cellStyle name="Процентный 8 4 7" xfId="33180" xr:uid="{00000000-0005-0000-0000-000087E70000}"/>
    <cellStyle name="Процентный 8 4 8" xfId="38520" xr:uid="{00000000-0005-0000-0000-000088E70000}"/>
    <cellStyle name="Процентный 8 4 9" xfId="43860" xr:uid="{00000000-0005-0000-0000-000089E70000}"/>
    <cellStyle name="Процентный 8 40" xfId="2082" xr:uid="{00000000-0005-0000-0000-00008AE70000}"/>
    <cellStyle name="Процентный 8 40 10" xfId="50146" xr:uid="{00000000-0005-0000-0000-00008BE70000}"/>
    <cellStyle name="Процентный 8 40 2" xfId="7425" xr:uid="{00000000-0005-0000-0000-00008CE70000}"/>
    <cellStyle name="Процентный 8 40 2 2" xfId="55487" xr:uid="{00000000-0005-0000-0000-00008DE70000}"/>
    <cellStyle name="Процентный 8 40 3" xfId="12766" xr:uid="{00000000-0005-0000-0000-00008EE70000}"/>
    <cellStyle name="Процентный 8 40 4" xfId="18106" xr:uid="{00000000-0005-0000-0000-00008FE70000}"/>
    <cellStyle name="Процентный 8 40 5" xfId="23446" xr:uid="{00000000-0005-0000-0000-000090E70000}"/>
    <cellStyle name="Процентный 8 40 6" xfId="28786" xr:uid="{00000000-0005-0000-0000-000091E70000}"/>
    <cellStyle name="Процентный 8 40 7" xfId="34126" xr:uid="{00000000-0005-0000-0000-000092E70000}"/>
    <cellStyle name="Процентный 8 40 8" xfId="39466" xr:uid="{00000000-0005-0000-0000-000093E70000}"/>
    <cellStyle name="Процентный 8 40 9" xfId="44806" xr:uid="{00000000-0005-0000-0000-000094E70000}"/>
    <cellStyle name="Процентный 8 41" xfId="2110" xr:uid="{00000000-0005-0000-0000-000095E70000}"/>
    <cellStyle name="Процентный 8 41 10" xfId="50174" xr:uid="{00000000-0005-0000-0000-000096E70000}"/>
    <cellStyle name="Процентный 8 41 2" xfId="7453" xr:uid="{00000000-0005-0000-0000-000097E70000}"/>
    <cellStyle name="Процентный 8 41 2 2" xfId="55515" xr:uid="{00000000-0005-0000-0000-000098E70000}"/>
    <cellStyle name="Процентный 8 41 3" xfId="12794" xr:uid="{00000000-0005-0000-0000-000099E70000}"/>
    <cellStyle name="Процентный 8 41 4" xfId="18134" xr:uid="{00000000-0005-0000-0000-00009AE70000}"/>
    <cellStyle name="Процентный 8 41 5" xfId="23474" xr:uid="{00000000-0005-0000-0000-00009BE70000}"/>
    <cellStyle name="Процентный 8 41 6" xfId="28814" xr:uid="{00000000-0005-0000-0000-00009CE70000}"/>
    <cellStyle name="Процентный 8 41 7" xfId="34154" xr:uid="{00000000-0005-0000-0000-00009DE70000}"/>
    <cellStyle name="Процентный 8 41 8" xfId="39494" xr:uid="{00000000-0005-0000-0000-00009EE70000}"/>
    <cellStyle name="Процентный 8 41 9" xfId="44834" xr:uid="{00000000-0005-0000-0000-00009FE70000}"/>
    <cellStyle name="Процентный 8 42" xfId="2138" xr:uid="{00000000-0005-0000-0000-0000A0E70000}"/>
    <cellStyle name="Процентный 8 42 10" xfId="50202" xr:uid="{00000000-0005-0000-0000-0000A1E70000}"/>
    <cellStyle name="Процентный 8 42 2" xfId="7481" xr:uid="{00000000-0005-0000-0000-0000A2E70000}"/>
    <cellStyle name="Процентный 8 42 2 2" xfId="55543" xr:uid="{00000000-0005-0000-0000-0000A3E70000}"/>
    <cellStyle name="Процентный 8 42 3" xfId="12822" xr:uid="{00000000-0005-0000-0000-0000A4E70000}"/>
    <cellStyle name="Процентный 8 42 4" xfId="18162" xr:uid="{00000000-0005-0000-0000-0000A5E70000}"/>
    <cellStyle name="Процентный 8 42 5" xfId="23502" xr:uid="{00000000-0005-0000-0000-0000A6E70000}"/>
    <cellStyle name="Процентный 8 42 6" xfId="28842" xr:uid="{00000000-0005-0000-0000-0000A7E70000}"/>
    <cellStyle name="Процентный 8 42 7" xfId="34182" xr:uid="{00000000-0005-0000-0000-0000A8E70000}"/>
    <cellStyle name="Процентный 8 42 8" xfId="39522" xr:uid="{00000000-0005-0000-0000-0000A9E70000}"/>
    <cellStyle name="Процентный 8 42 9" xfId="44862" xr:uid="{00000000-0005-0000-0000-0000AAE70000}"/>
    <cellStyle name="Процентный 8 43" xfId="2168" xr:uid="{00000000-0005-0000-0000-0000ABE70000}"/>
    <cellStyle name="Процентный 8 43 10" xfId="50232" xr:uid="{00000000-0005-0000-0000-0000ACE70000}"/>
    <cellStyle name="Процентный 8 43 2" xfId="7511" xr:uid="{00000000-0005-0000-0000-0000ADE70000}"/>
    <cellStyle name="Процентный 8 43 2 2" xfId="55573" xr:uid="{00000000-0005-0000-0000-0000AEE70000}"/>
    <cellStyle name="Процентный 8 43 3" xfId="12852" xr:uid="{00000000-0005-0000-0000-0000AFE70000}"/>
    <cellStyle name="Процентный 8 43 4" xfId="18192" xr:uid="{00000000-0005-0000-0000-0000B0E70000}"/>
    <cellStyle name="Процентный 8 43 5" xfId="23532" xr:uid="{00000000-0005-0000-0000-0000B1E70000}"/>
    <cellStyle name="Процентный 8 43 6" xfId="28872" xr:uid="{00000000-0005-0000-0000-0000B2E70000}"/>
    <cellStyle name="Процентный 8 43 7" xfId="34212" xr:uid="{00000000-0005-0000-0000-0000B3E70000}"/>
    <cellStyle name="Процентный 8 43 8" xfId="39552" xr:uid="{00000000-0005-0000-0000-0000B4E70000}"/>
    <cellStyle name="Процентный 8 43 9" xfId="44892" xr:uid="{00000000-0005-0000-0000-0000B5E70000}"/>
    <cellStyle name="Процентный 8 44" xfId="2198" xr:uid="{00000000-0005-0000-0000-0000B6E70000}"/>
    <cellStyle name="Процентный 8 44 10" xfId="50262" xr:uid="{00000000-0005-0000-0000-0000B7E70000}"/>
    <cellStyle name="Процентный 8 44 2" xfId="7541" xr:uid="{00000000-0005-0000-0000-0000B8E70000}"/>
    <cellStyle name="Процентный 8 44 2 2" xfId="55603" xr:uid="{00000000-0005-0000-0000-0000B9E70000}"/>
    <cellStyle name="Процентный 8 44 3" xfId="12882" xr:uid="{00000000-0005-0000-0000-0000BAE70000}"/>
    <cellStyle name="Процентный 8 44 4" xfId="18222" xr:uid="{00000000-0005-0000-0000-0000BBE70000}"/>
    <cellStyle name="Процентный 8 44 5" xfId="23562" xr:uid="{00000000-0005-0000-0000-0000BCE70000}"/>
    <cellStyle name="Процентный 8 44 6" xfId="28902" xr:uid="{00000000-0005-0000-0000-0000BDE70000}"/>
    <cellStyle name="Процентный 8 44 7" xfId="34242" xr:uid="{00000000-0005-0000-0000-0000BEE70000}"/>
    <cellStyle name="Процентный 8 44 8" xfId="39582" xr:uid="{00000000-0005-0000-0000-0000BFE70000}"/>
    <cellStyle name="Процентный 8 44 9" xfId="44922" xr:uid="{00000000-0005-0000-0000-0000C0E70000}"/>
    <cellStyle name="Процентный 8 45" xfId="2228" xr:uid="{00000000-0005-0000-0000-0000C1E70000}"/>
    <cellStyle name="Процентный 8 45 10" xfId="50292" xr:uid="{00000000-0005-0000-0000-0000C2E70000}"/>
    <cellStyle name="Процентный 8 45 2" xfId="7571" xr:uid="{00000000-0005-0000-0000-0000C3E70000}"/>
    <cellStyle name="Процентный 8 45 2 2" xfId="55633" xr:uid="{00000000-0005-0000-0000-0000C4E70000}"/>
    <cellStyle name="Процентный 8 45 3" xfId="12912" xr:uid="{00000000-0005-0000-0000-0000C5E70000}"/>
    <cellStyle name="Процентный 8 45 4" xfId="18252" xr:uid="{00000000-0005-0000-0000-0000C6E70000}"/>
    <cellStyle name="Процентный 8 45 5" xfId="23592" xr:uid="{00000000-0005-0000-0000-0000C7E70000}"/>
    <cellStyle name="Процентный 8 45 6" xfId="28932" xr:uid="{00000000-0005-0000-0000-0000C8E70000}"/>
    <cellStyle name="Процентный 8 45 7" xfId="34272" xr:uid="{00000000-0005-0000-0000-0000C9E70000}"/>
    <cellStyle name="Процентный 8 45 8" xfId="39612" xr:uid="{00000000-0005-0000-0000-0000CAE70000}"/>
    <cellStyle name="Процентный 8 45 9" xfId="44952" xr:uid="{00000000-0005-0000-0000-0000CBE70000}"/>
    <cellStyle name="Процентный 8 46" xfId="2258" xr:uid="{00000000-0005-0000-0000-0000CCE70000}"/>
    <cellStyle name="Процентный 8 46 10" xfId="50322" xr:uid="{00000000-0005-0000-0000-0000CDE70000}"/>
    <cellStyle name="Процентный 8 46 2" xfId="7601" xr:uid="{00000000-0005-0000-0000-0000CEE70000}"/>
    <cellStyle name="Процентный 8 46 2 2" xfId="55663" xr:uid="{00000000-0005-0000-0000-0000CFE70000}"/>
    <cellStyle name="Процентный 8 46 3" xfId="12942" xr:uid="{00000000-0005-0000-0000-0000D0E70000}"/>
    <cellStyle name="Процентный 8 46 4" xfId="18282" xr:uid="{00000000-0005-0000-0000-0000D1E70000}"/>
    <cellStyle name="Процентный 8 46 5" xfId="23622" xr:uid="{00000000-0005-0000-0000-0000D2E70000}"/>
    <cellStyle name="Процентный 8 46 6" xfId="28962" xr:uid="{00000000-0005-0000-0000-0000D3E70000}"/>
    <cellStyle name="Процентный 8 46 7" xfId="34302" xr:uid="{00000000-0005-0000-0000-0000D4E70000}"/>
    <cellStyle name="Процентный 8 46 8" xfId="39642" xr:uid="{00000000-0005-0000-0000-0000D5E70000}"/>
    <cellStyle name="Процентный 8 46 9" xfId="44982" xr:uid="{00000000-0005-0000-0000-0000D6E70000}"/>
    <cellStyle name="Процентный 8 47" xfId="2288" xr:uid="{00000000-0005-0000-0000-0000D7E70000}"/>
    <cellStyle name="Процентный 8 47 10" xfId="50352" xr:uid="{00000000-0005-0000-0000-0000D8E70000}"/>
    <cellStyle name="Процентный 8 47 2" xfId="7631" xr:uid="{00000000-0005-0000-0000-0000D9E70000}"/>
    <cellStyle name="Процентный 8 47 2 2" xfId="55693" xr:uid="{00000000-0005-0000-0000-0000DAE70000}"/>
    <cellStyle name="Процентный 8 47 3" xfId="12972" xr:uid="{00000000-0005-0000-0000-0000DBE70000}"/>
    <cellStyle name="Процентный 8 47 4" xfId="18312" xr:uid="{00000000-0005-0000-0000-0000DCE70000}"/>
    <cellStyle name="Процентный 8 47 5" xfId="23652" xr:uid="{00000000-0005-0000-0000-0000DDE70000}"/>
    <cellStyle name="Процентный 8 47 6" xfId="28992" xr:uid="{00000000-0005-0000-0000-0000DEE70000}"/>
    <cellStyle name="Процентный 8 47 7" xfId="34332" xr:uid="{00000000-0005-0000-0000-0000DFE70000}"/>
    <cellStyle name="Процентный 8 47 8" xfId="39672" xr:uid="{00000000-0005-0000-0000-0000E0E70000}"/>
    <cellStyle name="Процентный 8 47 9" xfId="45012" xr:uid="{00000000-0005-0000-0000-0000E1E70000}"/>
    <cellStyle name="Процентный 8 48" xfId="2318" xr:uid="{00000000-0005-0000-0000-0000E2E70000}"/>
    <cellStyle name="Процентный 8 48 10" xfId="50382" xr:uid="{00000000-0005-0000-0000-0000E3E70000}"/>
    <cellStyle name="Процентный 8 48 2" xfId="7661" xr:uid="{00000000-0005-0000-0000-0000E4E70000}"/>
    <cellStyle name="Процентный 8 48 2 2" xfId="55723" xr:uid="{00000000-0005-0000-0000-0000E5E70000}"/>
    <cellStyle name="Процентный 8 48 3" xfId="13002" xr:uid="{00000000-0005-0000-0000-0000E6E70000}"/>
    <cellStyle name="Процентный 8 48 4" xfId="18342" xr:uid="{00000000-0005-0000-0000-0000E7E70000}"/>
    <cellStyle name="Процентный 8 48 5" xfId="23682" xr:uid="{00000000-0005-0000-0000-0000E8E70000}"/>
    <cellStyle name="Процентный 8 48 6" xfId="29022" xr:uid="{00000000-0005-0000-0000-0000E9E70000}"/>
    <cellStyle name="Процентный 8 48 7" xfId="34362" xr:uid="{00000000-0005-0000-0000-0000EAE70000}"/>
    <cellStyle name="Процентный 8 48 8" xfId="39702" xr:uid="{00000000-0005-0000-0000-0000EBE70000}"/>
    <cellStyle name="Процентный 8 48 9" xfId="45042" xr:uid="{00000000-0005-0000-0000-0000ECE70000}"/>
    <cellStyle name="Процентный 8 49" xfId="2348" xr:uid="{00000000-0005-0000-0000-0000EDE70000}"/>
    <cellStyle name="Процентный 8 49 10" xfId="50412" xr:uid="{00000000-0005-0000-0000-0000EEE70000}"/>
    <cellStyle name="Процентный 8 49 2" xfId="7691" xr:uid="{00000000-0005-0000-0000-0000EFE70000}"/>
    <cellStyle name="Процентный 8 49 2 2" xfId="55753" xr:uid="{00000000-0005-0000-0000-0000F0E70000}"/>
    <cellStyle name="Процентный 8 49 3" xfId="13032" xr:uid="{00000000-0005-0000-0000-0000F1E70000}"/>
    <cellStyle name="Процентный 8 49 4" xfId="18372" xr:uid="{00000000-0005-0000-0000-0000F2E70000}"/>
    <cellStyle name="Процентный 8 49 5" xfId="23712" xr:uid="{00000000-0005-0000-0000-0000F3E70000}"/>
    <cellStyle name="Процентный 8 49 6" xfId="29052" xr:uid="{00000000-0005-0000-0000-0000F4E70000}"/>
    <cellStyle name="Процентный 8 49 7" xfId="34392" xr:uid="{00000000-0005-0000-0000-0000F5E70000}"/>
    <cellStyle name="Процентный 8 49 8" xfId="39732" xr:uid="{00000000-0005-0000-0000-0000F6E70000}"/>
    <cellStyle name="Процентный 8 49 9" xfId="45072" xr:uid="{00000000-0005-0000-0000-0000F7E70000}"/>
    <cellStyle name="Процентный 8 5" xfId="1163" xr:uid="{00000000-0005-0000-0000-0000F8E70000}"/>
    <cellStyle name="Процентный 8 5 10" xfId="49226" xr:uid="{00000000-0005-0000-0000-0000F9E70000}"/>
    <cellStyle name="Процентный 8 5 2" xfId="6505" xr:uid="{00000000-0005-0000-0000-0000FAE70000}"/>
    <cellStyle name="Процентный 8 5 2 2" xfId="54567" xr:uid="{00000000-0005-0000-0000-0000FBE70000}"/>
    <cellStyle name="Процентный 8 5 3" xfId="11846" xr:uid="{00000000-0005-0000-0000-0000FCE70000}"/>
    <cellStyle name="Процентный 8 5 4" xfId="17186" xr:uid="{00000000-0005-0000-0000-0000FDE70000}"/>
    <cellStyle name="Процентный 8 5 5" xfId="22526" xr:uid="{00000000-0005-0000-0000-0000FEE70000}"/>
    <cellStyle name="Процентный 8 5 6" xfId="27866" xr:uid="{00000000-0005-0000-0000-0000FFE70000}"/>
    <cellStyle name="Процентный 8 5 7" xfId="33206" xr:uid="{00000000-0005-0000-0000-000000E80000}"/>
    <cellStyle name="Процентный 8 5 8" xfId="38546" xr:uid="{00000000-0005-0000-0000-000001E80000}"/>
    <cellStyle name="Процентный 8 5 9" xfId="43886" xr:uid="{00000000-0005-0000-0000-000002E80000}"/>
    <cellStyle name="Процентный 8 50" xfId="2378" xr:uid="{00000000-0005-0000-0000-000003E80000}"/>
    <cellStyle name="Процентный 8 50 10" xfId="50442" xr:uid="{00000000-0005-0000-0000-000004E80000}"/>
    <cellStyle name="Процентный 8 50 2" xfId="7721" xr:uid="{00000000-0005-0000-0000-000005E80000}"/>
    <cellStyle name="Процентный 8 50 2 2" xfId="55783" xr:uid="{00000000-0005-0000-0000-000006E80000}"/>
    <cellStyle name="Процентный 8 50 3" xfId="13062" xr:uid="{00000000-0005-0000-0000-000007E80000}"/>
    <cellStyle name="Процентный 8 50 4" xfId="18402" xr:uid="{00000000-0005-0000-0000-000008E80000}"/>
    <cellStyle name="Процентный 8 50 5" xfId="23742" xr:uid="{00000000-0005-0000-0000-000009E80000}"/>
    <cellStyle name="Процентный 8 50 6" xfId="29082" xr:uid="{00000000-0005-0000-0000-00000AE80000}"/>
    <cellStyle name="Процентный 8 50 7" xfId="34422" xr:uid="{00000000-0005-0000-0000-00000BE80000}"/>
    <cellStyle name="Процентный 8 50 8" xfId="39762" xr:uid="{00000000-0005-0000-0000-00000CE80000}"/>
    <cellStyle name="Процентный 8 50 9" xfId="45102" xr:uid="{00000000-0005-0000-0000-00000DE80000}"/>
    <cellStyle name="Процентный 8 51" xfId="2408" xr:uid="{00000000-0005-0000-0000-00000EE80000}"/>
    <cellStyle name="Процентный 8 51 10" xfId="50472" xr:uid="{00000000-0005-0000-0000-00000FE80000}"/>
    <cellStyle name="Процентный 8 51 2" xfId="7751" xr:uid="{00000000-0005-0000-0000-000010E80000}"/>
    <cellStyle name="Процентный 8 51 2 2" xfId="55813" xr:uid="{00000000-0005-0000-0000-000011E80000}"/>
    <cellStyle name="Процентный 8 51 3" xfId="13092" xr:uid="{00000000-0005-0000-0000-000012E80000}"/>
    <cellStyle name="Процентный 8 51 4" xfId="18432" xr:uid="{00000000-0005-0000-0000-000013E80000}"/>
    <cellStyle name="Процентный 8 51 5" xfId="23772" xr:uid="{00000000-0005-0000-0000-000014E80000}"/>
    <cellStyle name="Процентный 8 51 6" xfId="29112" xr:uid="{00000000-0005-0000-0000-000015E80000}"/>
    <cellStyle name="Процентный 8 51 7" xfId="34452" xr:uid="{00000000-0005-0000-0000-000016E80000}"/>
    <cellStyle name="Процентный 8 51 8" xfId="39792" xr:uid="{00000000-0005-0000-0000-000017E80000}"/>
    <cellStyle name="Процентный 8 51 9" xfId="45132" xr:uid="{00000000-0005-0000-0000-000018E80000}"/>
    <cellStyle name="Процентный 8 52" xfId="2438" xr:uid="{00000000-0005-0000-0000-000019E80000}"/>
    <cellStyle name="Процентный 8 52 10" xfId="50502" xr:uid="{00000000-0005-0000-0000-00001AE80000}"/>
    <cellStyle name="Процентный 8 52 2" xfId="7781" xr:uid="{00000000-0005-0000-0000-00001BE80000}"/>
    <cellStyle name="Процентный 8 52 2 2" xfId="55843" xr:uid="{00000000-0005-0000-0000-00001CE80000}"/>
    <cellStyle name="Процентный 8 52 3" xfId="13122" xr:uid="{00000000-0005-0000-0000-00001DE80000}"/>
    <cellStyle name="Процентный 8 52 4" xfId="18462" xr:uid="{00000000-0005-0000-0000-00001EE80000}"/>
    <cellStyle name="Процентный 8 52 5" xfId="23802" xr:uid="{00000000-0005-0000-0000-00001FE80000}"/>
    <cellStyle name="Процентный 8 52 6" xfId="29142" xr:uid="{00000000-0005-0000-0000-000020E80000}"/>
    <cellStyle name="Процентный 8 52 7" xfId="34482" xr:uid="{00000000-0005-0000-0000-000021E80000}"/>
    <cellStyle name="Процентный 8 52 8" xfId="39822" xr:uid="{00000000-0005-0000-0000-000022E80000}"/>
    <cellStyle name="Процентный 8 52 9" xfId="45162" xr:uid="{00000000-0005-0000-0000-000023E80000}"/>
    <cellStyle name="Процентный 8 53" xfId="2468" xr:uid="{00000000-0005-0000-0000-000024E80000}"/>
    <cellStyle name="Процентный 8 53 10" xfId="50532" xr:uid="{00000000-0005-0000-0000-000025E80000}"/>
    <cellStyle name="Процентный 8 53 2" xfId="7811" xr:uid="{00000000-0005-0000-0000-000026E80000}"/>
    <cellStyle name="Процентный 8 53 2 2" xfId="55873" xr:uid="{00000000-0005-0000-0000-000027E80000}"/>
    <cellStyle name="Процентный 8 53 3" xfId="13152" xr:uid="{00000000-0005-0000-0000-000028E80000}"/>
    <cellStyle name="Процентный 8 53 4" xfId="18492" xr:uid="{00000000-0005-0000-0000-000029E80000}"/>
    <cellStyle name="Процентный 8 53 5" xfId="23832" xr:uid="{00000000-0005-0000-0000-00002AE80000}"/>
    <cellStyle name="Процентный 8 53 6" xfId="29172" xr:uid="{00000000-0005-0000-0000-00002BE80000}"/>
    <cellStyle name="Процентный 8 53 7" xfId="34512" xr:uid="{00000000-0005-0000-0000-00002CE80000}"/>
    <cellStyle name="Процентный 8 53 8" xfId="39852" xr:uid="{00000000-0005-0000-0000-00002DE80000}"/>
    <cellStyle name="Процентный 8 53 9" xfId="45192" xr:uid="{00000000-0005-0000-0000-00002EE80000}"/>
    <cellStyle name="Процентный 8 54" xfId="2498" xr:uid="{00000000-0005-0000-0000-00002FE80000}"/>
    <cellStyle name="Процентный 8 54 10" xfId="50562" xr:uid="{00000000-0005-0000-0000-000030E80000}"/>
    <cellStyle name="Процентный 8 54 2" xfId="7841" xr:uid="{00000000-0005-0000-0000-000031E80000}"/>
    <cellStyle name="Процентный 8 54 2 2" xfId="55903" xr:uid="{00000000-0005-0000-0000-000032E80000}"/>
    <cellStyle name="Процентный 8 54 3" xfId="13182" xr:uid="{00000000-0005-0000-0000-000033E80000}"/>
    <cellStyle name="Процентный 8 54 4" xfId="18522" xr:uid="{00000000-0005-0000-0000-000034E80000}"/>
    <cellStyle name="Процентный 8 54 5" xfId="23862" xr:uid="{00000000-0005-0000-0000-000035E80000}"/>
    <cellStyle name="Процентный 8 54 6" xfId="29202" xr:uid="{00000000-0005-0000-0000-000036E80000}"/>
    <cellStyle name="Процентный 8 54 7" xfId="34542" xr:uid="{00000000-0005-0000-0000-000037E80000}"/>
    <cellStyle name="Процентный 8 54 8" xfId="39882" xr:uid="{00000000-0005-0000-0000-000038E80000}"/>
    <cellStyle name="Процентный 8 54 9" xfId="45222" xr:uid="{00000000-0005-0000-0000-000039E80000}"/>
    <cellStyle name="Процентный 8 55" xfId="2530" xr:uid="{00000000-0005-0000-0000-00003AE80000}"/>
    <cellStyle name="Процентный 8 55 10" xfId="50594" xr:uid="{00000000-0005-0000-0000-00003BE80000}"/>
    <cellStyle name="Процентный 8 55 2" xfId="7873" xr:uid="{00000000-0005-0000-0000-00003CE80000}"/>
    <cellStyle name="Процентный 8 55 2 2" xfId="55935" xr:uid="{00000000-0005-0000-0000-00003DE80000}"/>
    <cellStyle name="Процентный 8 55 3" xfId="13214" xr:uid="{00000000-0005-0000-0000-00003EE80000}"/>
    <cellStyle name="Процентный 8 55 4" xfId="18554" xr:uid="{00000000-0005-0000-0000-00003FE80000}"/>
    <cellStyle name="Процентный 8 55 5" xfId="23894" xr:uid="{00000000-0005-0000-0000-000040E80000}"/>
    <cellStyle name="Процентный 8 55 6" xfId="29234" xr:uid="{00000000-0005-0000-0000-000041E80000}"/>
    <cellStyle name="Процентный 8 55 7" xfId="34574" xr:uid="{00000000-0005-0000-0000-000042E80000}"/>
    <cellStyle name="Процентный 8 55 8" xfId="39914" xr:uid="{00000000-0005-0000-0000-000043E80000}"/>
    <cellStyle name="Процентный 8 55 9" xfId="45254" xr:uid="{00000000-0005-0000-0000-000044E80000}"/>
    <cellStyle name="Процентный 8 56" xfId="2564" xr:uid="{00000000-0005-0000-0000-000045E80000}"/>
    <cellStyle name="Процентный 8 56 10" xfId="50628" xr:uid="{00000000-0005-0000-0000-000046E80000}"/>
    <cellStyle name="Процентный 8 56 2" xfId="7907" xr:uid="{00000000-0005-0000-0000-000047E80000}"/>
    <cellStyle name="Процентный 8 56 2 2" xfId="55969" xr:uid="{00000000-0005-0000-0000-000048E80000}"/>
    <cellStyle name="Процентный 8 56 3" xfId="13248" xr:uid="{00000000-0005-0000-0000-000049E80000}"/>
    <cellStyle name="Процентный 8 56 4" xfId="18588" xr:uid="{00000000-0005-0000-0000-00004AE80000}"/>
    <cellStyle name="Процентный 8 56 5" xfId="23928" xr:uid="{00000000-0005-0000-0000-00004BE80000}"/>
    <cellStyle name="Процентный 8 56 6" xfId="29268" xr:uid="{00000000-0005-0000-0000-00004CE80000}"/>
    <cellStyle name="Процентный 8 56 7" xfId="34608" xr:uid="{00000000-0005-0000-0000-00004DE80000}"/>
    <cellStyle name="Процентный 8 56 8" xfId="39948" xr:uid="{00000000-0005-0000-0000-00004EE80000}"/>
    <cellStyle name="Процентный 8 56 9" xfId="45288" xr:uid="{00000000-0005-0000-0000-00004FE80000}"/>
    <cellStyle name="Процентный 8 57" xfId="2596" xr:uid="{00000000-0005-0000-0000-000050E80000}"/>
    <cellStyle name="Процентный 8 57 10" xfId="50660" xr:uid="{00000000-0005-0000-0000-000051E80000}"/>
    <cellStyle name="Процентный 8 57 2" xfId="7939" xr:uid="{00000000-0005-0000-0000-000052E80000}"/>
    <cellStyle name="Процентный 8 57 2 2" xfId="56001" xr:uid="{00000000-0005-0000-0000-000053E80000}"/>
    <cellStyle name="Процентный 8 57 3" xfId="13280" xr:uid="{00000000-0005-0000-0000-000054E80000}"/>
    <cellStyle name="Процентный 8 57 4" xfId="18620" xr:uid="{00000000-0005-0000-0000-000055E80000}"/>
    <cellStyle name="Процентный 8 57 5" xfId="23960" xr:uid="{00000000-0005-0000-0000-000056E80000}"/>
    <cellStyle name="Процентный 8 57 6" xfId="29300" xr:uid="{00000000-0005-0000-0000-000057E80000}"/>
    <cellStyle name="Процентный 8 57 7" xfId="34640" xr:uid="{00000000-0005-0000-0000-000058E80000}"/>
    <cellStyle name="Процентный 8 57 8" xfId="39980" xr:uid="{00000000-0005-0000-0000-000059E80000}"/>
    <cellStyle name="Процентный 8 57 9" xfId="45320" xr:uid="{00000000-0005-0000-0000-00005AE80000}"/>
    <cellStyle name="Процентный 8 58" xfId="2628" xr:uid="{00000000-0005-0000-0000-00005BE80000}"/>
    <cellStyle name="Процентный 8 58 10" xfId="50692" xr:uid="{00000000-0005-0000-0000-00005CE80000}"/>
    <cellStyle name="Процентный 8 58 2" xfId="7971" xr:uid="{00000000-0005-0000-0000-00005DE80000}"/>
    <cellStyle name="Процентный 8 58 2 2" xfId="56033" xr:uid="{00000000-0005-0000-0000-00005EE80000}"/>
    <cellStyle name="Процентный 8 58 3" xfId="13312" xr:uid="{00000000-0005-0000-0000-00005FE80000}"/>
    <cellStyle name="Процентный 8 58 4" xfId="18652" xr:uid="{00000000-0005-0000-0000-000060E80000}"/>
    <cellStyle name="Процентный 8 58 5" xfId="23992" xr:uid="{00000000-0005-0000-0000-000061E80000}"/>
    <cellStyle name="Процентный 8 58 6" xfId="29332" xr:uid="{00000000-0005-0000-0000-000062E80000}"/>
    <cellStyle name="Процентный 8 58 7" xfId="34672" xr:uid="{00000000-0005-0000-0000-000063E80000}"/>
    <cellStyle name="Процентный 8 58 8" xfId="40012" xr:uid="{00000000-0005-0000-0000-000064E80000}"/>
    <cellStyle name="Процентный 8 58 9" xfId="45352" xr:uid="{00000000-0005-0000-0000-000065E80000}"/>
    <cellStyle name="Процентный 8 59" xfId="2660" xr:uid="{00000000-0005-0000-0000-000066E80000}"/>
    <cellStyle name="Процентный 8 59 10" xfId="50724" xr:uid="{00000000-0005-0000-0000-000067E80000}"/>
    <cellStyle name="Процентный 8 59 2" xfId="8003" xr:uid="{00000000-0005-0000-0000-000068E80000}"/>
    <cellStyle name="Процентный 8 59 2 2" xfId="56065" xr:uid="{00000000-0005-0000-0000-000069E80000}"/>
    <cellStyle name="Процентный 8 59 3" xfId="13344" xr:uid="{00000000-0005-0000-0000-00006AE80000}"/>
    <cellStyle name="Процентный 8 59 4" xfId="18684" xr:uid="{00000000-0005-0000-0000-00006BE80000}"/>
    <cellStyle name="Процентный 8 59 5" xfId="24024" xr:uid="{00000000-0005-0000-0000-00006CE80000}"/>
    <cellStyle name="Процентный 8 59 6" xfId="29364" xr:uid="{00000000-0005-0000-0000-00006DE80000}"/>
    <cellStyle name="Процентный 8 59 7" xfId="34704" xr:uid="{00000000-0005-0000-0000-00006EE80000}"/>
    <cellStyle name="Процентный 8 59 8" xfId="40044" xr:uid="{00000000-0005-0000-0000-00006FE80000}"/>
    <cellStyle name="Процентный 8 59 9" xfId="45384" xr:uid="{00000000-0005-0000-0000-000070E80000}"/>
    <cellStyle name="Процентный 8 6" xfId="1189" xr:uid="{00000000-0005-0000-0000-000071E80000}"/>
    <cellStyle name="Процентный 8 6 10" xfId="49252" xr:uid="{00000000-0005-0000-0000-000072E80000}"/>
    <cellStyle name="Процентный 8 6 2" xfId="6531" xr:uid="{00000000-0005-0000-0000-000073E80000}"/>
    <cellStyle name="Процентный 8 6 2 2" xfId="54593" xr:uid="{00000000-0005-0000-0000-000074E80000}"/>
    <cellStyle name="Процентный 8 6 3" xfId="11872" xr:uid="{00000000-0005-0000-0000-000075E80000}"/>
    <cellStyle name="Процентный 8 6 4" xfId="17212" xr:uid="{00000000-0005-0000-0000-000076E80000}"/>
    <cellStyle name="Процентный 8 6 5" xfId="22552" xr:uid="{00000000-0005-0000-0000-000077E80000}"/>
    <cellStyle name="Процентный 8 6 6" xfId="27892" xr:uid="{00000000-0005-0000-0000-000078E80000}"/>
    <cellStyle name="Процентный 8 6 7" xfId="33232" xr:uid="{00000000-0005-0000-0000-000079E80000}"/>
    <cellStyle name="Процентный 8 6 8" xfId="38572" xr:uid="{00000000-0005-0000-0000-00007AE80000}"/>
    <cellStyle name="Процентный 8 6 9" xfId="43912" xr:uid="{00000000-0005-0000-0000-00007BE80000}"/>
    <cellStyle name="Процентный 8 60" xfId="2692" xr:uid="{00000000-0005-0000-0000-00007CE80000}"/>
    <cellStyle name="Процентный 8 60 10" xfId="50756" xr:uid="{00000000-0005-0000-0000-00007DE80000}"/>
    <cellStyle name="Процентный 8 60 2" xfId="8035" xr:uid="{00000000-0005-0000-0000-00007EE80000}"/>
    <cellStyle name="Процентный 8 60 2 2" xfId="56097" xr:uid="{00000000-0005-0000-0000-00007FE80000}"/>
    <cellStyle name="Процентный 8 60 3" xfId="13376" xr:uid="{00000000-0005-0000-0000-000080E80000}"/>
    <cellStyle name="Процентный 8 60 4" xfId="18716" xr:uid="{00000000-0005-0000-0000-000081E80000}"/>
    <cellStyle name="Процентный 8 60 5" xfId="24056" xr:uid="{00000000-0005-0000-0000-000082E80000}"/>
    <cellStyle name="Процентный 8 60 6" xfId="29396" xr:uid="{00000000-0005-0000-0000-000083E80000}"/>
    <cellStyle name="Процентный 8 60 7" xfId="34736" xr:uid="{00000000-0005-0000-0000-000084E80000}"/>
    <cellStyle name="Процентный 8 60 8" xfId="40076" xr:uid="{00000000-0005-0000-0000-000085E80000}"/>
    <cellStyle name="Процентный 8 60 9" xfId="45416" xr:uid="{00000000-0005-0000-0000-000086E80000}"/>
    <cellStyle name="Процентный 8 61" xfId="2724" xr:uid="{00000000-0005-0000-0000-000087E80000}"/>
    <cellStyle name="Процентный 8 61 10" xfId="50788" xr:uid="{00000000-0005-0000-0000-000088E80000}"/>
    <cellStyle name="Процентный 8 61 2" xfId="8067" xr:uid="{00000000-0005-0000-0000-000089E80000}"/>
    <cellStyle name="Процентный 8 61 2 2" xfId="56129" xr:uid="{00000000-0005-0000-0000-00008AE80000}"/>
    <cellStyle name="Процентный 8 61 3" xfId="13408" xr:uid="{00000000-0005-0000-0000-00008BE80000}"/>
    <cellStyle name="Процентный 8 61 4" xfId="18748" xr:uid="{00000000-0005-0000-0000-00008CE80000}"/>
    <cellStyle name="Процентный 8 61 5" xfId="24088" xr:uid="{00000000-0005-0000-0000-00008DE80000}"/>
    <cellStyle name="Процентный 8 61 6" xfId="29428" xr:uid="{00000000-0005-0000-0000-00008EE80000}"/>
    <cellStyle name="Процентный 8 61 7" xfId="34768" xr:uid="{00000000-0005-0000-0000-00008FE80000}"/>
    <cellStyle name="Процентный 8 61 8" xfId="40108" xr:uid="{00000000-0005-0000-0000-000090E80000}"/>
    <cellStyle name="Процентный 8 61 9" xfId="45448" xr:uid="{00000000-0005-0000-0000-000091E80000}"/>
    <cellStyle name="Процентный 8 62" xfId="2756" xr:uid="{00000000-0005-0000-0000-000092E80000}"/>
    <cellStyle name="Процентный 8 62 10" xfId="50820" xr:uid="{00000000-0005-0000-0000-000093E80000}"/>
    <cellStyle name="Процентный 8 62 2" xfId="8099" xr:uid="{00000000-0005-0000-0000-000094E80000}"/>
    <cellStyle name="Процентный 8 62 2 2" xfId="56161" xr:uid="{00000000-0005-0000-0000-000095E80000}"/>
    <cellStyle name="Процентный 8 62 3" xfId="13440" xr:uid="{00000000-0005-0000-0000-000096E80000}"/>
    <cellStyle name="Процентный 8 62 4" xfId="18780" xr:uid="{00000000-0005-0000-0000-000097E80000}"/>
    <cellStyle name="Процентный 8 62 5" xfId="24120" xr:uid="{00000000-0005-0000-0000-000098E80000}"/>
    <cellStyle name="Процентный 8 62 6" xfId="29460" xr:uid="{00000000-0005-0000-0000-000099E80000}"/>
    <cellStyle name="Процентный 8 62 7" xfId="34800" xr:uid="{00000000-0005-0000-0000-00009AE80000}"/>
    <cellStyle name="Процентный 8 62 8" xfId="40140" xr:uid="{00000000-0005-0000-0000-00009BE80000}"/>
    <cellStyle name="Процентный 8 62 9" xfId="45480" xr:uid="{00000000-0005-0000-0000-00009CE80000}"/>
    <cellStyle name="Процентный 8 63" xfId="2790" xr:uid="{00000000-0005-0000-0000-00009DE80000}"/>
    <cellStyle name="Процентный 8 63 10" xfId="50854" xr:uid="{00000000-0005-0000-0000-00009EE80000}"/>
    <cellStyle name="Процентный 8 63 2" xfId="8133" xr:uid="{00000000-0005-0000-0000-00009FE80000}"/>
    <cellStyle name="Процентный 8 63 2 2" xfId="56195" xr:uid="{00000000-0005-0000-0000-0000A0E80000}"/>
    <cellStyle name="Процентный 8 63 3" xfId="13474" xr:uid="{00000000-0005-0000-0000-0000A1E80000}"/>
    <cellStyle name="Процентный 8 63 4" xfId="18814" xr:uid="{00000000-0005-0000-0000-0000A2E80000}"/>
    <cellStyle name="Процентный 8 63 5" xfId="24154" xr:uid="{00000000-0005-0000-0000-0000A3E80000}"/>
    <cellStyle name="Процентный 8 63 6" xfId="29494" xr:uid="{00000000-0005-0000-0000-0000A4E80000}"/>
    <cellStyle name="Процентный 8 63 7" xfId="34834" xr:uid="{00000000-0005-0000-0000-0000A5E80000}"/>
    <cellStyle name="Процентный 8 63 8" xfId="40174" xr:uid="{00000000-0005-0000-0000-0000A6E80000}"/>
    <cellStyle name="Процентный 8 63 9" xfId="45514" xr:uid="{00000000-0005-0000-0000-0000A7E80000}"/>
    <cellStyle name="Процентный 8 64" xfId="2822" xr:uid="{00000000-0005-0000-0000-0000A8E80000}"/>
    <cellStyle name="Процентный 8 64 10" xfId="50886" xr:uid="{00000000-0005-0000-0000-0000A9E80000}"/>
    <cellStyle name="Процентный 8 64 2" xfId="8165" xr:uid="{00000000-0005-0000-0000-0000AAE80000}"/>
    <cellStyle name="Процентный 8 64 2 2" xfId="56227" xr:uid="{00000000-0005-0000-0000-0000ABE80000}"/>
    <cellStyle name="Процентный 8 64 3" xfId="13506" xr:uid="{00000000-0005-0000-0000-0000ACE80000}"/>
    <cellStyle name="Процентный 8 64 4" xfId="18846" xr:uid="{00000000-0005-0000-0000-0000ADE80000}"/>
    <cellStyle name="Процентный 8 64 5" xfId="24186" xr:uid="{00000000-0005-0000-0000-0000AEE80000}"/>
    <cellStyle name="Процентный 8 64 6" xfId="29526" xr:uid="{00000000-0005-0000-0000-0000AFE80000}"/>
    <cellStyle name="Процентный 8 64 7" xfId="34866" xr:uid="{00000000-0005-0000-0000-0000B0E80000}"/>
    <cellStyle name="Процентный 8 64 8" xfId="40206" xr:uid="{00000000-0005-0000-0000-0000B1E80000}"/>
    <cellStyle name="Процентный 8 64 9" xfId="45546" xr:uid="{00000000-0005-0000-0000-0000B2E80000}"/>
    <cellStyle name="Процентный 8 65" xfId="2854" xr:uid="{00000000-0005-0000-0000-0000B3E80000}"/>
    <cellStyle name="Процентный 8 65 10" xfId="50918" xr:uid="{00000000-0005-0000-0000-0000B4E80000}"/>
    <cellStyle name="Процентный 8 65 2" xfId="8197" xr:uid="{00000000-0005-0000-0000-0000B5E80000}"/>
    <cellStyle name="Процентный 8 65 2 2" xfId="56259" xr:uid="{00000000-0005-0000-0000-0000B6E80000}"/>
    <cellStyle name="Процентный 8 65 3" xfId="13538" xr:uid="{00000000-0005-0000-0000-0000B7E80000}"/>
    <cellStyle name="Процентный 8 65 4" xfId="18878" xr:uid="{00000000-0005-0000-0000-0000B8E80000}"/>
    <cellStyle name="Процентный 8 65 5" xfId="24218" xr:uid="{00000000-0005-0000-0000-0000B9E80000}"/>
    <cellStyle name="Процентный 8 65 6" xfId="29558" xr:uid="{00000000-0005-0000-0000-0000BAE80000}"/>
    <cellStyle name="Процентный 8 65 7" xfId="34898" xr:uid="{00000000-0005-0000-0000-0000BBE80000}"/>
    <cellStyle name="Процентный 8 65 8" xfId="40238" xr:uid="{00000000-0005-0000-0000-0000BCE80000}"/>
    <cellStyle name="Процентный 8 65 9" xfId="45578" xr:uid="{00000000-0005-0000-0000-0000BDE80000}"/>
    <cellStyle name="Процентный 8 66" xfId="2886" xr:uid="{00000000-0005-0000-0000-0000BEE80000}"/>
    <cellStyle name="Процентный 8 66 10" xfId="50950" xr:uid="{00000000-0005-0000-0000-0000BFE80000}"/>
    <cellStyle name="Процентный 8 66 2" xfId="8229" xr:uid="{00000000-0005-0000-0000-0000C0E80000}"/>
    <cellStyle name="Процентный 8 66 2 2" xfId="56291" xr:uid="{00000000-0005-0000-0000-0000C1E80000}"/>
    <cellStyle name="Процентный 8 66 3" xfId="13570" xr:uid="{00000000-0005-0000-0000-0000C2E80000}"/>
    <cellStyle name="Процентный 8 66 4" xfId="18910" xr:uid="{00000000-0005-0000-0000-0000C3E80000}"/>
    <cellStyle name="Процентный 8 66 5" xfId="24250" xr:uid="{00000000-0005-0000-0000-0000C4E80000}"/>
    <cellStyle name="Процентный 8 66 6" xfId="29590" xr:uid="{00000000-0005-0000-0000-0000C5E80000}"/>
    <cellStyle name="Процентный 8 66 7" xfId="34930" xr:uid="{00000000-0005-0000-0000-0000C6E80000}"/>
    <cellStyle name="Процентный 8 66 8" xfId="40270" xr:uid="{00000000-0005-0000-0000-0000C7E80000}"/>
    <cellStyle name="Процентный 8 66 9" xfId="45610" xr:uid="{00000000-0005-0000-0000-0000C8E80000}"/>
    <cellStyle name="Процентный 8 67" xfId="2918" xr:uid="{00000000-0005-0000-0000-0000C9E80000}"/>
    <cellStyle name="Процентный 8 67 10" xfId="50982" xr:uid="{00000000-0005-0000-0000-0000CAE80000}"/>
    <cellStyle name="Процентный 8 67 2" xfId="8261" xr:uid="{00000000-0005-0000-0000-0000CBE80000}"/>
    <cellStyle name="Процентный 8 67 2 2" xfId="56323" xr:uid="{00000000-0005-0000-0000-0000CCE80000}"/>
    <cellStyle name="Процентный 8 67 3" xfId="13602" xr:uid="{00000000-0005-0000-0000-0000CDE80000}"/>
    <cellStyle name="Процентный 8 67 4" xfId="18942" xr:uid="{00000000-0005-0000-0000-0000CEE80000}"/>
    <cellStyle name="Процентный 8 67 5" xfId="24282" xr:uid="{00000000-0005-0000-0000-0000CFE80000}"/>
    <cellStyle name="Процентный 8 67 6" xfId="29622" xr:uid="{00000000-0005-0000-0000-0000D0E80000}"/>
    <cellStyle name="Процентный 8 67 7" xfId="34962" xr:uid="{00000000-0005-0000-0000-0000D1E80000}"/>
    <cellStyle name="Процентный 8 67 8" xfId="40302" xr:uid="{00000000-0005-0000-0000-0000D2E80000}"/>
    <cellStyle name="Процентный 8 67 9" xfId="45642" xr:uid="{00000000-0005-0000-0000-0000D3E80000}"/>
    <cellStyle name="Процентный 8 68" xfId="2950" xr:uid="{00000000-0005-0000-0000-0000D4E80000}"/>
    <cellStyle name="Процентный 8 68 10" xfId="51014" xr:uid="{00000000-0005-0000-0000-0000D5E80000}"/>
    <cellStyle name="Процентный 8 68 2" xfId="8293" xr:uid="{00000000-0005-0000-0000-0000D6E80000}"/>
    <cellStyle name="Процентный 8 68 2 2" xfId="56355" xr:uid="{00000000-0005-0000-0000-0000D7E80000}"/>
    <cellStyle name="Процентный 8 68 3" xfId="13634" xr:uid="{00000000-0005-0000-0000-0000D8E80000}"/>
    <cellStyle name="Процентный 8 68 4" xfId="18974" xr:uid="{00000000-0005-0000-0000-0000D9E80000}"/>
    <cellStyle name="Процентный 8 68 5" xfId="24314" xr:uid="{00000000-0005-0000-0000-0000DAE80000}"/>
    <cellStyle name="Процентный 8 68 6" xfId="29654" xr:uid="{00000000-0005-0000-0000-0000DBE80000}"/>
    <cellStyle name="Процентный 8 68 7" xfId="34994" xr:uid="{00000000-0005-0000-0000-0000DCE80000}"/>
    <cellStyle name="Процентный 8 68 8" xfId="40334" xr:uid="{00000000-0005-0000-0000-0000DDE80000}"/>
    <cellStyle name="Процентный 8 68 9" xfId="45674" xr:uid="{00000000-0005-0000-0000-0000DEE80000}"/>
    <cellStyle name="Процентный 8 69" xfId="2982" xr:uid="{00000000-0005-0000-0000-0000DFE80000}"/>
    <cellStyle name="Процентный 8 69 10" xfId="51046" xr:uid="{00000000-0005-0000-0000-0000E0E80000}"/>
    <cellStyle name="Процентный 8 69 2" xfId="8325" xr:uid="{00000000-0005-0000-0000-0000E1E80000}"/>
    <cellStyle name="Процентный 8 69 2 2" xfId="56387" xr:uid="{00000000-0005-0000-0000-0000E2E80000}"/>
    <cellStyle name="Процентный 8 69 3" xfId="13666" xr:uid="{00000000-0005-0000-0000-0000E3E80000}"/>
    <cellStyle name="Процентный 8 69 4" xfId="19006" xr:uid="{00000000-0005-0000-0000-0000E4E80000}"/>
    <cellStyle name="Процентный 8 69 5" xfId="24346" xr:uid="{00000000-0005-0000-0000-0000E5E80000}"/>
    <cellStyle name="Процентный 8 69 6" xfId="29686" xr:uid="{00000000-0005-0000-0000-0000E6E80000}"/>
    <cellStyle name="Процентный 8 69 7" xfId="35026" xr:uid="{00000000-0005-0000-0000-0000E7E80000}"/>
    <cellStyle name="Процентный 8 69 8" xfId="40366" xr:uid="{00000000-0005-0000-0000-0000E8E80000}"/>
    <cellStyle name="Процентный 8 69 9" xfId="45706" xr:uid="{00000000-0005-0000-0000-0000E9E80000}"/>
    <cellStyle name="Процентный 8 7" xfId="1215" xr:uid="{00000000-0005-0000-0000-0000EAE80000}"/>
    <cellStyle name="Процентный 8 7 10" xfId="49278" xr:uid="{00000000-0005-0000-0000-0000EBE80000}"/>
    <cellStyle name="Процентный 8 7 2" xfId="6557" xr:uid="{00000000-0005-0000-0000-0000ECE80000}"/>
    <cellStyle name="Процентный 8 7 2 2" xfId="54619" xr:uid="{00000000-0005-0000-0000-0000EDE80000}"/>
    <cellStyle name="Процентный 8 7 3" xfId="11898" xr:uid="{00000000-0005-0000-0000-0000EEE80000}"/>
    <cellStyle name="Процентный 8 7 4" xfId="17238" xr:uid="{00000000-0005-0000-0000-0000EFE80000}"/>
    <cellStyle name="Процентный 8 7 5" xfId="22578" xr:uid="{00000000-0005-0000-0000-0000F0E80000}"/>
    <cellStyle name="Процентный 8 7 6" xfId="27918" xr:uid="{00000000-0005-0000-0000-0000F1E80000}"/>
    <cellStyle name="Процентный 8 7 7" xfId="33258" xr:uid="{00000000-0005-0000-0000-0000F2E80000}"/>
    <cellStyle name="Процентный 8 7 8" xfId="38598" xr:uid="{00000000-0005-0000-0000-0000F3E80000}"/>
    <cellStyle name="Процентный 8 7 9" xfId="43938" xr:uid="{00000000-0005-0000-0000-0000F4E80000}"/>
    <cellStyle name="Процентный 8 70" xfId="3014" xr:uid="{00000000-0005-0000-0000-0000F5E80000}"/>
    <cellStyle name="Процентный 8 70 10" xfId="51078" xr:uid="{00000000-0005-0000-0000-0000F6E80000}"/>
    <cellStyle name="Процентный 8 70 2" xfId="8357" xr:uid="{00000000-0005-0000-0000-0000F7E80000}"/>
    <cellStyle name="Процентный 8 70 2 2" xfId="56419" xr:uid="{00000000-0005-0000-0000-0000F8E80000}"/>
    <cellStyle name="Процентный 8 70 3" xfId="13698" xr:uid="{00000000-0005-0000-0000-0000F9E80000}"/>
    <cellStyle name="Процентный 8 70 4" xfId="19038" xr:uid="{00000000-0005-0000-0000-0000FAE80000}"/>
    <cellStyle name="Процентный 8 70 5" xfId="24378" xr:uid="{00000000-0005-0000-0000-0000FBE80000}"/>
    <cellStyle name="Процентный 8 70 6" xfId="29718" xr:uid="{00000000-0005-0000-0000-0000FCE80000}"/>
    <cellStyle name="Процентный 8 70 7" xfId="35058" xr:uid="{00000000-0005-0000-0000-0000FDE80000}"/>
    <cellStyle name="Процентный 8 70 8" xfId="40398" xr:uid="{00000000-0005-0000-0000-0000FEE80000}"/>
    <cellStyle name="Процентный 8 70 9" xfId="45738" xr:uid="{00000000-0005-0000-0000-0000FFE80000}"/>
    <cellStyle name="Процентный 8 71" xfId="3046" xr:uid="{00000000-0005-0000-0000-000000E90000}"/>
    <cellStyle name="Процентный 8 71 10" xfId="51110" xr:uid="{00000000-0005-0000-0000-000001E90000}"/>
    <cellStyle name="Процентный 8 71 2" xfId="8389" xr:uid="{00000000-0005-0000-0000-000002E90000}"/>
    <cellStyle name="Процентный 8 71 2 2" xfId="56451" xr:uid="{00000000-0005-0000-0000-000003E90000}"/>
    <cellStyle name="Процентный 8 71 3" xfId="13730" xr:uid="{00000000-0005-0000-0000-000004E90000}"/>
    <cellStyle name="Процентный 8 71 4" xfId="19070" xr:uid="{00000000-0005-0000-0000-000005E90000}"/>
    <cellStyle name="Процентный 8 71 5" xfId="24410" xr:uid="{00000000-0005-0000-0000-000006E90000}"/>
    <cellStyle name="Процентный 8 71 6" xfId="29750" xr:uid="{00000000-0005-0000-0000-000007E90000}"/>
    <cellStyle name="Процентный 8 71 7" xfId="35090" xr:uid="{00000000-0005-0000-0000-000008E90000}"/>
    <cellStyle name="Процентный 8 71 8" xfId="40430" xr:uid="{00000000-0005-0000-0000-000009E90000}"/>
    <cellStyle name="Процентный 8 71 9" xfId="45770" xr:uid="{00000000-0005-0000-0000-00000AE90000}"/>
    <cellStyle name="Процентный 8 72" xfId="3078" xr:uid="{00000000-0005-0000-0000-00000BE90000}"/>
    <cellStyle name="Процентный 8 72 10" xfId="51142" xr:uid="{00000000-0005-0000-0000-00000CE90000}"/>
    <cellStyle name="Процентный 8 72 2" xfId="8421" xr:uid="{00000000-0005-0000-0000-00000DE90000}"/>
    <cellStyle name="Процентный 8 72 2 2" xfId="56483" xr:uid="{00000000-0005-0000-0000-00000EE90000}"/>
    <cellStyle name="Процентный 8 72 3" xfId="13762" xr:uid="{00000000-0005-0000-0000-00000FE90000}"/>
    <cellStyle name="Процентный 8 72 4" xfId="19102" xr:uid="{00000000-0005-0000-0000-000010E90000}"/>
    <cellStyle name="Процентный 8 72 5" xfId="24442" xr:uid="{00000000-0005-0000-0000-000011E90000}"/>
    <cellStyle name="Процентный 8 72 6" xfId="29782" xr:uid="{00000000-0005-0000-0000-000012E90000}"/>
    <cellStyle name="Процентный 8 72 7" xfId="35122" xr:uid="{00000000-0005-0000-0000-000013E90000}"/>
    <cellStyle name="Процентный 8 72 8" xfId="40462" xr:uid="{00000000-0005-0000-0000-000014E90000}"/>
    <cellStyle name="Процентный 8 72 9" xfId="45802" xr:uid="{00000000-0005-0000-0000-000015E90000}"/>
    <cellStyle name="Процентный 8 73" xfId="3110" xr:uid="{00000000-0005-0000-0000-000016E90000}"/>
    <cellStyle name="Процентный 8 73 10" xfId="51174" xr:uid="{00000000-0005-0000-0000-000017E90000}"/>
    <cellStyle name="Процентный 8 73 2" xfId="8453" xr:uid="{00000000-0005-0000-0000-000018E90000}"/>
    <cellStyle name="Процентный 8 73 2 2" xfId="56515" xr:uid="{00000000-0005-0000-0000-000019E90000}"/>
    <cellStyle name="Процентный 8 73 3" xfId="13794" xr:uid="{00000000-0005-0000-0000-00001AE90000}"/>
    <cellStyle name="Процентный 8 73 4" xfId="19134" xr:uid="{00000000-0005-0000-0000-00001BE90000}"/>
    <cellStyle name="Процентный 8 73 5" xfId="24474" xr:uid="{00000000-0005-0000-0000-00001CE90000}"/>
    <cellStyle name="Процентный 8 73 6" xfId="29814" xr:uid="{00000000-0005-0000-0000-00001DE90000}"/>
    <cellStyle name="Процентный 8 73 7" xfId="35154" xr:uid="{00000000-0005-0000-0000-00001EE90000}"/>
    <cellStyle name="Процентный 8 73 8" xfId="40494" xr:uid="{00000000-0005-0000-0000-00001FE90000}"/>
    <cellStyle name="Процентный 8 73 9" xfId="45834" xr:uid="{00000000-0005-0000-0000-000020E90000}"/>
    <cellStyle name="Процентный 8 74" xfId="3143" xr:uid="{00000000-0005-0000-0000-000021E90000}"/>
    <cellStyle name="Процентный 8 74 10" xfId="51206" xr:uid="{00000000-0005-0000-0000-000022E90000}"/>
    <cellStyle name="Процентный 8 74 2" xfId="8486" xr:uid="{00000000-0005-0000-0000-000023E90000}"/>
    <cellStyle name="Процентный 8 74 2 2" xfId="56547" xr:uid="{00000000-0005-0000-0000-000024E90000}"/>
    <cellStyle name="Процентный 8 74 3" xfId="13826" xr:uid="{00000000-0005-0000-0000-000025E90000}"/>
    <cellStyle name="Процентный 8 74 4" xfId="19166" xr:uid="{00000000-0005-0000-0000-000026E90000}"/>
    <cellStyle name="Процентный 8 74 5" xfId="24506" xr:uid="{00000000-0005-0000-0000-000027E90000}"/>
    <cellStyle name="Процентный 8 74 6" xfId="29846" xr:uid="{00000000-0005-0000-0000-000028E90000}"/>
    <cellStyle name="Процентный 8 74 7" xfId="35186" xr:uid="{00000000-0005-0000-0000-000029E90000}"/>
    <cellStyle name="Процентный 8 74 8" xfId="40526" xr:uid="{00000000-0005-0000-0000-00002AE90000}"/>
    <cellStyle name="Процентный 8 74 9" xfId="45866" xr:uid="{00000000-0005-0000-0000-00002BE90000}"/>
    <cellStyle name="Процентный 8 75" xfId="3175" xr:uid="{00000000-0005-0000-0000-00002CE90000}"/>
    <cellStyle name="Процентный 8 75 10" xfId="51238" xr:uid="{00000000-0005-0000-0000-00002DE90000}"/>
    <cellStyle name="Процентный 8 75 2" xfId="8518" xr:uid="{00000000-0005-0000-0000-00002EE90000}"/>
    <cellStyle name="Процентный 8 75 2 2" xfId="56579" xr:uid="{00000000-0005-0000-0000-00002FE90000}"/>
    <cellStyle name="Процентный 8 75 3" xfId="13858" xr:uid="{00000000-0005-0000-0000-000030E90000}"/>
    <cellStyle name="Процентный 8 75 4" xfId="19198" xr:uid="{00000000-0005-0000-0000-000031E90000}"/>
    <cellStyle name="Процентный 8 75 5" xfId="24538" xr:uid="{00000000-0005-0000-0000-000032E90000}"/>
    <cellStyle name="Процентный 8 75 6" xfId="29878" xr:uid="{00000000-0005-0000-0000-000033E90000}"/>
    <cellStyle name="Процентный 8 75 7" xfId="35218" xr:uid="{00000000-0005-0000-0000-000034E90000}"/>
    <cellStyle name="Процентный 8 75 8" xfId="40558" xr:uid="{00000000-0005-0000-0000-000035E90000}"/>
    <cellStyle name="Процентный 8 75 9" xfId="45898" xr:uid="{00000000-0005-0000-0000-000036E90000}"/>
    <cellStyle name="Процентный 8 76" xfId="3207" xr:uid="{00000000-0005-0000-0000-000037E90000}"/>
    <cellStyle name="Процентный 8 76 10" xfId="51270" xr:uid="{00000000-0005-0000-0000-000038E90000}"/>
    <cellStyle name="Процентный 8 76 2" xfId="8550" xr:uid="{00000000-0005-0000-0000-000039E90000}"/>
    <cellStyle name="Процентный 8 76 2 2" xfId="56611" xr:uid="{00000000-0005-0000-0000-00003AE90000}"/>
    <cellStyle name="Процентный 8 76 3" xfId="13890" xr:uid="{00000000-0005-0000-0000-00003BE90000}"/>
    <cellStyle name="Процентный 8 76 4" xfId="19230" xr:uid="{00000000-0005-0000-0000-00003CE90000}"/>
    <cellStyle name="Процентный 8 76 5" xfId="24570" xr:uid="{00000000-0005-0000-0000-00003DE90000}"/>
    <cellStyle name="Процентный 8 76 6" xfId="29910" xr:uid="{00000000-0005-0000-0000-00003EE90000}"/>
    <cellStyle name="Процентный 8 76 7" xfId="35250" xr:uid="{00000000-0005-0000-0000-00003FE90000}"/>
    <cellStyle name="Процентный 8 76 8" xfId="40590" xr:uid="{00000000-0005-0000-0000-000040E90000}"/>
    <cellStyle name="Процентный 8 76 9" xfId="45930" xr:uid="{00000000-0005-0000-0000-000041E90000}"/>
    <cellStyle name="Процентный 8 77" xfId="3239" xr:uid="{00000000-0005-0000-0000-000042E90000}"/>
    <cellStyle name="Процентный 8 77 10" xfId="51302" xr:uid="{00000000-0005-0000-0000-000043E90000}"/>
    <cellStyle name="Процентный 8 77 2" xfId="8582" xr:uid="{00000000-0005-0000-0000-000044E90000}"/>
    <cellStyle name="Процентный 8 77 2 2" xfId="56643" xr:uid="{00000000-0005-0000-0000-000045E90000}"/>
    <cellStyle name="Процентный 8 77 3" xfId="13922" xr:uid="{00000000-0005-0000-0000-000046E90000}"/>
    <cellStyle name="Процентный 8 77 4" xfId="19262" xr:uid="{00000000-0005-0000-0000-000047E90000}"/>
    <cellStyle name="Процентный 8 77 5" xfId="24602" xr:uid="{00000000-0005-0000-0000-000048E90000}"/>
    <cellStyle name="Процентный 8 77 6" xfId="29942" xr:uid="{00000000-0005-0000-0000-000049E90000}"/>
    <cellStyle name="Процентный 8 77 7" xfId="35282" xr:uid="{00000000-0005-0000-0000-00004AE90000}"/>
    <cellStyle name="Процентный 8 77 8" xfId="40622" xr:uid="{00000000-0005-0000-0000-00004BE90000}"/>
    <cellStyle name="Процентный 8 77 9" xfId="45962" xr:uid="{00000000-0005-0000-0000-00004CE90000}"/>
    <cellStyle name="Процентный 8 78" xfId="3271" xr:uid="{00000000-0005-0000-0000-00004DE90000}"/>
    <cellStyle name="Процентный 8 78 10" xfId="51334" xr:uid="{00000000-0005-0000-0000-00004EE90000}"/>
    <cellStyle name="Процентный 8 78 2" xfId="8614" xr:uid="{00000000-0005-0000-0000-00004FE90000}"/>
    <cellStyle name="Процентный 8 78 2 2" xfId="56675" xr:uid="{00000000-0005-0000-0000-000050E90000}"/>
    <cellStyle name="Процентный 8 78 3" xfId="13954" xr:uid="{00000000-0005-0000-0000-000051E90000}"/>
    <cellStyle name="Процентный 8 78 4" xfId="19294" xr:uid="{00000000-0005-0000-0000-000052E90000}"/>
    <cellStyle name="Процентный 8 78 5" xfId="24634" xr:uid="{00000000-0005-0000-0000-000053E90000}"/>
    <cellStyle name="Процентный 8 78 6" xfId="29974" xr:uid="{00000000-0005-0000-0000-000054E90000}"/>
    <cellStyle name="Процентный 8 78 7" xfId="35314" xr:uid="{00000000-0005-0000-0000-000055E90000}"/>
    <cellStyle name="Процентный 8 78 8" xfId="40654" xr:uid="{00000000-0005-0000-0000-000056E90000}"/>
    <cellStyle name="Процентный 8 78 9" xfId="45994" xr:uid="{00000000-0005-0000-0000-000057E90000}"/>
    <cellStyle name="Процентный 8 79" xfId="3303" xr:uid="{00000000-0005-0000-0000-000058E90000}"/>
    <cellStyle name="Процентный 8 79 10" xfId="51366" xr:uid="{00000000-0005-0000-0000-000059E90000}"/>
    <cellStyle name="Процентный 8 79 2" xfId="8646" xr:uid="{00000000-0005-0000-0000-00005AE90000}"/>
    <cellStyle name="Процентный 8 79 2 2" xfId="56707" xr:uid="{00000000-0005-0000-0000-00005BE90000}"/>
    <cellStyle name="Процентный 8 79 3" xfId="13986" xr:uid="{00000000-0005-0000-0000-00005CE90000}"/>
    <cellStyle name="Процентный 8 79 4" xfId="19326" xr:uid="{00000000-0005-0000-0000-00005DE90000}"/>
    <cellStyle name="Процентный 8 79 5" xfId="24666" xr:uid="{00000000-0005-0000-0000-00005EE90000}"/>
    <cellStyle name="Процентный 8 79 6" xfId="30006" xr:uid="{00000000-0005-0000-0000-00005FE90000}"/>
    <cellStyle name="Процентный 8 79 7" xfId="35346" xr:uid="{00000000-0005-0000-0000-000060E90000}"/>
    <cellStyle name="Процентный 8 79 8" xfId="40686" xr:uid="{00000000-0005-0000-0000-000061E90000}"/>
    <cellStyle name="Процентный 8 79 9" xfId="46026" xr:uid="{00000000-0005-0000-0000-000062E90000}"/>
    <cellStyle name="Процентный 8 8" xfId="1241" xr:uid="{00000000-0005-0000-0000-000063E90000}"/>
    <cellStyle name="Процентный 8 8 10" xfId="49304" xr:uid="{00000000-0005-0000-0000-000064E90000}"/>
    <cellStyle name="Процентный 8 8 2" xfId="6583" xr:uid="{00000000-0005-0000-0000-000065E90000}"/>
    <cellStyle name="Процентный 8 8 2 2" xfId="54645" xr:uid="{00000000-0005-0000-0000-000066E90000}"/>
    <cellStyle name="Процентный 8 8 3" xfId="11924" xr:uid="{00000000-0005-0000-0000-000067E90000}"/>
    <cellStyle name="Процентный 8 8 4" xfId="17264" xr:uid="{00000000-0005-0000-0000-000068E90000}"/>
    <cellStyle name="Процентный 8 8 5" xfId="22604" xr:uid="{00000000-0005-0000-0000-000069E90000}"/>
    <cellStyle name="Процентный 8 8 6" xfId="27944" xr:uid="{00000000-0005-0000-0000-00006AE90000}"/>
    <cellStyle name="Процентный 8 8 7" xfId="33284" xr:uid="{00000000-0005-0000-0000-00006BE90000}"/>
    <cellStyle name="Процентный 8 8 8" xfId="38624" xr:uid="{00000000-0005-0000-0000-00006CE90000}"/>
    <cellStyle name="Процентный 8 8 9" xfId="43964" xr:uid="{00000000-0005-0000-0000-00006DE90000}"/>
    <cellStyle name="Процентный 8 80" xfId="3335" xr:uid="{00000000-0005-0000-0000-00006EE90000}"/>
    <cellStyle name="Процентный 8 80 10" xfId="51398" xr:uid="{00000000-0005-0000-0000-00006FE90000}"/>
    <cellStyle name="Процентный 8 80 2" xfId="8678" xr:uid="{00000000-0005-0000-0000-000070E90000}"/>
    <cellStyle name="Процентный 8 80 2 2" xfId="56739" xr:uid="{00000000-0005-0000-0000-000071E90000}"/>
    <cellStyle name="Процентный 8 80 3" xfId="14018" xr:uid="{00000000-0005-0000-0000-000072E90000}"/>
    <cellStyle name="Процентный 8 80 4" xfId="19358" xr:uid="{00000000-0005-0000-0000-000073E90000}"/>
    <cellStyle name="Процентный 8 80 5" xfId="24698" xr:uid="{00000000-0005-0000-0000-000074E90000}"/>
    <cellStyle name="Процентный 8 80 6" xfId="30038" xr:uid="{00000000-0005-0000-0000-000075E90000}"/>
    <cellStyle name="Процентный 8 80 7" xfId="35378" xr:uid="{00000000-0005-0000-0000-000076E90000}"/>
    <cellStyle name="Процентный 8 80 8" xfId="40718" xr:uid="{00000000-0005-0000-0000-000077E90000}"/>
    <cellStyle name="Процентный 8 80 9" xfId="46058" xr:uid="{00000000-0005-0000-0000-000078E90000}"/>
    <cellStyle name="Процентный 8 81" xfId="3367" xr:uid="{00000000-0005-0000-0000-000079E90000}"/>
    <cellStyle name="Процентный 8 81 10" xfId="51430" xr:uid="{00000000-0005-0000-0000-00007AE90000}"/>
    <cellStyle name="Процентный 8 81 2" xfId="8710" xr:uid="{00000000-0005-0000-0000-00007BE90000}"/>
    <cellStyle name="Процентный 8 81 2 2" xfId="56771" xr:uid="{00000000-0005-0000-0000-00007CE90000}"/>
    <cellStyle name="Процентный 8 81 3" xfId="14050" xr:uid="{00000000-0005-0000-0000-00007DE90000}"/>
    <cellStyle name="Процентный 8 81 4" xfId="19390" xr:uid="{00000000-0005-0000-0000-00007EE90000}"/>
    <cellStyle name="Процентный 8 81 5" xfId="24730" xr:uid="{00000000-0005-0000-0000-00007FE90000}"/>
    <cellStyle name="Процентный 8 81 6" xfId="30070" xr:uid="{00000000-0005-0000-0000-000080E90000}"/>
    <cellStyle name="Процентный 8 81 7" xfId="35410" xr:uid="{00000000-0005-0000-0000-000081E90000}"/>
    <cellStyle name="Процентный 8 81 8" xfId="40750" xr:uid="{00000000-0005-0000-0000-000082E90000}"/>
    <cellStyle name="Процентный 8 81 9" xfId="46090" xr:uid="{00000000-0005-0000-0000-000083E90000}"/>
    <cellStyle name="Процентный 8 82" xfId="3399" xr:uid="{00000000-0005-0000-0000-000084E90000}"/>
    <cellStyle name="Процентный 8 82 10" xfId="51462" xr:uid="{00000000-0005-0000-0000-000085E90000}"/>
    <cellStyle name="Процентный 8 82 2" xfId="8742" xr:uid="{00000000-0005-0000-0000-000086E90000}"/>
    <cellStyle name="Процентный 8 82 2 2" xfId="56803" xr:uid="{00000000-0005-0000-0000-000087E90000}"/>
    <cellStyle name="Процентный 8 82 3" xfId="14082" xr:uid="{00000000-0005-0000-0000-000088E90000}"/>
    <cellStyle name="Процентный 8 82 4" xfId="19422" xr:uid="{00000000-0005-0000-0000-000089E90000}"/>
    <cellStyle name="Процентный 8 82 5" xfId="24762" xr:uid="{00000000-0005-0000-0000-00008AE90000}"/>
    <cellStyle name="Процентный 8 82 6" xfId="30102" xr:uid="{00000000-0005-0000-0000-00008BE90000}"/>
    <cellStyle name="Процентный 8 82 7" xfId="35442" xr:uid="{00000000-0005-0000-0000-00008CE90000}"/>
    <cellStyle name="Процентный 8 82 8" xfId="40782" xr:uid="{00000000-0005-0000-0000-00008DE90000}"/>
    <cellStyle name="Процентный 8 82 9" xfId="46122" xr:uid="{00000000-0005-0000-0000-00008EE90000}"/>
    <cellStyle name="Процентный 8 83" xfId="3431" xr:uid="{00000000-0005-0000-0000-00008FE90000}"/>
    <cellStyle name="Процентный 8 83 10" xfId="51494" xr:uid="{00000000-0005-0000-0000-000090E90000}"/>
    <cellStyle name="Процентный 8 83 2" xfId="8774" xr:uid="{00000000-0005-0000-0000-000091E90000}"/>
    <cellStyle name="Процентный 8 83 2 2" xfId="56835" xr:uid="{00000000-0005-0000-0000-000092E90000}"/>
    <cellStyle name="Процентный 8 83 3" xfId="14114" xr:uid="{00000000-0005-0000-0000-000093E90000}"/>
    <cellStyle name="Процентный 8 83 4" xfId="19454" xr:uid="{00000000-0005-0000-0000-000094E90000}"/>
    <cellStyle name="Процентный 8 83 5" xfId="24794" xr:uid="{00000000-0005-0000-0000-000095E90000}"/>
    <cellStyle name="Процентный 8 83 6" xfId="30134" xr:uid="{00000000-0005-0000-0000-000096E90000}"/>
    <cellStyle name="Процентный 8 83 7" xfId="35474" xr:uid="{00000000-0005-0000-0000-000097E90000}"/>
    <cellStyle name="Процентный 8 83 8" xfId="40814" xr:uid="{00000000-0005-0000-0000-000098E90000}"/>
    <cellStyle name="Процентный 8 83 9" xfId="46154" xr:uid="{00000000-0005-0000-0000-000099E90000}"/>
    <cellStyle name="Процентный 8 84" xfId="3463" xr:uid="{00000000-0005-0000-0000-00009AE90000}"/>
    <cellStyle name="Процентный 8 84 10" xfId="51526" xr:uid="{00000000-0005-0000-0000-00009BE90000}"/>
    <cellStyle name="Процентный 8 84 2" xfId="8806" xr:uid="{00000000-0005-0000-0000-00009CE90000}"/>
    <cellStyle name="Процентный 8 84 2 2" xfId="56867" xr:uid="{00000000-0005-0000-0000-00009DE90000}"/>
    <cellStyle name="Процентный 8 84 3" xfId="14146" xr:uid="{00000000-0005-0000-0000-00009EE90000}"/>
    <cellStyle name="Процентный 8 84 4" xfId="19486" xr:uid="{00000000-0005-0000-0000-00009FE90000}"/>
    <cellStyle name="Процентный 8 84 5" xfId="24826" xr:uid="{00000000-0005-0000-0000-0000A0E90000}"/>
    <cellStyle name="Процентный 8 84 6" xfId="30166" xr:uid="{00000000-0005-0000-0000-0000A1E90000}"/>
    <cellStyle name="Процентный 8 84 7" xfId="35506" xr:uid="{00000000-0005-0000-0000-0000A2E90000}"/>
    <cellStyle name="Процентный 8 84 8" xfId="40846" xr:uid="{00000000-0005-0000-0000-0000A3E90000}"/>
    <cellStyle name="Процентный 8 84 9" xfId="46186" xr:uid="{00000000-0005-0000-0000-0000A4E90000}"/>
    <cellStyle name="Процентный 8 85" xfId="3495" xr:uid="{00000000-0005-0000-0000-0000A5E90000}"/>
    <cellStyle name="Процентный 8 85 10" xfId="51558" xr:uid="{00000000-0005-0000-0000-0000A6E90000}"/>
    <cellStyle name="Процентный 8 85 2" xfId="8838" xr:uid="{00000000-0005-0000-0000-0000A7E90000}"/>
    <cellStyle name="Процентный 8 85 2 2" xfId="56899" xr:uid="{00000000-0005-0000-0000-0000A8E90000}"/>
    <cellStyle name="Процентный 8 85 3" xfId="14178" xr:uid="{00000000-0005-0000-0000-0000A9E90000}"/>
    <cellStyle name="Процентный 8 85 4" xfId="19518" xr:uid="{00000000-0005-0000-0000-0000AAE90000}"/>
    <cellStyle name="Процентный 8 85 5" xfId="24858" xr:uid="{00000000-0005-0000-0000-0000ABE90000}"/>
    <cellStyle name="Процентный 8 85 6" xfId="30198" xr:uid="{00000000-0005-0000-0000-0000ACE90000}"/>
    <cellStyle name="Процентный 8 85 7" xfId="35538" xr:uid="{00000000-0005-0000-0000-0000ADE90000}"/>
    <cellStyle name="Процентный 8 85 8" xfId="40878" xr:uid="{00000000-0005-0000-0000-0000AEE90000}"/>
    <cellStyle name="Процентный 8 85 9" xfId="46218" xr:uid="{00000000-0005-0000-0000-0000AFE90000}"/>
    <cellStyle name="Процентный 8 86" xfId="3527" xr:uid="{00000000-0005-0000-0000-0000B0E90000}"/>
    <cellStyle name="Процентный 8 86 10" xfId="51590" xr:uid="{00000000-0005-0000-0000-0000B1E90000}"/>
    <cellStyle name="Процентный 8 86 2" xfId="8870" xr:uid="{00000000-0005-0000-0000-0000B2E90000}"/>
    <cellStyle name="Процентный 8 86 2 2" xfId="56931" xr:uid="{00000000-0005-0000-0000-0000B3E90000}"/>
    <cellStyle name="Процентный 8 86 3" xfId="14210" xr:uid="{00000000-0005-0000-0000-0000B4E90000}"/>
    <cellStyle name="Процентный 8 86 4" xfId="19550" xr:uid="{00000000-0005-0000-0000-0000B5E90000}"/>
    <cellStyle name="Процентный 8 86 5" xfId="24890" xr:uid="{00000000-0005-0000-0000-0000B6E90000}"/>
    <cellStyle name="Процентный 8 86 6" xfId="30230" xr:uid="{00000000-0005-0000-0000-0000B7E90000}"/>
    <cellStyle name="Процентный 8 86 7" xfId="35570" xr:uid="{00000000-0005-0000-0000-0000B8E90000}"/>
    <cellStyle name="Процентный 8 86 8" xfId="40910" xr:uid="{00000000-0005-0000-0000-0000B9E90000}"/>
    <cellStyle name="Процентный 8 86 9" xfId="46250" xr:uid="{00000000-0005-0000-0000-0000BAE90000}"/>
    <cellStyle name="Процентный 8 87" xfId="3559" xr:uid="{00000000-0005-0000-0000-0000BBE90000}"/>
    <cellStyle name="Процентный 8 87 10" xfId="51622" xr:uid="{00000000-0005-0000-0000-0000BCE90000}"/>
    <cellStyle name="Процентный 8 87 2" xfId="8902" xr:uid="{00000000-0005-0000-0000-0000BDE90000}"/>
    <cellStyle name="Процентный 8 87 2 2" xfId="56963" xr:uid="{00000000-0005-0000-0000-0000BEE90000}"/>
    <cellStyle name="Процентный 8 87 3" xfId="14242" xr:uid="{00000000-0005-0000-0000-0000BFE90000}"/>
    <cellStyle name="Процентный 8 87 4" xfId="19582" xr:uid="{00000000-0005-0000-0000-0000C0E90000}"/>
    <cellStyle name="Процентный 8 87 5" xfId="24922" xr:uid="{00000000-0005-0000-0000-0000C1E90000}"/>
    <cellStyle name="Процентный 8 87 6" xfId="30262" xr:uid="{00000000-0005-0000-0000-0000C2E90000}"/>
    <cellStyle name="Процентный 8 87 7" xfId="35602" xr:uid="{00000000-0005-0000-0000-0000C3E90000}"/>
    <cellStyle name="Процентный 8 87 8" xfId="40942" xr:uid="{00000000-0005-0000-0000-0000C4E90000}"/>
    <cellStyle name="Процентный 8 87 9" xfId="46282" xr:uid="{00000000-0005-0000-0000-0000C5E90000}"/>
    <cellStyle name="Процентный 8 88" xfId="3591" xr:uid="{00000000-0005-0000-0000-0000C6E90000}"/>
    <cellStyle name="Процентный 8 88 10" xfId="51654" xr:uid="{00000000-0005-0000-0000-0000C7E90000}"/>
    <cellStyle name="Процентный 8 88 2" xfId="8934" xr:uid="{00000000-0005-0000-0000-0000C8E90000}"/>
    <cellStyle name="Процентный 8 88 2 2" xfId="56995" xr:uid="{00000000-0005-0000-0000-0000C9E90000}"/>
    <cellStyle name="Процентный 8 88 3" xfId="14274" xr:uid="{00000000-0005-0000-0000-0000CAE90000}"/>
    <cellStyle name="Процентный 8 88 4" xfId="19614" xr:uid="{00000000-0005-0000-0000-0000CBE90000}"/>
    <cellStyle name="Процентный 8 88 5" xfId="24954" xr:uid="{00000000-0005-0000-0000-0000CCE90000}"/>
    <cellStyle name="Процентный 8 88 6" xfId="30294" xr:uid="{00000000-0005-0000-0000-0000CDE90000}"/>
    <cellStyle name="Процентный 8 88 7" xfId="35634" xr:uid="{00000000-0005-0000-0000-0000CEE90000}"/>
    <cellStyle name="Процентный 8 88 8" xfId="40974" xr:uid="{00000000-0005-0000-0000-0000CFE90000}"/>
    <cellStyle name="Процентный 8 88 9" xfId="46314" xr:uid="{00000000-0005-0000-0000-0000D0E90000}"/>
    <cellStyle name="Процентный 8 89" xfId="3623" xr:uid="{00000000-0005-0000-0000-0000D1E90000}"/>
    <cellStyle name="Процентный 8 89 10" xfId="51686" xr:uid="{00000000-0005-0000-0000-0000D2E90000}"/>
    <cellStyle name="Процентный 8 89 2" xfId="8966" xr:uid="{00000000-0005-0000-0000-0000D3E90000}"/>
    <cellStyle name="Процентный 8 89 2 2" xfId="57027" xr:uid="{00000000-0005-0000-0000-0000D4E90000}"/>
    <cellStyle name="Процентный 8 89 3" xfId="14306" xr:uid="{00000000-0005-0000-0000-0000D5E90000}"/>
    <cellStyle name="Процентный 8 89 4" xfId="19646" xr:uid="{00000000-0005-0000-0000-0000D6E90000}"/>
    <cellStyle name="Процентный 8 89 5" xfId="24986" xr:uid="{00000000-0005-0000-0000-0000D7E90000}"/>
    <cellStyle name="Процентный 8 89 6" xfId="30326" xr:uid="{00000000-0005-0000-0000-0000D8E90000}"/>
    <cellStyle name="Процентный 8 89 7" xfId="35666" xr:uid="{00000000-0005-0000-0000-0000D9E90000}"/>
    <cellStyle name="Процентный 8 89 8" xfId="41006" xr:uid="{00000000-0005-0000-0000-0000DAE90000}"/>
    <cellStyle name="Процентный 8 89 9" xfId="46346" xr:uid="{00000000-0005-0000-0000-0000DBE90000}"/>
    <cellStyle name="Процентный 8 9" xfId="1267" xr:uid="{00000000-0005-0000-0000-0000DCE90000}"/>
    <cellStyle name="Процентный 8 9 10" xfId="49330" xr:uid="{00000000-0005-0000-0000-0000DDE90000}"/>
    <cellStyle name="Процентный 8 9 2" xfId="6609" xr:uid="{00000000-0005-0000-0000-0000DEE90000}"/>
    <cellStyle name="Процентный 8 9 2 2" xfId="54671" xr:uid="{00000000-0005-0000-0000-0000DFE90000}"/>
    <cellStyle name="Процентный 8 9 3" xfId="11950" xr:uid="{00000000-0005-0000-0000-0000E0E90000}"/>
    <cellStyle name="Процентный 8 9 4" xfId="17290" xr:uid="{00000000-0005-0000-0000-0000E1E90000}"/>
    <cellStyle name="Процентный 8 9 5" xfId="22630" xr:uid="{00000000-0005-0000-0000-0000E2E90000}"/>
    <cellStyle name="Процентный 8 9 6" xfId="27970" xr:uid="{00000000-0005-0000-0000-0000E3E90000}"/>
    <cellStyle name="Процентный 8 9 7" xfId="33310" xr:uid="{00000000-0005-0000-0000-0000E4E90000}"/>
    <cellStyle name="Процентный 8 9 8" xfId="38650" xr:uid="{00000000-0005-0000-0000-0000E5E90000}"/>
    <cellStyle name="Процентный 8 9 9" xfId="43990" xr:uid="{00000000-0005-0000-0000-0000E6E90000}"/>
    <cellStyle name="Процентный 8 90" xfId="3655" xr:uid="{00000000-0005-0000-0000-0000E7E90000}"/>
    <cellStyle name="Процентный 8 90 10" xfId="51718" xr:uid="{00000000-0005-0000-0000-0000E8E90000}"/>
    <cellStyle name="Процентный 8 90 2" xfId="8998" xr:uid="{00000000-0005-0000-0000-0000E9E90000}"/>
    <cellStyle name="Процентный 8 90 2 2" xfId="57059" xr:uid="{00000000-0005-0000-0000-0000EAE90000}"/>
    <cellStyle name="Процентный 8 90 3" xfId="14338" xr:uid="{00000000-0005-0000-0000-0000EBE90000}"/>
    <cellStyle name="Процентный 8 90 4" xfId="19678" xr:uid="{00000000-0005-0000-0000-0000ECE90000}"/>
    <cellStyle name="Процентный 8 90 5" xfId="25018" xr:uid="{00000000-0005-0000-0000-0000EDE90000}"/>
    <cellStyle name="Процентный 8 90 6" xfId="30358" xr:uid="{00000000-0005-0000-0000-0000EEE90000}"/>
    <cellStyle name="Процентный 8 90 7" xfId="35698" xr:uid="{00000000-0005-0000-0000-0000EFE90000}"/>
    <cellStyle name="Процентный 8 90 8" xfId="41038" xr:uid="{00000000-0005-0000-0000-0000F0E90000}"/>
    <cellStyle name="Процентный 8 90 9" xfId="46378" xr:uid="{00000000-0005-0000-0000-0000F1E90000}"/>
    <cellStyle name="Процентный 8 91" xfId="3687" xr:uid="{00000000-0005-0000-0000-0000F2E90000}"/>
    <cellStyle name="Процентный 8 91 10" xfId="51750" xr:uid="{00000000-0005-0000-0000-0000F3E90000}"/>
    <cellStyle name="Процентный 8 91 2" xfId="9030" xr:uid="{00000000-0005-0000-0000-0000F4E90000}"/>
    <cellStyle name="Процентный 8 91 2 2" xfId="57091" xr:uid="{00000000-0005-0000-0000-0000F5E90000}"/>
    <cellStyle name="Процентный 8 91 3" xfId="14370" xr:uid="{00000000-0005-0000-0000-0000F6E90000}"/>
    <cellStyle name="Процентный 8 91 4" xfId="19710" xr:uid="{00000000-0005-0000-0000-0000F7E90000}"/>
    <cellStyle name="Процентный 8 91 5" xfId="25050" xr:uid="{00000000-0005-0000-0000-0000F8E90000}"/>
    <cellStyle name="Процентный 8 91 6" xfId="30390" xr:uid="{00000000-0005-0000-0000-0000F9E90000}"/>
    <cellStyle name="Процентный 8 91 7" xfId="35730" xr:uid="{00000000-0005-0000-0000-0000FAE90000}"/>
    <cellStyle name="Процентный 8 91 8" xfId="41070" xr:uid="{00000000-0005-0000-0000-0000FBE90000}"/>
    <cellStyle name="Процентный 8 91 9" xfId="46410" xr:uid="{00000000-0005-0000-0000-0000FCE90000}"/>
    <cellStyle name="Процентный 8 92" xfId="3719" xr:uid="{00000000-0005-0000-0000-0000FDE90000}"/>
    <cellStyle name="Процентный 8 92 10" xfId="51782" xr:uid="{00000000-0005-0000-0000-0000FEE90000}"/>
    <cellStyle name="Процентный 8 92 2" xfId="9062" xr:uid="{00000000-0005-0000-0000-0000FFE90000}"/>
    <cellStyle name="Процентный 8 92 2 2" xfId="57123" xr:uid="{00000000-0005-0000-0000-000000EA0000}"/>
    <cellStyle name="Процентный 8 92 3" xfId="14402" xr:uid="{00000000-0005-0000-0000-000001EA0000}"/>
    <cellStyle name="Процентный 8 92 4" xfId="19742" xr:uid="{00000000-0005-0000-0000-000002EA0000}"/>
    <cellStyle name="Процентный 8 92 5" xfId="25082" xr:uid="{00000000-0005-0000-0000-000003EA0000}"/>
    <cellStyle name="Процентный 8 92 6" xfId="30422" xr:uid="{00000000-0005-0000-0000-000004EA0000}"/>
    <cellStyle name="Процентный 8 92 7" xfId="35762" xr:uid="{00000000-0005-0000-0000-000005EA0000}"/>
    <cellStyle name="Процентный 8 92 8" xfId="41102" xr:uid="{00000000-0005-0000-0000-000006EA0000}"/>
    <cellStyle name="Процентный 8 92 9" xfId="46442" xr:uid="{00000000-0005-0000-0000-000007EA0000}"/>
    <cellStyle name="Процентный 8 93" xfId="3751" xr:uid="{00000000-0005-0000-0000-000008EA0000}"/>
    <cellStyle name="Процентный 8 93 10" xfId="51814" xr:uid="{00000000-0005-0000-0000-000009EA0000}"/>
    <cellStyle name="Процентный 8 93 2" xfId="9094" xr:uid="{00000000-0005-0000-0000-00000AEA0000}"/>
    <cellStyle name="Процентный 8 93 2 2" xfId="57155" xr:uid="{00000000-0005-0000-0000-00000BEA0000}"/>
    <cellStyle name="Процентный 8 93 3" xfId="14434" xr:uid="{00000000-0005-0000-0000-00000CEA0000}"/>
    <cellStyle name="Процентный 8 93 4" xfId="19774" xr:uid="{00000000-0005-0000-0000-00000DEA0000}"/>
    <cellStyle name="Процентный 8 93 5" xfId="25114" xr:uid="{00000000-0005-0000-0000-00000EEA0000}"/>
    <cellStyle name="Процентный 8 93 6" xfId="30454" xr:uid="{00000000-0005-0000-0000-00000FEA0000}"/>
    <cellStyle name="Процентный 8 93 7" xfId="35794" xr:uid="{00000000-0005-0000-0000-000010EA0000}"/>
    <cellStyle name="Процентный 8 93 8" xfId="41134" xr:uid="{00000000-0005-0000-0000-000011EA0000}"/>
    <cellStyle name="Процентный 8 93 9" xfId="46474" xr:uid="{00000000-0005-0000-0000-000012EA0000}"/>
    <cellStyle name="Процентный 8 94" xfId="3783" xr:uid="{00000000-0005-0000-0000-000013EA0000}"/>
    <cellStyle name="Процентный 8 94 10" xfId="51846" xr:uid="{00000000-0005-0000-0000-000014EA0000}"/>
    <cellStyle name="Процентный 8 94 2" xfId="9126" xr:uid="{00000000-0005-0000-0000-000015EA0000}"/>
    <cellStyle name="Процентный 8 94 2 2" xfId="57187" xr:uid="{00000000-0005-0000-0000-000016EA0000}"/>
    <cellStyle name="Процентный 8 94 3" xfId="14466" xr:uid="{00000000-0005-0000-0000-000017EA0000}"/>
    <cellStyle name="Процентный 8 94 4" xfId="19806" xr:uid="{00000000-0005-0000-0000-000018EA0000}"/>
    <cellStyle name="Процентный 8 94 5" xfId="25146" xr:uid="{00000000-0005-0000-0000-000019EA0000}"/>
    <cellStyle name="Процентный 8 94 6" xfId="30486" xr:uid="{00000000-0005-0000-0000-00001AEA0000}"/>
    <cellStyle name="Процентный 8 94 7" xfId="35826" xr:uid="{00000000-0005-0000-0000-00001BEA0000}"/>
    <cellStyle name="Процентный 8 94 8" xfId="41166" xr:uid="{00000000-0005-0000-0000-00001CEA0000}"/>
    <cellStyle name="Процентный 8 94 9" xfId="46506" xr:uid="{00000000-0005-0000-0000-00001DEA0000}"/>
    <cellStyle name="Процентный 8 95" xfId="3815" xr:uid="{00000000-0005-0000-0000-00001EEA0000}"/>
    <cellStyle name="Процентный 8 95 10" xfId="51878" xr:uid="{00000000-0005-0000-0000-00001FEA0000}"/>
    <cellStyle name="Процентный 8 95 2" xfId="9158" xr:uid="{00000000-0005-0000-0000-000020EA0000}"/>
    <cellStyle name="Процентный 8 95 2 2" xfId="57219" xr:uid="{00000000-0005-0000-0000-000021EA0000}"/>
    <cellStyle name="Процентный 8 95 3" xfId="14498" xr:uid="{00000000-0005-0000-0000-000022EA0000}"/>
    <cellStyle name="Процентный 8 95 4" xfId="19838" xr:uid="{00000000-0005-0000-0000-000023EA0000}"/>
    <cellStyle name="Процентный 8 95 5" xfId="25178" xr:uid="{00000000-0005-0000-0000-000024EA0000}"/>
    <cellStyle name="Процентный 8 95 6" xfId="30518" xr:uid="{00000000-0005-0000-0000-000025EA0000}"/>
    <cellStyle name="Процентный 8 95 7" xfId="35858" xr:uid="{00000000-0005-0000-0000-000026EA0000}"/>
    <cellStyle name="Процентный 8 95 8" xfId="41198" xr:uid="{00000000-0005-0000-0000-000027EA0000}"/>
    <cellStyle name="Процентный 8 95 9" xfId="46538" xr:uid="{00000000-0005-0000-0000-000028EA0000}"/>
    <cellStyle name="Процентный 8 96" xfId="3847" xr:uid="{00000000-0005-0000-0000-000029EA0000}"/>
    <cellStyle name="Процентный 8 96 10" xfId="51910" xr:uid="{00000000-0005-0000-0000-00002AEA0000}"/>
    <cellStyle name="Процентный 8 96 2" xfId="9190" xr:uid="{00000000-0005-0000-0000-00002BEA0000}"/>
    <cellStyle name="Процентный 8 96 2 2" xfId="57251" xr:uid="{00000000-0005-0000-0000-00002CEA0000}"/>
    <cellStyle name="Процентный 8 96 3" xfId="14530" xr:uid="{00000000-0005-0000-0000-00002DEA0000}"/>
    <cellStyle name="Процентный 8 96 4" xfId="19870" xr:uid="{00000000-0005-0000-0000-00002EEA0000}"/>
    <cellStyle name="Процентный 8 96 5" xfId="25210" xr:uid="{00000000-0005-0000-0000-00002FEA0000}"/>
    <cellStyle name="Процентный 8 96 6" xfId="30550" xr:uid="{00000000-0005-0000-0000-000030EA0000}"/>
    <cellStyle name="Процентный 8 96 7" xfId="35890" xr:uid="{00000000-0005-0000-0000-000031EA0000}"/>
    <cellStyle name="Процентный 8 96 8" xfId="41230" xr:uid="{00000000-0005-0000-0000-000032EA0000}"/>
    <cellStyle name="Процентный 8 96 9" xfId="46570" xr:uid="{00000000-0005-0000-0000-000033EA0000}"/>
    <cellStyle name="Процентный 8 97" xfId="3879" xr:uid="{00000000-0005-0000-0000-000034EA0000}"/>
    <cellStyle name="Процентный 8 97 10" xfId="51942" xr:uid="{00000000-0005-0000-0000-000035EA0000}"/>
    <cellStyle name="Процентный 8 97 2" xfId="9222" xr:uid="{00000000-0005-0000-0000-000036EA0000}"/>
    <cellStyle name="Процентный 8 97 2 2" xfId="57283" xr:uid="{00000000-0005-0000-0000-000037EA0000}"/>
    <cellStyle name="Процентный 8 97 3" xfId="14562" xr:uid="{00000000-0005-0000-0000-000038EA0000}"/>
    <cellStyle name="Процентный 8 97 4" xfId="19902" xr:uid="{00000000-0005-0000-0000-000039EA0000}"/>
    <cellStyle name="Процентный 8 97 5" xfId="25242" xr:uid="{00000000-0005-0000-0000-00003AEA0000}"/>
    <cellStyle name="Процентный 8 97 6" xfId="30582" xr:uid="{00000000-0005-0000-0000-00003BEA0000}"/>
    <cellStyle name="Процентный 8 97 7" xfId="35922" xr:uid="{00000000-0005-0000-0000-00003CEA0000}"/>
    <cellStyle name="Процентный 8 97 8" xfId="41262" xr:uid="{00000000-0005-0000-0000-00003DEA0000}"/>
    <cellStyle name="Процентный 8 97 9" xfId="46602" xr:uid="{00000000-0005-0000-0000-00003EEA0000}"/>
    <cellStyle name="Процентный 8 98" xfId="3911" xr:uid="{00000000-0005-0000-0000-00003FEA0000}"/>
    <cellStyle name="Процентный 8 98 10" xfId="51974" xr:uid="{00000000-0005-0000-0000-000040EA0000}"/>
    <cellStyle name="Процентный 8 98 2" xfId="9254" xr:uid="{00000000-0005-0000-0000-000041EA0000}"/>
    <cellStyle name="Процентный 8 98 2 2" xfId="57315" xr:uid="{00000000-0005-0000-0000-000042EA0000}"/>
    <cellStyle name="Процентный 8 98 3" xfId="14594" xr:uid="{00000000-0005-0000-0000-000043EA0000}"/>
    <cellStyle name="Процентный 8 98 4" xfId="19934" xr:uid="{00000000-0005-0000-0000-000044EA0000}"/>
    <cellStyle name="Процентный 8 98 5" xfId="25274" xr:uid="{00000000-0005-0000-0000-000045EA0000}"/>
    <cellStyle name="Процентный 8 98 6" xfId="30614" xr:uid="{00000000-0005-0000-0000-000046EA0000}"/>
    <cellStyle name="Процентный 8 98 7" xfId="35954" xr:uid="{00000000-0005-0000-0000-000047EA0000}"/>
    <cellStyle name="Процентный 8 98 8" xfId="41294" xr:uid="{00000000-0005-0000-0000-000048EA0000}"/>
    <cellStyle name="Процентный 8 98 9" xfId="46634" xr:uid="{00000000-0005-0000-0000-000049EA0000}"/>
    <cellStyle name="Процентный 8 99" xfId="3943" xr:uid="{00000000-0005-0000-0000-00004AEA0000}"/>
    <cellStyle name="Процентный 8 99 10" xfId="52006" xr:uid="{00000000-0005-0000-0000-00004BEA0000}"/>
    <cellStyle name="Процентный 8 99 2" xfId="9286" xr:uid="{00000000-0005-0000-0000-00004CEA0000}"/>
    <cellStyle name="Процентный 8 99 2 2" xfId="57347" xr:uid="{00000000-0005-0000-0000-00004DEA0000}"/>
    <cellStyle name="Процентный 8 99 3" xfId="14626" xr:uid="{00000000-0005-0000-0000-00004EEA0000}"/>
    <cellStyle name="Процентный 8 99 4" xfId="19966" xr:uid="{00000000-0005-0000-0000-00004FEA0000}"/>
    <cellStyle name="Процентный 8 99 5" xfId="25306" xr:uid="{00000000-0005-0000-0000-000050EA0000}"/>
    <cellStyle name="Процентный 8 99 6" xfId="30646" xr:uid="{00000000-0005-0000-0000-000051EA0000}"/>
    <cellStyle name="Процентный 8 99 7" xfId="35986" xr:uid="{00000000-0005-0000-0000-000052EA0000}"/>
    <cellStyle name="Процентный 8 99 8" xfId="41326" xr:uid="{00000000-0005-0000-0000-000053EA0000}"/>
    <cellStyle name="Процентный 8 99 9" xfId="46666" xr:uid="{00000000-0005-0000-0000-000054EA0000}"/>
    <cellStyle name="Процентный 9" xfId="9" xr:uid="{00000000-0005-0000-0000-000055EA0000}"/>
    <cellStyle name="Процентный 9 10" xfId="2170" xr:uid="{00000000-0005-0000-0000-000056EA0000}"/>
    <cellStyle name="Процентный 9 10 10" xfId="50234" xr:uid="{00000000-0005-0000-0000-000057EA0000}"/>
    <cellStyle name="Процентный 9 10 2" xfId="7513" xr:uid="{00000000-0005-0000-0000-000058EA0000}"/>
    <cellStyle name="Процентный 9 10 2 2" xfId="55575" xr:uid="{00000000-0005-0000-0000-000059EA0000}"/>
    <cellStyle name="Процентный 9 10 3" xfId="12854" xr:uid="{00000000-0005-0000-0000-00005AEA0000}"/>
    <cellStyle name="Процентный 9 10 4" xfId="18194" xr:uid="{00000000-0005-0000-0000-00005BEA0000}"/>
    <cellStyle name="Процентный 9 10 5" xfId="23534" xr:uid="{00000000-0005-0000-0000-00005CEA0000}"/>
    <cellStyle name="Процентный 9 10 6" xfId="28874" xr:uid="{00000000-0005-0000-0000-00005DEA0000}"/>
    <cellStyle name="Процентный 9 10 7" xfId="34214" xr:uid="{00000000-0005-0000-0000-00005EEA0000}"/>
    <cellStyle name="Процентный 9 10 8" xfId="39554" xr:uid="{00000000-0005-0000-0000-00005FEA0000}"/>
    <cellStyle name="Процентный 9 10 9" xfId="44894" xr:uid="{00000000-0005-0000-0000-000060EA0000}"/>
    <cellStyle name="Процентный 9 100" xfId="5035" xr:uid="{00000000-0005-0000-0000-000061EA0000}"/>
    <cellStyle name="Процентный 9 100 10" xfId="53098" xr:uid="{00000000-0005-0000-0000-000062EA0000}"/>
    <cellStyle name="Процентный 9 100 2" xfId="10378" xr:uid="{00000000-0005-0000-0000-000063EA0000}"/>
    <cellStyle name="Процентный 9 100 2 2" xfId="58439" xr:uid="{00000000-0005-0000-0000-000064EA0000}"/>
    <cellStyle name="Процентный 9 100 3" xfId="15718" xr:uid="{00000000-0005-0000-0000-000065EA0000}"/>
    <cellStyle name="Процентный 9 100 4" xfId="21058" xr:uid="{00000000-0005-0000-0000-000066EA0000}"/>
    <cellStyle name="Процентный 9 100 5" xfId="26398" xr:uid="{00000000-0005-0000-0000-000067EA0000}"/>
    <cellStyle name="Процентный 9 100 6" xfId="31738" xr:uid="{00000000-0005-0000-0000-000068EA0000}"/>
    <cellStyle name="Процентный 9 100 7" xfId="37078" xr:uid="{00000000-0005-0000-0000-000069EA0000}"/>
    <cellStyle name="Процентный 9 100 8" xfId="42418" xr:uid="{00000000-0005-0000-0000-00006AEA0000}"/>
    <cellStyle name="Процентный 9 100 9" xfId="47758" xr:uid="{00000000-0005-0000-0000-00006BEA0000}"/>
    <cellStyle name="Процентный 9 101" xfId="5067" xr:uid="{00000000-0005-0000-0000-00006CEA0000}"/>
    <cellStyle name="Процентный 9 101 10" xfId="53130" xr:uid="{00000000-0005-0000-0000-00006DEA0000}"/>
    <cellStyle name="Процентный 9 101 2" xfId="10410" xr:uid="{00000000-0005-0000-0000-00006EEA0000}"/>
    <cellStyle name="Процентный 9 101 2 2" xfId="58471" xr:uid="{00000000-0005-0000-0000-00006FEA0000}"/>
    <cellStyle name="Процентный 9 101 3" xfId="15750" xr:uid="{00000000-0005-0000-0000-000070EA0000}"/>
    <cellStyle name="Процентный 9 101 4" xfId="21090" xr:uid="{00000000-0005-0000-0000-000071EA0000}"/>
    <cellStyle name="Процентный 9 101 5" xfId="26430" xr:uid="{00000000-0005-0000-0000-000072EA0000}"/>
    <cellStyle name="Процентный 9 101 6" xfId="31770" xr:uid="{00000000-0005-0000-0000-000073EA0000}"/>
    <cellStyle name="Процентный 9 101 7" xfId="37110" xr:uid="{00000000-0005-0000-0000-000074EA0000}"/>
    <cellStyle name="Процентный 9 101 8" xfId="42450" xr:uid="{00000000-0005-0000-0000-000075EA0000}"/>
    <cellStyle name="Процентный 9 101 9" xfId="47790" xr:uid="{00000000-0005-0000-0000-000076EA0000}"/>
    <cellStyle name="Процентный 9 102" xfId="5099" xr:uid="{00000000-0005-0000-0000-000077EA0000}"/>
    <cellStyle name="Процентный 9 102 10" xfId="53162" xr:uid="{00000000-0005-0000-0000-000078EA0000}"/>
    <cellStyle name="Процентный 9 102 2" xfId="10442" xr:uid="{00000000-0005-0000-0000-000079EA0000}"/>
    <cellStyle name="Процентный 9 102 2 2" xfId="58503" xr:uid="{00000000-0005-0000-0000-00007AEA0000}"/>
    <cellStyle name="Процентный 9 102 3" xfId="15782" xr:uid="{00000000-0005-0000-0000-00007BEA0000}"/>
    <cellStyle name="Процентный 9 102 4" xfId="21122" xr:uid="{00000000-0005-0000-0000-00007CEA0000}"/>
    <cellStyle name="Процентный 9 102 5" xfId="26462" xr:uid="{00000000-0005-0000-0000-00007DEA0000}"/>
    <cellStyle name="Процентный 9 102 6" xfId="31802" xr:uid="{00000000-0005-0000-0000-00007EEA0000}"/>
    <cellStyle name="Процентный 9 102 7" xfId="37142" xr:uid="{00000000-0005-0000-0000-00007FEA0000}"/>
    <cellStyle name="Процентный 9 102 8" xfId="42482" xr:uid="{00000000-0005-0000-0000-000080EA0000}"/>
    <cellStyle name="Процентный 9 102 9" xfId="47822" xr:uid="{00000000-0005-0000-0000-000081EA0000}"/>
    <cellStyle name="Процентный 9 103" xfId="5131" xr:uid="{00000000-0005-0000-0000-000082EA0000}"/>
    <cellStyle name="Процентный 9 103 10" xfId="53194" xr:uid="{00000000-0005-0000-0000-000083EA0000}"/>
    <cellStyle name="Процентный 9 103 2" xfId="10474" xr:uid="{00000000-0005-0000-0000-000084EA0000}"/>
    <cellStyle name="Процентный 9 103 2 2" xfId="58535" xr:uid="{00000000-0005-0000-0000-000085EA0000}"/>
    <cellStyle name="Процентный 9 103 3" xfId="15814" xr:uid="{00000000-0005-0000-0000-000086EA0000}"/>
    <cellStyle name="Процентный 9 103 4" xfId="21154" xr:uid="{00000000-0005-0000-0000-000087EA0000}"/>
    <cellStyle name="Процентный 9 103 5" xfId="26494" xr:uid="{00000000-0005-0000-0000-000088EA0000}"/>
    <cellStyle name="Процентный 9 103 6" xfId="31834" xr:uid="{00000000-0005-0000-0000-000089EA0000}"/>
    <cellStyle name="Процентный 9 103 7" xfId="37174" xr:uid="{00000000-0005-0000-0000-00008AEA0000}"/>
    <cellStyle name="Процентный 9 103 8" xfId="42514" xr:uid="{00000000-0005-0000-0000-00008BEA0000}"/>
    <cellStyle name="Процентный 9 103 9" xfId="47854" xr:uid="{00000000-0005-0000-0000-00008CEA0000}"/>
    <cellStyle name="Процентный 9 104" xfId="5163" xr:uid="{00000000-0005-0000-0000-00008DEA0000}"/>
    <cellStyle name="Процентный 9 104 10" xfId="53226" xr:uid="{00000000-0005-0000-0000-00008EEA0000}"/>
    <cellStyle name="Процентный 9 104 2" xfId="10506" xr:uid="{00000000-0005-0000-0000-00008FEA0000}"/>
    <cellStyle name="Процентный 9 104 2 2" xfId="58567" xr:uid="{00000000-0005-0000-0000-000090EA0000}"/>
    <cellStyle name="Процентный 9 104 3" xfId="15846" xr:uid="{00000000-0005-0000-0000-000091EA0000}"/>
    <cellStyle name="Процентный 9 104 4" xfId="21186" xr:uid="{00000000-0005-0000-0000-000092EA0000}"/>
    <cellStyle name="Процентный 9 104 5" xfId="26526" xr:uid="{00000000-0005-0000-0000-000093EA0000}"/>
    <cellStyle name="Процентный 9 104 6" xfId="31866" xr:uid="{00000000-0005-0000-0000-000094EA0000}"/>
    <cellStyle name="Процентный 9 104 7" xfId="37206" xr:uid="{00000000-0005-0000-0000-000095EA0000}"/>
    <cellStyle name="Процентный 9 104 8" xfId="42546" xr:uid="{00000000-0005-0000-0000-000096EA0000}"/>
    <cellStyle name="Процентный 9 104 9" xfId="47886" xr:uid="{00000000-0005-0000-0000-000097EA0000}"/>
    <cellStyle name="Процентный 9 105" xfId="5195" xr:uid="{00000000-0005-0000-0000-000098EA0000}"/>
    <cellStyle name="Процентный 9 105 10" xfId="53258" xr:uid="{00000000-0005-0000-0000-000099EA0000}"/>
    <cellStyle name="Процентный 9 105 2" xfId="10538" xr:uid="{00000000-0005-0000-0000-00009AEA0000}"/>
    <cellStyle name="Процентный 9 105 2 2" xfId="58599" xr:uid="{00000000-0005-0000-0000-00009BEA0000}"/>
    <cellStyle name="Процентный 9 105 3" xfId="15878" xr:uid="{00000000-0005-0000-0000-00009CEA0000}"/>
    <cellStyle name="Процентный 9 105 4" xfId="21218" xr:uid="{00000000-0005-0000-0000-00009DEA0000}"/>
    <cellStyle name="Процентный 9 105 5" xfId="26558" xr:uid="{00000000-0005-0000-0000-00009EEA0000}"/>
    <cellStyle name="Процентный 9 105 6" xfId="31898" xr:uid="{00000000-0005-0000-0000-00009FEA0000}"/>
    <cellStyle name="Процентный 9 105 7" xfId="37238" xr:uid="{00000000-0005-0000-0000-0000A0EA0000}"/>
    <cellStyle name="Процентный 9 105 8" xfId="42578" xr:uid="{00000000-0005-0000-0000-0000A1EA0000}"/>
    <cellStyle name="Процентный 9 105 9" xfId="47918" xr:uid="{00000000-0005-0000-0000-0000A2EA0000}"/>
    <cellStyle name="Процентный 9 106" xfId="5227" xr:uid="{00000000-0005-0000-0000-0000A3EA0000}"/>
    <cellStyle name="Процентный 9 106 10" xfId="53290" xr:uid="{00000000-0005-0000-0000-0000A4EA0000}"/>
    <cellStyle name="Процентный 9 106 2" xfId="10570" xr:uid="{00000000-0005-0000-0000-0000A5EA0000}"/>
    <cellStyle name="Процентный 9 106 2 2" xfId="58631" xr:uid="{00000000-0005-0000-0000-0000A6EA0000}"/>
    <cellStyle name="Процентный 9 106 3" xfId="15910" xr:uid="{00000000-0005-0000-0000-0000A7EA0000}"/>
    <cellStyle name="Процентный 9 106 4" xfId="21250" xr:uid="{00000000-0005-0000-0000-0000A8EA0000}"/>
    <cellStyle name="Процентный 9 106 5" xfId="26590" xr:uid="{00000000-0005-0000-0000-0000A9EA0000}"/>
    <cellStyle name="Процентный 9 106 6" xfId="31930" xr:uid="{00000000-0005-0000-0000-0000AAEA0000}"/>
    <cellStyle name="Процентный 9 106 7" xfId="37270" xr:uid="{00000000-0005-0000-0000-0000ABEA0000}"/>
    <cellStyle name="Процентный 9 106 8" xfId="42610" xr:uid="{00000000-0005-0000-0000-0000ACEA0000}"/>
    <cellStyle name="Процентный 9 106 9" xfId="47950" xr:uid="{00000000-0005-0000-0000-0000ADEA0000}"/>
    <cellStyle name="Процентный 9 107" xfId="5259" xr:uid="{00000000-0005-0000-0000-0000AEEA0000}"/>
    <cellStyle name="Процентный 9 107 10" xfId="53322" xr:uid="{00000000-0005-0000-0000-0000AFEA0000}"/>
    <cellStyle name="Процентный 9 107 2" xfId="10602" xr:uid="{00000000-0005-0000-0000-0000B0EA0000}"/>
    <cellStyle name="Процентный 9 107 2 2" xfId="58663" xr:uid="{00000000-0005-0000-0000-0000B1EA0000}"/>
    <cellStyle name="Процентный 9 107 3" xfId="15942" xr:uid="{00000000-0005-0000-0000-0000B2EA0000}"/>
    <cellStyle name="Процентный 9 107 4" xfId="21282" xr:uid="{00000000-0005-0000-0000-0000B3EA0000}"/>
    <cellStyle name="Процентный 9 107 5" xfId="26622" xr:uid="{00000000-0005-0000-0000-0000B4EA0000}"/>
    <cellStyle name="Процентный 9 107 6" xfId="31962" xr:uid="{00000000-0005-0000-0000-0000B5EA0000}"/>
    <cellStyle name="Процентный 9 107 7" xfId="37302" xr:uid="{00000000-0005-0000-0000-0000B6EA0000}"/>
    <cellStyle name="Процентный 9 107 8" xfId="42642" xr:uid="{00000000-0005-0000-0000-0000B7EA0000}"/>
    <cellStyle name="Процентный 9 107 9" xfId="47982" xr:uid="{00000000-0005-0000-0000-0000B8EA0000}"/>
    <cellStyle name="Процентный 9 108" xfId="5291" xr:uid="{00000000-0005-0000-0000-0000B9EA0000}"/>
    <cellStyle name="Процентный 9 108 10" xfId="53354" xr:uid="{00000000-0005-0000-0000-0000BAEA0000}"/>
    <cellStyle name="Процентный 9 108 2" xfId="10634" xr:uid="{00000000-0005-0000-0000-0000BBEA0000}"/>
    <cellStyle name="Процентный 9 108 2 2" xfId="58695" xr:uid="{00000000-0005-0000-0000-0000BCEA0000}"/>
    <cellStyle name="Процентный 9 108 3" xfId="15974" xr:uid="{00000000-0005-0000-0000-0000BDEA0000}"/>
    <cellStyle name="Процентный 9 108 4" xfId="21314" xr:uid="{00000000-0005-0000-0000-0000BEEA0000}"/>
    <cellStyle name="Процентный 9 108 5" xfId="26654" xr:uid="{00000000-0005-0000-0000-0000BFEA0000}"/>
    <cellStyle name="Процентный 9 108 6" xfId="31994" xr:uid="{00000000-0005-0000-0000-0000C0EA0000}"/>
    <cellStyle name="Процентный 9 108 7" xfId="37334" xr:uid="{00000000-0005-0000-0000-0000C1EA0000}"/>
    <cellStyle name="Процентный 9 108 8" xfId="42674" xr:uid="{00000000-0005-0000-0000-0000C2EA0000}"/>
    <cellStyle name="Процентный 9 108 9" xfId="48014" xr:uid="{00000000-0005-0000-0000-0000C3EA0000}"/>
    <cellStyle name="Процентный 9 109" xfId="5323" xr:uid="{00000000-0005-0000-0000-0000C4EA0000}"/>
    <cellStyle name="Процентный 9 109 10" xfId="53386" xr:uid="{00000000-0005-0000-0000-0000C5EA0000}"/>
    <cellStyle name="Процентный 9 109 2" xfId="10666" xr:uid="{00000000-0005-0000-0000-0000C6EA0000}"/>
    <cellStyle name="Процентный 9 109 2 2" xfId="58727" xr:uid="{00000000-0005-0000-0000-0000C7EA0000}"/>
    <cellStyle name="Процентный 9 109 3" xfId="16006" xr:uid="{00000000-0005-0000-0000-0000C8EA0000}"/>
    <cellStyle name="Процентный 9 109 4" xfId="21346" xr:uid="{00000000-0005-0000-0000-0000C9EA0000}"/>
    <cellStyle name="Процентный 9 109 5" xfId="26686" xr:uid="{00000000-0005-0000-0000-0000CAEA0000}"/>
    <cellStyle name="Процентный 9 109 6" xfId="32026" xr:uid="{00000000-0005-0000-0000-0000CBEA0000}"/>
    <cellStyle name="Процентный 9 109 7" xfId="37366" xr:uid="{00000000-0005-0000-0000-0000CCEA0000}"/>
    <cellStyle name="Процентный 9 109 8" xfId="42706" xr:uid="{00000000-0005-0000-0000-0000CDEA0000}"/>
    <cellStyle name="Процентный 9 109 9" xfId="48046" xr:uid="{00000000-0005-0000-0000-0000CEEA0000}"/>
    <cellStyle name="Процентный 9 11" xfId="2200" xr:uid="{00000000-0005-0000-0000-0000CFEA0000}"/>
    <cellStyle name="Процентный 9 11 10" xfId="50264" xr:uid="{00000000-0005-0000-0000-0000D0EA0000}"/>
    <cellStyle name="Процентный 9 11 2" xfId="7543" xr:uid="{00000000-0005-0000-0000-0000D1EA0000}"/>
    <cellStyle name="Процентный 9 11 2 2" xfId="55605" xr:uid="{00000000-0005-0000-0000-0000D2EA0000}"/>
    <cellStyle name="Процентный 9 11 3" xfId="12884" xr:uid="{00000000-0005-0000-0000-0000D3EA0000}"/>
    <cellStyle name="Процентный 9 11 4" xfId="18224" xr:uid="{00000000-0005-0000-0000-0000D4EA0000}"/>
    <cellStyle name="Процентный 9 11 5" xfId="23564" xr:uid="{00000000-0005-0000-0000-0000D5EA0000}"/>
    <cellStyle name="Процентный 9 11 6" xfId="28904" xr:uid="{00000000-0005-0000-0000-0000D6EA0000}"/>
    <cellStyle name="Процентный 9 11 7" xfId="34244" xr:uid="{00000000-0005-0000-0000-0000D7EA0000}"/>
    <cellStyle name="Процентный 9 11 8" xfId="39584" xr:uid="{00000000-0005-0000-0000-0000D8EA0000}"/>
    <cellStyle name="Процентный 9 11 9" xfId="44924" xr:uid="{00000000-0005-0000-0000-0000D9EA0000}"/>
    <cellStyle name="Процентный 9 110" xfId="5355" xr:uid="{00000000-0005-0000-0000-0000DAEA0000}"/>
    <cellStyle name="Процентный 9 110 10" xfId="53418" xr:uid="{00000000-0005-0000-0000-0000DBEA0000}"/>
    <cellStyle name="Процентный 9 110 2" xfId="10698" xr:uid="{00000000-0005-0000-0000-0000DCEA0000}"/>
    <cellStyle name="Процентный 9 110 2 2" xfId="58759" xr:uid="{00000000-0005-0000-0000-0000DDEA0000}"/>
    <cellStyle name="Процентный 9 110 3" xfId="16038" xr:uid="{00000000-0005-0000-0000-0000DEEA0000}"/>
    <cellStyle name="Процентный 9 110 4" xfId="21378" xr:uid="{00000000-0005-0000-0000-0000DFEA0000}"/>
    <cellStyle name="Процентный 9 110 5" xfId="26718" xr:uid="{00000000-0005-0000-0000-0000E0EA0000}"/>
    <cellStyle name="Процентный 9 110 6" xfId="32058" xr:uid="{00000000-0005-0000-0000-0000E1EA0000}"/>
    <cellStyle name="Процентный 9 110 7" xfId="37398" xr:uid="{00000000-0005-0000-0000-0000E2EA0000}"/>
    <cellStyle name="Процентный 9 110 8" xfId="42738" xr:uid="{00000000-0005-0000-0000-0000E3EA0000}"/>
    <cellStyle name="Процентный 9 110 9" xfId="48078" xr:uid="{00000000-0005-0000-0000-0000E4EA0000}"/>
    <cellStyle name="Процентный 9 111" xfId="5387" xr:uid="{00000000-0005-0000-0000-0000E5EA0000}"/>
    <cellStyle name="Процентный 9 111 10" xfId="53450" xr:uid="{00000000-0005-0000-0000-0000E6EA0000}"/>
    <cellStyle name="Процентный 9 111 2" xfId="10730" xr:uid="{00000000-0005-0000-0000-0000E7EA0000}"/>
    <cellStyle name="Процентный 9 111 2 2" xfId="58791" xr:uid="{00000000-0005-0000-0000-0000E8EA0000}"/>
    <cellStyle name="Процентный 9 111 3" xfId="16070" xr:uid="{00000000-0005-0000-0000-0000E9EA0000}"/>
    <cellStyle name="Процентный 9 111 4" xfId="21410" xr:uid="{00000000-0005-0000-0000-0000EAEA0000}"/>
    <cellStyle name="Процентный 9 111 5" xfId="26750" xr:uid="{00000000-0005-0000-0000-0000EBEA0000}"/>
    <cellStyle name="Процентный 9 111 6" xfId="32090" xr:uid="{00000000-0005-0000-0000-0000ECEA0000}"/>
    <cellStyle name="Процентный 9 111 7" xfId="37430" xr:uid="{00000000-0005-0000-0000-0000EDEA0000}"/>
    <cellStyle name="Процентный 9 111 8" xfId="42770" xr:uid="{00000000-0005-0000-0000-0000EEEA0000}"/>
    <cellStyle name="Процентный 9 111 9" xfId="48110" xr:uid="{00000000-0005-0000-0000-0000EFEA0000}"/>
    <cellStyle name="Процентный 9 12" xfId="2230" xr:uid="{00000000-0005-0000-0000-0000F0EA0000}"/>
    <cellStyle name="Процентный 9 12 10" xfId="50294" xr:uid="{00000000-0005-0000-0000-0000F1EA0000}"/>
    <cellStyle name="Процентный 9 12 2" xfId="7573" xr:uid="{00000000-0005-0000-0000-0000F2EA0000}"/>
    <cellStyle name="Процентный 9 12 2 2" xfId="55635" xr:uid="{00000000-0005-0000-0000-0000F3EA0000}"/>
    <cellStyle name="Процентный 9 12 3" xfId="12914" xr:uid="{00000000-0005-0000-0000-0000F4EA0000}"/>
    <cellStyle name="Процентный 9 12 4" xfId="18254" xr:uid="{00000000-0005-0000-0000-0000F5EA0000}"/>
    <cellStyle name="Процентный 9 12 5" xfId="23594" xr:uid="{00000000-0005-0000-0000-0000F6EA0000}"/>
    <cellStyle name="Процентный 9 12 6" xfId="28934" xr:uid="{00000000-0005-0000-0000-0000F7EA0000}"/>
    <cellStyle name="Процентный 9 12 7" xfId="34274" xr:uid="{00000000-0005-0000-0000-0000F8EA0000}"/>
    <cellStyle name="Процентный 9 12 8" xfId="39614" xr:uid="{00000000-0005-0000-0000-0000F9EA0000}"/>
    <cellStyle name="Процентный 9 12 9" xfId="44954" xr:uid="{00000000-0005-0000-0000-0000FAEA0000}"/>
    <cellStyle name="Процентный 9 13" xfId="2260" xr:uid="{00000000-0005-0000-0000-0000FBEA0000}"/>
    <cellStyle name="Процентный 9 13 10" xfId="50324" xr:uid="{00000000-0005-0000-0000-0000FCEA0000}"/>
    <cellStyle name="Процентный 9 13 2" xfId="7603" xr:uid="{00000000-0005-0000-0000-0000FDEA0000}"/>
    <cellStyle name="Процентный 9 13 2 2" xfId="55665" xr:uid="{00000000-0005-0000-0000-0000FEEA0000}"/>
    <cellStyle name="Процентный 9 13 3" xfId="12944" xr:uid="{00000000-0005-0000-0000-0000FFEA0000}"/>
    <cellStyle name="Процентный 9 13 4" xfId="18284" xr:uid="{00000000-0005-0000-0000-000000EB0000}"/>
    <cellStyle name="Процентный 9 13 5" xfId="23624" xr:uid="{00000000-0005-0000-0000-000001EB0000}"/>
    <cellStyle name="Процентный 9 13 6" xfId="28964" xr:uid="{00000000-0005-0000-0000-000002EB0000}"/>
    <cellStyle name="Процентный 9 13 7" xfId="34304" xr:uid="{00000000-0005-0000-0000-000003EB0000}"/>
    <cellStyle name="Процентный 9 13 8" xfId="39644" xr:uid="{00000000-0005-0000-0000-000004EB0000}"/>
    <cellStyle name="Процентный 9 13 9" xfId="44984" xr:uid="{00000000-0005-0000-0000-000005EB0000}"/>
    <cellStyle name="Процентный 9 14" xfId="2290" xr:uid="{00000000-0005-0000-0000-000006EB0000}"/>
    <cellStyle name="Процентный 9 14 10" xfId="50354" xr:uid="{00000000-0005-0000-0000-000007EB0000}"/>
    <cellStyle name="Процентный 9 14 2" xfId="7633" xr:uid="{00000000-0005-0000-0000-000008EB0000}"/>
    <cellStyle name="Процентный 9 14 2 2" xfId="55695" xr:uid="{00000000-0005-0000-0000-000009EB0000}"/>
    <cellStyle name="Процентный 9 14 3" xfId="12974" xr:uid="{00000000-0005-0000-0000-00000AEB0000}"/>
    <cellStyle name="Процентный 9 14 4" xfId="18314" xr:uid="{00000000-0005-0000-0000-00000BEB0000}"/>
    <cellStyle name="Процентный 9 14 5" xfId="23654" xr:uid="{00000000-0005-0000-0000-00000CEB0000}"/>
    <cellStyle name="Процентный 9 14 6" xfId="28994" xr:uid="{00000000-0005-0000-0000-00000DEB0000}"/>
    <cellStyle name="Процентный 9 14 7" xfId="34334" xr:uid="{00000000-0005-0000-0000-00000EEB0000}"/>
    <cellStyle name="Процентный 9 14 8" xfId="39674" xr:uid="{00000000-0005-0000-0000-00000FEB0000}"/>
    <cellStyle name="Процентный 9 14 9" xfId="45014" xr:uid="{00000000-0005-0000-0000-000010EB0000}"/>
    <cellStyle name="Процентный 9 15" xfId="2320" xr:uid="{00000000-0005-0000-0000-000011EB0000}"/>
    <cellStyle name="Процентный 9 15 10" xfId="50384" xr:uid="{00000000-0005-0000-0000-000012EB0000}"/>
    <cellStyle name="Процентный 9 15 2" xfId="7663" xr:uid="{00000000-0005-0000-0000-000013EB0000}"/>
    <cellStyle name="Процентный 9 15 2 2" xfId="55725" xr:uid="{00000000-0005-0000-0000-000014EB0000}"/>
    <cellStyle name="Процентный 9 15 3" xfId="13004" xr:uid="{00000000-0005-0000-0000-000015EB0000}"/>
    <cellStyle name="Процентный 9 15 4" xfId="18344" xr:uid="{00000000-0005-0000-0000-000016EB0000}"/>
    <cellStyle name="Процентный 9 15 5" xfId="23684" xr:uid="{00000000-0005-0000-0000-000017EB0000}"/>
    <cellStyle name="Процентный 9 15 6" xfId="29024" xr:uid="{00000000-0005-0000-0000-000018EB0000}"/>
    <cellStyle name="Процентный 9 15 7" xfId="34364" xr:uid="{00000000-0005-0000-0000-000019EB0000}"/>
    <cellStyle name="Процентный 9 15 8" xfId="39704" xr:uid="{00000000-0005-0000-0000-00001AEB0000}"/>
    <cellStyle name="Процентный 9 15 9" xfId="45044" xr:uid="{00000000-0005-0000-0000-00001BEB0000}"/>
    <cellStyle name="Процентный 9 16" xfId="2350" xr:uid="{00000000-0005-0000-0000-00001CEB0000}"/>
    <cellStyle name="Процентный 9 16 10" xfId="50414" xr:uid="{00000000-0005-0000-0000-00001DEB0000}"/>
    <cellStyle name="Процентный 9 16 2" xfId="7693" xr:uid="{00000000-0005-0000-0000-00001EEB0000}"/>
    <cellStyle name="Процентный 9 16 2 2" xfId="55755" xr:uid="{00000000-0005-0000-0000-00001FEB0000}"/>
    <cellStyle name="Процентный 9 16 3" xfId="13034" xr:uid="{00000000-0005-0000-0000-000020EB0000}"/>
    <cellStyle name="Процентный 9 16 4" xfId="18374" xr:uid="{00000000-0005-0000-0000-000021EB0000}"/>
    <cellStyle name="Процентный 9 16 5" xfId="23714" xr:uid="{00000000-0005-0000-0000-000022EB0000}"/>
    <cellStyle name="Процентный 9 16 6" xfId="29054" xr:uid="{00000000-0005-0000-0000-000023EB0000}"/>
    <cellStyle name="Процентный 9 16 7" xfId="34394" xr:uid="{00000000-0005-0000-0000-000024EB0000}"/>
    <cellStyle name="Процентный 9 16 8" xfId="39734" xr:uid="{00000000-0005-0000-0000-000025EB0000}"/>
    <cellStyle name="Процентный 9 16 9" xfId="45074" xr:uid="{00000000-0005-0000-0000-000026EB0000}"/>
    <cellStyle name="Процентный 9 17" xfId="2380" xr:uid="{00000000-0005-0000-0000-000027EB0000}"/>
    <cellStyle name="Процентный 9 17 10" xfId="50444" xr:uid="{00000000-0005-0000-0000-000028EB0000}"/>
    <cellStyle name="Процентный 9 17 2" xfId="7723" xr:uid="{00000000-0005-0000-0000-000029EB0000}"/>
    <cellStyle name="Процентный 9 17 2 2" xfId="55785" xr:uid="{00000000-0005-0000-0000-00002AEB0000}"/>
    <cellStyle name="Процентный 9 17 3" xfId="13064" xr:uid="{00000000-0005-0000-0000-00002BEB0000}"/>
    <cellStyle name="Процентный 9 17 4" xfId="18404" xr:uid="{00000000-0005-0000-0000-00002CEB0000}"/>
    <cellStyle name="Процентный 9 17 5" xfId="23744" xr:uid="{00000000-0005-0000-0000-00002DEB0000}"/>
    <cellStyle name="Процентный 9 17 6" xfId="29084" xr:uid="{00000000-0005-0000-0000-00002EEB0000}"/>
    <cellStyle name="Процентный 9 17 7" xfId="34424" xr:uid="{00000000-0005-0000-0000-00002FEB0000}"/>
    <cellStyle name="Процентный 9 17 8" xfId="39764" xr:uid="{00000000-0005-0000-0000-000030EB0000}"/>
    <cellStyle name="Процентный 9 17 9" xfId="45104" xr:uid="{00000000-0005-0000-0000-000031EB0000}"/>
    <cellStyle name="Процентный 9 18" xfId="2410" xr:uid="{00000000-0005-0000-0000-000032EB0000}"/>
    <cellStyle name="Процентный 9 18 10" xfId="50474" xr:uid="{00000000-0005-0000-0000-000033EB0000}"/>
    <cellStyle name="Процентный 9 18 2" xfId="7753" xr:uid="{00000000-0005-0000-0000-000034EB0000}"/>
    <cellStyle name="Процентный 9 18 2 2" xfId="55815" xr:uid="{00000000-0005-0000-0000-000035EB0000}"/>
    <cellStyle name="Процентный 9 18 3" xfId="13094" xr:uid="{00000000-0005-0000-0000-000036EB0000}"/>
    <cellStyle name="Процентный 9 18 4" xfId="18434" xr:uid="{00000000-0005-0000-0000-000037EB0000}"/>
    <cellStyle name="Процентный 9 18 5" xfId="23774" xr:uid="{00000000-0005-0000-0000-000038EB0000}"/>
    <cellStyle name="Процентный 9 18 6" xfId="29114" xr:uid="{00000000-0005-0000-0000-000039EB0000}"/>
    <cellStyle name="Процентный 9 18 7" xfId="34454" xr:uid="{00000000-0005-0000-0000-00003AEB0000}"/>
    <cellStyle name="Процентный 9 18 8" xfId="39794" xr:uid="{00000000-0005-0000-0000-00003BEB0000}"/>
    <cellStyle name="Процентный 9 18 9" xfId="45134" xr:uid="{00000000-0005-0000-0000-00003CEB0000}"/>
    <cellStyle name="Процентный 9 19" xfId="2440" xr:uid="{00000000-0005-0000-0000-00003DEB0000}"/>
    <cellStyle name="Процентный 9 19 10" xfId="50504" xr:uid="{00000000-0005-0000-0000-00003EEB0000}"/>
    <cellStyle name="Процентный 9 19 2" xfId="7783" xr:uid="{00000000-0005-0000-0000-00003FEB0000}"/>
    <cellStyle name="Процентный 9 19 2 2" xfId="55845" xr:uid="{00000000-0005-0000-0000-000040EB0000}"/>
    <cellStyle name="Процентный 9 19 3" xfId="13124" xr:uid="{00000000-0005-0000-0000-000041EB0000}"/>
    <cellStyle name="Процентный 9 19 4" xfId="18464" xr:uid="{00000000-0005-0000-0000-000042EB0000}"/>
    <cellStyle name="Процентный 9 19 5" xfId="23804" xr:uid="{00000000-0005-0000-0000-000043EB0000}"/>
    <cellStyle name="Процентный 9 19 6" xfId="29144" xr:uid="{00000000-0005-0000-0000-000044EB0000}"/>
    <cellStyle name="Процентный 9 19 7" xfId="34484" xr:uid="{00000000-0005-0000-0000-000045EB0000}"/>
    <cellStyle name="Процентный 9 19 8" xfId="39824" xr:uid="{00000000-0005-0000-0000-000046EB0000}"/>
    <cellStyle name="Процентный 9 19 9" xfId="45164" xr:uid="{00000000-0005-0000-0000-000047EB0000}"/>
    <cellStyle name="Процентный 9 2" xfId="1945" xr:uid="{00000000-0005-0000-0000-000048EB0000}"/>
    <cellStyle name="Процентный 9 2 10" xfId="50008" xr:uid="{00000000-0005-0000-0000-000049EB0000}"/>
    <cellStyle name="Процентный 9 2 2" xfId="7287" xr:uid="{00000000-0005-0000-0000-00004AEB0000}"/>
    <cellStyle name="Процентный 9 2 2 2" xfId="55349" xr:uid="{00000000-0005-0000-0000-00004BEB0000}"/>
    <cellStyle name="Процентный 9 2 3" xfId="12628" xr:uid="{00000000-0005-0000-0000-00004CEB0000}"/>
    <cellStyle name="Процентный 9 2 4" xfId="17968" xr:uid="{00000000-0005-0000-0000-00004DEB0000}"/>
    <cellStyle name="Процентный 9 2 5" xfId="23308" xr:uid="{00000000-0005-0000-0000-00004EEB0000}"/>
    <cellStyle name="Процентный 9 2 6" xfId="28648" xr:uid="{00000000-0005-0000-0000-00004FEB0000}"/>
    <cellStyle name="Процентный 9 2 7" xfId="33988" xr:uid="{00000000-0005-0000-0000-000050EB0000}"/>
    <cellStyle name="Процентный 9 2 8" xfId="39328" xr:uid="{00000000-0005-0000-0000-000051EB0000}"/>
    <cellStyle name="Процентный 9 2 9" xfId="44668" xr:uid="{00000000-0005-0000-0000-000052EB0000}"/>
    <cellStyle name="Процентный 9 20" xfId="2470" xr:uid="{00000000-0005-0000-0000-000053EB0000}"/>
    <cellStyle name="Процентный 9 20 10" xfId="50534" xr:uid="{00000000-0005-0000-0000-000054EB0000}"/>
    <cellStyle name="Процентный 9 20 2" xfId="7813" xr:uid="{00000000-0005-0000-0000-000055EB0000}"/>
    <cellStyle name="Процентный 9 20 2 2" xfId="55875" xr:uid="{00000000-0005-0000-0000-000056EB0000}"/>
    <cellStyle name="Процентный 9 20 3" xfId="13154" xr:uid="{00000000-0005-0000-0000-000057EB0000}"/>
    <cellStyle name="Процентный 9 20 4" xfId="18494" xr:uid="{00000000-0005-0000-0000-000058EB0000}"/>
    <cellStyle name="Процентный 9 20 5" xfId="23834" xr:uid="{00000000-0005-0000-0000-000059EB0000}"/>
    <cellStyle name="Процентный 9 20 6" xfId="29174" xr:uid="{00000000-0005-0000-0000-00005AEB0000}"/>
    <cellStyle name="Процентный 9 20 7" xfId="34514" xr:uid="{00000000-0005-0000-0000-00005BEB0000}"/>
    <cellStyle name="Процентный 9 20 8" xfId="39854" xr:uid="{00000000-0005-0000-0000-00005CEB0000}"/>
    <cellStyle name="Процентный 9 20 9" xfId="45194" xr:uid="{00000000-0005-0000-0000-00005DEB0000}"/>
    <cellStyle name="Процентный 9 21" xfId="2500" xr:uid="{00000000-0005-0000-0000-00005EEB0000}"/>
    <cellStyle name="Процентный 9 21 10" xfId="50564" xr:uid="{00000000-0005-0000-0000-00005FEB0000}"/>
    <cellStyle name="Процентный 9 21 2" xfId="7843" xr:uid="{00000000-0005-0000-0000-000060EB0000}"/>
    <cellStyle name="Процентный 9 21 2 2" xfId="55905" xr:uid="{00000000-0005-0000-0000-000061EB0000}"/>
    <cellStyle name="Процентный 9 21 3" xfId="13184" xr:uid="{00000000-0005-0000-0000-000062EB0000}"/>
    <cellStyle name="Процентный 9 21 4" xfId="18524" xr:uid="{00000000-0005-0000-0000-000063EB0000}"/>
    <cellStyle name="Процентный 9 21 5" xfId="23864" xr:uid="{00000000-0005-0000-0000-000064EB0000}"/>
    <cellStyle name="Процентный 9 21 6" xfId="29204" xr:uid="{00000000-0005-0000-0000-000065EB0000}"/>
    <cellStyle name="Процентный 9 21 7" xfId="34544" xr:uid="{00000000-0005-0000-0000-000066EB0000}"/>
    <cellStyle name="Процентный 9 21 8" xfId="39884" xr:uid="{00000000-0005-0000-0000-000067EB0000}"/>
    <cellStyle name="Процентный 9 21 9" xfId="45224" xr:uid="{00000000-0005-0000-0000-000068EB0000}"/>
    <cellStyle name="Процентный 9 22" xfId="2532" xr:uid="{00000000-0005-0000-0000-000069EB0000}"/>
    <cellStyle name="Процентный 9 22 10" xfId="50596" xr:uid="{00000000-0005-0000-0000-00006AEB0000}"/>
    <cellStyle name="Процентный 9 22 2" xfId="7875" xr:uid="{00000000-0005-0000-0000-00006BEB0000}"/>
    <cellStyle name="Процентный 9 22 2 2" xfId="55937" xr:uid="{00000000-0005-0000-0000-00006CEB0000}"/>
    <cellStyle name="Процентный 9 22 3" xfId="13216" xr:uid="{00000000-0005-0000-0000-00006DEB0000}"/>
    <cellStyle name="Процентный 9 22 4" xfId="18556" xr:uid="{00000000-0005-0000-0000-00006EEB0000}"/>
    <cellStyle name="Процентный 9 22 5" xfId="23896" xr:uid="{00000000-0005-0000-0000-00006FEB0000}"/>
    <cellStyle name="Процентный 9 22 6" xfId="29236" xr:uid="{00000000-0005-0000-0000-000070EB0000}"/>
    <cellStyle name="Процентный 9 22 7" xfId="34576" xr:uid="{00000000-0005-0000-0000-000071EB0000}"/>
    <cellStyle name="Процентный 9 22 8" xfId="39916" xr:uid="{00000000-0005-0000-0000-000072EB0000}"/>
    <cellStyle name="Процентный 9 22 9" xfId="45256" xr:uid="{00000000-0005-0000-0000-000073EB0000}"/>
    <cellStyle name="Процентный 9 23" xfId="2566" xr:uid="{00000000-0005-0000-0000-000074EB0000}"/>
    <cellStyle name="Процентный 9 23 10" xfId="50630" xr:uid="{00000000-0005-0000-0000-000075EB0000}"/>
    <cellStyle name="Процентный 9 23 2" xfId="7909" xr:uid="{00000000-0005-0000-0000-000076EB0000}"/>
    <cellStyle name="Процентный 9 23 2 2" xfId="55971" xr:uid="{00000000-0005-0000-0000-000077EB0000}"/>
    <cellStyle name="Процентный 9 23 3" xfId="13250" xr:uid="{00000000-0005-0000-0000-000078EB0000}"/>
    <cellStyle name="Процентный 9 23 4" xfId="18590" xr:uid="{00000000-0005-0000-0000-000079EB0000}"/>
    <cellStyle name="Процентный 9 23 5" xfId="23930" xr:uid="{00000000-0005-0000-0000-00007AEB0000}"/>
    <cellStyle name="Процентный 9 23 6" xfId="29270" xr:uid="{00000000-0005-0000-0000-00007BEB0000}"/>
    <cellStyle name="Процентный 9 23 7" xfId="34610" xr:uid="{00000000-0005-0000-0000-00007CEB0000}"/>
    <cellStyle name="Процентный 9 23 8" xfId="39950" xr:uid="{00000000-0005-0000-0000-00007DEB0000}"/>
    <cellStyle name="Процентный 9 23 9" xfId="45290" xr:uid="{00000000-0005-0000-0000-00007EEB0000}"/>
    <cellStyle name="Процентный 9 24" xfId="2598" xr:uid="{00000000-0005-0000-0000-00007FEB0000}"/>
    <cellStyle name="Процентный 9 24 10" xfId="50662" xr:uid="{00000000-0005-0000-0000-000080EB0000}"/>
    <cellStyle name="Процентный 9 24 2" xfId="7941" xr:uid="{00000000-0005-0000-0000-000081EB0000}"/>
    <cellStyle name="Процентный 9 24 2 2" xfId="56003" xr:uid="{00000000-0005-0000-0000-000082EB0000}"/>
    <cellStyle name="Процентный 9 24 3" xfId="13282" xr:uid="{00000000-0005-0000-0000-000083EB0000}"/>
    <cellStyle name="Процентный 9 24 4" xfId="18622" xr:uid="{00000000-0005-0000-0000-000084EB0000}"/>
    <cellStyle name="Процентный 9 24 5" xfId="23962" xr:uid="{00000000-0005-0000-0000-000085EB0000}"/>
    <cellStyle name="Процентный 9 24 6" xfId="29302" xr:uid="{00000000-0005-0000-0000-000086EB0000}"/>
    <cellStyle name="Процентный 9 24 7" xfId="34642" xr:uid="{00000000-0005-0000-0000-000087EB0000}"/>
    <cellStyle name="Процентный 9 24 8" xfId="39982" xr:uid="{00000000-0005-0000-0000-000088EB0000}"/>
    <cellStyle name="Процентный 9 24 9" xfId="45322" xr:uid="{00000000-0005-0000-0000-000089EB0000}"/>
    <cellStyle name="Процентный 9 25" xfId="2630" xr:uid="{00000000-0005-0000-0000-00008AEB0000}"/>
    <cellStyle name="Процентный 9 25 10" xfId="50694" xr:uid="{00000000-0005-0000-0000-00008BEB0000}"/>
    <cellStyle name="Процентный 9 25 2" xfId="7973" xr:uid="{00000000-0005-0000-0000-00008CEB0000}"/>
    <cellStyle name="Процентный 9 25 2 2" xfId="56035" xr:uid="{00000000-0005-0000-0000-00008DEB0000}"/>
    <cellStyle name="Процентный 9 25 3" xfId="13314" xr:uid="{00000000-0005-0000-0000-00008EEB0000}"/>
    <cellStyle name="Процентный 9 25 4" xfId="18654" xr:uid="{00000000-0005-0000-0000-00008FEB0000}"/>
    <cellStyle name="Процентный 9 25 5" xfId="23994" xr:uid="{00000000-0005-0000-0000-000090EB0000}"/>
    <cellStyle name="Процентный 9 25 6" xfId="29334" xr:uid="{00000000-0005-0000-0000-000091EB0000}"/>
    <cellStyle name="Процентный 9 25 7" xfId="34674" xr:uid="{00000000-0005-0000-0000-000092EB0000}"/>
    <cellStyle name="Процентный 9 25 8" xfId="40014" xr:uid="{00000000-0005-0000-0000-000093EB0000}"/>
    <cellStyle name="Процентный 9 25 9" xfId="45354" xr:uid="{00000000-0005-0000-0000-000094EB0000}"/>
    <cellStyle name="Процентный 9 26" xfId="2662" xr:uid="{00000000-0005-0000-0000-000095EB0000}"/>
    <cellStyle name="Процентный 9 26 10" xfId="50726" xr:uid="{00000000-0005-0000-0000-000096EB0000}"/>
    <cellStyle name="Процентный 9 26 2" xfId="8005" xr:uid="{00000000-0005-0000-0000-000097EB0000}"/>
    <cellStyle name="Процентный 9 26 2 2" xfId="56067" xr:uid="{00000000-0005-0000-0000-000098EB0000}"/>
    <cellStyle name="Процентный 9 26 3" xfId="13346" xr:uid="{00000000-0005-0000-0000-000099EB0000}"/>
    <cellStyle name="Процентный 9 26 4" xfId="18686" xr:uid="{00000000-0005-0000-0000-00009AEB0000}"/>
    <cellStyle name="Процентный 9 26 5" xfId="24026" xr:uid="{00000000-0005-0000-0000-00009BEB0000}"/>
    <cellStyle name="Процентный 9 26 6" xfId="29366" xr:uid="{00000000-0005-0000-0000-00009CEB0000}"/>
    <cellStyle name="Процентный 9 26 7" xfId="34706" xr:uid="{00000000-0005-0000-0000-00009DEB0000}"/>
    <cellStyle name="Процентный 9 26 8" xfId="40046" xr:uid="{00000000-0005-0000-0000-00009EEB0000}"/>
    <cellStyle name="Процентный 9 26 9" xfId="45386" xr:uid="{00000000-0005-0000-0000-00009FEB0000}"/>
    <cellStyle name="Процентный 9 27" xfId="2694" xr:uid="{00000000-0005-0000-0000-0000A0EB0000}"/>
    <cellStyle name="Процентный 9 27 10" xfId="50758" xr:uid="{00000000-0005-0000-0000-0000A1EB0000}"/>
    <cellStyle name="Процентный 9 27 2" xfId="8037" xr:uid="{00000000-0005-0000-0000-0000A2EB0000}"/>
    <cellStyle name="Процентный 9 27 2 2" xfId="56099" xr:uid="{00000000-0005-0000-0000-0000A3EB0000}"/>
    <cellStyle name="Процентный 9 27 3" xfId="13378" xr:uid="{00000000-0005-0000-0000-0000A4EB0000}"/>
    <cellStyle name="Процентный 9 27 4" xfId="18718" xr:uid="{00000000-0005-0000-0000-0000A5EB0000}"/>
    <cellStyle name="Процентный 9 27 5" xfId="24058" xr:uid="{00000000-0005-0000-0000-0000A6EB0000}"/>
    <cellStyle name="Процентный 9 27 6" xfId="29398" xr:uid="{00000000-0005-0000-0000-0000A7EB0000}"/>
    <cellStyle name="Процентный 9 27 7" xfId="34738" xr:uid="{00000000-0005-0000-0000-0000A8EB0000}"/>
    <cellStyle name="Процентный 9 27 8" xfId="40078" xr:uid="{00000000-0005-0000-0000-0000A9EB0000}"/>
    <cellStyle name="Процентный 9 27 9" xfId="45418" xr:uid="{00000000-0005-0000-0000-0000AAEB0000}"/>
    <cellStyle name="Процентный 9 28" xfId="2726" xr:uid="{00000000-0005-0000-0000-0000ABEB0000}"/>
    <cellStyle name="Процентный 9 28 10" xfId="50790" xr:uid="{00000000-0005-0000-0000-0000ACEB0000}"/>
    <cellStyle name="Процентный 9 28 2" xfId="8069" xr:uid="{00000000-0005-0000-0000-0000ADEB0000}"/>
    <cellStyle name="Процентный 9 28 2 2" xfId="56131" xr:uid="{00000000-0005-0000-0000-0000AEEB0000}"/>
    <cellStyle name="Процентный 9 28 3" xfId="13410" xr:uid="{00000000-0005-0000-0000-0000AFEB0000}"/>
    <cellStyle name="Процентный 9 28 4" xfId="18750" xr:uid="{00000000-0005-0000-0000-0000B0EB0000}"/>
    <cellStyle name="Процентный 9 28 5" xfId="24090" xr:uid="{00000000-0005-0000-0000-0000B1EB0000}"/>
    <cellStyle name="Процентный 9 28 6" xfId="29430" xr:uid="{00000000-0005-0000-0000-0000B2EB0000}"/>
    <cellStyle name="Процентный 9 28 7" xfId="34770" xr:uid="{00000000-0005-0000-0000-0000B3EB0000}"/>
    <cellStyle name="Процентный 9 28 8" xfId="40110" xr:uid="{00000000-0005-0000-0000-0000B4EB0000}"/>
    <cellStyle name="Процентный 9 28 9" xfId="45450" xr:uid="{00000000-0005-0000-0000-0000B5EB0000}"/>
    <cellStyle name="Процентный 9 29" xfId="2758" xr:uid="{00000000-0005-0000-0000-0000B6EB0000}"/>
    <cellStyle name="Процентный 9 29 10" xfId="50822" xr:uid="{00000000-0005-0000-0000-0000B7EB0000}"/>
    <cellStyle name="Процентный 9 29 2" xfId="8101" xr:uid="{00000000-0005-0000-0000-0000B8EB0000}"/>
    <cellStyle name="Процентный 9 29 2 2" xfId="56163" xr:uid="{00000000-0005-0000-0000-0000B9EB0000}"/>
    <cellStyle name="Процентный 9 29 3" xfId="13442" xr:uid="{00000000-0005-0000-0000-0000BAEB0000}"/>
    <cellStyle name="Процентный 9 29 4" xfId="18782" xr:uid="{00000000-0005-0000-0000-0000BBEB0000}"/>
    <cellStyle name="Процентный 9 29 5" xfId="24122" xr:uid="{00000000-0005-0000-0000-0000BCEB0000}"/>
    <cellStyle name="Процентный 9 29 6" xfId="29462" xr:uid="{00000000-0005-0000-0000-0000BDEB0000}"/>
    <cellStyle name="Процентный 9 29 7" xfId="34802" xr:uid="{00000000-0005-0000-0000-0000BEEB0000}"/>
    <cellStyle name="Процентный 9 29 8" xfId="40142" xr:uid="{00000000-0005-0000-0000-0000BFEB0000}"/>
    <cellStyle name="Процентный 9 29 9" xfId="45482" xr:uid="{00000000-0005-0000-0000-0000C0EB0000}"/>
    <cellStyle name="Процентный 9 3" xfId="1972" xr:uid="{00000000-0005-0000-0000-0000C1EB0000}"/>
    <cellStyle name="Процентный 9 3 10" xfId="50036" xr:uid="{00000000-0005-0000-0000-0000C2EB0000}"/>
    <cellStyle name="Процентный 9 3 2" xfId="7315" xr:uid="{00000000-0005-0000-0000-0000C3EB0000}"/>
    <cellStyle name="Процентный 9 3 2 2" xfId="55377" xr:uid="{00000000-0005-0000-0000-0000C4EB0000}"/>
    <cellStyle name="Процентный 9 3 3" xfId="12656" xr:uid="{00000000-0005-0000-0000-0000C5EB0000}"/>
    <cellStyle name="Процентный 9 3 4" xfId="17996" xr:uid="{00000000-0005-0000-0000-0000C6EB0000}"/>
    <cellStyle name="Процентный 9 3 5" xfId="23336" xr:uid="{00000000-0005-0000-0000-0000C7EB0000}"/>
    <cellStyle name="Процентный 9 3 6" xfId="28676" xr:uid="{00000000-0005-0000-0000-0000C8EB0000}"/>
    <cellStyle name="Процентный 9 3 7" xfId="34016" xr:uid="{00000000-0005-0000-0000-0000C9EB0000}"/>
    <cellStyle name="Процентный 9 3 8" xfId="39356" xr:uid="{00000000-0005-0000-0000-0000CAEB0000}"/>
    <cellStyle name="Процентный 9 3 9" xfId="44696" xr:uid="{00000000-0005-0000-0000-0000CBEB0000}"/>
    <cellStyle name="Процентный 9 30" xfId="2792" xr:uid="{00000000-0005-0000-0000-0000CCEB0000}"/>
    <cellStyle name="Процентный 9 30 10" xfId="50856" xr:uid="{00000000-0005-0000-0000-0000CDEB0000}"/>
    <cellStyle name="Процентный 9 30 2" xfId="8135" xr:uid="{00000000-0005-0000-0000-0000CEEB0000}"/>
    <cellStyle name="Процентный 9 30 2 2" xfId="56197" xr:uid="{00000000-0005-0000-0000-0000CFEB0000}"/>
    <cellStyle name="Процентный 9 30 3" xfId="13476" xr:uid="{00000000-0005-0000-0000-0000D0EB0000}"/>
    <cellStyle name="Процентный 9 30 4" xfId="18816" xr:uid="{00000000-0005-0000-0000-0000D1EB0000}"/>
    <cellStyle name="Процентный 9 30 5" xfId="24156" xr:uid="{00000000-0005-0000-0000-0000D2EB0000}"/>
    <cellStyle name="Процентный 9 30 6" xfId="29496" xr:uid="{00000000-0005-0000-0000-0000D3EB0000}"/>
    <cellStyle name="Процентный 9 30 7" xfId="34836" xr:uid="{00000000-0005-0000-0000-0000D4EB0000}"/>
    <cellStyle name="Процентный 9 30 8" xfId="40176" xr:uid="{00000000-0005-0000-0000-0000D5EB0000}"/>
    <cellStyle name="Процентный 9 30 9" xfId="45516" xr:uid="{00000000-0005-0000-0000-0000D6EB0000}"/>
    <cellStyle name="Процентный 9 31" xfId="2824" xr:uid="{00000000-0005-0000-0000-0000D7EB0000}"/>
    <cellStyle name="Процентный 9 31 10" xfId="50888" xr:uid="{00000000-0005-0000-0000-0000D8EB0000}"/>
    <cellStyle name="Процентный 9 31 2" xfId="8167" xr:uid="{00000000-0005-0000-0000-0000D9EB0000}"/>
    <cellStyle name="Процентный 9 31 2 2" xfId="56229" xr:uid="{00000000-0005-0000-0000-0000DAEB0000}"/>
    <cellStyle name="Процентный 9 31 3" xfId="13508" xr:uid="{00000000-0005-0000-0000-0000DBEB0000}"/>
    <cellStyle name="Процентный 9 31 4" xfId="18848" xr:uid="{00000000-0005-0000-0000-0000DCEB0000}"/>
    <cellStyle name="Процентный 9 31 5" xfId="24188" xr:uid="{00000000-0005-0000-0000-0000DDEB0000}"/>
    <cellStyle name="Процентный 9 31 6" xfId="29528" xr:uid="{00000000-0005-0000-0000-0000DEEB0000}"/>
    <cellStyle name="Процентный 9 31 7" xfId="34868" xr:uid="{00000000-0005-0000-0000-0000DFEB0000}"/>
    <cellStyle name="Процентный 9 31 8" xfId="40208" xr:uid="{00000000-0005-0000-0000-0000E0EB0000}"/>
    <cellStyle name="Процентный 9 31 9" xfId="45548" xr:uid="{00000000-0005-0000-0000-0000E1EB0000}"/>
    <cellStyle name="Процентный 9 32" xfId="2856" xr:uid="{00000000-0005-0000-0000-0000E2EB0000}"/>
    <cellStyle name="Процентный 9 32 10" xfId="50920" xr:uid="{00000000-0005-0000-0000-0000E3EB0000}"/>
    <cellStyle name="Процентный 9 32 2" xfId="8199" xr:uid="{00000000-0005-0000-0000-0000E4EB0000}"/>
    <cellStyle name="Процентный 9 32 2 2" xfId="56261" xr:uid="{00000000-0005-0000-0000-0000E5EB0000}"/>
    <cellStyle name="Процентный 9 32 3" xfId="13540" xr:uid="{00000000-0005-0000-0000-0000E6EB0000}"/>
    <cellStyle name="Процентный 9 32 4" xfId="18880" xr:uid="{00000000-0005-0000-0000-0000E7EB0000}"/>
    <cellStyle name="Процентный 9 32 5" xfId="24220" xr:uid="{00000000-0005-0000-0000-0000E8EB0000}"/>
    <cellStyle name="Процентный 9 32 6" xfId="29560" xr:uid="{00000000-0005-0000-0000-0000E9EB0000}"/>
    <cellStyle name="Процентный 9 32 7" xfId="34900" xr:uid="{00000000-0005-0000-0000-0000EAEB0000}"/>
    <cellStyle name="Процентный 9 32 8" xfId="40240" xr:uid="{00000000-0005-0000-0000-0000EBEB0000}"/>
    <cellStyle name="Процентный 9 32 9" xfId="45580" xr:uid="{00000000-0005-0000-0000-0000ECEB0000}"/>
    <cellStyle name="Процентный 9 33" xfId="2888" xr:uid="{00000000-0005-0000-0000-0000EDEB0000}"/>
    <cellStyle name="Процентный 9 33 10" xfId="50952" xr:uid="{00000000-0005-0000-0000-0000EEEB0000}"/>
    <cellStyle name="Процентный 9 33 2" xfId="8231" xr:uid="{00000000-0005-0000-0000-0000EFEB0000}"/>
    <cellStyle name="Процентный 9 33 2 2" xfId="56293" xr:uid="{00000000-0005-0000-0000-0000F0EB0000}"/>
    <cellStyle name="Процентный 9 33 3" xfId="13572" xr:uid="{00000000-0005-0000-0000-0000F1EB0000}"/>
    <cellStyle name="Процентный 9 33 4" xfId="18912" xr:uid="{00000000-0005-0000-0000-0000F2EB0000}"/>
    <cellStyle name="Процентный 9 33 5" xfId="24252" xr:uid="{00000000-0005-0000-0000-0000F3EB0000}"/>
    <cellStyle name="Процентный 9 33 6" xfId="29592" xr:uid="{00000000-0005-0000-0000-0000F4EB0000}"/>
    <cellStyle name="Процентный 9 33 7" xfId="34932" xr:uid="{00000000-0005-0000-0000-0000F5EB0000}"/>
    <cellStyle name="Процентный 9 33 8" xfId="40272" xr:uid="{00000000-0005-0000-0000-0000F6EB0000}"/>
    <cellStyle name="Процентный 9 33 9" xfId="45612" xr:uid="{00000000-0005-0000-0000-0000F7EB0000}"/>
    <cellStyle name="Процентный 9 34" xfId="2920" xr:uid="{00000000-0005-0000-0000-0000F8EB0000}"/>
    <cellStyle name="Процентный 9 34 10" xfId="50984" xr:uid="{00000000-0005-0000-0000-0000F9EB0000}"/>
    <cellStyle name="Процентный 9 34 2" xfId="8263" xr:uid="{00000000-0005-0000-0000-0000FAEB0000}"/>
    <cellStyle name="Процентный 9 34 2 2" xfId="56325" xr:uid="{00000000-0005-0000-0000-0000FBEB0000}"/>
    <cellStyle name="Процентный 9 34 3" xfId="13604" xr:uid="{00000000-0005-0000-0000-0000FCEB0000}"/>
    <cellStyle name="Процентный 9 34 4" xfId="18944" xr:uid="{00000000-0005-0000-0000-0000FDEB0000}"/>
    <cellStyle name="Процентный 9 34 5" xfId="24284" xr:uid="{00000000-0005-0000-0000-0000FEEB0000}"/>
    <cellStyle name="Процентный 9 34 6" xfId="29624" xr:uid="{00000000-0005-0000-0000-0000FFEB0000}"/>
    <cellStyle name="Процентный 9 34 7" xfId="34964" xr:uid="{00000000-0005-0000-0000-000000EC0000}"/>
    <cellStyle name="Процентный 9 34 8" xfId="40304" xr:uid="{00000000-0005-0000-0000-000001EC0000}"/>
    <cellStyle name="Процентный 9 34 9" xfId="45644" xr:uid="{00000000-0005-0000-0000-000002EC0000}"/>
    <cellStyle name="Процентный 9 35" xfId="2952" xr:uid="{00000000-0005-0000-0000-000003EC0000}"/>
    <cellStyle name="Процентный 9 35 10" xfId="51016" xr:uid="{00000000-0005-0000-0000-000004EC0000}"/>
    <cellStyle name="Процентный 9 35 2" xfId="8295" xr:uid="{00000000-0005-0000-0000-000005EC0000}"/>
    <cellStyle name="Процентный 9 35 2 2" xfId="56357" xr:uid="{00000000-0005-0000-0000-000006EC0000}"/>
    <cellStyle name="Процентный 9 35 3" xfId="13636" xr:uid="{00000000-0005-0000-0000-000007EC0000}"/>
    <cellStyle name="Процентный 9 35 4" xfId="18976" xr:uid="{00000000-0005-0000-0000-000008EC0000}"/>
    <cellStyle name="Процентный 9 35 5" xfId="24316" xr:uid="{00000000-0005-0000-0000-000009EC0000}"/>
    <cellStyle name="Процентный 9 35 6" xfId="29656" xr:uid="{00000000-0005-0000-0000-00000AEC0000}"/>
    <cellStyle name="Процентный 9 35 7" xfId="34996" xr:uid="{00000000-0005-0000-0000-00000BEC0000}"/>
    <cellStyle name="Процентный 9 35 8" xfId="40336" xr:uid="{00000000-0005-0000-0000-00000CEC0000}"/>
    <cellStyle name="Процентный 9 35 9" xfId="45676" xr:uid="{00000000-0005-0000-0000-00000DEC0000}"/>
    <cellStyle name="Процентный 9 36" xfId="2984" xr:uid="{00000000-0005-0000-0000-00000EEC0000}"/>
    <cellStyle name="Процентный 9 36 10" xfId="51048" xr:uid="{00000000-0005-0000-0000-00000FEC0000}"/>
    <cellStyle name="Процентный 9 36 2" xfId="8327" xr:uid="{00000000-0005-0000-0000-000010EC0000}"/>
    <cellStyle name="Процентный 9 36 2 2" xfId="56389" xr:uid="{00000000-0005-0000-0000-000011EC0000}"/>
    <cellStyle name="Процентный 9 36 3" xfId="13668" xr:uid="{00000000-0005-0000-0000-000012EC0000}"/>
    <cellStyle name="Процентный 9 36 4" xfId="19008" xr:uid="{00000000-0005-0000-0000-000013EC0000}"/>
    <cellStyle name="Процентный 9 36 5" xfId="24348" xr:uid="{00000000-0005-0000-0000-000014EC0000}"/>
    <cellStyle name="Процентный 9 36 6" xfId="29688" xr:uid="{00000000-0005-0000-0000-000015EC0000}"/>
    <cellStyle name="Процентный 9 36 7" xfId="35028" xr:uid="{00000000-0005-0000-0000-000016EC0000}"/>
    <cellStyle name="Процентный 9 36 8" xfId="40368" xr:uid="{00000000-0005-0000-0000-000017EC0000}"/>
    <cellStyle name="Процентный 9 36 9" xfId="45708" xr:uid="{00000000-0005-0000-0000-000018EC0000}"/>
    <cellStyle name="Процентный 9 37" xfId="3016" xr:uid="{00000000-0005-0000-0000-000019EC0000}"/>
    <cellStyle name="Процентный 9 37 10" xfId="51080" xr:uid="{00000000-0005-0000-0000-00001AEC0000}"/>
    <cellStyle name="Процентный 9 37 2" xfId="8359" xr:uid="{00000000-0005-0000-0000-00001BEC0000}"/>
    <cellStyle name="Процентный 9 37 2 2" xfId="56421" xr:uid="{00000000-0005-0000-0000-00001CEC0000}"/>
    <cellStyle name="Процентный 9 37 3" xfId="13700" xr:uid="{00000000-0005-0000-0000-00001DEC0000}"/>
    <cellStyle name="Процентный 9 37 4" xfId="19040" xr:uid="{00000000-0005-0000-0000-00001EEC0000}"/>
    <cellStyle name="Процентный 9 37 5" xfId="24380" xr:uid="{00000000-0005-0000-0000-00001FEC0000}"/>
    <cellStyle name="Процентный 9 37 6" xfId="29720" xr:uid="{00000000-0005-0000-0000-000020EC0000}"/>
    <cellStyle name="Процентный 9 37 7" xfId="35060" xr:uid="{00000000-0005-0000-0000-000021EC0000}"/>
    <cellStyle name="Процентный 9 37 8" xfId="40400" xr:uid="{00000000-0005-0000-0000-000022EC0000}"/>
    <cellStyle name="Процентный 9 37 9" xfId="45740" xr:uid="{00000000-0005-0000-0000-000023EC0000}"/>
    <cellStyle name="Процентный 9 38" xfId="3048" xr:uid="{00000000-0005-0000-0000-000024EC0000}"/>
    <cellStyle name="Процентный 9 38 10" xfId="51112" xr:uid="{00000000-0005-0000-0000-000025EC0000}"/>
    <cellStyle name="Процентный 9 38 2" xfId="8391" xr:uid="{00000000-0005-0000-0000-000026EC0000}"/>
    <cellStyle name="Процентный 9 38 2 2" xfId="56453" xr:uid="{00000000-0005-0000-0000-000027EC0000}"/>
    <cellStyle name="Процентный 9 38 3" xfId="13732" xr:uid="{00000000-0005-0000-0000-000028EC0000}"/>
    <cellStyle name="Процентный 9 38 4" xfId="19072" xr:uid="{00000000-0005-0000-0000-000029EC0000}"/>
    <cellStyle name="Процентный 9 38 5" xfId="24412" xr:uid="{00000000-0005-0000-0000-00002AEC0000}"/>
    <cellStyle name="Процентный 9 38 6" xfId="29752" xr:uid="{00000000-0005-0000-0000-00002BEC0000}"/>
    <cellStyle name="Процентный 9 38 7" xfId="35092" xr:uid="{00000000-0005-0000-0000-00002CEC0000}"/>
    <cellStyle name="Процентный 9 38 8" xfId="40432" xr:uid="{00000000-0005-0000-0000-00002DEC0000}"/>
    <cellStyle name="Процентный 9 38 9" xfId="45772" xr:uid="{00000000-0005-0000-0000-00002EEC0000}"/>
    <cellStyle name="Процентный 9 39" xfId="3080" xr:uid="{00000000-0005-0000-0000-00002FEC0000}"/>
    <cellStyle name="Процентный 9 39 10" xfId="51144" xr:uid="{00000000-0005-0000-0000-000030EC0000}"/>
    <cellStyle name="Процентный 9 39 2" xfId="8423" xr:uid="{00000000-0005-0000-0000-000031EC0000}"/>
    <cellStyle name="Процентный 9 39 2 2" xfId="56485" xr:uid="{00000000-0005-0000-0000-000032EC0000}"/>
    <cellStyle name="Процентный 9 39 3" xfId="13764" xr:uid="{00000000-0005-0000-0000-000033EC0000}"/>
    <cellStyle name="Процентный 9 39 4" xfId="19104" xr:uid="{00000000-0005-0000-0000-000034EC0000}"/>
    <cellStyle name="Процентный 9 39 5" xfId="24444" xr:uid="{00000000-0005-0000-0000-000035EC0000}"/>
    <cellStyle name="Процентный 9 39 6" xfId="29784" xr:uid="{00000000-0005-0000-0000-000036EC0000}"/>
    <cellStyle name="Процентный 9 39 7" xfId="35124" xr:uid="{00000000-0005-0000-0000-000037EC0000}"/>
    <cellStyle name="Процентный 9 39 8" xfId="40464" xr:uid="{00000000-0005-0000-0000-000038EC0000}"/>
    <cellStyle name="Процентный 9 39 9" xfId="45804" xr:uid="{00000000-0005-0000-0000-000039EC0000}"/>
    <cellStyle name="Процентный 9 4" xfId="2000" xr:uid="{00000000-0005-0000-0000-00003AEC0000}"/>
    <cellStyle name="Процентный 9 4 10" xfId="50064" xr:uid="{00000000-0005-0000-0000-00003BEC0000}"/>
    <cellStyle name="Процентный 9 4 2" xfId="7343" xr:uid="{00000000-0005-0000-0000-00003CEC0000}"/>
    <cellStyle name="Процентный 9 4 2 2" xfId="55405" xr:uid="{00000000-0005-0000-0000-00003DEC0000}"/>
    <cellStyle name="Процентный 9 4 3" xfId="12684" xr:uid="{00000000-0005-0000-0000-00003EEC0000}"/>
    <cellStyle name="Процентный 9 4 4" xfId="18024" xr:uid="{00000000-0005-0000-0000-00003FEC0000}"/>
    <cellStyle name="Процентный 9 4 5" xfId="23364" xr:uid="{00000000-0005-0000-0000-000040EC0000}"/>
    <cellStyle name="Процентный 9 4 6" xfId="28704" xr:uid="{00000000-0005-0000-0000-000041EC0000}"/>
    <cellStyle name="Процентный 9 4 7" xfId="34044" xr:uid="{00000000-0005-0000-0000-000042EC0000}"/>
    <cellStyle name="Процентный 9 4 8" xfId="39384" xr:uid="{00000000-0005-0000-0000-000043EC0000}"/>
    <cellStyle name="Процентный 9 4 9" xfId="44724" xr:uid="{00000000-0005-0000-0000-000044EC0000}"/>
    <cellStyle name="Процентный 9 40" xfId="3112" xr:uid="{00000000-0005-0000-0000-000045EC0000}"/>
    <cellStyle name="Процентный 9 40 10" xfId="51176" xr:uid="{00000000-0005-0000-0000-000046EC0000}"/>
    <cellStyle name="Процентный 9 40 2" xfId="8455" xr:uid="{00000000-0005-0000-0000-000047EC0000}"/>
    <cellStyle name="Процентный 9 40 2 2" xfId="56517" xr:uid="{00000000-0005-0000-0000-000048EC0000}"/>
    <cellStyle name="Процентный 9 40 3" xfId="13796" xr:uid="{00000000-0005-0000-0000-000049EC0000}"/>
    <cellStyle name="Процентный 9 40 4" xfId="19136" xr:uid="{00000000-0005-0000-0000-00004AEC0000}"/>
    <cellStyle name="Процентный 9 40 5" xfId="24476" xr:uid="{00000000-0005-0000-0000-00004BEC0000}"/>
    <cellStyle name="Процентный 9 40 6" xfId="29816" xr:uid="{00000000-0005-0000-0000-00004CEC0000}"/>
    <cellStyle name="Процентный 9 40 7" xfId="35156" xr:uid="{00000000-0005-0000-0000-00004DEC0000}"/>
    <cellStyle name="Процентный 9 40 8" xfId="40496" xr:uid="{00000000-0005-0000-0000-00004EEC0000}"/>
    <cellStyle name="Процентный 9 40 9" xfId="45836" xr:uid="{00000000-0005-0000-0000-00004FEC0000}"/>
    <cellStyle name="Процентный 9 41" xfId="3145" xr:uid="{00000000-0005-0000-0000-000050EC0000}"/>
    <cellStyle name="Процентный 9 41 10" xfId="51208" xr:uid="{00000000-0005-0000-0000-000051EC0000}"/>
    <cellStyle name="Процентный 9 41 2" xfId="8488" xr:uid="{00000000-0005-0000-0000-000052EC0000}"/>
    <cellStyle name="Процентный 9 41 2 2" xfId="56549" xr:uid="{00000000-0005-0000-0000-000053EC0000}"/>
    <cellStyle name="Процентный 9 41 3" xfId="13828" xr:uid="{00000000-0005-0000-0000-000054EC0000}"/>
    <cellStyle name="Процентный 9 41 4" xfId="19168" xr:uid="{00000000-0005-0000-0000-000055EC0000}"/>
    <cellStyle name="Процентный 9 41 5" xfId="24508" xr:uid="{00000000-0005-0000-0000-000056EC0000}"/>
    <cellStyle name="Процентный 9 41 6" xfId="29848" xr:uid="{00000000-0005-0000-0000-000057EC0000}"/>
    <cellStyle name="Процентный 9 41 7" xfId="35188" xr:uid="{00000000-0005-0000-0000-000058EC0000}"/>
    <cellStyle name="Процентный 9 41 8" xfId="40528" xr:uid="{00000000-0005-0000-0000-000059EC0000}"/>
    <cellStyle name="Процентный 9 41 9" xfId="45868" xr:uid="{00000000-0005-0000-0000-00005AEC0000}"/>
    <cellStyle name="Процентный 9 42" xfId="3177" xr:uid="{00000000-0005-0000-0000-00005BEC0000}"/>
    <cellStyle name="Процентный 9 42 10" xfId="51240" xr:uid="{00000000-0005-0000-0000-00005CEC0000}"/>
    <cellStyle name="Процентный 9 42 2" xfId="8520" xr:uid="{00000000-0005-0000-0000-00005DEC0000}"/>
    <cellStyle name="Процентный 9 42 2 2" xfId="56581" xr:uid="{00000000-0005-0000-0000-00005EEC0000}"/>
    <cellStyle name="Процентный 9 42 3" xfId="13860" xr:uid="{00000000-0005-0000-0000-00005FEC0000}"/>
    <cellStyle name="Процентный 9 42 4" xfId="19200" xr:uid="{00000000-0005-0000-0000-000060EC0000}"/>
    <cellStyle name="Процентный 9 42 5" xfId="24540" xr:uid="{00000000-0005-0000-0000-000061EC0000}"/>
    <cellStyle name="Процентный 9 42 6" xfId="29880" xr:uid="{00000000-0005-0000-0000-000062EC0000}"/>
    <cellStyle name="Процентный 9 42 7" xfId="35220" xr:uid="{00000000-0005-0000-0000-000063EC0000}"/>
    <cellStyle name="Процентный 9 42 8" xfId="40560" xr:uid="{00000000-0005-0000-0000-000064EC0000}"/>
    <cellStyle name="Процентный 9 42 9" xfId="45900" xr:uid="{00000000-0005-0000-0000-000065EC0000}"/>
    <cellStyle name="Процентный 9 43" xfId="3209" xr:uid="{00000000-0005-0000-0000-000066EC0000}"/>
    <cellStyle name="Процентный 9 43 10" xfId="51272" xr:uid="{00000000-0005-0000-0000-000067EC0000}"/>
    <cellStyle name="Процентный 9 43 2" xfId="8552" xr:uid="{00000000-0005-0000-0000-000068EC0000}"/>
    <cellStyle name="Процентный 9 43 2 2" xfId="56613" xr:uid="{00000000-0005-0000-0000-000069EC0000}"/>
    <cellStyle name="Процентный 9 43 3" xfId="13892" xr:uid="{00000000-0005-0000-0000-00006AEC0000}"/>
    <cellStyle name="Процентный 9 43 4" xfId="19232" xr:uid="{00000000-0005-0000-0000-00006BEC0000}"/>
    <cellStyle name="Процентный 9 43 5" xfId="24572" xr:uid="{00000000-0005-0000-0000-00006CEC0000}"/>
    <cellStyle name="Процентный 9 43 6" xfId="29912" xr:uid="{00000000-0005-0000-0000-00006DEC0000}"/>
    <cellStyle name="Процентный 9 43 7" xfId="35252" xr:uid="{00000000-0005-0000-0000-00006EEC0000}"/>
    <cellStyle name="Процентный 9 43 8" xfId="40592" xr:uid="{00000000-0005-0000-0000-00006FEC0000}"/>
    <cellStyle name="Процентный 9 43 9" xfId="45932" xr:uid="{00000000-0005-0000-0000-000070EC0000}"/>
    <cellStyle name="Процентный 9 44" xfId="3241" xr:uid="{00000000-0005-0000-0000-000071EC0000}"/>
    <cellStyle name="Процентный 9 44 10" xfId="51304" xr:uid="{00000000-0005-0000-0000-000072EC0000}"/>
    <cellStyle name="Процентный 9 44 2" xfId="8584" xr:uid="{00000000-0005-0000-0000-000073EC0000}"/>
    <cellStyle name="Процентный 9 44 2 2" xfId="56645" xr:uid="{00000000-0005-0000-0000-000074EC0000}"/>
    <cellStyle name="Процентный 9 44 3" xfId="13924" xr:uid="{00000000-0005-0000-0000-000075EC0000}"/>
    <cellStyle name="Процентный 9 44 4" xfId="19264" xr:uid="{00000000-0005-0000-0000-000076EC0000}"/>
    <cellStyle name="Процентный 9 44 5" xfId="24604" xr:uid="{00000000-0005-0000-0000-000077EC0000}"/>
    <cellStyle name="Процентный 9 44 6" xfId="29944" xr:uid="{00000000-0005-0000-0000-000078EC0000}"/>
    <cellStyle name="Процентный 9 44 7" xfId="35284" xr:uid="{00000000-0005-0000-0000-000079EC0000}"/>
    <cellStyle name="Процентный 9 44 8" xfId="40624" xr:uid="{00000000-0005-0000-0000-00007AEC0000}"/>
    <cellStyle name="Процентный 9 44 9" xfId="45964" xr:uid="{00000000-0005-0000-0000-00007BEC0000}"/>
    <cellStyle name="Процентный 9 45" xfId="3273" xr:uid="{00000000-0005-0000-0000-00007CEC0000}"/>
    <cellStyle name="Процентный 9 45 10" xfId="51336" xr:uid="{00000000-0005-0000-0000-00007DEC0000}"/>
    <cellStyle name="Процентный 9 45 2" xfId="8616" xr:uid="{00000000-0005-0000-0000-00007EEC0000}"/>
    <cellStyle name="Процентный 9 45 2 2" xfId="56677" xr:uid="{00000000-0005-0000-0000-00007FEC0000}"/>
    <cellStyle name="Процентный 9 45 3" xfId="13956" xr:uid="{00000000-0005-0000-0000-000080EC0000}"/>
    <cellStyle name="Процентный 9 45 4" xfId="19296" xr:uid="{00000000-0005-0000-0000-000081EC0000}"/>
    <cellStyle name="Процентный 9 45 5" xfId="24636" xr:uid="{00000000-0005-0000-0000-000082EC0000}"/>
    <cellStyle name="Процентный 9 45 6" xfId="29976" xr:uid="{00000000-0005-0000-0000-000083EC0000}"/>
    <cellStyle name="Процентный 9 45 7" xfId="35316" xr:uid="{00000000-0005-0000-0000-000084EC0000}"/>
    <cellStyle name="Процентный 9 45 8" xfId="40656" xr:uid="{00000000-0005-0000-0000-000085EC0000}"/>
    <cellStyle name="Процентный 9 45 9" xfId="45996" xr:uid="{00000000-0005-0000-0000-000086EC0000}"/>
    <cellStyle name="Процентный 9 46" xfId="3305" xr:uid="{00000000-0005-0000-0000-000087EC0000}"/>
    <cellStyle name="Процентный 9 46 10" xfId="51368" xr:uid="{00000000-0005-0000-0000-000088EC0000}"/>
    <cellStyle name="Процентный 9 46 2" xfId="8648" xr:uid="{00000000-0005-0000-0000-000089EC0000}"/>
    <cellStyle name="Процентный 9 46 2 2" xfId="56709" xr:uid="{00000000-0005-0000-0000-00008AEC0000}"/>
    <cellStyle name="Процентный 9 46 3" xfId="13988" xr:uid="{00000000-0005-0000-0000-00008BEC0000}"/>
    <cellStyle name="Процентный 9 46 4" xfId="19328" xr:uid="{00000000-0005-0000-0000-00008CEC0000}"/>
    <cellStyle name="Процентный 9 46 5" xfId="24668" xr:uid="{00000000-0005-0000-0000-00008DEC0000}"/>
    <cellStyle name="Процентный 9 46 6" xfId="30008" xr:uid="{00000000-0005-0000-0000-00008EEC0000}"/>
    <cellStyle name="Процентный 9 46 7" xfId="35348" xr:uid="{00000000-0005-0000-0000-00008FEC0000}"/>
    <cellStyle name="Процентный 9 46 8" xfId="40688" xr:uid="{00000000-0005-0000-0000-000090EC0000}"/>
    <cellStyle name="Процентный 9 46 9" xfId="46028" xr:uid="{00000000-0005-0000-0000-000091EC0000}"/>
    <cellStyle name="Процентный 9 47" xfId="3337" xr:uid="{00000000-0005-0000-0000-000092EC0000}"/>
    <cellStyle name="Процентный 9 47 10" xfId="51400" xr:uid="{00000000-0005-0000-0000-000093EC0000}"/>
    <cellStyle name="Процентный 9 47 2" xfId="8680" xr:uid="{00000000-0005-0000-0000-000094EC0000}"/>
    <cellStyle name="Процентный 9 47 2 2" xfId="56741" xr:uid="{00000000-0005-0000-0000-000095EC0000}"/>
    <cellStyle name="Процентный 9 47 3" xfId="14020" xr:uid="{00000000-0005-0000-0000-000096EC0000}"/>
    <cellStyle name="Процентный 9 47 4" xfId="19360" xr:uid="{00000000-0005-0000-0000-000097EC0000}"/>
    <cellStyle name="Процентный 9 47 5" xfId="24700" xr:uid="{00000000-0005-0000-0000-000098EC0000}"/>
    <cellStyle name="Процентный 9 47 6" xfId="30040" xr:uid="{00000000-0005-0000-0000-000099EC0000}"/>
    <cellStyle name="Процентный 9 47 7" xfId="35380" xr:uid="{00000000-0005-0000-0000-00009AEC0000}"/>
    <cellStyle name="Процентный 9 47 8" xfId="40720" xr:uid="{00000000-0005-0000-0000-00009BEC0000}"/>
    <cellStyle name="Процентный 9 47 9" xfId="46060" xr:uid="{00000000-0005-0000-0000-00009CEC0000}"/>
    <cellStyle name="Процентный 9 48" xfId="3369" xr:uid="{00000000-0005-0000-0000-00009DEC0000}"/>
    <cellStyle name="Процентный 9 48 10" xfId="51432" xr:uid="{00000000-0005-0000-0000-00009EEC0000}"/>
    <cellStyle name="Процентный 9 48 2" xfId="8712" xr:uid="{00000000-0005-0000-0000-00009FEC0000}"/>
    <cellStyle name="Процентный 9 48 2 2" xfId="56773" xr:uid="{00000000-0005-0000-0000-0000A0EC0000}"/>
    <cellStyle name="Процентный 9 48 3" xfId="14052" xr:uid="{00000000-0005-0000-0000-0000A1EC0000}"/>
    <cellStyle name="Процентный 9 48 4" xfId="19392" xr:uid="{00000000-0005-0000-0000-0000A2EC0000}"/>
    <cellStyle name="Процентный 9 48 5" xfId="24732" xr:uid="{00000000-0005-0000-0000-0000A3EC0000}"/>
    <cellStyle name="Процентный 9 48 6" xfId="30072" xr:uid="{00000000-0005-0000-0000-0000A4EC0000}"/>
    <cellStyle name="Процентный 9 48 7" xfId="35412" xr:uid="{00000000-0005-0000-0000-0000A5EC0000}"/>
    <cellStyle name="Процентный 9 48 8" xfId="40752" xr:uid="{00000000-0005-0000-0000-0000A6EC0000}"/>
    <cellStyle name="Процентный 9 48 9" xfId="46092" xr:uid="{00000000-0005-0000-0000-0000A7EC0000}"/>
    <cellStyle name="Процентный 9 49" xfId="3401" xr:uid="{00000000-0005-0000-0000-0000A8EC0000}"/>
    <cellStyle name="Процентный 9 49 10" xfId="51464" xr:uid="{00000000-0005-0000-0000-0000A9EC0000}"/>
    <cellStyle name="Процентный 9 49 2" xfId="8744" xr:uid="{00000000-0005-0000-0000-0000AAEC0000}"/>
    <cellStyle name="Процентный 9 49 2 2" xfId="56805" xr:uid="{00000000-0005-0000-0000-0000ABEC0000}"/>
    <cellStyle name="Процентный 9 49 3" xfId="14084" xr:uid="{00000000-0005-0000-0000-0000ACEC0000}"/>
    <cellStyle name="Процентный 9 49 4" xfId="19424" xr:uid="{00000000-0005-0000-0000-0000ADEC0000}"/>
    <cellStyle name="Процентный 9 49 5" xfId="24764" xr:uid="{00000000-0005-0000-0000-0000AEEC0000}"/>
    <cellStyle name="Процентный 9 49 6" xfId="30104" xr:uid="{00000000-0005-0000-0000-0000AFEC0000}"/>
    <cellStyle name="Процентный 9 49 7" xfId="35444" xr:uid="{00000000-0005-0000-0000-0000B0EC0000}"/>
    <cellStyle name="Процентный 9 49 8" xfId="40784" xr:uid="{00000000-0005-0000-0000-0000B1EC0000}"/>
    <cellStyle name="Процентный 9 49 9" xfId="46124" xr:uid="{00000000-0005-0000-0000-0000B2EC0000}"/>
    <cellStyle name="Процентный 9 5" xfId="2028" xr:uid="{00000000-0005-0000-0000-0000B3EC0000}"/>
    <cellStyle name="Процентный 9 5 10" xfId="50092" xr:uid="{00000000-0005-0000-0000-0000B4EC0000}"/>
    <cellStyle name="Процентный 9 5 2" xfId="7371" xr:uid="{00000000-0005-0000-0000-0000B5EC0000}"/>
    <cellStyle name="Процентный 9 5 2 2" xfId="55433" xr:uid="{00000000-0005-0000-0000-0000B6EC0000}"/>
    <cellStyle name="Процентный 9 5 3" xfId="12712" xr:uid="{00000000-0005-0000-0000-0000B7EC0000}"/>
    <cellStyle name="Процентный 9 5 4" xfId="18052" xr:uid="{00000000-0005-0000-0000-0000B8EC0000}"/>
    <cellStyle name="Процентный 9 5 5" xfId="23392" xr:uid="{00000000-0005-0000-0000-0000B9EC0000}"/>
    <cellStyle name="Процентный 9 5 6" xfId="28732" xr:uid="{00000000-0005-0000-0000-0000BAEC0000}"/>
    <cellStyle name="Процентный 9 5 7" xfId="34072" xr:uid="{00000000-0005-0000-0000-0000BBEC0000}"/>
    <cellStyle name="Процентный 9 5 8" xfId="39412" xr:uid="{00000000-0005-0000-0000-0000BCEC0000}"/>
    <cellStyle name="Процентный 9 5 9" xfId="44752" xr:uid="{00000000-0005-0000-0000-0000BDEC0000}"/>
    <cellStyle name="Процентный 9 50" xfId="3433" xr:uid="{00000000-0005-0000-0000-0000BEEC0000}"/>
    <cellStyle name="Процентный 9 50 10" xfId="51496" xr:uid="{00000000-0005-0000-0000-0000BFEC0000}"/>
    <cellStyle name="Процентный 9 50 2" xfId="8776" xr:uid="{00000000-0005-0000-0000-0000C0EC0000}"/>
    <cellStyle name="Процентный 9 50 2 2" xfId="56837" xr:uid="{00000000-0005-0000-0000-0000C1EC0000}"/>
    <cellStyle name="Процентный 9 50 3" xfId="14116" xr:uid="{00000000-0005-0000-0000-0000C2EC0000}"/>
    <cellStyle name="Процентный 9 50 4" xfId="19456" xr:uid="{00000000-0005-0000-0000-0000C3EC0000}"/>
    <cellStyle name="Процентный 9 50 5" xfId="24796" xr:uid="{00000000-0005-0000-0000-0000C4EC0000}"/>
    <cellStyle name="Процентный 9 50 6" xfId="30136" xr:uid="{00000000-0005-0000-0000-0000C5EC0000}"/>
    <cellStyle name="Процентный 9 50 7" xfId="35476" xr:uid="{00000000-0005-0000-0000-0000C6EC0000}"/>
    <cellStyle name="Процентный 9 50 8" xfId="40816" xr:uid="{00000000-0005-0000-0000-0000C7EC0000}"/>
    <cellStyle name="Процентный 9 50 9" xfId="46156" xr:uid="{00000000-0005-0000-0000-0000C8EC0000}"/>
    <cellStyle name="Процентный 9 51" xfId="3465" xr:uid="{00000000-0005-0000-0000-0000C9EC0000}"/>
    <cellStyle name="Процентный 9 51 10" xfId="51528" xr:uid="{00000000-0005-0000-0000-0000CAEC0000}"/>
    <cellStyle name="Процентный 9 51 2" xfId="8808" xr:uid="{00000000-0005-0000-0000-0000CBEC0000}"/>
    <cellStyle name="Процентный 9 51 2 2" xfId="56869" xr:uid="{00000000-0005-0000-0000-0000CCEC0000}"/>
    <cellStyle name="Процентный 9 51 3" xfId="14148" xr:uid="{00000000-0005-0000-0000-0000CDEC0000}"/>
    <cellStyle name="Процентный 9 51 4" xfId="19488" xr:uid="{00000000-0005-0000-0000-0000CEEC0000}"/>
    <cellStyle name="Процентный 9 51 5" xfId="24828" xr:uid="{00000000-0005-0000-0000-0000CFEC0000}"/>
    <cellStyle name="Процентный 9 51 6" xfId="30168" xr:uid="{00000000-0005-0000-0000-0000D0EC0000}"/>
    <cellStyle name="Процентный 9 51 7" xfId="35508" xr:uid="{00000000-0005-0000-0000-0000D1EC0000}"/>
    <cellStyle name="Процентный 9 51 8" xfId="40848" xr:uid="{00000000-0005-0000-0000-0000D2EC0000}"/>
    <cellStyle name="Процентный 9 51 9" xfId="46188" xr:uid="{00000000-0005-0000-0000-0000D3EC0000}"/>
    <cellStyle name="Процентный 9 52" xfId="3497" xr:uid="{00000000-0005-0000-0000-0000D4EC0000}"/>
    <cellStyle name="Процентный 9 52 10" xfId="51560" xr:uid="{00000000-0005-0000-0000-0000D5EC0000}"/>
    <cellStyle name="Процентный 9 52 2" xfId="8840" xr:uid="{00000000-0005-0000-0000-0000D6EC0000}"/>
    <cellStyle name="Процентный 9 52 2 2" xfId="56901" xr:uid="{00000000-0005-0000-0000-0000D7EC0000}"/>
    <cellStyle name="Процентный 9 52 3" xfId="14180" xr:uid="{00000000-0005-0000-0000-0000D8EC0000}"/>
    <cellStyle name="Процентный 9 52 4" xfId="19520" xr:uid="{00000000-0005-0000-0000-0000D9EC0000}"/>
    <cellStyle name="Процентный 9 52 5" xfId="24860" xr:uid="{00000000-0005-0000-0000-0000DAEC0000}"/>
    <cellStyle name="Процентный 9 52 6" xfId="30200" xr:uid="{00000000-0005-0000-0000-0000DBEC0000}"/>
    <cellStyle name="Процентный 9 52 7" xfId="35540" xr:uid="{00000000-0005-0000-0000-0000DCEC0000}"/>
    <cellStyle name="Процентный 9 52 8" xfId="40880" xr:uid="{00000000-0005-0000-0000-0000DDEC0000}"/>
    <cellStyle name="Процентный 9 52 9" xfId="46220" xr:uid="{00000000-0005-0000-0000-0000DEEC0000}"/>
    <cellStyle name="Процентный 9 53" xfId="3529" xr:uid="{00000000-0005-0000-0000-0000DFEC0000}"/>
    <cellStyle name="Процентный 9 53 10" xfId="51592" xr:uid="{00000000-0005-0000-0000-0000E0EC0000}"/>
    <cellStyle name="Процентный 9 53 2" xfId="8872" xr:uid="{00000000-0005-0000-0000-0000E1EC0000}"/>
    <cellStyle name="Процентный 9 53 2 2" xfId="56933" xr:uid="{00000000-0005-0000-0000-0000E2EC0000}"/>
    <cellStyle name="Процентный 9 53 3" xfId="14212" xr:uid="{00000000-0005-0000-0000-0000E3EC0000}"/>
    <cellStyle name="Процентный 9 53 4" xfId="19552" xr:uid="{00000000-0005-0000-0000-0000E4EC0000}"/>
    <cellStyle name="Процентный 9 53 5" xfId="24892" xr:uid="{00000000-0005-0000-0000-0000E5EC0000}"/>
    <cellStyle name="Процентный 9 53 6" xfId="30232" xr:uid="{00000000-0005-0000-0000-0000E6EC0000}"/>
    <cellStyle name="Процентный 9 53 7" xfId="35572" xr:uid="{00000000-0005-0000-0000-0000E7EC0000}"/>
    <cellStyle name="Процентный 9 53 8" xfId="40912" xr:uid="{00000000-0005-0000-0000-0000E8EC0000}"/>
    <cellStyle name="Процентный 9 53 9" xfId="46252" xr:uid="{00000000-0005-0000-0000-0000E9EC0000}"/>
    <cellStyle name="Процентный 9 54" xfId="3561" xr:uid="{00000000-0005-0000-0000-0000EAEC0000}"/>
    <cellStyle name="Процентный 9 54 10" xfId="51624" xr:uid="{00000000-0005-0000-0000-0000EBEC0000}"/>
    <cellStyle name="Процентный 9 54 2" xfId="8904" xr:uid="{00000000-0005-0000-0000-0000ECEC0000}"/>
    <cellStyle name="Процентный 9 54 2 2" xfId="56965" xr:uid="{00000000-0005-0000-0000-0000EDEC0000}"/>
    <cellStyle name="Процентный 9 54 3" xfId="14244" xr:uid="{00000000-0005-0000-0000-0000EEEC0000}"/>
    <cellStyle name="Процентный 9 54 4" xfId="19584" xr:uid="{00000000-0005-0000-0000-0000EFEC0000}"/>
    <cellStyle name="Процентный 9 54 5" xfId="24924" xr:uid="{00000000-0005-0000-0000-0000F0EC0000}"/>
    <cellStyle name="Процентный 9 54 6" xfId="30264" xr:uid="{00000000-0005-0000-0000-0000F1EC0000}"/>
    <cellStyle name="Процентный 9 54 7" xfId="35604" xr:uid="{00000000-0005-0000-0000-0000F2EC0000}"/>
    <cellStyle name="Процентный 9 54 8" xfId="40944" xr:uid="{00000000-0005-0000-0000-0000F3EC0000}"/>
    <cellStyle name="Процентный 9 54 9" xfId="46284" xr:uid="{00000000-0005-0000-0000-0000F4EC0000}"/>
    <cellStyle name="Процентный 9 55" xfId="3593" xr:uid="{00000000-0005-0000-0000-0000F5EC0000}"/>
    <cellStyle name="Процентный 9 55 10" xfId="51656" xr:uid="{00000000-0005-0000-0000-0000F6EC0000}"/>
    <cellStyle name="Процентный 9 55 2" xfId="8936" xr:uid="{00000000-0005-0000-0000-0000F7EC0000}"/>
    <cellStyle name="Процентный 9 55 2 2" xfId="56997" xr:uid="{00000000-0005-0000-0000-0000F8EC0000}"/>
    <cellStyle name="Процентный 9 55 3" xfId="14276" xr:uid="{00000000-0005-0000-0000-0000F9EC0000}"/>
    <cellStyle name="Процентный 9 55 4" xfId="19616" xr:uid="{00000000-0005-0000-0000-0000FAEC0000}"/>
    <cellStyle name="Процентный 9 55 5" xfId="24956" xr:uid="{00000000-0005-0000-0000-0000FBEC0000}"/>
    <cellStyle name="Процентный 9 55 6" xfId="30296" xr:uid="{00000000-0005-0000-0000-0000FCEC0000}"/>
    <cellStyle name="Процентный 9 55 7" xfId="35636" xr:uid="{00000000-0005-0000-0000-0000FDEC0000}"/>
    <cellStyle name="Процентный 9 55 8" xfId="40976" xr:uid="{00000000-0005-0000-0000-0000FEEC0000}"/>
    <cellStyle name="Процентный 9 55 9" xfId="46316" xr:uid="{00000000-0005-0000-0000-0000FFEC0000}"/>
    <cellStyle name="Процентный 9 56" xfId="3625" xr:uid="{00000000-0005-0000-0000-000000ED0000}"/>
    <cellStyle name="Процентный 9 56 10" xfId="51688" xr:uid="{00000000-0005-0000-0000-000001ED0000}"/>
    <cellStyle name="Процентный 9 56 2" xfId="8968" xr:uid="{00000000-0005-0000-0000-000002ED0000}"/>
    <cellStyle name="Процентный 9 56 2 2" xfId="57029" xr:uid="{00000000-0005-0000-0000-000003ED0000}"/>
    <cellStyle name="Процентный 9 56 3" xfId="14308" xr:uid="{00000000-0005-0000-0000-000004ED0000}"/>
    <cellStyle name="Процентный 9 56 4" xfId="19648" xr:uid="{00000000-0005-0000-0000-000005ED0000}"/>
    <cellStyle name="Процентный 9 56 5" xfId="24988" xr:uid="{00000000-0005-0000-0000-000006ED0000}"/>
    <cellStyle name="Процентный 9 56 6" xfId="30328" xr:uid="{00000000-0005-0000-0000-000007ED0000}"/>
    <cellStyle name="Процентный 9 56 7" xfId="35668" xr:uid="{00000000-0005-0000-0000-000008ED0000}"/>
    <cellStyle name="Процентный 9 56 8" xfId="41008" xr:uid="{00000000-0005-0000-0000-000009ED0000}"/>
    <cellStyle name="Процентный 9 56 9" xfId="46348" xr:uid="{00000000-0005-0000-0000-00000AED0000}"/>
    <cellStyle name="Процентный 9 57" xfId="3657" xr:uid="{00000000-0005-0000-0000-00000BED0000}"/>
    <cellStyle name="Процентный 9 57 10" xfId="51720" xr:uid="{00000000-0005-0000-0000-00000CED0000}"/>
    <cellStyle name="Процентный 9 57 2" xfId="9000" xr:uid="{00000000-0005-0000-0000-00000DED0000}"/>
    <cellStyle name="Процентный 9 57 2 2" xfId="57061" xr:uid="{00000000-0005-0000-0000-00000EED0000}"/>
    <cellStyle name="Процентный 9 57 3" xfId="14340" xr:uid="{00000000-0005-0000-0000-00000FED0000}"/>
    <cellStyle name="Процентный 9 57 4" xfId="19680" xr:uid="{00000000-0005-0000-0000-000010ED0000}"/>
    <cellStyle name="Процентный 9 57 5" xfId="25020" xr:uid="{00000000-0005-0000-0000-000011ED0000}"/>
    <cellStyle name="Процентный 9 57 6" xfId="30360" xr:uid="{00000000-0005-0000-0000-000012ED0000}"/>
    <cellStyle name="Процентный 9 57 7" xfId="35700" xr:uid="{00000000-0005-0000-0000-000013ED0000}"/>
    <cellStyle name="Процентный 9 57 8" xfId="41040" xr:uid="{00000000-0005-0000-0000-000014ED0000}"/>
    <cellStyle name="Процентный 9 57 9" xfId="46380" xr:uid="{00000000-0005-0000-0000-000015ED0000}"/>
    <cellStyle name="Процентный 9 58" xfId="3689" xr:uid="{00000000-0005-0000-0000-000016ED0000}"/>
    <cellStyle name="Процентный 9 58 10" xfId="51752" xr:uid="{00000000-0005-0000-0000-000017ED0000}"/>
    <cellStyle name="Процентный 9 58 2" xfId="9032" xr:uid="{00000000-0005-0000-0000-000018ED0000}"/>
    <cellStyle name="Процентный 9 58 2 2" xfId="57093" xr:uid="{00000000-0005-0000-0000-000019ED0000}"/>
    <cellStyle name="Процентный 9 58 3" xfId="14372" xr:uid="{00000000-0005-0000-0000-00001AED0000}"/>
    <cellStyle name="Процентный 9 58 4" xfId="19712" xr:uid="{00000000-0005-0000-0000-00001BED0000}"/>
    <cellStyle name="Процентный 9 58 5" xfId="25052" xr:uid="{00000000-0005-0000-0000-00001CED0000}"/>
    <cellStyle name="Процентный 9 58 6" xfId="30392" xr:uid="{00000000-0005-0000-0000-00001DED0000}"/>
    <cellStyle name="Процентный 9 58 7" xfId="35732" xr:uid="{00000000-0005-0000-0000-00001EED0000}"/>
    <cellStyle name="Процентный 9 58 8" xfId="41072" xr:uid="{00000000-0005-0000-0000-00001FED0000}"/>
    <cellStyle name="Процентный 9 58 9" xfId="46412" xr:uid="{00000000-0005-0000-0000-000020ED0000}"/>
    <cellStyle name="Процентный 9 59" xfId="3721" xr:uid="{00000000-0005-0000-0000-000021ED0000}"/>
    <cellStyle name="Процентный 9 59 10" xfId="51784" xr:uid="{00000000-0005-0000-0000-000022ED0000}"/>
    <cellStyle name="Процентный 9 59 2" xfId="9064" xr:uid="{00000000-0005-0000-0000-000023ED0000}"/>
    <cellStyle name="Процентный 9 59 2 2" xfId="57125" xr:uid="{00000000-0005-0000-0000-000024ED0000}"/>
    <cellStyle name="Процентный 9 59 3" xfId="14404" xr:uid="{00000000-0005-0000-0000-000025ED0000}"/>
    <cellStyle name="Процентный 9 59 4" xfId="19744" xr:uid="{00000000-0005-0000-0000-000026ED0000}"/>
    <cellStyle name="Процентный 9 59 5" xfId="25084" xr:uid="{00000000-0005-0000-0000-000027ED0000}"/>
    <cellStyle name="Процентный 9 59 6" xfId="30424" xr:uid="{00000000-0005-0000-0000-000028ED0000}"/>
    <cellStyle name="Процентный 9 59 7" xfId="35764" xr:uid="{00000000-0005-0000-0000-000029ED0000}"/>
    <cellStyle name="Процентный 9 59 8" xfId="41104" xr:uid="{00000000-0005-0000-0000-00002AED0000}"/>
    <cellStyle name="Процентный 9 59 9" xfId="46444" xr:uid="{00000000-0005-0000-0000-00002BED0000}"/>
    <cellStyle name="Процентный 9 6" xfId="2056" xr:uid="{00000000-0005-0000-0000-00002CED0000}"/>
    <cellStyle name="Процентный 9 6 10" xfId="50120" xr:uid="{00000000-0005-0000-0000-00002DED0000}"/>
    <cellStyle name="Процентный 9 6 2" xfId="7399" xr:uid="{00000000-0005-0000-0000-00002EED0000}"/>
    <cellStyle name="Процентный 9 6 2 2" xfId="55461" xr:uid="{00000000-0005-0000-0000-00002FED0000}"/>
    <cellStyle name="Процентный 9 6 3" xfId="12740" xr:uid="{00000000-0005-0000-0000-000030ED0000}"/>
    <cellStyle name="Процентный 9 6 4" xfId="18080" xr:uid="{00000000-0005-0000-0000-000031ED0000}"/>
    <cellStyle name="Процентный 9 6 5" xfId="23420" xr:uid="{00000000-0005-0000-0000-000032ED0000}"/>
    <cellStyle name="Процентный 9 6 6" xfId="28760" xr:uid="{00000000-0005-0000-0000-000033ED0000}"/>
    <cellStyle name="Процентный 9 6 7" xfId="34100" xr:uid="{00000000-0005-0000-0000-000034ED0000}"/>
    <cellStyle name="Процентный 9 6 8" xfId="39440" xr:uid="{00000000-0005-0000-0000-000035ED0000}"/>
    <cellStyle name="Процентный 9 6 9" xfId="44780" xr:uid="{00000000-0005-0000-0000-000036ED0000}"/>
    <cellStyle name="Процентный 9 60" xfId="3753" xr:uid="{00000000-0005-0000-0000-000037ED0000}"/>
    <cellStyle name="Процентный 9 60 10" xfId="51816" xr:uid="{00000000-0005-0000-0000-000038ED0000}"/>
    <cellStyle name="Процентный 9 60 2" xfId="9096" xr:uid="{00000000-0005-0000-0000-000039ED0000}"/>
    <cellStyle name="Процентный 9 60 2 2" xfId="57157" xr:uid="{00000000-0005-0000-0000-00003AED0000}"/>
    <cellStyle name="Процентный 9 60 3" xfId="14436" xr:uid="{00000000-0005-0000-0000-00003BED0000}"/>
    <cellStyle name="Процентный 9 60 4" xfId="19776" xr:uid="{00000000-0005-0000-0000-00003CED0000}"/>
    <cellStyle name="Процентный 9 60 5" xfId="25116" xr:uid="{00000000-0005-0000-0000-00003DED0000}"/>
    <cellStyle name="Процентный 9 60 6" xfId="30456" xr:uid="{00000000-0005-0000-0000-00003EED0000}"/>
    <cellStyle name="Процентный 9 60 7" xfId="35796" xr:uid="{00000000-0005-0000-0000-00003FED0000}"/>
    <cellStyle name="Процентный 9 60 8" xfId="41136" xr:uid="{00000000-0005-0000-0000-000040ED0000}"/>
    <cellStyle name="Процентный 9 60 9" xfId="46476" xr:uid="{00000000-0005-0000-0000-000041ED0000}"/>
    <cellStyle name="Процентный 9 61" xfId="3785" xr:uid="{00000000-0005-0000-0000-000042ED0000}"/>
    <cellStyle name="Процентный 9 61 10" xfId="51848" xr:uid="{00000000-0005-0000-0000-000043ED0000}"/>
    <cellStyle name="Процентный 9 61 2" xfId="9128" xr:uid="{00000000-0005-0000-0000-000044ED0000}"/>
    <cellStyle name="Процентный 9 61 2 2" xfId="57189" xr:uid="{00000000-0005-0000-0000-000045ED0000}"/>
    <cellStyle name="Процентный 9 61 3" xfId="14468" xr:uid="{00000000-0005-0000-0000-000046ED0000}"/>
    <cellStyle name="Процентный 9 61 4" xfId="19808" xr:uid="{00000000-0005-0000-0000-000047ED0000}"/>
    <cellStyle name="Процентный 9 61 5" xfId="25148" xr:uid="{00000000-0005-0000-0000-000048ED0000}"/>
    <cellStyle name="Процентный 9 61 6" xfId="30488" xr:uid="{00000000-0005-0000-0000-000049ED0000}"/>
    <cellStyle name="Процентный 9 61 7" xfId="35828" xr:uid="{00000000-0005-0000-0000-00004AED0000}"/>
    <cellStyle name="Процентный 9 61 8" xfId="41168" xr:uid="{00000000-0005-0000-0000-00004BED0000}"/>
    <cellStyle name="Процентный 9 61 9" xfId="46508" xr:uid="{00000000-0005-0000-0000-00004CED0000}"/>
    <cellStyle name="Процентный 9 62" xfId="3817" xr:uid="{00000000-0005-0000-0000-00004DED0000}"/>
    <cellStyle name="Процентный 9 62 10" xfId="51880" xr:uid="{00000000-0005-0000-0000-00004EED0000}"/>
    <cellStyle name="Процентный 9 62 2" xfId="9160" xr:uid="{00000000-0005-0000-0000-00004FED0000}"/>
    <cellStyle name="Процентный 9 62 2 2" xfId="57221" xr:uid="{00000000-0005-0000-0000-000050ED0000}"/>
    <cellStyle name="Процентный 9 62 3" xfId="14500" xr:uid="{00000000-0005-0000-0000-000051ED0000}"/>
    <cellStyle name="Процентный 9 62 4" xfId="19840" xr:uid="{00000000-0005-0000-0000-000052ED0000}"/>
    <cellStyle name="Процентный 9 62 5" xfId="25180" xr:uid="{00000000-0005-0000-0000-000053ED0000}"/>
    <cellStyle name="Процентный 9 62 6" xfId="30520" xr:uid="{00000000-0005-0000-0000-000054ED0000}"/>
    <cellStyle name="Процентный 9 62 7" xfId="35860" xr:uid="{00000000-0005-0000-0000-000055ED0000}"/>
    <cellStyle name="Процентный 9 62 8" xfId="41200" xr:uid="{00000000-0005-0000-0000-000056ED0000}"/>
    <cellStyle name="Процентный 9 62 9" xfId="46540" xr:uid="{00000000-0005-0000-0000-000057ED0000}"/>
    <cellStyle name="Процентный 9 63" xfId="3849" xr:uid="{00000000-0005-0000-0000-000058ED0000}"/>
    <cellStyle name="Процентный 9 63 10" xfId="51912" xr:uid="{00000000-0005-0000-0000-000059ED0000}"/>
    <cellStyle name="Процентный 9 63 2" xfId="9192" xr:uid="{00000000-0005-0000-0000-00005AED0000}"/>
    <cellStyle name="Процентный 9 63 2 2" xfId="57253" xr:uid="{00000000-0005-0000-0000-00005BED0000}"/>
    <cellStyle name="Процентный 9 63 3" xfId="14532" xr:uid="{00000000-0005-0000-0000-00005CED0000}"/>
    <cellStyle name="Процентный 9 63 4" xfId="19872" xr:uid="{00000000-0005-0000-0000-00005DED0000}"/>
    <cellStyle name="Процентный 9 63 5" xfId="25212" xr:uid="{00000000-0005-0000-0000-00005EED0000}"/>
    <cellStyle name="Процентный 9 63 6" xfId="30552" xr:uid="{00000000-0005-0000-0000-00005FED0000}"/>
    <cellStyle name="Процентный 9 63 7" xfId="35892" xr:uid="{00000000-0005-0000-0000-000060ED0000}"/>
    <cellStyle name="Процентный 9 63 8" xfId="41232" xr:uid="{00000000-0005-0000-0000-000061ED0000}"/>
    <cellStyle name="Процентный 9 63 9" xfId="46572" xr:uid="{00000000-0005-0000-0000-000062ED0000}"/>
    <cellStyle name="Процентный 9 64" xfId="3881" xr:uid="{00000000-0005-0000-0000-000063ED0000}"/>
    <cellStyle name="Процентный 9 64 10" xfId="51944" xr:uid="{00000000-0005-0000-0000-000064ED0000}"/>
    <cellStyle name="Процентный 9 64 2" xfId="9224" xr:uid="{00000000-0005-0000-0000-000065ED0000}"/>
    <cellStyle name="Процентный 9 64 2 2" xfId="57285" xr:uid="{00000000-0005-0000-0000-000066ED0000}"/>
    <cellStyle name="Процентный 9 64 3" xfId="14564" xr:uid="{00000000-0005-0000-0000-000067ED0000}"/>
    <cellStyle name="Процентный 9 64 4" xfId="19904" xr:uid="{00000000-0005-0000-0000-000068ED0000}"/>
    <cellStyle name="Процентный 9 64 5" xfId="25244" xr:uid="{00000000-0005-0000-0000-000069ED0000}"/>
    <cellStyle name="Процентный 9 64 6" xfId="30584" xr:uid="{00000000-0005-0000-0000-00006AED0000}"/>
    <cellStyle name="Процентный 9 64 7" xfId="35924" xr:uid="{00000000-0005-0000-0000-00006BED0000}"/>
    <cellStyle name="Процентный 9 64 8" xfId="41264" xr:uid="{00000000-0005-0000-0000-00006CED0000}"/>
    <cellStyle name="Процентный 9 64 9" xfId="46604" xr:uid="{00000000-0005-0000-0000-00006DED0000}"/>
    <cellStyle name="Процентный 9 65" xfId="3913" xr:uid="{00000000-0005-0000-0000-00006EED0000}"/>
    <cellStyle name="Процентный 9 65 10" xfId="51976" xr:uid="{00000000-0005-0000-0000-00006FED0000}"/>
    <cellStyle name="Процентный 9 65 2" xfId="9256" xr:uid="{00000000-0005-0000-0000-000070ED0000}"/>
    <cellStyle name="Процентный 9 65 2 2" xfId="57317" xr:uid="{00000000-0005-0000-0000-000071ED0000}"/>
    <cellStyle name="Процентный 9 65 3" xfId="14596" xr:uid="{00000000-0005-0000-0000-000072ED0000}"/>
    <cellStyle name="Процентный 9 65 4" xfId="19936" xr:uid="{00000000-0005-0000-0000-000073ED0000}"/>
    <cellStyle name="Процентный 9 65 5" xfId="25276" xr:uid="{00000000-0005-0000-0000-000074ED0000}"/>
    <cellStyle name="Процентный 9 65 6" xfId="30616" xr:uid="{00000000-0005-0000-0000-000075ED0000}"/>
    <cellStyle name="Процентный 9 65 7" xfId="35956" xr:uid="{00000000-0005-0000-0000-000076ED0000}"/>
    <cellStyle name="Процентный 9 65 8" xfId="41296" xr:uid="{00000000-0005-0000-0000-000077ED0000}"/>
    <cellStyle name="Процентный 9 65 9" xfId="46636" xr:uid="{00000000-0005-0000-0000-000078ED0000}"/>
    <cellStyle name="Процентный 9 66" xfId="3945" xr:uid="{00000000-0005-0000-0000-000079ED0000}"/>
    <cellStyle name="Процентный 9 66 10" xfId="52008" xr:uid="{00000000-0005-0000-0000-00007AED0000}"/>
    <cellStyle name="Процентный 9 66 2" xfId="9288" xr:uid="{00000000-0005-0000-0000-00007BED0000}"/>
    <cellStyle name="Процентный 9 66 2 2" xfId="57349" xr:uid="{00000000-0005-0000-0000-00007CED0000}"/>
    <cellStyle name="Процентный 9 66 3" xfId="14628" xr:uid="{00000000-0005-0000-0000-00007DED0000}"/>
    <cellStyle name="Процентный 9 66 4" xfId="19968" xr:uid="{00000000-0005-0000-0000-00007EED0000}"/>
    <cellStyle name="Процентный 9 66 5" xfId="25308" xr:uid="{00000000-0005-0000-0000-00007FED0000}"/>
    <cellStyle name="Процентный 9 66 6" xfId="30648" xr:uid="{00000000-0005-0000-0000-000080ED0000}"/>
    <cellStyle name="Процентный 9 66 7" xfId="35988" xr:uid="{00000000-0005-0000-0000-000081ED0000}"/>
    <cellStyle name="Процентный 9 66 8" xfId="41328" xr:uid="{00000000-0005-0000-0000-000082ED0000}"/>
    <cellStyle name="Процентный 9 66 9" xfId="46668" xr:uid="{00000000-0005-0000-0000-000083ED0000}"/>
    <cellStyle name="Процентный 9 67" xfId="3977" xr:uid="{00000000-0005-0000-0000-000084ED0000}"/>
    <cellStyle name="Процентный 9 67 10" xfId="52040" xr:uid="{00000000-0005-0000-0000-000085ED0000}"/>
    <cellStyle name="Процентный 9 67 2" xfId="9320" xr:uid="{00000000-0005-0000-0000-000086ED0000}"/>
    <cellStyle name="Процентный 9 67 2 2" xfId="57381" xr:uid="{00000000-0005-0000-0000-000087ED0000}"/>
    <cellStyle name="Процентный 9 67 3" xfId="14660" xr:uid="{00000000-0005-0000-0000-000088ED0000}"/>
    <cellStyle name="Процентный 9 67 4" xfId="20000" xr:uid="{00000000-0005-0000-0000-000089ED0000}"/>
    <cellStyle name="Процентный 9 67 5" xfId="25340" xr:uid="{00000000-0005-0000-0000-00008AED0000}"/>
    <cellStyle name="Процентный 9 67 6" xfId="30680" xr:uid="{00000000-0005-0000-0000-00008BED0000}"/>
    <cellStyle name="Процентный 9 67 7" xfId="36020" xr:uid="{00000000-0005-0000-0000-00008CED0000}"/>
    <cellStyle name="Процентный 9 67 8" xfId="41360" xr:uid="{00000000-0005-0000-0000-00008DED0000}"/>
    <cellStyle name="Процентный 9 67 9" xfId="46700" xr:uid="{00000000-0005-0000-0000-00008EED0000}"/>
    <cellStyle name="Процентный 9 68" xfId="4009" xr:uid="{00000000-0005-0000-0000-00008FED0000}"/>
    <cellStyle name="Процентный 9 68 10" xfId="52072" xr:uid="{00000000-0005-0000-0000-000090ED0000}"/>
    <cellStyle name="Процентный 9 68 2" xfId="9352" xr:uid="{00000000-0005-0000-0000-000091ED0000}"/>
    <cellStyle name="Процентный 9 68 2 2" xfId="57413" xr:uid="{00000000-0005-0000-0000-000092ED0000}"/>
    <cellStyle name="Процентный 9 68 3" xfId="14692" xr:uid="{00000000-0005-0000-0000-000093ED0000}"/>
    <cellStyle name="Процентный 9 68 4" xfId="20032" xr:uid="{00000000-0005-0000-0000-000094ED0000}"/>
    <cellStyle name="Процентный 9 68 5" xfId="25372" xr:uid="{00000000-0005-0000-0000-000095ED0000}"/>
    <cellStyle name="Процентный 9 68 6" xfId="30712" xr:uid="{00000000-0005-0000-0000-000096ED0000}"/>
    <cellStyle name="Процентный 9 68 7" xfId="36052" xr:uid="{00000000-0005-0000-0000-000097ED0000}"/>
    <cellStyle name="Процентный 9 68 8" xfId="41392" xr:uid="{00000000-0005-0000-0000-000098ED0000}"/>
    <cellStyle name="Процентный 9 68 9" xfId="46732" xr:uid="{00000000-0005-0000-0000-000099ED0000}"/>
    <cellStyle name="Процентный 9 69" xfId="4041" xr:uid="{00000000-0005-0000-0000-00009AED0000}"/>
    <cellStyle name="Процентный 9 69 10" xfId="52104" xr:uid="{00000000-0005-0000-0000-00009BED0000}"/>
    <cellStyle name="Процентный 9 69 2" xfId="9384" xr:uid="{00000000-0005-0000-0000-00009CED0000}"/>
    <cellStyle name="Процентный 9 69 2 2" xfId="57445" xr:uid="{00000000-0005-0000-0000-00009DED0000}"/>
    <cellStyle name="Процентный 9 69 3" xfId="14724" xr:uid="{00000000-0005-0000-0000-00009EED0000}"/>
    <cellStyle name="Процентный 9 69 4" xfId="20064" xr:uid="{00000000-0005-0000-0000-00009FED0000}"/>
    <cellStyle name="Процентный 9 69 5" xfId="25404" xr:uid="{00000000-0005-0000-0000-0000A0ED0000}"/>
    <cellStyle name="Процентный 9 69 6" xfId="30744" xr:uid="{00000000-0005-0000-0000-0000A1ED0000}"/>
    <cellStyle name="Процентный 9 69 7" xfId="36084" xr:uid="{00000000-0005-0000-0000-0000A2ED0000}"/>
    <cellStyle name="Процентный 9 69 8" xfId="41424" xr:uid="{00000000-0005-0000-0000-0000A3ED0000}"/>
    <cellStyle name="Процентный 9 69 9" xfId="46764" xr:uid="{00000000-0005-0000-0000-0000A4ED0000}"/>
    <cellStyle name="Процентный 9 7" xfId="2084" xr:uid="{00000000-0005-0000-0000-0000A5ED0000}"/>
    <cellStyle name="Процентный 9 7 10" xfId="50148" xr:uid="{00000000-0005-0000-0000-0000A6ED0000}"/>
    <cellStyle name="Процентный 9 7 2" xfId="7427" xr:uid="{00000000-0005-0000-0000-0000A7ED0000}"/>
    <cellStyle name="Процентный 9 7 2 2" xfId="55489" xr:uid="{00000000-0005-0000-0000-0000A8ED0000}"/>
    <cellStyle name="Процентный 9 7 3" xfId="12768" xr:uid="{00000000-0005-0000-0000-0000A9ED0000}"/>
    <cellStyle name="Процентный 9 7 4" xfId="18108" xr:uid="{00000000-0005-0000-0000-0000AAED0000}"/>
    <cellStyle name="Процентный 9 7 5" xfId="23448" xr:uid="{00000000-0005-0000-0000-0000ABED0000}"/>
    <cellStyle name="Процентный 9 7 6" xfId="28788" xr:uid="{00000000-0005-0000-0000-0000ACED0000}"/>
    <cellStyle name="Процентный 9 7 7" xfId="34128" xr:uid="{00000000-0005-0000-0000-0000ADED0000}"/>
    <cellStyle name="Процентный 9 7 8" xfId="39468" xr:uid="{00000000-0005-0000-0000-0000AEED0000}"/>
    <cellStyle name="Процентный 9 7 9" xfId="44808" xr:uid="{00000000-0005-0000-0000-0000AFED0000}"/>
    <cellStyle name="Процентный 9 70" xfId="4073" xr:uid="{00000000-0005-0000-0000-0000B0ED0000}"/>
    <cellStyle name="Процентный 9 70 10" xfId="52136" xr:uid="{00000000-0005-0000-0000-0000B1ED0000}"/>
    <cellStyle name="Процентный 9 70 2" xfId="9416" xr:uid="{00000000-0005-0000-0000-0000B2ED0000}"/>
    <cellStyle name="Процентный 9 70 2 2" xfId="57477" xr:uid="{00000000-0005-0000-0000-0000B3ED0000}"/>
    <cellStyle name="Процентный 9 70 3" xfId="14756" xr:uid="{00000000-0005-0000-0000-0000B4ED0000}"/>
    <cellStyle name="Процентный 9 70 4" xfId="20096" xr:uid="{00000000-0005-0000-0000-0000B5ED0000}"/>
    <cellStyle name="Процентный 9 70 5" xfId="25436" xr:uid="{00000000-0005-0000-0000-0000B6ED0000}"/>
    <cellStyle name="Процентный 9 70 6" xfId="30776" xr:uid="{00000000-0005-0000-0000-0000B7ED0000}"/>
    <cellStyle name="Процентный 9 70 7" xfId="36116" xr:uid="{00000000-0005-0000-0000-0000B8ED0000}"/>
    <cellStyle name="Процентный 9 70 8" xfId="41456" xr:uid="{00000000-0005-0000-0000-0000B9ED0000}"/>
    <cellStyle name="Процентный 9 70 9" xfId="46796" xr:uid="{00000000-0005-0000-0000-0000BAED0000}"/>
    <cellStyle name="Процентный 9 71" xfId="4105" xr:uid="{00000000-0005-0000-0000-0000BBED0000}"/>
    <cellStyle name="Процентный 9 71 10" xfId="52168" xr:uid="{00000000-0005-0000-0000-0000BCED0000}"/>
    <cellStyle name="Процентный 9 71 2" xfId="9448" xr:uid="{00000000-0005-0000-0000-0000BDED0000}"/>
    <cellStyle name="Процентный 9 71 2 2" xfId="57509" xr:uid="{00000000-0005-0000-0000-0000BEED0000}"/>
    <cellStyle name="Процентный 9 71 3" xfId="14788" xr:uid="{00000000-0005-0000-0000-0000BFED0000}"/>
    <cellStyle name="Процентный 9 71 4" xfId="20128" xr:uid="{00000000-0005-0000-0000-0000C0ED0000}"/>
    <cellStyle name="Процентный 9 71 5" xfId="25468" xr:uid="{00000000-0005-0000-0000-0000C1ED0000}"/>
    <cellStyle name="Процентный 9 71 6" xfId="30808" xr:uid="{00000000-0005-0000-0000-0000C2ED0000}"/>
    <cellStyle name="Процентный 9 71 7" xfId="36148" xr:uid="{00000000-0005-0000-0000-0000C3ED0000}"/>
    <cellStyle name="Процентный 9 71 8" xfId="41488" xr:uid="{00000000-0005-0000-0000-0000C4ED0000}"/>
    <cellStyle name="Процентный 9 71 9" xfId="46828" xr:uid="{00000000-0005-0000-0000-0000C5ED0000}"/>
    <cellStyle name="Процентный 9 72" xfId="4137" xr:uid="{00000000-0005-0000-0000-0000C6ED0000}"/>
    <cellStyle name="Процентный 9 72 10" xfId="52200" xr:uid="{00000000-0005-0000-0000-0000C7ED0000}"/>
    <cellStyle name="Процентный 9 72 2" xfId="9480" xr:uid="{00000000-0005-0000-0000-0000C8ED0000}"/>
    <cellStyle name="Процентный 9 72 2 2" xfId="57541" xr:uid="{00000000-0005-0000-0000-0000C9ED0000}"/>
    <cellStyle name="Процентный 9 72 3" xfId="14820" xr:uid="{00000000-0005-0000-0000-0000CAED0000}"/>
    <cellStyle name="Процентный 9 72 4" xfId="20160" xr:uid="{00000000-0005-0000-0000-0000CBED0000}"/>
    <cellStyle name="Процентный 9 72 5" xfId="25500" xr:uid="{00000000-0005-0000-0000-0000CCED0000}"/>
    <cellStyle name="Процентный 9 72 6" xfId="30840" xr:uid="{00000000-0005-0000-0000-0000CDED0000}"/>
    <cellStyle name="Процентный 9 72 7" xfId="36180" xr:uid="{00000000-0005-0000-0000-0000CEED0000}"/>
    <cellStyle name="Процентный 9 72 8" xfId="41520" xr:uid="{00000000-0005-0000-0000-0000CFED0000}"/>
    <cellStyle name="Процентный 9 72 9" xfId="46860" xr:uid="{00000000-0005-0000-0000-0000D0ED0000}"/>
    <cellStyle name="Процентный 9 73" xfId="4169" xr:uid="{00000000-0005-0000-0000-0000D1ED0000}"/>
    <cellStyle name="Процентный 9 73 10" xfId="52232" xr:uid="{00000000-0005-0000-0000-0000D2ED0000}"/>
    <cellStyle name="Процентный 9 73 2" xfId="9512" xr:uid="{00000000-0005-0000-0000-0000D3ED0000}"/>
    <cellStyle name="Процентный 9 73 2 2" xfId="57573" xr:uid="{00000000-0005-0000-0000-0000D4ED0000}"/>
    <cellStyle name="Процентный 9 73 3" xfId="14852" xr:uid="{00000000-0005-0000-0000-0000D5ED0000}"/>
    <cellStyle name="Процентный 9 73 4" xfId="20192" xr:uid="{00000000-0005-0000-0000-0000D6ED0000}"/>
    <cellStyle name="Процентный 9 73 5" xfId="25532" xr:uid="{00000000-0005-0000-0000-0000D7ED0000}"/>
    <cellStyle name="Процентный 9 73 6" xfId="30872" xr:uid="{00000000-0005-0000-0000-0000D8ED0000}"/>
    <cellStyle name="Процентный 9 73 7" xfId="36212" xr:uid="{00000000-0005-0000-0000-0000D9ED0000}"/>
    <cellStyle name="Процентный 9 73 8" xfId="41552" xr:uid="{00000000-0005-0000-0000-0000DAED0000}"/>
    <cellStyle name="Процентный 9 73 9" xfId="46892" xr:uid="{00000000-0005-0000-0000-0000DBED0000}"/>
    <cellStyle name="Процентный 9 74" xfId="4201" xr:uid="{00000000-0005-0000-0000-0000DCED0000}"/>
    <cellStyle name="Процентный 9 74 10" xfId="52264" xr:uid="{00000000-0005-0000-0000-0000DDED0000}"/>
    <cellStyle name="Процентный 9 74 2" xfId="9544" xr:uid="{00000000-0005-0000-0000-0000DEED0000}"/>
    <cellStyle name="Процентный 9 74 2 2" xfId="57605" xr:uid="{00000000-0005-0000-0000-0000DFED0000}"/>
    <cellStyle name="Процентный 9 74 3" xfId="14884" xr:uid="{00000000-0005-0000-0000-0000E0ED0000}"/>
    <cellStyle name="Процентный 9 74 4" xfId="20224" xr:uid="{00000000-0005-0000-0000-0000E1ED0000}"/>
    <cellStyle name="Процентный 9 74 5" xfId="25564" xr:uid="{00000000-0005-0000-0000-0000E2ED0000}"/>
    <cellStyle name="Процентный 9 74 6" xfId="30904" xr:uid="{00000000-0005-0000-0000-0000E3ED0000}"/>
    <cellStyle name="Процентный 9 74 7" xfId="36244" xr:uid="{00000000-0005-0000-0000-0000E4ED0000}"/>
    <cellStyle name="Процентный 9 74 8" xfId="41584" xr:uid="{00000000-0005-0000-0000-0000E5ED0000}"/>
    <cellStyle name="Процентный 9 74 9" xfId="46924" xr:uid="{00000000-0005-0000-0000-0000E6ED0000}"/>
    <cellStyle name="Процентный 9 75" xfId="4233" xr:uid="{00000000-0005-0000-0000-0000E7ED0000}"/>
    <cellStyle name="Процентный 9 75 10" xfId="52296" xr:uid="{00000000-0005-0000-0000-0000E8ED0000}"/>
    <cellStyle name="Процентный 9 75 2" xfId="9576" xr:uid="{00000000-0005-0000-0000-0000E9ED0000}"/>
    <cellStyle name="Процентный 9 75 2 2" xfId="57637" xr:uid="{00000000-0005-0000-0000-0000EAED0000}"/>
    <cellStyle name="Процентный 9 75 3" xfId="14916" xr:uid="{00000000-0005-0000-0000-0000EBED0000}"/>
    <cellStyle name="Процентный 9 75 4" xfId="20256" xr:uid="{00000000-0005-0000-0000-0000ECED0000}"/>
    <cellStyle name="Процентный 9 75 5" xfId="25596" xr:uid="{00000000-0005-0000-0000-0000EDED0000}"/>
    <cellStyle name="Процентный 9 75 6" xfId="30936" xr:uid="{00000000-0005-0000-0000-0000EEED0000}"/>
    <cellStyle name="Процентный 9 75 7" xfId="36276" xr:uid="{00000000-0005-0000-0000-0000EFED0000}"/>
    <cellStyle name="Процентный 9 75 8" xfId="41616" xr:uid="{00000000-0005-0000-0000-0000F0ED0000}"/>
    <cellStyle name="Процентный 9 75 9" xfId="46956" xr:uid="{00000000-0005-0000-0000-0000F1ED0000}"/>
    <cellStyle name="Процентный 9 76" xfId="4265" xr:uid="{00000000-0005-0000-0000-0000F2ED0000}"/>
    <cellStyle name="Процентный 9 76 10" xfId="52328" xr:uid="{00000000-0005-0000-0000-0000F3ED0000}"/>
    <cellStyle name="Процентный 9 76 2" xfId="9608" xr:uid="{00000000-0005-0000-0000-0000F4ED0000}"/>
    <cellStyle name="Процентный 9 76 2 2" xfId="57669" xr:uid="{00000000-0005-0000-0000-0000F5ED0000}"/>
    <cellStyle name="Процентный 9 76 3" xfId="14948" xr:uid="{00000000-0005-0000-0000-0000F6ED0000}"/>
    <cellStyle name="Процентный 9 76 4" xfId="20288" xr:uid="{00000000-0005-0000-0000-0000F7ED0000}"/>
    <cellStyle name="Процентный 9 76 5" xfId="25628" xr:uid="{00000000-0005-0000-0000-0000F8ED0000}"/>
    <cellStyle name="Процентный 9 76 6" xfId="30968" xr:uid="{00000000-0005-0000-0000-0000F9ED0000}"/>
    <cellStyle name="Процентный 9 76 7" xfId="36308" xr:uid="{00000000-0005-0000-0000-0000FAED0000}"/>
    <cellStyle name="Процентный 9 76 8" xfId="41648" xr:uid="{00000000-0005-0000-0000-0000FBED0000}"/>
    <cellStyle name="Процентный 9 76 9" xfId="46988" xr:uid="{00000000-0005-0000-0000-0000FCED0000}"/>
    <cellStyle name="Процентный 9 77" xfId="4297" xr:uid="{00000000-0005-0000-0000-0000FDED0000}"/>
    <cellStyle name="Процентный 9 77 10" xfId="52360" xr:uid="{00000000-0005-0000-0000-0000FEED0000}"/>
    <cellStyle name="Процентный 9 77 2" xfId="9640" xr:uid="{00000000-0005-0000-0000-0000FFED0000}"/>
    <cellStyle name="Процентный 9 77 2 2" xfId="57701" xr:uid="{00000000-0005-0000-0000-000000EE0000}"/>
    <cellStyle name="Процентный 9 77 3" xfId="14980" xr:uid="{00000000-0005-0000-0000-000001EE0000}"/>
    <cellStyle name="Процентный 9 77 4" xfId="20320" xr:uid="{00000000-0005-0000-0000-000002EE0000}"/>
    <cellStyle name="Процентный 9 77 5" xfId="25660" xr:uid="{00000000-0005-0000-0000-000003EE0000}"/>
    <cellStyle name="Процентный 9 77 6" xfId="31000" xr:uid="{00000000-0005-0000-0000-000004EE0000}"/>
    <cellStyle name="Процентный 9 77 7" xfId="36340" xr:uid="{00000000-0005-0000-0000-000005EE0000}"/>
    <cellStyle name="Процентный 9 77 8" xfId="41680" xr:uid="{00000000-0005-0000-0000-000006EE0000}"/>
    <cellStyle name="Процентный 9 77 9" xfId="47020" xr:uid="{00000000-0005-0000-0000-000007EE0000}"/>
    <cellStyle name="Процентный 9 78" xfId="4329" xr:uid="{00000000-0005-0000-0000-000008EE0000}"/>
    <cellStyle name="Процентный 9 78 10" xfId="52392" xr:uid="{00000000-0005-0000-0000-000009EE0000}"/>
    <cellStyle name="Процентный 9 78 2" xfId="9672" xr:uid="{00000000-0005-0000-0000-00000AEE0000}"/>
    <cellStyle name="Процентный 9 78 2 2" xfId="57733" xr:uid="{00000000-0005-0000-0000-00000BEE0000}"/>
    <cellStyle name="Процентный 9 78 3" xfId="15012" xr:uid="{00000000-0005-0000-0000-00000CEE0000}"/>
    <cellStyle name="Процентный 9 78 4" xfId="20352" xr:uid="{00000000-0005-0000-0000-00000DEE0000}"/>
    <cellStyle name="Процентный 9 78 5" xfId="25692" xr:uid="{00000000-0005-0000-0000-00000EEE0000}"/>
    <cellStyle name="Процентный 9 78 6" xfId="31032" xr:uid="{00000000-0005-0000-0000-00000FEE0000}"/>
    <cellStyle name="Процентный 9 78 7" xfId="36372" xr:uid="{00000000-0005-0000-0000-000010EE0000}"/>
    <cellStyle name="Процентный 9 78 8" xfId="41712" xr:uid="{00000000-0005-0000-0000-000011EE0000}"/>
    <cellStyle name="Процентный 9 78 9" xfId="47052" xr:uid="{00000000-0005-0000-0000-000012EE0000}"/>
    <cellStyle name="Процентный 9 79" xfId="4361" xr:uid="{00000000-0005-0000-0000-000013EE0000}"/>
    <cellStyle name="Процентный 9 79 10" xfId="52424" xr:uid="{00000000-0005-0000-0000-000014EE0000}"/>
    <cellStyle name="Процентный 9 79 2" xfId="9704" xr:uid="{00000000-0005-0000-0000-000015EE0000}"/>
    <cellStyle name="Процентный 9 79 2 2" xfId="57765" xr:uid="{00000000-0005-0000-0000-000016EE0000}"/>
    <cellStyle name="Процентный 9 79 3" xfId="15044" xr:uid="{00000000-0005-0000-0000-000017EE0000}"/>
    <cellStyle name="Процентный 9 79 4" xfId="20384" xr:uid="{00000000-0005-0000-0000-000018EE0000}"/>
    <cellStyle name="Процентный 9 79 5" xfId="25724" xr:uid="{00000000-0005-0000-0000-000019EE0000}"/>
    <cellStyle name="Процентный 9 79 6" xfId="31064" xr:uid="{00000000-0005-0000-0000-00001AEE0000}"/>
    <cellStyle name="Процентный 9 79 7" xfId="36404" xr:uid="{00000000-0005-0000-0000-00001BEE0000}"/>
    <cellStyle name="Процентный 9 79 8" xfId="41744" xr:uid="{00000000-0005-0000-0000-00001CEE0000}"/>
    <cellStyle name="Процентный 9 79 9" xfId="47084" xr:uid="{00000000-0005-0000-0000-00001DEE0000}"/>
    <cellStyle name="Процентный 9 8" xfId="2112" xr:uid="{00000000-0005-0000-0000-00001EEE0000}"/>
    <cellStyle name="Процентный 9 8 10" xfId="50176" xr:uid="{00000000-0005-0000-0000-00001FEE0000}"/>
    <cellStyle name="Процентный 9 8 2" xfId="7455" xr:uid="{00000000-0005-0000-0000-000020EE0000}"/>
    <cellStyle name="Процентный 9 8 2 2" xfId="55517" xr:uid="{00000000-0005-0000-0000-000021EE0000}"/>
    <cellStyle name="Процентный 9 8 3" xfId="12796" xr:uid="{00000000-0005-0000-0000-000022EE0000}"/>
    <cellStyle name="Процентный 9 8 4" xfId="18136" xr:uid="{00000000-0005-0000-0000-000023EE0000}"/>
    <cellStyle name="Процентный 9 8 5" xfId="23476" xr:uid="{00000000-0005-0000-0000-000024EE0000}"/>
    <cellStyle name="Процентный 9 8 6" xfId="28816" xr:uid="{00000000-0005-0000-0000-000025EE0000}"/>
    <cellStyle name="Процентный 9 8 7" xfId="34156" xr:uid="{00000000-0005-0000-0000-000026EE0000}"/>
    <cellStyle name="Процентный 9 8 8" xfId="39496" xr:uid="{00000000-0005-0000-0000-000027EE0000}"/>
    <cellStyle name="Процентный 9 8 9" xfId="44836" xr:uid="{00000000-0005-0000-0000-000028EE0000}"/>
    <cellStyle name="Процентный 9 80" xfId="4393" xr:uid="{00000000-0005-0000-0000-000029EE0000}"/>
    <cellStyle name="Процентный 9 80 10" xfId="52456" xr:uid="{00000000-0005-0000-0000-00002AEE0000}"/>
    <cellStyle name="Процентный 9 80 2" xfId="9736" xr:uid="{00000000-0005-0000-0000-00002BEE0000}"/>
    <cellStyle name="Процентный 9 80 2 2" xfId="57797" xr:uid="{00000000-0005-0000-0000-00002CEE0000}"/>
    <cellStyle name="Процентный 9 80 3" xfId="15076" xr:uid="{00000000-0005-0000-0000-00002DEE0000}"/>
    <cellStyle name="Процентный 9 80 4" xfId="20416" xr:uid="{00000000-0005-0000-0000-00002EEE0000}"/>
    <cellStyle name="Процентный 9 80 5" xfId="25756" xr:uid="{00000000-0005-0000-0000-00002FEE0000}"/>
    <cellStyle name="Процентный 9 80 6" xfId="31096" xr:uid="{00000000-0005-0000-0000-000030EE0000}"/>
    <cellStyle name="Процентный 9 80 7" xfId="36436" xr:uid="{00000000-0005-0000-0000-000031EE0000}"/>
    <cellStyle name="Процентный 9 80 8" xfId="41776" xr:uid="{00000000-0005-0000-0000-000032EE0000}"/>
    <cellStyle name="Процентный 9 80 9" xfId="47116" xr:uid="{00000000-0005-0000-0000-000033EE0000}"/>
    <cellStyle name="Процентный 9 81" xfId="4425" xr:uid="{00000000-0005-0000-0000-000034EE0000}"/>
    <cellStyle name="Процентный 9 81 10" xfId="52488" xr:uid="{00000000-0005-0000-0000-000035EE0000}"/>
    <cellStyle name="Процентный 9 81 2" xfId="9768" xr:uid="{00000000-0005-0000-0000-000036EE0000}"/>
    <cellStyle name="Процентный 9 81 2 2" xfId="57829" xr:uid="{00000000-0005-0000-0000-000037EE0000}"/>
    <cellStyle name="Процентный 9 81 3" xfId="15108" xr:uid="{00000000-0005-0000-0000-000038EE0000}"/>
    <cellStyle name="Процентный 9 81 4" xfId="20448" xr:uid="{00000000-0005-0000-0000-000039EE0000}"/>
    <cellStyle name="Процентный 9 81 5" xfId="25788" xr:uid="{00000000-0005-0000-0000-00003AEE0000}"/>
    <cellStyle name="Процентный 9 81 6" xfId="31128" xr:uid="{00000000-0005-0000-0000-00003BEE0000}"/>
    <cellStyle name="Процентный 9 81 7" xfId="36468" xr:uid="{00000000-0005-0000-0000-00003CEE0000}"/>
    <cellStyle name="Процентный 9 81 8" xfId="41808" xr:uid="{00000000-0005-0000-0000-00003DEE0000}"/>
    <cellStyle name="Процентный 9 81 9" xfId="47148" xr:uid="{00000000-0005-0000-0000-00003EEE0000}"/>
    <cellStyle name="Процентный 9 82" xfId="4457" xr:uid="{00000000-0005-0000-0000-00003FEE0000}"/>
    <cellStyle name="Процентный 9 82 10" xfId="52520" xr:uid="{00000000-0005-0000-0000-000040EE0000}"/>
    <cellStyle name="Процентный 9 82 2" xfId="9800" xr:uid="{00000000-0005-0000-0000-000041EE0000}"/>
    <cellStyle name="Процентный 9 82 2 2" xfId="57861" xr:uid="{00000000-0005-0000-0000-000042EE0000}"/>
    <cellStyle name="Процентный 9 82 3" xfId="15140" xr:uid="{00000000-0005-0000-0000-000043EE0000}"/>
    <cellStyle name="Процентный 9 82 4" xfId="20480" xr:uid="{00000000-0005-0000-0000-000044EE0000}"/>
    <cellStyle name="Процентный 9 82 5" xfId="25820" xr:uid="{00000000-0005-0000-0000-000045EE0000}"/>
    <cellStyle name="Процентный 9 82 6" xfId="31160" xr:uid="{00000000-0005-0000-0000-000046EE0000}"/>
    <cellStyle name="Процентный 9 82 7" xfId="36500" xr:uid="{00000000-0005-0000-0000-000047EE0000}"/>
    <cellStyle name="Процентный 9 82 8" xfId="41840" xr:uid="{00000000-0005-0000-0000-000048EE0000}"/>
    <cellStyle name="Процентный 9 82 9" xfId="47180" xr:uid="{00000000-0005-0000-0000-000049EE0000}"/>
    <cellStyle name="Процентный 9 83" xfId="4489" xr:uid="{00000000-0005-0000-0000-00004AEE0000}"/>
    <cellStyle name="Процентный 9 83 10" xfId="52552" xr:uid="{00000000-0005-0000-0000-00004BEE0000}"/>
    <cellStyle name="Процентный 9 83 2" xfId="9832" xr:uid="{00000000-0005-0000-0000-00004CEE0000}"/>
    <cellStyle name="Процентный 9 83 2 2" xfId="57893" xr:uid="{00000000-0005-0000-0000-00004DEE0000}"/>
    <cellStyle name="Процентный 9 83 3" xfId="15172" xr:uid="{00000000-0005-0000-0000-00004EEE0000}"/>
    <cellStyle name="Процентный 9 83 4" xfId="20512" xr:uid="{00000000-0005-0000-0000-00004FEE0000}"/>
    <cellStyle name="Процентный 9 83 5" xfId="25852" xr:uid="{00000000-0005-0000-0000-000050EE0000}"/>
    <cellStyle name="Процентный 9 83 6" xfId="31192" xr:uid="{00000000-0005-0000-0000-000051EE0000}"/>
    <cellStyle name="Процентный 9 83 7" xfId="36532" xr:uid="{00000000-0005-0000-0000-000052EE0000}"/>
    <cellStyle name="Процентный 9 83 8" xfId="41872" xr:uid="{00000000-0005-0000-0000-000053EE0000}"/>
    <cellStyle name="Процентный 9 83 9" xfId="47212" xr:uid="{00000000-0005-0000-0000-000054EE0000}"/>
    <cellStyle name="Процентный 9 84" xfId="4521" xr:uid="{00000000-0005-0000-0000-000055EE0000}"/>
    <cellStyle name="Процентный 9 84 10" xfId="52584" xr:uid="{00000000-0005-0000-0000-000056EE0000}"/>
    <cellStyle name="Процентный 9 84 2" xfId="9864" xr:uid="{00000000-0005-0000-0000-000057EE0000}"/>
    <cellStyle name="Процентный 9 84 2 2" xfId="57925" xr:uid="{00000000-0005-0000-0000-000058EE0000}"/>
    <cellStyle name="Процентный 9 84 3" xfId="15204" xr:uid="{00000000-0005-0000-0000-000059EE0000}"/>
    <cellStyle name="Процентный 9 84 4" xfId="20544" xr:uid="{00000000-0005-0000-0000-00005AEE0000}"/>
    <cellStyle name="Процентный 9 84 5" xfId="25884" xr:uid="{00000000-0005-0000-0000-00005BEE0000}"/>
    <cellStyle name="Процентный 9 84 6" xfId="31224" xr:uid="{00000000-0005-0000-0000-00005CEE0000}"/>
    <cellStyle name="Процентный 9 84 7" xfId="36564" xr:uid="{00000000-0005-0000-0000-00005DEE0000}"/>
    <cellStyle name="Процентный 9 84 8" xfId="41904" xr:uid="{00000000-0005-0000-0000-00005EEE0000}"/>
    <cellStyle name="Процентный 9 84 9" xfId="47244" xr:uid="{00000000-0005-0000-0000-00005FEE0000}"/>
    <cellStyle name="Процентный 9 85" xfId="4553" xr:uid="{00000000-0005-0000-0000-000060EE0000}"/>
    <cellStyle name="Процентный 9 85 10" xfId="52616" xr:uid="{00000000-0005-0000-0000-000061EE0000}"/>
    <cellStyle name="Процентный 9 85 2" xfId="9896" xr:uid="{00000000-0005-0000-0000-000062EE0000}"/>
    <cellStyle name="Процентный 9 85 2 2" xfId="57957" xr:uid="{00000000-0005-0000-0000-000063EE0000}"/>
    <cellStyle name="Процентный 9 85 3" xfId="15236" xr:uid="{00000000-0005-0000-0000-000064EE0000}"/>
    <cellStyle name="Процентный 9 85 4" xfId="20576" xr:uid="{00000000-0005-0000-0000-000065EE0000}"/>
    <cellStyle name="Процентный 9 85 5" xfId="25916" xr:uid="{00000000-0005-0000-0000-000066EE0000}"/>
    <cellStyle name="Процентный 9 85 6" xfId="31256" xr:uid="{00000000-0005-0000-0000-000067EE0000}"/>
    <cellStyle name="Процентный 9 85 7" xfId="36596" xr:uid="{00000000-0005-0000-0000-000068EE0000}"/>
    <cellStyle name="Процентный 9 85 8" xfId="41936" xr:uid="{00000000-0005-0000-0000-000069EE0000}"/>
    <cellStyle name="Процентный 9 85 9" xfId="47276" xr:uid="{00000000-0005-0000-0000-00006AEE0000}"/>
    <cellStyle name="Процентный 9 86" xfId="4585" xr:uid="{00000000-0005-0000-0000-00006BEE0000}"/>
    <cellStyle name="Процентный 9 86 10" xfId="52648" xr:uid="{00000000-0005-0000-0000-00006CEE0000}"/>
    <cellStyle name="Процентный 9 86 2" xfId="9928" xr:uid="{00000000-0005-0000-0000-00006DEE0000}"/>
    <cellStyle name="Процентный 9 86 2 2" xfId="57989" xr:uid="{00000000-0005-0000-0000-00006EEE0000}"/>
    <cellStyle name="Процентный 9 86 3" xfId="15268" xr:uid="{00000000-0005-0000-0000-00006FEE0000}"/>
    <cellStyle name="Процентный 9 86 4" xfId="20608" xr:uid="{00000000-0005-0000-0000-000070EE0000}"/>
    <cellStyle name="Процентный 9 86 5" xfId="25948" xr:uid="{00000000-0005-0000-0000-000071EE0000}"/>
    <cellStyle name="Процентный 9 86 6" xfId="31288" xr:uid="{00000000-0005-0000-0000-000072EE0000}"/>
    <cellStyle name="Процентный 9 86 7" xfId="36628" xr:uid="{00000000-0005-0000-0000-000073EE0000}"/>
    <cellStyle name="Процентный 9 86 8" xfId="41968" xr:uid="{00000000-0005-0000-0000-000074EE0000}"/>
    <cellStyle name="Процентный 9 86 9" xfId="47308" xr:uid="{00000000-0005-0000-0000-000075EE0000}"/>
    <cellStyle name="Процентный 9 87" xfId="4617" xr:uid="{00000000-0005-0000-0000-000076EE0000}"/>
    <cellStyle name="Процентный 9 87 10" xfId="52680" xr:uid="{00000000-0005-0000-0000-000077EE0000}"/>
    <cellStyle name="Процентный 9 87 2" xfId="9960" xr:uid="{00000000-0005-0000-0000-000078EE0000}"/>
    <cellStyle name="Процентный 9 87 2 2" xfId="58021" xr:uid="{00000000-0005-0000-0000-000079EE0000}"/>
    <cellStyle name="Процентный 9 87 3" xfId="15300" xr:uid="{00000000-0005-0000-0000-00007AEE0000}"/>
    <cellStyle name="Процентный 9 87 4" xfId="20640" xr:uid="{00000000-0005-0000-0000-00007BEE0000}"/>
    <cellStyle name="Процентный 9 87 5" xfId="25980" xr:uid="{00000000-0005-0000-0000-00007CEE0000}"/>
    <cellStyle name="Процентный 9 87 6" xfId="31320" xr:uid="{00000000-0005-0000-0000-00007DEE0000}"/>
    <cellStyle name="Процентный 9 87 7" xfId="36660" xr:uid="{00000000-0005-0000-0000-00007EEE0000}"/>
    <cellStyle name="Процентный 9 87 8" xfId="42000" xr:uid="{00000000-0005-0000-0000-00007FEE0000}"/>
    <cellStyle name="Процентный 9 87 9" xfId="47340" xr:uid="{00000000-0005-0000-0000-000080EE0000}"/>
    <cellStyle name="Процентный 9 88" xfId="4649" xr:uid="{00000000-0005-0000-0000-000081EE0000}"/>
    <cellStyle name="Процентный 9 88 10" xfId="52712" xr:uid="{00000000-0005-0000-0000-000082EE0000}"/>
    <cellStyle name="Процентный 9 88 2" xfId="9992" xr:uid="{00000000-0005-0000-0000-000083EE0000}"/>
    <cellStyle name="Процентный 9 88 2 2" xfId="58053" xr:uid="{00000000-0005-0000-0000-000084EE0000}"/>
    <cellStyle name="Процентный 9 88 3" xfId="15332" xr:uid="{00000000-0005-0000-0000-000085EE0000}"/>
    <cellStyle name="Процентный 9 88 4" xfId="20672" xr:uid="{00000000-0005-0000-0000-000086EE0000}"/>
    <cellStyle name="Процентный 9 88 5" xfId="26012" xr:uid="{00000000-0005-0000-0000-000087EE0000}"/>
    <cellStyle name="Процентный 9 88 6" xfId="31352" xr:uid="{00000000-0005-0000-0000-000088EE0000}"/>
    <cellStyle name="Процентный 9 88 7" xfId="36692" xr:uid="{00000000-0005-0000-0000-000089EE0000}"/>
    <cellStyle name="Процентный 9 88 8" xfId="42032" xr:uid="{00000000-0005-0000-0000-00008AEE0000}"/>
    <cellStyle name="Процентный 9 88 9" xfId="47372" xr:uid="{00000000-0005-0000-0000-00008BEE0000}"/>
    <cellStyle name="Процентный 9 89" xfId="4681" xr:uid="{00000000-0005-0000-0000-00008CEE0000}"/>
    <cellStyle name="Процентный 9 89 10" xfId="52744" xr:uid="{00000000-0005-0000-0000-00008DEE0000}"/>
    <cellStyle name="Процентный 9 89 2" xfId="10024" xr:uid="{00000000-0005-0000-0000-00008EEE0000}"/>
    <cellStyle name="Процентный 9 89 2 2" xfId="58085" xr:uid="{00000000-0005-0000-0000-00008FEE0000}"/>
    <cellStyle name="Процентный 9 89 3" xfId="15364" xr:uid="{00000000-0005-0000-0000-000090EE0000}"/>
    <cellStyle name="Процентный 9 89 4" xfId="20704" xr:uid="{00000000-0005-0000-0000-000091EE0000}"/>
    <cellStyle name="Процентный 9 89 5" xfId="26044" xr:uid="{00000000-0005-0000-0000-000092EE0000}"/>
    <cellStyle name="Процентный 9 89 6" xfId="31384" xr:uid="{00000000-0005-0000-0000-000093EE0000}"/>
    <cellStyle name="Процентный 9 89 7" xfId="36724" xr:uid="{00000000-0005-0000-0000-000094EE0000}"/>
    <cellStyle name="Процентный 9 89 8" xfId="42064" xr:uid="{00000000-0005-0000-0000-000095EE0000}"/>
    <cellStyle name="Процентный 9 89 9" xfId="47404" xr:uid="{00000000-0005-0000-0000-000096EE0000}"/>
    <cellStyle name="Процентный 9 9" xfId="2140" xr:uid="{00000000-0005-0000-0000-000097EE0000}"/>
    <cellStyle name="Процентный 9 9 10" xfId="50204" xr:uid="{00000000-0005-0000-0000-000098EE0000}"/>
    <cellStyle name="Процентный 9 9 2" xfId="7483" xr:uid="{00000000-0005-0000-0000-000099EE0000}"/>
    <cellStyle name="Процентный 9 9 2 2" xfId="55545" xr:uid="{00000000-0005-0000-0000-00009AEE0000}"/>
    <cellStyle name="Процентный 9 9 3" xfId="12824" xr:uid="{00000000-0005-0000-0000-00009BEE0000}"/>
    <cellStyle name="Процентный 9 9 4" xfId="18164" xr:uid="{00000000-0005-0000-0000-00009CEE0000}"/>
    <cellStyle name="Процентный 9 9 5" xfId="23504" xr:uid="{00000000-0005-0000-0000-00009DEE0000}"/>
    <cellStyle name="Процентный 9 9 6" xfId="28844" xr:uid="{00000000-0005-0000-0000-00009EEE0000}"/>
    <cellStyle name="Процентный 9 9 7" xfId="34184" xr:uid="{00000000-0005-0000-0000-00009FEE0000}"/>
    <cellStyle name="Процентный 9 9 8" xfId="39524" xr:uid="{00000000-0005-0000-0000-0000A0EE0000}"/>
    <cellStyle name="Процентный 9 9 9" xfId="44864" xr:uid="{00000000-0005-0000-0000-0000A1EE0000}"/>
    <cellStyle name="Процентный 9 90" xfId="4713" xr:uid="{00000000-0005-0000-0000-0000A2EE0000}"/>
    <cellStyle name="Процентный 9 90 10" xfId="52776" xr:uid="{00000000-0005-0000-0000-0000A3EE0000}"/>
    <cellStyle name="Процентный 9 90 2" xfId="10056" xr:uid="{00000000-0005-0000-0000-0000A4EE0000}"/>
    <cellStyle name="Процентный 9 90 2 2" xfId="58117" xr:uid="{00000000-0005-0000-0000-0000A5EE0000}"/>
    <cellStyle name="Процентный 9 90 3" xfId="15396" xr:uid="{00000000-0005-0000-0000-0000A6EE0000}"/>
    <cellStyle name="Процентный 9 90 4" xfId="20736" xr:uid="{00000000-0005-0000-0000-0000A7EE0000}"/>
    <cellStyle name="Процентный 9 90 5" xfId="26076" xr:uid="{00000000-0005-0000-0000-0000A8EE0000}"/>
    <cellStyle name="Процентный 9 90 6" xfId="31416" xr:uid="{00000000-0005-0000-0000-0000A9EE0000}"/>
    <cellStyle name="Процентный 9 90 7" xfId="36756" xr:uid="{00000000-0005-0000-0000-0000AAEE0000}"/>
    <cellStyle name="Процентный 9 90 8" xfId="42096" xr:uid="{00000000-0005-0000-0000-0000ABEE0000}"/>
    <cellStyle name="Процентный 9 90 9" xfId="47436" xr:uid="{00000000-0005-0000-0000-0000ACEE0000}"/>
    <cellStyle name="Процентный 9 91" xfId="4747" xr:uid="{00000000-0005-0000-0000-0000ADEE0000}"/>
    <cellStyle name="Процентный 9 91 10" xfId="52810" xr:uid="{00000000-0005-0000-0000-0000AEEE0000}"/>
    <cellStyle name="Процентный 9 91 2" xfId="10090" xr:uid="{00000000-0005-0000-0000-0000AFEE0000}"/>
    <cellStyle name="Процентный 9 91 2 2" xfId="58151" xr:uid="{00000000-0005-0000-0000-0000B0EE0000}"/>
    <cellStyle name="Процентный 9 91 3" xfId="15430" xr:uid="{00000000-0005-0000-0000-0000B1EE0000}"/>
    <cellStyle name="Процентный 9 91 4" xfId="20770" xr:uid="{00000000-0005-0000-0000-0000B2EE0000}"/>
    <cellStyle name="Процентный 9 91 5" xfId="26110" xr:uid="{00000000-0005-0000-0000-0000B3EE0000}"/>
    <cellStyle name="Процентный 9 91 6" xfId="31450" xr:uid="{00000000-0005-0000-0000-0000B4EE0000}"/>
    <cellStyle name="Процентный 9 91 7" xfId="36790" xr:uid="{00000000-0005-0000-0000-0000B5EE0000}"/>
    <cellStyle name="Процентный 9 91 8" xfId="42130" xr:uid="{00000000-0005-0000-0000-0000B6EE0000}"/>
    <cellStyle name="Процентный 9 91 9" xfId="47470" xr:uid="{00000000-0005-0000-0000-0000B7EE0000}"/>
    <cellStyle name="Процентный 9 92" xfId="4779" xr:uid="{00000000-0005-0000-0000-0000B8EE0000}"/>
    <cellStyle name="Процентный 9 92 10" xfId="52842" xr:uid="{00000000-0005-0000-0000-0000B9EE0000}"/>
    <cellStyle name="Процентный 9 92 2" xfId="10122" xr:uid="{00000000-0005-0000-0000-0000BAEE0000}"/>
    <cellStyle name="Процентный 9 92 2 2" xfId="58183" xr:uid="{00000000-0005-0000-0000-0000BBEE0000}"/>
    <cellStyle name="Процентный 9 92 3" xfId="15462" xr:uid="{00000000-0005-0000-0000-0000BCEE0000}"/>
    <cellStyle name="Процентный 9 92 4" xfId="20802" xr:uid="{00000000-0005-0000-0000-0000BDEE0000}"/>
    <cellStyle name="Процентный 9 92 5" xfId="26142" xr:uid="{00000000-0005-0000-0000-0000BEEE0000}"/>
    <cellStyle name="Процентный 9 92 6" xfId="31482" xr:uid="{00000000-0005-0000-0000-0000BFEE0000}"/>
    <cellStyle name="Процентный 9 92 7" xfId="36822" xr:uid="{00000000-0005-0000-0000-0000C0EE0000}"/>
    <cellStyle name="Процентный 9 92 8" xfId="42162" xr:uid="{00000000-0005-0000-0000-0000C1EE0000}"/>
    <cellStyle name="Процентный 9 92 9" xfId="47502" xr:uid="{00000000-0005-0000-0000-0000C2EE0000}"/>
    <cellStyle name="Процентный 9 93" xfId="4811" xr:uid="{00000000-0005-0000-0000-0000C3EE0000}"/>
    <cellStyle name="Процентный 9 93 10" xfId="52874" xr:uid="{00000000-0005-0000-0000-0000C4EE0000}"/>
    <cellStyle name="Процентный 9 93 2" xfId="10154" xr:uid="{00000000-0005-0000-0000-0000C5EE0000}"/>
    <cellStyle name="Процентный 9 93 2 2" xfId="58215" xr:uid="{00000000-0005-0000-0000-0000C6EE0000}"/>
    <cellStyle name="Процентный 9 93 3" xfId="15494" xr:uid="{00000000-0005-0000-0000-0000C7EE0000}"/>
    <cellStyle name="Процентный 9 93 4" xfId="20834" xr:uid="{00000000-0005-0000-0000-0000C8EE0000}"/>
    <cellStyle name="Процентный 9 93 5" xfId="26174" xr:uid="{00000000-0005-0000-0000-0000C9EE0000}"/>
    <cellStyle name="Процентный 9 93 6" xfId="31514" xr:uid="{00000000-0005-0000-0000-0000CAEE0000}"/>
    <cellStyle name="Процентный 9 93 7" xfId="36854" xr:uid="{00000000-0005-0000-0000-0000CBEE0000}"/>
    <cellStyle name="Процентный 9 93 8" xfId="42194" xr:uid="{00000000-0005-0000-0000-0000CCEE0000}"/>
    <cellStyle name="Процентный 9 93 9" xfId="47534" xr:uid="{00000000-0005-0000-0000-0000CDEE0000}"/>
    <cellStyle name="Процентный 9 94" xfId="4843" xr:uid="{00000000-0005-0000-0000-0000CEEE0000}"/>
    <cellStyle name="Процентный 9 94 10" xfId="52906" xr:uid="{00000000-0005-0000-0000-0000CFEE0000}"/>
    <cellStyle name="Процентный 9 94 2" xfId="10186" xr:uid="{00000000-0005-0000-0000-0000D0EE0000}"/>
    <cellStyle name="Процентный 9 94 2 2" xfId="58247" xr:uid="{00000000-0005-0000-0000-0000D1EE0000}"/>
    <cellStyle name="Процентный 9 94 3" xfId="15526" xr:uid="{00000000-0005-0000-0000-0000D2EE0000}"/>
    <cellStyle name="Процентный 9 94 4" xfId="20866" xr:uid="{00000000-0005-0000-0000-0000D3EE0000}"/>
    <cellStyle name="Процентный 9 94 5" xfId="26206" xr:uid="{00000000-0005-0000-0000-0000D4EE0000}"/>
    <cellStyle name="Процентный 9 94 6" xfId="31546" xr:uid="{00000000-0005-0000-0000-0000D5EE0000}"/>
    <cellStyle name="Процентный 9 94 7" xfId="36886" xr:uid="{00000000-0005-0000-0000-0000D6EE0000}"/>
    <cellStyle name="Процентный 9 94 8" xfId="42226" xr:uid="{00000000-0005-0000-0000-0000D7EE0000}"/>
    <cellStyle name="Процентный 9 94 9" xfId="47566" xr:uid="{00000000-0005-0000-0000-0000D8EE0000}"/>
    <cellStyle name="Процентный 9 95" xfId="4875" xr:uid="{00000000-0005-0000-0000-0000D9EE0000}"/>
    <cellStyle name="Процентный 9 95 10" xfId="52938" xr:uid="{00000000-0005-0000-0000-0000DAEE0000}"/>
    <cellStyle name="Процентный 9 95 2" xfId="10218" xr:uid="{00000000-0005-0000-0000-0000DBEE0000}"/>
    <cellStyle name="Процентный 9 95 2 2" xfId="58279" xr:uid="{00000000-0005-0000-0000-0000DCEE0000}"/>
    <cellStyle name="Процентный 9 95 3" xfId="15558" xr:uid="{00000000-0005-0000-0000-0000DDEE0000}"/>
    <cellStyle name="Процентный 9 95 4" xfId="20898" xr:uid="{00000000-0005-0000-0000-0000DEEE0000}"/>
    <cellStyle name="Процентный 9 95 5" xfId="26238" xr:uid="{00000000-0005-0000-0000-0000DFEE0000}"/>
    <cellStyle name="Процентный 9 95 6" xfId="31578" xr:uid="{00000000-0005-0000-0000-0000E0EE0000}"/>
    <cellStyle name="Процентный 9 95 7" xfId="36918" xr:uid="{00000000-0005-0000-0000-0000E1EE0000}"/>
    <cellStyle name="Процентный 9 95 8" xfId="42258" xr:uid="{00000000-0005-0000-0000-0000E2EE0000}"/>
    <cellStyle name="Процентный 9 95 9" xfId="47598" xr:uid="{00000000-0005-0000-0000-0000E3EE0000}"/>
    <cellStyle name="Процентный 9 96" xfId="4907" xr:uid="{00000000-0005-0000-0000-0000E4EE0000}"/>
    <cellStyle name="Процентный 9 96 10" xfId="52970" xr:uid="{00000000-0005-0000-0000-0000E5EE0000}"/>
    <cellStyle name="Процентный 9 96 2" xfId="10250" xr:uid="{00000000-0005-0000-0000-0000E6EE0000}"/>
    <cellStyle name="Процентный 9 96 2 2" xfId="58311" xr:uid="{00000000-0005-0000-0000-0000E7EE0000}"/>
    <cellStyle name="Процентный 9 96 3" xfId="15590" xr:uid="{00000000-0005-0000-0000-0000E8EE0000}"/>
    <cellStyle name="Процентный 9 96 4" xfId="20930" xr:uid="{00000000-0005-0000-0000-0000E9EE0000}"/>
    <cellStyle name="Процентный 9 96 5" xfId="26270" xr:uid="{00000000-0005-0000-0000-0000EAEE0000}"/>
    <cellStyle name="Процентный 9 96 6" xfId="31610" xr:uid="{00000000-0005-0000-0000-0000EBEE0000}"/>
    <cellStyle name="Процентный 9 96 7" xfId="36950" xr:uid="{00000000-0005-0000-0000-0000ECEE0000}"/>
    <cellStyle name="Процентный 9 96 8" xfId="42290" xr:uid="{00000000-0005-0000-0000-0000EDEE0000}"/>
    <cellStyle name="Процентный 9 96 9" xfId="47630" xr:uid="{00000000-0005-0000-0000-0000EEEE0000}"/>
    <cellStyle name="Процентный 9 97" xfId="4939" xr:uid="{00000000-0005-0000-0000-0000EFEE0000}"/>
    <cellStyle name="Процентный 9 97 10" xfId="53002" xr:uid="{00000000-0005-0000-0000-0000F0EE0000}"/>
    <cellStyle name="Процентный 9 97 2" xfId="10282" xr:uid="{00000000-0005-0000-0000-0000F1EE0000}"/>
    <cellStyle name="Процентный 9 97 2 2" xfId="58343" xr:uid="{00000000-0005-0000-0000-0000F2EE0000}"/>
    <cellStyle name="Процентный 9 97 3" xfId="15622" xr:uid="{00000000-0005-0000-0000-0000F3EE0000}"/>
    <cellStyle name="Процентный 9 97 4" xfId="20962" xr:uid="{00000000-0005-0000-0000-0000F4EE0000}"/>
    <cellStyle name="Процентный 9 97 5" xfId="26302" xr:uid="{00000000-0005-0000-0000-0000F5EE0000}"/>
    <cellStyle name="Процентный 9 97 6" xfId="31642" xr:uid="{00000000-0005-0000-0000-0000F6EE0000}"/>
    <cellStyle name="Процентный 9 97 7" xfId="36982" xr:uid="{00000000-0005-0000-0000-0000F7EE0000}"/>
    <cellStyle name="Процентный 9 97 8" xfId="42322" xr:uid="{00000000-0005-0000-0000-0000F8EE0000}"/>
    <cellStyle name="Процентный 9 97 9" xfId="47662" xr:uid="{00000000-0005-0000-0000-0000F9EE0000}"/>
    <cellStyle name="Процентный 9 98" xfId="4971" xr:uid="{00000000-0005-0000-0000-0000FAEE0000}"/>
    <cellStyle name="Процентный 9 98 10" xfId="53034" xr:uid="{00000000-0005-0000-0000-0000FBEE0000}"/>
    <cellStyle name="Процентный 9 98 2" xfId="10314" xr:uid="{00000000-0005-0000-0000-0000FCEE0000}"/>
    <cellStyle name="Процентный 9 98 2 2" xfId="58375" xr:uid="{00000000-0005-0000-0000-0000FDEE0000}"/>
    <cellStyle name="Процентный 9 98 3" xfId="15654" xr:uid="{00000000-0005-0000-0000-0000FEEE0000}"/>
    <cellStyle name="Процентный 9 98 4" xfId="20994" xr:uid="{00000000-0005-0000-0000-0000FFEE0000}"/>
    <cellStyle name="Процентный 9 98 5" xfId="26334" xr:uid="{00000000-0005-0000-0000-000000EF0000}"/>
    <cellStyle name="Процентный 9 98 6" xfId="31674" xr:uid="{00000000-0005-0000-0000-000001EF0000}"/>
    <cellStyle name="Процентный 9 98 7" xfId="37014" xr:uid="{00000000-0005-0000-0000-000002EF0000}"/>
    <cellStyle name="Процентный 9 98 8" xfId="42354" xr:uid="{00000000-0005-0000-0000-000003EF0000}"/>
    <cellStyle name="Процентный 9 98 9" xfId="47694" xr:uid="{00000000-0005-0000-0000-000004EF0000}"/>
    <cellStyle name="Процентный 9 99" xfId="5003" xr:uid="{00000000-0005-0000-0000-000005EF0000}"/>
    <cellStyle name="Процентный 9 99 10" xfId="53066" xr:uid="{00000000-0005-0000-0000-000006EF0000}"/>
    <cellStyle name="Процентный 9 99 2" xfId="10346" xr:uid="{00000000-0005-0000-0000-000007EF0000}"/>
    <cellStyle name="Процентный 9 99 2 2" xfId="58407" xr:uid="{00000000-0005-0000-0000-000008EF0000}"/>
    <cellStyle name="Процентный 9 99 3" xfId="15686" xr:uid="{00000000-0005-0000-0000-000009EF0000}"/>
    <cellStyle name="Процентный 9 99 4" xfId="21026" xr:uid="{00000000-0005-0000-0000-00000AEF0000}"/>
    <cellStyle name="Процентный 9 99 5" xfId="26366" xr:uid="{00000000-0005-0000-0000-00000BEF0000}"/>
    <cellStyle name="Процентный 9 99 6" xfId="31706" xr:uid="{00000000-0005-0000-0000-00000CEF0000}"/>
    <cellStyle name="Процентный 9 99 7" xfId="37046" xr:uid="{00000000-0005-0000-0000-00000DEF0000}"/>
    <cellStyle name="Процентный 9 99 8" xfId="42386" xr:uid="{00000000-0005-0000-0000-00000EEF0000}"/>
    <cellStyle name="Процентный 9 99 9" xfId="47726" xr:uid="{00000000-0005-0000-0000-00000FEF0000}"/>
    <cellStyle name="Стиль 1" xfId="60518" xr:uid="{00000000-0005-0000-0000-000010EF0000}"/>
    <cellStyle name="Финансовый [0] 2" xfId="16" xr:uid="{00000000-0005-0000-0000-000012EF0000}"/>
    <cellStyle name="Финансовый [0] 2 2" xfId="60519" xr:uid="{00000000-0005-0000-0000-000013EF0000}"/>
    <cellStyle name="Финансовый [0] 2 3" xfId="61138" xr:uid="{00000000-0005-0000-0000-000014EF0000}"/>
    <cellStyle name="Финансовый [0] 2 4" xfId="61284" xr:uid="{00000000-0005-0000-0000-000015EF0000}"/>
    <cellStyle name="Финансовый [0] 2 5" xfId="61428" xr:uid="{00000000-0005-0000-0000-000016EF0000}"/>
    <cellStyle name="Финансовый [0] 2 6" xfId="61572" xr:uid="{00000000-0005-0000-0000-000017EF0000}"/>
    <cellStyle name="Финансовый [0] 2 7" xfId="61716" xr:uid="{00000000-0005-0000-0000-000018EF0000}"/>
    <cellStyle name="Финансовый [0] 2 8" xfId="61860" xr:uid="{00000000-0005-0000-0000-000019EF0000}"/>
    <cellStyle name="Финансовый 10" xfId="61019" xr:uid="{00000000-0005-0000-0000-00001AEF0000}"/>
    <cellStyle name="Финансовый 11" xfId="61020" xr:uid="{00000000-0005-0000-0000-00001BEF0000}"/>
    <cellStyle name="Финансовый 12" xfId="61021" xr:uid="{00000000-0005-0000-0000-00001CEF0000}"/>
    <cellStyle name="Финансовый 13" xfId="61022" xr:uid="{00000000-0005-0000-0000-00001DEF0000}"/>
    <cellStyle name="Финансовый 14" xfId="61166" xr:uid="{00000000-0005-0000-0000-00001EEF0000}"/>
    <cellStyle name="Финансовый 15" xfId="61167" xr:uid="{00000000-0005-0000-0000-00001FEF0000}"/>
    <cellStyle name="Финансовый 16" xfId="61168" xr:uid="{00000000-0005-0000-0000-000020EF0000}"/>
    <cellStyle name="Финансовый 17" xfId="61312" xr:uid="{00000000-0005-0000-0000-000021EF0000}"/>
    <cellStyle name="Финансовый 18" xfId="61456" xr:uid="{00000000-0005-0000-0000-000022EF0000}"/>
    <cellStyle name="Финансовый 19" xfId="61600" xr:uid="{00000000-0005-0000-0000-000023EF0000}"/>
    <cellStyle name="Финансовый 2" xfId="8" xr:uid="{00000000-0005-0000-0000-000024EF0000}"/>
    <cellStyle name="Финансовый 2 10" xfId="61861" xr:uid="{00000000-0005-0000-0000-000025EF0000}"/>
    <cellStyle name="Финансовый 2 2" xfId="5392" xr:uid="{00000000-0005-0000-0000-000026EF0000}"/>
    <cellStyle name="Финансовый 2 3" xfId="33" xr:uid="{00000000-0005-0000-0000-000027EF0000}"/>
    <cellStyle name="Финансовый 2 4" xfId="60520" xr:uid="{00000000-0005-0000-0000-000028EF0000}"/>
    <cellStyle name="Финансовый 2 5" xfId="61139" xr:uid="{00000000-0005-0000-0000-000029EF0000}"/>
    <cellStyle name="Финансовый 2 6" xfId="61285" xr:uid="{00000000-0005-0000-0000-00002AEF0000}"/>
    <cellStyle name="Финансовый 2 7" xfId="61429" xr:uid="{00000000-0005-0000-0000-00002BEF0000}"/>
    <cellStyle name="Финансовый 2 8" xfId="61573" xr:uid="{00000000-0005-0000-0000-00002CEF0000}"/>
    <cellStyle name="Финансовый 2 9" xfId="61717" xr:uid="{00000000-0005-0000-0000-00002DEF0000}"/>
    <cellStyle name="Финансовый 20" xfId="61744" xr:uid="{00000000-0005-0000-0000-00002EEF0000}"/>
    <cellStyle name="Финансовый 3" xfId="47" xr:uid="{00000000-0005-0000-0000-00002FEF0000}"/>
    <cellStyle name="Финансовый 3 2" xfId="52" xr:uid="{00000000-0005-0000-0000-000030EF0000}"/>
    <cellStyle name="Финансовый 3 2 2" xfId="5396" xr:uid="{00000000-0005-0000-0000-000031EF0000}"/>
    <cellStyle name="Финансовый 4" xfId="4" xr:uid="{00000000-0005-0000-0000-000032EF0000}"/>
    <cellStyle name="Финансовый 5" xfId="3117" xr:uid="{00000000-0005-0000-0000-000033EF0000}"/>
    <cellStyle name="Финансовый 5 2" xfId="8460" xr:uid="{00000000-0005-0000-0000-000034EF0000}"/>
    <cellStyle name="Финансовый 6" xfId="58800" xr:uid="{00000000-0005-0000-0000-000035EF0000}"/>
    <cellStyle name="Финансовый 7" xfId="58803" xr:uid="{00000000-0005-0000-0000-000036EF0000}"/>
    <cellStyle name="Финансовый 8" xfId="58809" xr:uid="{00000000-0005-0000-0000-000037EF0000}"/>
    <cellStyle name="Финансовый 8 2" xfId="18" xr:uid="{00000000-0005-0000-0000-000038EF0000}"/>
    <cellStyle name="Финансовый 9" xfId="60514" xr:uid="{00000000-0005-0000-0000-000039EF0000}"/>
    <cellStyle name="เครื่องหมายจุลภาค [0]_defertax46q146" xfId="60521" xr:uid="{00000000-0005-0000-0000-00003AEF0000}"/>
    <cellStyle name="เครื่องหมายจุลภาค 10" xfId="60522" xr:uid="{00000000-0005-0000-0000-00003BEF0000}"/>
    <cellStyle name="เครื่องหมายจุลภาค 10 2" xfId="60523" xr:uid="{00000000-0005-0000-0000-00003CEF0000}"/>
    <cellStyle name="เครื่องหมายจุลภาค 10 2 2" xfId="61141" xr:uid="{00000000-0005-0000-0000-00003DEF0000}"/>
    <cellStyle name="เครื่องหมายจุลภาค 10 2 3" xfId="61287" xr:uid="{00000000-0005-0000-0000-00003EEF0000}"/>
    <cellStyle name="เครื่องหมายจุลภาค 10 2 4" xfId="61431" xr:uid="{00000000-0005-0000-0000-00003FEF0000}"/>
    <cellStyle name="เครื่องหมายจุลภาค 10 2 5" xfId="61575" xr:uid="{00000000-0005-0000-0000-000040EF0000}"/>
    <cellStyle name="เครื่องหมายจุลภาค 10 2 6" xfId="61719" xr:uid="{00000000-0005-0000-0000-000041EF0000}"/>
    <cellStyle name="เครื่องหมายจุลภาค 10 2 7" xfId="61863" xr:uid="{00000000-0005-0000-0000-000042EF0000}"/>
    <cellStyle name="เครื่องหมายจุลภาค 10 3" xfId="61140" xr:uid="{00000000-0005-0000-0000-000043EF0000}"/>
    <cellStyle name="เครื่องหมายจุลภาค 10 4" xfId="61286" xr:uid="{00000000-0005-0000-0000-000044EF0000}"/>
    <cellStyle name="เครื่องหมายจุลภาค 10 5" xfId="61430" xr:uid="{00000000-0005-0000-0000-000045EF0000}"/>
    <cellStyle name="เครื่องหมายจุลภาค 10 6" xfId="61574" xr:uid="{00000000-0005-0000-0000-000046EF0000}"/>
    <cellStyle name="เครื่องหมายจุลภาค 10 7" xfId="61718" xr:uid="{00000000-0005-0000-0000-000047EF0000}"/>
    <cellStyle name="เครื่องหมายจุลภาค 10 8" xfId="61862" xr:uid="{00000000-0005-0000-0000-000048EF0000}"/>
    <cellStyle name="เครื่องหมายจุลภาค 11" xfId="60524" xr:uid="{00000000-0005-0000-0000-000049EF0000}"/>
    <cellStyle name="เครื่องหมายจุลภาค 11 2" xfId="60525" xr:uid="{00000000-0005-0000-0000-00004AEF0000}"/>
    <cellStyle name="เครื่องหมายจุลภาค 11 2 2" xfId="61143" xr:uid="{00000000-0005-0000-0000-00004BEF0000}"/>
    <cellStyle name="เครื่องหมายจุลภาค 11 2 3" xfId="61289" xr:uid="{00000000-0005-0000-0000-00004CEF0000}"/>
    <cellStyle name="เครื่องหมายจุลภาค 11 2 4" xfId="61433" xr:uid="{00000000-0005-0000-0000-00004DEF0000}"/>
    <cellStyle name="เครื่องหมายจุลภาค 11 2 5" xfId="61577" xr:uid="{00000000-0005-0000-0000-00004EEF0000}"/>
    <cellStyle name="เครื่องหมายจุลภาค 11 2 6" xfId="61721" xr:uid="{00000000-0005-0000-0000-00004FEF0000}"/>
    <cellStyle name="เครื่องหมายจุลภาค 11 2 7" xfId="61865" xr:uid="{00000000-0005-0000-0000-000050EF0000}"/>
    <cellStyle name="เครื่องหมายจุลภาค 11 3" xfId="61142" xr:uid="{00000000-0005-0000-0000-000051EF0000}"/>
    <cellStyle name="เครื่องหมายจุลภาค 11 4" xfId="61288" xr:uid="{00000000-0005-0000-0000-000052EF0000}"/>
    <cellStyle name="เครื่องหมายจุลภาค 11 5" xfId="61432" xr:uid="{00000000-0005-0000-0000-000053EF0000}"/>
    <cellStyle name="เครื่องหมายจุลภาค 11 6" xfId="61576" xr:uid="{00000000-0005-0000-0000-000054EF0000}"/>
    <cellStyle name="เครื่องหมายจุลภาค 11 7" xfId="61720" xr:uid="{00000000-0005-0000-0000-000055EF0000}"/>
    <cellStyle name="เครื่องหมายจุลภาค 11 8" xfId="61864" xr:uid="{00000000-0005-0000-0000-000056EF0000}"/>
    <cellStyle name="เครื่องหมายจุลภาค 12" xfId="60526" xr:uid="{00000000-0005-0000-0000-000057EF0000}"/>
    <cellStyle name="เครื่องหมายจุลภาค 12 2" xfId="60527" xr:uid="{00000000-0005-0000-0000-000058EF0000}"/>
    <cellStyle name="เครื่องหมายจุลภาค 12 2 2" xfId="61144" xr:uid="{00000000-0005-0000-0000-000059EF0000}"/>
    <cellStyle name="เครื่องหมายจุลภาค 12 2 3" xfId="61290" xr:uid="{00000000-0005-0000-0000-00005AEF0000}"/>
    <cellStyle name="เครื่องหมายจุลภาค 12 2 4" xfId="61434" xr:uid="{00000000-0005-0000-0000-00005BEF0000}"/>
    <cellStyle name="เครื่องหมายจุลภาค 12 2 5" xfId="61578" xr:uid="{00000000-0005-0000-0000-00005CEF0000}"/>
    <cellStyle name="เครื่องหมายจุลภาค 12 2 6" xfId="61722" xr:uid="{00000000-0005-0000-0000-00005DEF0000}"/>
    <cellStyle name="เครื่องหมายจุลภาค 12 2 7" xfId="61866" xr:uid="{00000000-0005-0000-0000-00005EEF0000}"/>
    <cellStyle name="เครื่องหมายจุลภาค 2" xfId="60528" xr:uid="{00000000-0005-0000-0000-00005FEF0000}"/>
    <cellStyle name="เครื่องหมายจุลภาค 2 2" xfId="60529" xr:uid="{00000000-0005-0000-0000-000060EF0000}"/>
    <cellStyle name="เครื่องหมายจุลภาค 2 2 2" xfId="60530" xr:uid="{00000000-0005-0000-0000-000061EF0000}"/>
    <cellStyle name="เครื่องหมายจุลภาค 2 2 3" xfId="60531" xr:uid="{00000000-0005-0000-0000-000062EF0000}"/>
    <cellStyle name="เครื่องหมายจุลภาค 2 2 4" xfId="60532" xr:uid="{00000000-0005-0000-0000-000063EF0000}"/>
    <cellStyle name="เครื่องหมายจุลภาค 2 3" xfId="60533" xr:uid="{00000000-0005-0000-0000-000064EF0000}"/>
    <cellStyle name="เครื่องหมายจุลภาค 2 3 2" xfId="60534" xr:uid="{00000000-0005-0000-0000-000065EF0000}"/>
    <cellStyle name="เครื่องหมายจุลภาค 2 3 3" xfId="60535" xr:uid="{00000000-0005-0000-0000-000066EF0000}"/>
    <cellStyle name="เครื่องหมายจุลภาค 2 4" xfId="60536" xr:uid="{00000000-0005-0000-0000-000067EF0000}"/>
    <cellStyle name="เครื่องหมายจุลภาค 2 4 2" xfId="60537" xr:uid="{00000000-0005-0000-0000-000068EF0000}"/>
    <cellStyle name="เครื่องหมายจุลภาค 2 4 3" xfId="61145" xr:uid="{00000000-0005-0000-0000-000069EF0000}"/>
    <cellStyle name="เครื่องหมายจุลภาค 2 4 4" xfId="61291" xr:uid="{00000000-0005-0000-0000-00006AEF0000}"/>
    <cellStyle name="เครื่องหมายจุลภาค 2 4 5" xfId="61435" xr:uid="{00000000-0005-0000-0000-00006BEF0000}"/>
    <cellStyle name="เครื่องหมายจุลภาค 2 4 6" xfId="61579" xr:uid="{00000000-0005-0000-0000-00006CEF0000}"/>
    <cellStyle name="เครื่องหมายจุลภาค 2 4 7" xfId="61723" xr:uid="{00000000-0005-0000-0000-00006DEF0000}"/>
    <cellStyle name="เครื่องหมายจุลภาค 2 4 8" xfId="61867" xr:uid="{00000000-0005-0000-0000-00006EEF0000}"/>
    <cellStyle name="เครื่องหมายจุลภาค 2 5" xfId="60538" xr:uid="{00000000-0005-0000-0000-00006FEF0000}"/>
    <cellStyle name="เครื่องหมายจุลภาค 2 6" xfId="60539" xr:uid="{00000000-0005-0000-0000-000070EF0000}"/>
    <cellStyle name="เครื่องหมายจุลภาค 2 7" xfId="60540" xr:uid="{00000000-0005-0000-0000-000071EF0000}"/>
    <cellStyle name="เครื่องหมายจุลภาค 3" xfId="60541" xr:uid="{00000000-0005-0000-0000-000072EF0000}"/>
    <cellStyle name="เครื่องหมายจุลภาค 3 2" xfId="60542" xr:uid="{00000000-0005-0000-0000-000073EF0000}"/>
    <cellStyle name="เครื่องหมายจุลภาค 3 2 2" xfId="60543" xr:uid="{00000000-0005-0000-0000-000074EF0000}"/>
    <cellStyle name="เครื่องหมายจุลภาค 3 2 2 2" xfId="60544" xr:uid="{00000000-0005-0000-0000-000075EF0000}"/>
    <cellStyle name="เครื่องหมายจุลภาค 3 2 2 2 2" xfId="61146" xr:uid="{00000000-0005-0000-0000-000076EF0000}"/>
    <cellStyle name="เครื่องหมายจุลภาค 3 2 2 2 3" xfId="61292" xr:uid="{00000000-0005-0000-0000-000077EF0000}"/>
    <cellStyle name="เครื่องหมายจุลภาค 3 2 2 2 4" xfId="61436" xr:uid="{00000000-0005-0000-0000-000078EF0000}"/>
    <cellStyle name="เครื่องหมายจุลภาค 3 2 2 2 5" xfId="61580" xr:uid="{00000000-0005-0000-0000-000079EF0000}"/>
    <cellStyle name="เครื่องหมายจุลภาค 3 2 2 2 6" xfId="61724" xr:uid="{00000000-0005-0000-0000-00007AEF0000}"/>
    <cellStyle name="เครื่องหมายจุลภาค 3 2 2 2 7" xfId="61868" xr:uid="{00000000-0005-0000-0000-00007BEF0000}"/>
    <cellStyle name="เครื่องหมายจุลภาค 3 2 3" xfId="60545" xr:uid="{00000000-0005-0000-0000-00007CEF0000}"/>
    <cellStyle name="เครื่องหมายจุลภาค 3 2 3 2" xfId="61147" xr:uid="{00000000-0005-0000-0000-00007DEF0000}"/>
    <cellStyle name="เครื่องหมายจุลภาค 3 2 3 3" xfId="61293" xr:uid="{00000000-0005-0000-0000-00007EEF0000}"/>
    <cellStyle name="เครื่องหมายจุลภาค 3 2 3 4" xfId="61437" xr:uid="{00000000-0005-0000-0000-00007FEF0000}"/>
    <cellStyle name="เครื่องหมายจุลภาค 3 2 3 5" xfId="61581" xr:uid="{00000000-0005-0000-0000-000080EF0000}"/>
    <cellStyle name="เครื่องหมายจุลภาค 3 2 3 6" xfId="61725" xr:uid="{00000000-0005-0000-0000-000081EF0000}"/>
    <cellStyle name="เครื่องหมายจุลภาค 3 2 3 7" xfId="61869" xr:uid="{00000000-0005-0000-0000-000082EF0000}"/>
    <cellStyle name="เครื่องหมายจุลภาค 3 2 4" xfId="60546" xr:uid="{00000000-0005-0000-0000-000083EF0000}"/>
    <cellStyle name="เครื่องหมายจุลภาค 3 2 4 2" xfId="61148" xr:uid="{00000000-0005-0000-0000-000084EF0000}"/>
    <cellStyle name="เครื่องหมายจุลภาค 3 2 4 3" xfId="61294" xr:uid="{00000000-0005-0000-0000-000085EF0000}"/>
    <cellStyle name="เครื่องหมายจุลภาค 3 2 4 4" xfId="61438" xr:uid="{00000000-0005-0000-0000-000086EF0000}"/>
    <cellStyle name="เครื่องหมายจุลภาค 3 2 4 5" xfId="61582" xr:uid="{00000000-0005-0000-0000-000087EF0000}"/>
    <cellStyle name="เครื่องหมายจุลภาค 3 2 4 6" xfId="61726" xr:uid="{00000000-0005-0000-0000-000088EF0000}"/>
    <cellStyle name="เครื่องหมายจุลภาค 3 2 4 7" xfId="61870" xr:uid="{00000000-0005-0000-0000-000089EF0000}"/>
    <cellStyle name="เครื่องหมายจุลภาค 3 3" xfId="60547" xr:uid="{00000000-0005-0000-0000-00008AEF0000}"/>
    <cellStyle name="เครื่องหมายจุลภาค 3 3 2" xfId="60548" xr:uid="{00000000-0005-0000-0000-00008BEF0000}"/>
    <cellStyle name="เครื่องหมายจุลภาค 3 3 2 2" xfId="60549" xr:uid="{00000000-0005-0000-0000-00008CEF0000}"/>
    <cellStyle name="เครื่องหมายจุลภาค 3 3 2 2 2" xfId="61149" xr:uid="{00000000-0005-0000-0000-00008DEF0000}"/>
    <cellStyle name="เครื่องหมายจุลภาค 3 3 2 2 3" xfId="61295" xr:uid="{00000000-0005-0000-0000-00008EEF0000}"/>
    <cellStyle name="เครื่องหมายจุลภาค 3 3 2 2 4" xfId="61439" xr:uid="{00000000-0005-0000-0000-00008FEF0000}"/>
    <cellStyle name="เครื่องหมายจุลภาค 3 3 2 2 5" xfId="61583" xr:uid="{00000000-0005-0000-0000-000090EF0000}"/>
    <cellStyle name="เครื่องหมายจุลภาค 3 3 2 2 6" xfId="61727" xr:uid="{00000000-0005-0000-0000-000091EF0000}"/>
    <cellStyle name="เครื่องหมายจุลภาค 3 3 2 2 7" xfId="61871" xr:uid="{00000000-0005-0000-0000-000092EF0000}"/>
    <cellStyle name="เครื่องหมายจุลภาค 3 3 3" xfId="60550" xr:uid="{00000000-0005-0000-0000-000093EF0000}"/>
    <cellStyle name="เครื่องหมายจุลภาค 3 3 3 2" xfId="61150" xr:uid="{00000000-0005-0000-0000-000094EF0000}"/>
    <cellStyle name="เครื่องหมายจุลภาค 3 3 3 3" xfId="61296" xr:uid="{00000000-0005-0000-0000-000095EF0000}"/>
    <cellStyle name="เครื่องหมายจุลภาค 3 3 3 4" xfId="61440" xr:uid="{00000000-0005-0000-0000-000096EF0000}"/>
    <cellStyle name="เครื่องหมายจุลภาค 3 3 3 5" xfId="61584" xr:uid="{00000000-0005-0000-0000-000097EF0000}"/>
    <cellStyle name="เครื่องหมายจุลภาค 3 3 3 6" xfId="61728" xr:uid="{00000000-0005-0000-0000-000098EF0000}"/>
    <cellStyle name="เครื่องหมายจุลภาค 3 3 3 7" xfId="61872" xr:uid="{00000000-0005-0000-0000-000099EF0000}"/>
    <cellStyle name="เครื่องหมายจุลภาค 3 4" xfId="60551" xr:uid="{00000000-0005-0000-0000-00009AEF0000}"/>
    <cellStyle name="เครื่องหมายจุลภาค 3 4 2" xfId="60552" xr:uid="{00000000-0005-0000-0000-00009BEF0000}"/>
    <cellStyle name="เครื่องหมายจุลภาค 3 4 2 2" xfId="61151" xr:uid="{00000000-0005-0000-0000-00009CEF0000}"/>
    <cellStyle name="เครื่องหมายจุลภาค 3 4 2 3" xfId="61297" xr:uid="{00000000-0005-0000-0000-00009DEF0000}"/>
    <cellStyle name="เครื่องหมายจุลภาค 3 4 2 4" xfId="61441" xr:uid="{00000000-0005-0000-0000-00009EEF0000}"/>
    <cellStyle name="เครื่องหมายจุลภาค 3 4 2 5" xfId="61585" xr:uid="{00000000-0005-0000-0000-00009FEF0000}"/>
    <cellStyle name="เครื่องหมายจุลภาค 3 4 2 6" xfId="61729" xr:uid="{00000000-0005-0000-0000-0000A0EF0000}"/>
    <cellStyle name="เครื่องหมายจุลภาค 3 4 2 7" xfId="61873" xr:uid="{00000000-0005-0000-0000-0000A1EF0000}"/>
    <cellStyle name="เครื่องหมายจุลภาค 3 5" xfId="60553" xr:uid="{00000000-0005-0000-0000-0000A2EF0000}"/>
    <cellStyle name="เครื่องหมายจุลภาค 3 5 2" xfId="61152" xr:uid="{00000000-0005-0000-0000-0000A3EF0000}"/>
    <cellStyle name="เครื่องหมายจุลภาค 3 5 3" xfId="61298" xr:uid="{00000000-0005-0000-0000-0000A4EF0000}"/>
    <cellStyle name="เครื่องหมายจุลภาค 3 5 4" xfId="61442" xr:uid="{00000000-0005-0000-0000-0000A5EF0000}"/>
    <cellStyle name="เครื่องหมายจุลภาค 3 5 5" xfId="61586" xr:uid="{00000000-0005-0000-0000-0000A6EF0000}"/>
    <cellStyle name="เครื่องหมายจุลภาค 3 5 6" xfId="61730" xr:uid="{00000000-0005-0000-0000-0000A7EF0000}"/>
    <cellStyle name="เครื่องหมายจุลภาค 3 5 7" xfId="61874" xr:uid="{00000000-0005-0000-0000-0000A8EF0000}"/>
    <cellStyle name="เครื่องหมายจุลภาค 3 6" xfId="60554" xr:uid="{00000000-0005-0000-0000-0000A9EF0000}"/>
    <cellStyle name="เครื่องหมายจุลภาค 4" xfId="60555" xr:uid="{00000000-0005-0000-0000-0000AAEF0000}"/>
    <cellStyle name="เครื่องหมายจุลภาค 4 2" xfId="60556" xr:uid="{00000000-0005-0000-0000-0000ABEF0000}"/>
    <cellStyle name="เครื่องหมายจุลภาค 4 2 2" xfId="61154" xr:uid="{00000000-0005-0000-0000-0000ACEF0000}"/>
    <cellStyle name="เครื่องหมายจุลภาค 4 2 3" xfId="61300" xr:uid="{00000000-0005-0000-0000-0000ADEF0000}"/>
    <cellStyle name="เครื่องหมายจุลภาค 4 2 4" xfId="61444" xr:uid="{00000000-0005-0000-0000-0000AEEF0000}"/>
    <cellStyle name="เครื่องหมายจุลภาค 4 2 5" xfId="61588" xr:uid="{00000000-0005-0000-0000-0000AFEF0000}"/>
    <cellStyle name="เครื่องหมายจุลภาค 4 2 6" xfId="61732" xr:uid="{00000000-0005-0000-0000-0000B0EF0000}"/>
    <cellStyle name="เครื่องหมายจุลภาค 4 2 7" xfId="61876" xr:uid="{00000000-0005-0000-0000-0000B1EF0000}"/>
    <cellStyle name="เครื่องหมายจุลภาค 4 3" xfId="61153" xr:uid="{00000000-0005-0000-0000-0000B2EF0000}"/>
    <cellStyle name="เครื่องหมายจุลภาค 4 4" xfId="61299" xr:uid="{00000000-0005-0000-0000-0000B3EF0000}"/>
    <cellStyle name="เครื่องหมายจุลภาค 4 5" xfId="61443" xr:uid="{00000000-0005-0000-0000-0000B4EF0000}"/>
    <cellStyle name="เครื่องหมายจุลภาค 4 6" xfId="61587" xr:uid="{00000000-0005-0000-0000-0000B5EF0000}"/>
    <cellStyle name="เครื่องหมายจุลภาค 4 7" xfId="61731" xr:uid="{00000000-0005-0000-0000-0000B6EF0000}"/>
    <cellStyle name="เครื่องหมายจุลภาค 4 8" xfId="61875" xr:uid="{00000000-0005-0000-0000-0000B7EF0000}"/>
    <cellStyle name="เครื่องหมายจุลภาค 5" xfId="60557" xr:uid="{00000000-0005-0000-0000-0000B8EF0000}"/>
    <cellStyle name="เครื่องหมายจุลภาค 5 2" xfId="60558" xr:uid="{00000000-0005-0000-0000-0000B9EF0000}"/>
    <cellStyle name="เครื่องหมายจุลภาค 5 2 2" xfId="61156" xr:uid="{00000000-0005-0000-0000-0000BAEF0000}"/>
    <cellStyle name="เครื่องหมายจุลภาค 5 2 3" xfId="61302" xr:uid="{00000000-0005-0000-0000-0000BBEF0000}"/>
    <cellStyle name="เครื่องหมายจุลภาค 5 2 4" xfId="61446" xr:uid="{00000000-0005-0000-0000-0000BCEF0000}"/>
    <cellStyle name="เครื่องหมายจุลภาค 5 2 5" xfId="61590" xr:uid="{00000000-0005-0000-0000-0000BDEF0000}"/>
    <cellStyle name="เครื่องหมายจุลภาค 5 2 6" xfId="61734" xr:uid="{00000000-0005-0000-0000-0000BEEF0000}"/>
    <cellStyle name="เครื่องหมายจุลภาค 5 2 7" xfId="61878" xr:uid="{00000000-0005-0000-0000-0000BFEF0000}"/>
    <cellStyle name="เครื่องหมายจุลภาค 5 3" xfId="61155" xr:uid="{00000000-0005-0000-0000-0000C0EF0000}"/>
    <cellStyle name="เครื่องหมายจุลภาค 5 4" xfId="61301" xr:uid="{00000000-0005-0000-0000-0000C1EF0000}"/>
    <cellStyle name="เครื่องหมายจุลภาค 5 5" xfId="61445" xr:uid="{00000000-0005-0000-0000-0000C2EF0000}"/>
    <cellStyle name="เครื่องหมายจุลภาค 5 6" xfId="61589" xr:uid="{00000000-0005-0000-0000-0000C3EF0000}"/>
    <cellStyle name="เครื่องหมายจุลภาค 5 7" xfId="61733" xr:uid="{00000000-0005-0000-0000-0000C4EF0000}"/>
    <cellStyle name="เครื่องหมายจุลภาค 5 8" xfId="61877" xr:uid="{00000000-0005-0000-0000-0000C5EF0000}"/>
    <cellStyle name="เครื่องหมายจุลภาค 6" xfId="60559" xr:uid="{00000000-0005-0000-0000-0000C6EF0000}"/>
    <cellStyle name="เครื่องหมายจุลภาค 6 10" xfId="61879" xr:uid="{00000000-0005-0000-0000-0000C7EF0000}"/>
    <cellStyle name="เครื่องหมายจุลภาค 6 2" xfId="60560" xr:uid="{00000000-0005-0000-0000-0000C8EF0000}"/>
    <cellStyle name="เครื่องหมายจุลภาค 6 2 2" xfId="60561" xr:uid="{00000000-0005-0000-0000-0000C9EF0000}"/>
    <cellStyle name="เครื่องหมายจุลภาค 6 2 2 2" xfId="60562" xr:uid="{00000000-0005-0000-0000-0000CAEF0000}"/>
    <cellStyle name="เครื่องหมายจุลภาค 6 2 3" xfId="60563" xr:uid="{00000000-0005-0000-0000-0000CBEF0000}"/>
    <cellStyle name="เครื่องหมายจุลภาค 6 3" xfId="60564" xr:uid="{00000000-0005-0000-0000-0000CCEF0000}"/>
    <cellStyle name="เครื่องหมายจุลภาค 6 3 2" xfId="60565" xr:uid="{00000000-0005-0000-0000-0000CDEF0000}"/>
    <cellStyle name="เครื่องหมายจุลภาค 6 4" xfId="60566" xr:uid="{00000000-0005-0000-0000-0000CEEF0000}"/>
    <cellStyle name="เครื่องหมายจุลภาค 6 4 2" xfId="61158" xr:uid="{00000000-0005-0000-0000-0000CFEF0000}"/>
    <cellStyle name="เครื่องหมายจุลภาค 6 4 3" xfId="61304" xr:uid="{00000000-0005-0000-0000-0000D0EF0000}"/>
    <cellStyle name="เครื่องหมายจุลภาค 6 4 4" xfId="61448" xr:uid="{00000000-0005-0000-0000-0000D1EF0000}"/>
    <cellStyle name="เครื่องหมายจุลภาค 6 4 5" xfId="61592" xr:uid="{00000000-0005-0000-0000-0000D2EF0000}"/>
    <cellStyle name="เครื่องหมายจุลภาค 6 4 6" xfId="61736" xr:uid="{00000000-0005-0000-0000-0000D3EF0000}"/>
    <cellStyle name="เครื่องหมายจุลภาค 6 4 7" xfId="61880" xr:uid="{00000000-0005-0000-0000-0000D4EF0000}"/>
    <cellStyle name="เครื่องหมายจุลภาค 6 5" xfId="61157" xr:uid="{00000000-0005-0000-0000-0000D5EF0000}"/>
    <cellStyle name="เครื่องหมายจุลภาค 6 6" xfId="61303" xr:uid="{00000000-0005-0000-0000-0000D6EF0000}"/>
    <cellStyle name="เครื่องหมายจุลภาค 6 7" xfId="61447" xr:uid="{00000000-0005-0000-0000-0000D7EF0000}"/>
    <cellStyle name="เครื่องหมายจุลภาค 6 8" xfId="61591" xr:uid="{00000000-0005-0000-0000-0000D8EF0000}"/>
    <cellStyle name="เครื่องหมายจุลภาค 6 9" xfId="61735" xr:uid="{00000000-0005-0000-0000-0000D9EF0000}"/>
    <cellStyle name="เครื่องหมายจุลภาค 7" xfId="60567" xr:uid="{00000000-0005-0000-0000-0000DAEF0000}"/>
    <cellStyle name="เครื่องหมายจุลภาค 7 2" xfId="60568" xr:uid="{00000000-0005-0000-0000-0000DBEF0000}"/>
    <cellStyle name="เครื่องหมายจุลภาค 7 2 2" xfId="61160" xr:uid="{00000000-0005-0000-0000-0000DCEF0000}"/>
    <cellStyle name="เครื่องหมายจุลภาค 7 2 3" xfId="61306" xr:uid="{00000000-0005-0000-0000-0000DDEF0000}"/>
    <cellStyle name="เครื่องหมายจุลภาค 7 2 4" xfId="61450" xr:uid="{00000000-0005-0000-0000-0000DEEF0000}"/>
    <cellStyle name="เครื่องหมายจุลภาค 7 2 5" xfId="61594" xr:uid="{00000000-0005-0000-0000-0000DFEF0000}"/>
    <cellStyle name="เครื่องหมายจุลภาค 7 2 6" xfId="61738" xr:uid="{00000000-0005-0000-0000-0000E0EF0000}"/>
    <cellStyle name="เครื่องหมายจุลภาค 7 2 7" xfId="61882" xr:uid="{00000000-0005-0000-0000-0000E1EF0000}"/>
    <cellStyle name="เครื่องหมายจุลภาค 7 3" xfId="61159" xr:uid="{00000000-0005-0000-0000-0000E2EF0000}"/>
    <cellStyle name="เครื่องหมายจุลภาค 7 4" xfId="61305" xr:uid="{00000000-0005-0000-0000-0000E3EF0000}"/>
    <cellStyle name="เครื่องหมายจุลภาค 7 5" xfId="61449" xr:uid="{00000000-0005-0000-0000-0000E4EF0000}"/>
    <cellStyle name="เครื่องหมายจุลภาค 7 6" xfId="61593" xr:uid="{00000000-0005-0000-0000-0000E5EF0000}"/>
    <cellStyle name="เครื่องหมายจุลภาค 7 7" xfId="61737" xr:uid="{00000000-0005-0000-0000-0000E6EF0000}"/>
    <cellStyle name="เครื่องหมายจุลภาค 7 8" xfId="61881" xr:uid="{00000000-0005-0000-0000-0000E7EF0000}"/>
    <cellStyle name="เครื่องหมายจุลภาค 8" xfId="60569" xr:uid="{00000000-0005-0000-0000-0000E8EF0000}"/>
    <cellStyle name="เครื่องหมายจุลภาค 8 2" xfId="60570" xr:uid="{00000000-0005-0000-0000-0000E9EF0000}"/>
    <cellStyle name="เครื่องหมายจุลภาค 8 2 2" xfId="61162" xr:uid="{00000000-0005-0000-0000-0000EAEF0000}"/>
    <cellStyle name="เครื่องหมายจุลภาค 8 2 3" xfId="61308" xr:uid="{00000000-0005-0000-0000-0000EBEF0000}"/>
    <cellStyle name="เครื่องหมายจุลภาค 8 2 4" xfId="61452" xr:uid="{00000000-0005-0000-0000-0000ECEF0000}"/>
    <cellStyle name="เครื่องหมายจุลภาค 8 2 5" xfId="61596" xr:uid="{00000000-0005-0000-0000-0000EDEF0000}"/>
    <cellStyle name="เครื่องหมายจุลภาค 8 2 6" xfId="61740" xr:uid="{00000000-0005-0000-0000-0000EEEF0000}"/>
    <cellStyle name="เครื่องหมายจุลภาค 8 2 7" xfId="61884" xr:uid="{00000000-0005-0000-0000-0000EFEF0000}"/>
    <cellStyle name="เครื่องหมายจุลภาค 8 3" xfId="61161" xr:uid="{00000000-0005-0000-0000-0000F0EF0000}"/>
    <cellStyle name="เครื่องหมายจุลภาค 8 4" xfId="61307" xr:uid="{00000000-0005-0000-0000-0000F1EF0000}"/>
    <cellStyle name="เครื่องหมายจุลภาค 8 5" xfId="61451" xr:uid="{00000000-0005-0000-0000-0000F2EF0000}"/>
    <cellStyle name="เครื่องหมายจุลภาค 8 6" xfId="61595" xr:uid="{00000000-0005-0000-0000-0000F3EF0000}"/>
    <cellStyle name="เครื่องหมายจุลภาค 8 7" xfId="61739" xr:uid="{00000000-0005-0000-0000-0000F4EF0000}"/>
    <cellStyle name="เครื่องหมายจุลภาค 8 8" xfId="61883" xr:uid="{00000000-0005-0000-0000-0000F5EF0000}"/>
    <cellStyle name="เครื่องหมายจุลภาค 9" xfId="60571" xr:uid="{00000000-0005-0000-0000-0000F6EF0000}"/>
    <cellStyle name="เครื่องหมายจุลภาค 9 2" xfId="60572" xr:uid="{00000000-0005-0000-0000-0000F7EF0000}"/>
    <cellStyle name="เครื่องหมายจุลภาค 9 2 2" xfId="61164" xr:uid="{00000000-0005-0000-0000-0000F8EF0000}"/>
    <cellStyle name="เครื่องหมายจุลภาค 9 2 3" xfId="61310" xr:uid="{00000000-0005-0000-0000-0000F9EF0000}"/>
    <cellStyle name="เครื่องหมายจุลภาค 9 2 4" xfId="61454" xr:uid="{00000000-0005-0000-0000-0000FAEF0000}"/>
    <cellStyle name="เครื่องหมายจุลภาค 9 2 5" xfId="61598" xr:uid="{00000000-0005-0000-0000-0000FBEF0000}"/>
    <cellStyle name="เครื่องหมายจุลภาค 9 2 6" xfId="61742" xr:uid="{00000000-0005-0000-0000-0000FCEF0000}"/>
    <cellStyle name="เครื่องหมายจุลภาค 9 2 7" xfId="61886" xr:uid="{00000000-0005-0000-0000-0000FDEF0000}"/>
    <cellStyle name="เครื่องหมายจุลภาค 9 3" xfId="61163" xr:uid="{00000000-0005-0000-0000-0000FEEF0000}"/>
    <cellStyle name="เครื่องหมายจุลภาค 9 4" xfId="61309" xr:uid="{00000000-0005-0000-0000-0000FFEF0000}"/>
    <cellStyle name="เครื่องหมายจุลภาค 9 5" xfId="61453" xr:uid="{00000000-0005-0000-0000-000000F00000}"/>
    <cellStyle name="เครื่องหมายจุลภาค 9 6" xfId="61597" xr:uid="{00000000-0005-0000-0000-000001F00000}"/>
    <cellStyle name="เครื่องหมายจุลภาค 9 7" xfId="61741" xr:uid="{00000000-0005-0000-0000-000002F00000}"/>
    <cellStyle name="เครื่องหมายจุลภาค 9 8" xfId="61885" xr:uid="{00000000-0005-0000-0000-000003F00000}"/>
    <cellStyle name="เครื่องหมายจุลภาค_Adt-tax" xfId="60573" xr:uid="{00000000-0005-0000-0000-000004F00000}"/>
    <cellStyle name="เครื่องหมายสกุลเงิน [0]_CPF Q1-46" xfId="60574" xr:uid="{00000000-0005-0000-0000-000005F00000}"/>
    <cellStyle name="เครื่องหมายสกุลเงิน_CPF Q1-46" xfId="60575" xr:uid="{00000000-0005-0000-0000-000006F00000}"/>
    <cellStyle name="เชื่อมโยงหลายมิติ" xfId="60576" xr:uid="{00000000-0005-0000-0000-000007F00000}"/>
    <cellStyle name="เชื่อมโยงหลายมิติ 10" xfId="60577" xr:uid="{00000000-0005-0000-0000-000008F00000}"/>
    <cellStyle name="เชื่อมโยงหลายมิติ 11" xfId="60578" xr:uid="{00000000-0005-0000-0000-000009F00000}"/>
    <cellStyle name="เชื่อมโยงหลายมิติ 12" xfId="60579" xr:uid="{00000000-0005-0000-0000-00000AF00000}"/>
    <cellStyle name="เชื่อมโยงหลายมิติ 13" xfId="60580" xr:uid="{00000000-0005-0000-0000-00000BF00000}"/>
    <cellStyle name="เชื่อมโยงหลายมิติ 14" xfId="60581" xr:uid="{00000000-0005-0000-0000-00000CF00000}"/>
    <cellStyle name="เชื่อมโยงหลายมิติ 15" xfId="60582" xr:uid="{00000000-0005-0000-0000-00000DF00000}"/>
    <cellStyle name="เชื่อมโยงหลายมิติ 16" xfId="60583" xr:uid="{00000000-0005-0000-0000-00000EF00000}"/>
    <cellStyle name="เชื่อมโยงหลายมิติ 17" xfId="60584" xr:uid="{00000000-0005-0000-0000-00000FF00000}"/>
    <cellStyle name="เชื่อมโยงหลายมิติ 18" xfId="60585" xr:uid="{00000000-0005-0000-0000-000010F00000}"/>
    <cellStyle name="เชื่อมโยงหลายมิติ 19" xfId="60586" xr:uid="{00000000-0005-0000-0000-000011F00000}"/>
    <cellStyle name="เชื่อมโยงหลายมิติ 2" xfId="60587" xr:uid="{00000000-0005-0000-0000-000012F00000}"/>
    <cellStyle name="เชื่อมโยงหลายมิติ 2 2" xfId="60588" xr:uid="{00000000-0005-0000-0000-000013F00000}"/>
    <cellStyle name="เชื่อมโยงหลายมิติ 20" xfId="60589" xr:uid="{00000000-0005-0000-0000-000014F00000}"/>
    <cellStyle name="เชื่อมโยงหลายมิติ 3" xfId="60590" xr:uid="{00000000-0005-0000-0000-000015F00000}"/>
    <cellStyle name="เชื่อมโยงหลายมิติ 3 2" xfId="60591" xr:uid="{00000000-0005-0000-0000-000016F00000}"/>
    <cellStyle name="เชื่อมโยงหลายมิติ 4" xfId="60592" xr:uid="{00000000-0005-0000-0000-000017F00000}"/>
    <cellStyle name="เชื่อมโยงหลายมิติ 5" xfId="60593" xr:uid="{00000000-0005-0000-0000-000018F00000}"/>
    <cellStyle name="เชื่อมโยงหลายมิติ 6" xfId="60594" xr:uid="{00000000-0005-0000-0000-000019F00000}"/>
    <cellStyle name="เชื่อมโยงหลายมิติ 7" xfId="60595" xr:uid="{00000000-0005-0000-0000-00001AF00000}"/>
    <cellStyle name="เชื่อมโยงหลายมิติ 8" xfId="60596" xr:uid="{00000000-0005-0000-0000-00001BF00000}"/>
    <cellStyle name="เชื่อมโยงหลายมิติ 9" xfId="60597" xr:uid="{00000000-0005-0000-0000-00001CF00000}"/>
    <cellStyle name="เชื่อมโยงหลายมิติ_1_FS10_10.1_เงินให้กู้ยืมและเงินให้กู้ยืม_Q254_2" xfId="60598" xr:uid="{00000000-0005-0000-0000-00001DF00000}"/>
    <cellStyle name="เซลล์ตรวจสอบ" xfId="60599" xr:uid="{00000000-0005-0000-0000-00001EF00000}"/>
    <cellStyle name="เซลล์ตรวจสอบ 2" xfId="60600" xr:uid="{00000000-0005-0000-0000-00001FF00000}"/>
    <cellStyle name="เซลล์ตรวจสอบ 2 2" xfId="60601" xr:uid="{00000000-0005-0000-0000-000020F00000}"/>
    <cellStyle name="เซลล์ที่มีการเชื่อมโยง" xfId="60602" xr:uid="{00000000-0005-0000-0000-000021F00000}"/>
    <cellStyle name="เซลล์ที่มีการเชื่อมโยง 2" xfId="60603" xr:uid="{00000000-0005-0000-0000-000022F00000}"/>
    <cellStyle name="เซลล์ที่มีการเชื่อมโยง 2 2" xfId="60604" xr:uid="{00000000-0005-0000-0000-000023F00000}"/>
    <cellStyle name="เปอร์เซ็นต์ 10" xfId="60605" xr:uid="{00000000-0005-0000-0000-000024F00000}"/>
    <cellStyle name="เปอร์เซ็นต์ 11" xfId="60606" xr:uid="{00000000-0005-0000-0000-000025F00000}"/>
    <cellStyle name="เปอร์เซ็นต์ 2" xfId="60607" xr:uid="{00000000-0005-0000-0000-000026F00000}"/>
    <cellStyle name="เปอร์เซ็นต์ 3" xfId="60608" xr:uid="{00000000-0005-0000-0000-000027F00000}"/>
    <cellStyle name="เปอร์เซ็นต์ 4" xfId="60609" xr:uid="{00000000-0005-0000-0000-000028F00000}"/>
    <cellStyle name="เปอร์เซ็นต์ 5" xfId="60610" xr:uid="{00000000-0005-0000-0000-000029F00000}"/>
    <cellStyle name="เปอร์เซ็นต์ 6" xfId="60611" xr:uid="{00000000-0005-0000-0000-00002AF00000}"/>
    <cellStyle name="เปอร์เซ็นต์ 7" xfId="60612" xr:uid="{00000000-0005-0000-0000-00002BF00000}"/>
    <cellStyle name="เปอร์เซ็นต์ 8" xfId="60613" xr:uid="{00000000-0005-0000-0000-00002CF00000}"/>
    <cellStyle name="เปอร์เซ็นต์ 9" xfId="60614" xr:uid="{00000000-0005-0000-0000-00002DF00000}"/>
    <cellStyle name="แย่" xfId="60615" xr:uid="{00000000-0005-0000-0000-00002EF00000}"/>
    <cellStyle name="แย่ 2" xfId="60616" xr:uid="{00000000-0005-0000-0000-00002FF00000}"/>
    <cellStyle name="แย่ 2 2" xfId="60617" xr:uid="{00000000-0005-0000-0000-000030F00000}"/>
    <cellStyle name="แสดงผล" xfId="60618" xr:uid="{00000000-0005-0000-0000-000031F00000}"/>
    <cellStyle name="แสดงผล 2" xfId="60619" xr:uid="{00000000-0005-0000-0000-000032F00000}"/>
    <cellStyle name="แสดงผล 2 2" xfId="60620" xr:uid="{00000000-0005-0000-0000-000033F00000}"/>
    <cellStyle name="การคำนวณ" xfId="60621" xr:uid="{00000000-0005-0000-0000-000034F00000}"/>
    <cellStyle name="การคำนวณ 2" xfId="60622" xr:uid="{00000000-0005-0000-0000-000035F00000}"/>
    <cellStyle name="การคำนวณ 2 2" xfId="60623" xr:uid="{00000000-0005-0000-0000-000036F00000}"/>
    <cellStyle name="ข้อความเตือน" xfId="60624" xr:uid="{00000000-0005-0000-0000-000037F00000}"/>
    <cellStyle name="ข้อความเตือน 2" xfId="60625" xr:uid="{00000000-0005-0000-0000-000038F00000}"/>
    <cellStyle name="ข้อความเตือน 2 2" xfId="60626" xr:uid="{00000000-0005-0000-0000-000039F00000}"/>
    <cellStyle name="ข้อความอธิบาย" xfId="60627" xr:uid="{00000000-0005-0000-0000-00003AF00000}"/>
    <cellStyle name="ข้อความอธิบาย 2" xfId="60628" xr:uid="{00000000-0005-0000-0000-00003BF00000}"/>
    <cellStyle name="ข้อความอธิบาย 2 2" xfId="60629" xr:uid="{00000000-0005-0000-0000-00003CF00000}"/>
    <cellStyle name="จุลภาค 2" xfId="61892" xr:uid="{00000000-0005-0000-0000-00003DF00000}"/>
    <cellStyle name="ชื่อเรื่อง" xfId="60630" xr:uid="{00000000-0005-0000-0000-00003EF00000}"/>
    <cellStyle name="ชื่อเรื่อง 2" xfId="60631" xr:uid="{00000000-0005-0000-0000-00003FF00000}"/>
    <cellStyle name="ชื่อเรื่อง 2 2" xfId="60632" xr:uid="{00000000-0005-0000-0000-000040F00000}"/>
    <cellStyle name="ดี" xfId="60633" xr:uid="{00000000-0005-0000-0000-000041F00000}"/>
    <cellStyle name="ดี 2" xfId="60634" xr:uid="{00000000-0005-0000-0000-000042F00000}"/>
    <cellStyle name="ดี 2 2" xfId="60635" xr:uid="{00000000-0005-0000-0000-000043F00000}"/>
    <cellStyle name="ตามการเชื่อมโยงหลายมิติ" xfId="60636" xr:uid="{00000000-0005-0000-0000-000044F00000}"/>
    <cellStyle name="ตามการเชื่อมโยงหลายมิติ 10" xfId="60637" xr:uid="{00000000-0005-0000-0000-000045F00000}"/>
    <cellStyle name="ตามการเชื่อมโยงหลายมิติ 11" xfId="60638" xr:uid="{00000000-0005-0000-0000-000046F00000}"/>
    <cellStyle name="ตามการเชื่อมโยงหลายมิติ 12" xfId="60639" xr:uid="{00000000-0005-0000-0000-000047F00000}"/>
    <cellStyle name="ตามการเชื่อมโยงหลายมิติ 13" xfId="60640" xr:uid="{00000000-0005-0000-0000-000048F00000}"/>
    <cellStyle name="ตามการเชื่อมโยงหลายมิติ 14" xfId="60641" xr:uid="{00000000-0005-0000-0000-000049F00000}"/>
    <cellStyle name="ตามการเชื่อมโยงหลายมิติ 15" xfId="60642" xr:uid="{00000000-0005-0000-0000-00004AF00000}"/>
    <cellStyle name="ตามการเชื่อมโยงหลายมิติ 16" xfId="60643" xr:uid="{00000000-0005-0000-0000-00004BF00000}"/>
    <cellStyle name="ตามการเชื่อมโยงหลายมิติ 17" xfId="60644" xr:uid="{00000000-0005-0000-0000-00004CF00000}"/>
    <cellStyle name="ตามการเชื่อมโยงหลายมิติ 18" xfId="60645" xr:uid="{00000000-0005-0000-0000-00004DF00000}"/>
    <cellStyle name="ตามการเชื่อมโยงหลายมิติ 19" xfId="60646" xr:uid="{00000000-0005-0000-0000-00004EF00000}"/>
    <cellStyle name="ตามการเชื่อมโยงหลายมิติ 2" xfId="60647" xr:uid="{00000000-0005-0000-0000-00004FF00000}"/>
    <cellStyle name="ตามการเชื่อมโยงหลายมิติ 20" xfId="60648" xr:uid="{00000000-0005-0000-0000-000050F00000}"/>
    <cellStyle name="ตามการเชื่อมโยงหลายมิติ 3" xfId="60649" xr:uid="{00000000-0005-0000-0000-000051F00000}"/>
    <cellStyle name="ตามการเชื่อมโยงหลายมิติ 4" xfId="60650" xr:uid="{00000000-0005-0000-0000-000052F00000}"/>
    <cellStyle name="ตามการเชื่อมโยงหลายมิติ 5" xfId="60651" xr:uid="{00000000-0005-0000-0000-000053F00000}"/>
    <cellStyle name="ตามการเชื่อมโยงหลายมิติ 6" xfId="60652" xr:uid="{00000000-0005-0000-0000-000054F00000}"/>
    <cellStyle name="ตามการเชื่อมโยงหลายมิติ 7" xfId="60653" xr:uid="{00000000-0005-0000-0000-000055F00000}"/>
    <cellStyle name="ตามการเชื่อมโยงหลายมิติ 8" xfId="60654" xr:uid="{00000000-0005-0000-0000-000056F00000}"/>
    <cellStyle name="ตามการเชื่อมโยงหลายมิติ 9" xfId="60655" xr:uid="{00000000-0005-0000-0000-000057F00000}"/>
    <cellStyle name="ตามการเชื่อมโยงหลายมิติ_1_FS10_10.1_เงินให้กู้ยืมและเงินให้กู้ยืม_Q254_2" xfId="60656" xr:uid="{00000000-0005-0000-0000-000058F00000}"/>
    <cellStyle name="น้บะภฒ_95" xfId="60657" xr:uid="{00000000-0005-0000-0000-000059F00000}"/>
    <cellStyle name="ปกติ 10" xfId="60658" xr:uid="{00000000-0005-0000-0000-00005AF00000}"/>
    <cellStyle name="ปกติ 11" xfId="60659" xr:uid="{00000000-0005-0000-0000-00005BF00000}"/>
    <cellStyle name="ปกติ 12" xfId="60660" xr:uid="{00000000-0005-0000-0000-00005CF00000}"/>
    <cellStyle name="ปกติ 12 2" xfId="60661" xr:uid="{00000000-0005-0000-0000-00005DF00000}"/>
    <cellStyle name="ปกติ 12 3" xfId="60662" xr:uid="{00000000-0005-0000-0000-00005EF00000}"/>
    <cellStyle name="ปกติ 12 4" xfId="60663" xr:uid="{00000000-0005-0000-0000-00005FF00000}"/>
    <cellStyle name="ปกติ 12 5" xfId="60664" xr:uid="{00000000-0005-0000-0000-000060F00000}"/>
    <cellStyle name="ปกติ 12 6" xfId="60665" xr:uid="{00000000-0005-0000-0000-000061F00000}"/>
    <cellStyle name="ปกติ 12 7" xfId="60666" xr:uid="{00000000-0005-0000-0000-000062F00000}"/>
    <cellStyle name="ปกติ 12 8" xfId="60667" xr:uid="{00000000-0005-0000-0000-000063F00000}"/>
    <cellStyle name="ปกติ 12_4_FS4_SUP1_SUP2_เงินลงทุน_Q254" xfId="60668" xr:uid="{00000000-0005-0000-0000-000064F00000}"/>
    <cellStyle name="ปกติ 13" xfId="60669" xr:uid="{00000000-0005-0000-0000-000065F00000}"/>
    <cellStyle name="ปกติ 14" xfId="60670" xr:uid="{00000000-0005-0000-0000-000066F00000}"/>
    <cellStyle name="ปกติ 14 2" xfId="60671" xr:uid="{00000000-0005-0000-0000-000067F00000}"/>
    <cellStyle name="ปกติ 14 3" xfId="60672" xr:uid="{00000000-0005-0000-0000-000068F00000}"/>
    <cellStyle name="ปกติ 14 4" xfId="60673" xr:uid="{00000000-0005-0000-0000-000069F00000}"/>
    <cellStyle name="ปกติ 14 5" xfId="60674" xr:uid="{00000000-0005-0000-0000-00006AF00000}"/>
    <cellStyle name="ปกติ 14 6" xfId="60675" xr:uid="{00000000-0005-0000-0000-00006BF00000}"/>
    <cellStyle name="ปกติ 14 7" xfId="60676" xr:uid="{00000000-0005-0000-0000-00006CF00000}"/>
    <cellStyle name="ปกติ 14 8" xfId="60677" xr:uid="{00000000-0005-0000-0000-00006DF00000}"/>
    <cellStyle name="ปกติ 14_4_FS4_SUP1_SUP2_เงินลงทุน_Q254" xfId="60678" xr:uid="{00000000-0005-0000-0000-00006EF00000}"/>
    <cellStyle name="ปกติ 15" xfId="60679" xr:uid="{00000000-0005-0000-0000-00006FF00000}"/>
    <cellStyle name="ปกติ 16" xfId="60680" xr:uid="{00000000-0005-0000-0000-000070F00000}"/>
    <cellStyle name="ปกติ 17" xfId="60681" xr:uid="{00000000-0005-0000-0000-000071F00000}"/>
    <cellStyle name="ปกติ 17 2" xfId="60682" xr:uid="{00000000-0005-0000-0000-000072F00000}"/>
    <cellStyle name="ปกติ 17 3" xfId="60683" xr:uid="{00000000-0005-0000-0000-000073F00000}"/>
    <cellStyle name="ปกติ 17 4" xfId="60684" xr:uid="{00000000-0005-0000-0000-000074F00000}"/>
    <cellStyle name="ปกติ 17 5" xfId="60685" xr:uid="{00000000-0005-0000-0000-000075F00000}"/>
    <cellStyle name="ปกติ 17 6" xfId="60686" xr:uid="{00000000-0005-0000-0000-000076F00000}"/>
    <cellStyle name="ปกติ 17 7" xfId="60687" xr:uid="{00000000-0005-0000-0000-000077F00000}"/>
    <cellStyle name="ปกติ 17 8" xfId="60688" xr:uid="{00000000-0005-0000-0000-000078F00000}"/>
    <cellStyle name="ปกติ 17_4_FS4_SUP1_SUP2_เงินลงทุน_Q254" xfId="60689" xr:uid="{00000000-0005-0000-0000-000079F00000}"/>
    <cellStyle name="ปกติ 18" xfId="60690" xr:uid="{00000000-0005-0000-0000-00007AF00000}"/>
    <cellStyle name="ปกติ 18 2" xfId="60691" xr:uid="{00000000-0005-0000-0000-00007BF00000}"/>
    <cellStyle name="ปกติ 18 3" xfId="60692" xr:uid="{00000000-0005-0000-0000-00007CF00000}"/>
    <cellStyle name="ปกติ 18 4" xfId="60693" xr:uid="{00000000-0005-0000-0000-00007DF00000}"/>
    <cellStyle name="ปกติ 18 5" xfId="60694" xr:uid="{00000000-0005-0000-0000-00007EF00000}"/>
    <cellStyle name="ปกติ 18 6" xfId="60695" xr:uid="{00000000-0005-0000-0000-00007FF00000}"/>
    <cellStyle name="ปกติ 18 7" xfId="60696" xr:uid="{00000000-0005-0000-0000-000080F00000}"/>
    <cellStyle name="ปกติ 18 8" xfId="60697" xr:uid="{00000000-0005-0000-0000-000081F00000}"/>
    <cellStyle name="ปกติ 18_4_FS4_SUP1_SUP2_เงินลงทุน_Q254" xfId="60698" xr:uid="{00000000-0005-0000-0000-000082F00000}"/>
    <cellStyle name="ปกติ 19" xfId="60699" xr:uid="{00000000-0005-0000-0000-000083F00000}"/>
    <cellStyle name="ปกติ 2" xfId="60700" xr:uid="{00000000-0005-0000-0000-000084F00000}"/>
    <cellStyle name="ปกติ 2 10" xfId="60701" xr:uid="{00000000-0005-0000-0000-000085F00000}"/>
    <cellStyle name="ปกติ 2 11" xfId="60702" xr:uid="{00000000-0005-0000-0000-000086F00000}"/>
    <cellStyle name="ปกติ 2 12" xfId="60703" xr:uid="{00000000-0005-0000-0000-000087F00000}"/>
    <cellStyle name="ปกติ 2 13" xfId="60704" xr:uid="{00000000-0005-0000-0000-000088F00000}"/>
    <cellStyle name="ปกติ 2 14" xfId="60705" xr:uid="{00000000-0005-0000-0000-000089F00000}"/>
    <cellStyle name="ปกติ 2 15" xfId="60706" xr:uid="{00000000-0005-0000-0000-00008AF00000}"/>
    <cellStyle name="ปกติ 2 16" xfId="60707" xr:uid="{00000000-0005-0000-0000-00008BF00000}"/>
    <cellStyle name="ปกติ 2 2" xfId="60708" xr:uid="{00000000-0005-0000-0000-00008CF00000}"/>
    <cellStyle name="ปกติ 2 2 2" xfId="60709" xr:uid="{00000000-0005-0000-0000-00008DF00000}"/>
    <cellStyle name="ปกติ 2 2 3" xfId="60710" xr:uid="{00000000-0005-0000-0000-00008EF00000}"/>
    <cellStyle name="ปกติ 2 3" xfId="60711" xr:uid="{00000000-0005-0000-0000-00008FF00000}"/>
    <cellStyle name="ปกติ 2 4" xfId="60712" xr:uid="{00000000-0005-0000-0000-000090F00000}"/>
    <cellStyle name="ปกติ 2 5" xfId="60713" xr:uid="{00000000-0005-0000-0000-000091F00000}"/>
    <cellStyle name="ปกติ 2 6" xfId="60714" xr:uid="{00000000-0005-0000-0000-000092F00000}"/>
    <cellStyle name="ปกติ 2 7" xfId="60715" xr:uid="{00000000-0005-0000-0000-000093F00000}"/>
    <cellStyle name="ปกติ 2 8" xfId="60716" xr:uid="{00000000-0005-0000-0000-000094F00000}"/>
    <cellStyle name="ปกติ 2 9" xfId="60717" xr:uid="{00000000-0005-0000-0000-000095F00000}"/>
    <cellStyle name="ปกติ 2_1_FS10B_Q154" xfId="60718" xr:uid="{00000000-0005-0000-0000-000096F00000}"/>
    <cellStyle name="ปกติ 20" xfId="60719" xr:uid="{00000000-0005-0000-0000-000097F00000}"/>
    <cellStyle name="ปกติ 21" xfId="60720" xr:uid="{00000000-0005-0000-0000-000098F00000}"/>
    <cellStyle name="ปกติ 21 2" xfId="60721" xr:uid="{00000000-0005-0000-0000-000099F00000}"/>
    <cellStyle name="ปกติ 21 3" xfId="60722" xr:uid="{00000000-0005-0000-0000-00009AF00000}"/>
    <cellStyle name="ปกติ 21 4" xfId="60723" xr:uid="{00000000-0005-0000-0000-00009BF00000}"/>
    <cellStyle name="ปกติ 21 5" xfId="60724" xr:uid="{00000000-0005-0000-0000-00009CF00000}"/>
    <cellStyle name="ปกติ 21 6" xfId="60725" xr:uid="{00000000-0005-0000-0000-00009DF00000}"/>
    <cellStyle name="ปกติ 21 7" xfId="60726" xr:uid="{00000000-0005-0000-0000-00009EF00000}"/>
    <cellStyle name="ปกติ 21 8" xfId="60727" xr:uid="{00000000-0005-0000-0000-00009FF00000}"/>
    <cellStyle name="ปกติ 21_4_FS4_SUP1_SUP2_เงินลงทุน_Q254" xfId="60728" xr:uid="{00000000-0005-0000-0000-0000A0F00000}"/>
    <cellStyle name="ปกติ 22" xfId="60729" xr:uid="{00000000-0005-0000-0000-0000A1F00000}"/>
    <cellStyle name="ปกติ 22 2" xfId="60730" xr:uid="{00000000-0005-0000-0000-0000A2F00000}"/>
    <cellStyle name="ปกติ 22 3" xfId="60731" xr:uid="{00000000-0005-0000-0000-0000A3F00000}"/>
    <cellStyle name="ปกติ 22 4" xfId="60732" xr:uid="{00000000-0005-0000-0000-0000A4F00000}"/>
    <cellStyle name="ปกติ 22 5" xfId="60733" xr:uid="{00000000-0005-0000-0000-0000A5F00000}"/>
    <cellStyle name="ปกติ 22 6" xfId="60734" xr:uid="{00000000-0005-0000-0000-0000A6F00000}"/>
    <cellStyle name="ปกติ 22 7" xfId="60735" xr:uid="{00000000-0005-0000-0000-0000A7F00000}"/>
    <cellStyle name="ปกติ 22 8" xfId="60736" xr:uid="{00000000-0005-0000-0000-0000A8F00000}"/>
    <cellStyle name="ปกติ 22_4_FS4_SUP1_SUP2_เงินลงทุน_Q254" xfId="60737" xr:uid="{00000000-0005-0000-0000-0000A9F00000}"/>
    <cellStyle name="ปกติ 23" xfId="60738" xr:uid="{00000000-0005-0000-0000-0000AAF00000}"/>
    <cellStyle name="ปกติ 23 2" xfId="60739" xr:uid="{00000000-0005-0000-0000-0000ABF00000}"/>
    <cellStyle name="ปกติ 23 3" xfId="60740" xr:uid="{00000000-0005-0000-0000-0000ACF00000}"/>
    <cellStyle name="ปกติ 23 4" xfId="60741" xr:uid="{00000000-0005-0000-0000-0000ADF00000}"/>
    <cellStyle name="ปกติ 23 5" xfId="60742" xr:uid="{00000000-0005-0000-0000-0000AEF00000}"/>
    <cellStyle name="ปกติ 23 6" xfId="60743" xr:uid="{00000000-0005-0000-0000-0000AFF00000}"/>
    <cellStyle name="ปกติ 23 7" xfId="60744" xr:uid="{00000000-0005-0000-0000-0000B0F00000}"/>
    <cellStyle name="ปกติ 23 8" xfId="60745" xr:uid="{00000000-0005-0000-0000-0000B1F00000}"/>
    <cellStyle name="ปกติ 23_4_FS4_SUP1_SUP2_เงินลงทุน_Q254" xfId="60746" xr:uid="{00000000-0005-0000-0000-0000B2F00000}"/>
    <cellStyle name="ปกติ 24" xfId="60747" xr:uid="{00000000-0005-0000-0000-0000B3F00000}"/>
    <cellStyle name="ปกติ 24 2" xfId="60748" xr:uid="{00000000-0005-0000-0000-0000B4F00000}"/>
    <cellStyle name="ปกติ 24 3" xfId="60749" xr:uid="{00000000-0005-0000-0000-0000B5F00000}"/>
    <cellStyle name="ปกติ 24 4" xfId="60750" xr:uid="{00000000-0005-0000-0000-0000B6F00000}"/>
    <cellStyle name="ปกติ 24 5" xfId="60751" xr:uid="{00000000-0005-0000-0000-0000B7F00000}"/>
    <cellStyle name="ปกติ 24 6" xfId="60752" xr:uid="{00000000-0005-0000-0000-0000B8F00000}"/>
    <cellStyle name="ปกติ 24 7" xfId="60753" xr:uid="{00000000-0005-0000-0000-0000B9F00000}"/>
    <cellStyle name="ปกติ 24 8" xfId="60754" xr:uid="{00000000-0005-0000-0000-0000BAF00000}"/>
    <cellStyle name="ปกติ 24_4_FS4_SUP1_SUP2_เงินลงทุน_Q254" xfId="60755" xr:uid="{00000000-0005-0000-0000-0000BBF00000}"/>
    <cellStyle name="ปกติ 25" xfId="61891" xr:uid="{00000000-0005-0000-0000-0000BCF00000}"/>
    <cellStyle name="ปกติ 25 2" xfId="61894" xr:uid="{00000000-0005-0000-0000-0000BDF00000}"/>
    <cellStyle name="ปกติ 3" xfId="60756" xr:uid="{00000000-0005-0000-0000-0000BEF00000}"/>
    <cellStyle name="ปกติ 3 2" xfId="60757" xr:uid="{00000000-0005-0000-0000-0000BFF00000}"/>
    <cellStyle name="ปกติ 3 6" xfId="60758" xr:uid="{00000000-0005-0000-0000-0000C0F00000}"/>
    <cellStyle name="ปกติ 3 7" xfId="60759" xr:uid="{00000000-0005-0000-0000-0000C1F00000}"/>
    <cellStyle name="ปกติ 4" xfId="60760" xr:uid="{00000000-0005-0000-0000-0000C2F00000}"/>
    <cellStyle name="ปกติ 5" xfId="60761" xr:uid="{00000000-0005-0000-0000-0000C3F00000}"/>
    <cellStyle name="ปกติ 5 2" xfId="60762" xr:uid="{00000000-0005-0000-0000-0000C4F00000}"/>
    <cellStyle name="ปกติ 6" xfId="60763" xr:uid="{00000000-0005-0000-0000-0000C5F00000}"/>
    <cellStyle name="ปกติ 6 2" xfId="60764" xr:uid="{00000000-0005-0000-0000-0000C6F00000}"/>
    <cellStyle name="ปกติ 6 3" xfId="60765" xr:uid="{00000000-0005-0000-0000-0000C7F00000}"/>
    <cellStyle name="ปกติ 6 4" xfId="60766" xr:uid="{00000000-0005-0000-0000-0000C8F00000}"/>
    <cellStyle name="ปกติ 6 5" xfId="60767" xr:uid="{00000000-0005-0000-0000-0000C9F00000}"/>
    <cellStyle name="ปกติ 6 6" xfId="60768" xr:uid="{00000000-0005-0000-0000-0000CAF00000}"/>
    <cellStyle name="ปกติ 6 7" xfId="60769" xr:uid="{00000000-0005-0000-0000-0000CBF00000}"/>
    <cellStyle name="ปกติ 6 8" xfId="60770" xr:uid="{00000000-0005-0000-0000-0000CCF00000}"/>
    <cellStyle name="ปกติ 6_4_FS4_SUP1_SUP2_เงินลงทุน_Q254" xfId="60771" xr:uid="{00000000-0005-0000-0000-0000CDF00000}"/>
    <cellStyle name="ปกติ 7" xfId="60772" xr:uid="{00000000-0005-0000-0000-0000CEF00000}"/>
    <cellStyle name="ปกติ 8" xfId="60773" xr:uid="{00000000-0005-0000-0000-0000CFF00000}"/>
    <cellStyle name="ปกติ 8 2" xfId="60774" xr:uid="{00000000-0005-0000-0000-0000D0F00000}"/>
    <cellStyle name="ปกติ 8 3" xfId="60775" xr:uid="{00000000-0005-0000-0000-0000D1F00000}"/>
    <cellStyle name="ปกติ 8 4" xfId="60776" xr:uid="{00000000-0005-0000-0000-0000D2F00000}"/>
    <cellStyle name="ปกติ 8 5" xfId="60777" xr:uid="{00000000-0005-0000-0000-0000D3F00000}"/>
    <cellStyle name="ปกติ 8 6" xfId="60778" xr:uid="{00000000-0005-0000-0000-0000D4F00000}"/>
    <cellStyle name="ปกติ 8 7" xfId="60779" xr:uid="{00000000-0005-0000-0000-0000D5F00000}"/>
    <cellStyle name="ปกติ 8 8" xfId="60780" xr:uid="{00000000-0005-0000-0000-0000D6F00000}"/>
    <cellStyle name="ปกติ 8_4_FS4_SUP1_SUP2_เงินลงทุน_Q254" xfId="60781" xr:uid="{00000000-0005-0000-0000-0000D7F00000}"/>
    <cellStyle name="ปกติ 9" xfId="60782" xr:uid="{00000000-0005-0000-0000-0000D8F00000}"/>
    <cellStyle name="ป้อนค่า" xfId="60783" xr:uid="{00000000-0005-0000-0000-0000D9F00000}"/>
    <cellStyle name="ป้อนค่า 2" xfId="60784" xr:uid="{00000000-0005-0000-0000-0000DAF00000}"/>
    <cellStyle name="ป้อนค่า 2 2" xfId="60785" xr:uid="{00000000-0005-0000-0000-0000DBF00000}"/>
    <cellStyle name="ปานกลาง" xfId="60786" xr:uid="{00000000-0005-0000-0000-0000DCF00000}"/>
    <cellStyle name="ปานกลาง 2" xfId="60787" xr:uid="{00000000-0005-0000-0000-0000DDF00000}"/>
    <cellStyle name="ปานกลาง 2 2" xfId="60788" xr:uid="{00000000-0005-0000-0000-0000DEF00000}"/>
    <cellStyle name="ผลรวม" xfId="60789" xr:uid="{00000000-0005-0000-0000-0000DFF00000}"/>
    <cellStyle name="ผลรวม 2" xfId="60790" xr:uid="{00000000-0005-0000-0000-0000E0F00000}"/>
    <cellStyle name="ผลรวม 2 2" xfId="60791" xr:uid="{00000000-0005-0000-0000-0000E1F00000}"/>
    <cellStyle name="ฤธถ [0]_95" xfId="60792" xr:uid="{00000000-0005-0000-0000-0000E2F00000}"/>
    <cellStyle name="ฤธถ_95" xfId="60793" xr:uid="{00000000-0005-0000-0000-0000E3F00000}"/>
    <cellStyle name="ล๋ศญ [0]_95" xfId="60794" xr:uid="{00000000-0005-0000-0000-0000E4F00000}"/>
    <cellStyle name="ล๋ศญ_95" xfId="60795" xr:uid="{00000000-0005-0000-0000-0000E5F00000}"/>
    <cellStyle name="ลักษณะ 1" xfId="60796" xr:uid="{00000000-0005-0000-0000-0000E6F00000}"/>
    <cellStyle name="ลักษณะ 1 2" xfId="60797" xr:uid="{00000000-0005-0000-0000-0000E7F00000}"/>
    <cellStyle name="ลักษณะ 1 3" xfId="60798" xr:uid="{00000000-0005-0000-0000-0000E8F00000}"/>
    <cellStyle name="ลักษณะ 1 4" xfId="60799" xr:uid="{00000000-0005-0000-0000-0000E9F00000}"/>
    <cellStyle name="ลักษณะ 1 5" xfId="60800" xr:uid="{00000000-0005-0000-0000-0000EAF00000}"/>
    <cellStyle name="ลักษณะ 1 6" xfId="60801" xr:uid="{00000000-0005-0000-0000-0000EBF00000}"/>
    <cellStyle name="ลักษณะ 1 7" xfId="60802" xr:uid="{00000000-0005-0000-0000-0000ECF00000}"/>
    <cellStyle name="ลักษณะ 1 8" xfId="60803" xr:uid="{00000000-0005-0000-0000-0000EDF00000}"/>
    <cellStyle name="ลักษณะ 1 9" xfId="60804" xr:uid="{00000000-0005-0000-0000-0000EEF00000}"/>
    <cellStyle name="วฅมุ_4ฟ๙ฝวภ๛" xfId="60805" xr:uid="{00000000-0005-0000-0000-0000EFF00000}"/>
    <cellStyle name="ส่วนที่ถูกเน้น1" xfId="60806" xr:uid="{00000000-0005-0000-0000-0000F0F00000}"/>
    <cellStyle name="ส่วนที่ถูกเน้น1 2" xfId="60807" xr:uid="{00000000-0005-0000-0000-0000F1F00000}"/>
    <cellStyle name="ส่วนที่ถูกเน้น1 2 2" xfId="60808" xr:uid="{00000000-0005-0000-0000-0000F2F00000}"/>
    <cellStyle name="ส่วนที่ถูกเน้น2" xfId="60809" xr:uid="{00000000-0005-0000-0000-0000F3F00000}"/>
    <cellStyle name="ส่วนที่ถูกเน้น2 2" xfId="60810" xr:uid="{00000000-0005-0000-0000-0000F4F00000}"/>
    <cellStyle name="ส่วนที่ถูกเน้น2 2 2" xfId="60811" xr:uid="{00000000-0005-0000-0000-0000F5F00000}"/>
    <cellStyle name="ส่วนที่ถูกเน้น3" xfId="60812" xr:uid="{00000000-0005-0000-0000-0000F6F00000}"/>
    <cellStyle name="ส่วนที่ถูกเน้น3 2" xfId="60813" xr:uid="{00000000-0005-0000-0000-0000F7F00000}"/>
    <cellStyle name="ส่วนที่ถูกเน้น3 2 2" xfId="60814" xr:uid="{00000000-0005-0000-0000-0000F8F00000}"/>
    <cellStyle name="ส่วนที่ถูกเน้น4" xfId="60815" xr:uid="{00000000-0005-0000-0000-0000F9F00000}"/>
    <cellStyle name="ส่วนที่ถูกเน้น4 2" xfId="60816" xr:uid="{00000000-0005-0000-0000-0000FAF00000}"/>
    <cellStyle name="ส่วนที่ถูกเน้น4 2 2" xfId="60817" xr:uid="{00000000-0005-0000-0000-0000FBF00000}"/>
    <cellStyle name="ส่วนที่ถูกเน้น5" xfId="60818" xr:uid="{00000000-0005-0000-0000-0000FCF00000}"/>
    <cellStyle name="ส่วนที่ถูกเน้น5 2" xfId="60819" xr:uid="{00000000-0005-0000-0000-0000FDF00000}"/>
    <cellStyle name="ส่วนที่ถูกเน้น5 2 2" xfId="60820" xr:uid="{00000000-0005-0000-0000-0000FEF00000}"/>
    <cellStyle name="ส่วนที่ถูกเน้น6" xfId="60821" xr:uid="{00000000-0005-0000-0000-0000FFF00000}"/>
    <cellStyle name="ส่วนที่ถูกเน้น6 2" xfId="60822" xr:uid="{00000000-0005-0000-0000-000000F10000}"/>
    <cellStyle name="ส่วนที่ถูกเน้น6 2 2" xfId="60823" xr:uid="{00000000-0005-0000-0000-000001F10000}"/>
    <cellStyle name="หมายเหตุ" xfId="60824" xr:uid="{00000000-0005-0000-0000-000002F10000}"/>
    <cellStyle name="หมายเหตุ 2" xfId="60825" xr:uid="{00000000-0005-0000-0000-000003F10000}"/>
    <cellStyle name="หมายเหตุ 2 2" xfId="60826" xr:uid="{00000000-0005-0000-0000-000004F10000}"/>
    <cellStyle name="หมายเหตุ 3" xfId="60827" xr:uid="{00000000-0005-0000-0000-000005F10000}"/>
    <cellStyle name="หมายเหตุ 4" xfId="60828" xr:uid="{00000000-0005-0000-0000-000006F10000}"/>
    <cellStyle name="หัวเรื่อง 1" xfId="60829" xr:uid="{00000000-0005-0000-0000-000007F10000}"/>
    <cellStyle name="หัวเรื่อง 1 2" xfId="60830" xr:uid="{00000000-0005-0000-0000-000008F10000}"/>
    <cellStyle name="หัวเรื่อง 1 2 2" xfId="60831" xr:uid="{00000000-0005-0000-0000-000009F10000}"/>
    <cellStyle name="หัวเรื่อง 2" xfId="60832" xr:uid="{00000000-0005-0000-0000-00000AF10000}"/>
    <cellStyle name="หัวเรื่อง 2 2" xfId="60833" xr:uid="{00000000-0005-0000-0000-00000BF10000}"/>
    <cellStyle name="หัวเรื่อง 2 2 2" xfId="60834" xr:uid="{00000000-0005-0000-0000-00000CF10000}"/>
    <cellStyle name="หัวเรื่อง 3" xfId="60835" xr:uid="{00000000-0005-0000-0000-00000DF10000}"/>
    <cellStyle name="หัวเรื่อง 3 2" xfId="60836" xr:uid="{00000000-0005-0000-0000-00000EF10000}"/>
    <cellStyle name="หัวเรื่อง 3 2 2" xfId="60837" xr:uid="{00000000-0005-0000-0000-00000FF10000}"/>
    <cellStyle name="หัวเรื่อง 4" xfId="60838" xr:uid="{00000000-0005-0000-0000-000010F10000}"/>
    <cellStyle name="หัวเรื่อง 4 2" xfId="60839" xr:uid="{00000000-0005-0000-0000-000011F10000}"/>
    <cellStyle name="หัวเรื่อง 4 2 2" xfId="60840" xr:uid="{00000000-0005-0000-0000-000012F10000}"/>
    <cellStyle name="籵_laroux" xfId="60841" xr:uid="{00000000-0005-0000-0000-000013F10000}"/>
    <cellStyle name="弇[0]_laroux" xfId="60842" xr:uid="{00000000-0005-0000-0000-000014F10000}"/>
    <cellStyle name="弇_laroux" xfId="60843" xr:uid="{00000000-0005-0000-0000-000015F10000}"/>
    <cellStyle name="弇煦路[0]_050978" xfId="60844" xr:uid="{00000000-0005-0000-0000-000016F10000}"/>
    <cellStyle name="弇煦路_050978" xfId="60845" xr:uid="{00000000-0005-0000-0000-000017F10000}"/>
    <cellStyle name="煦弇[0]_laroux" xfId="60846" xr:uid="{00000000-0005-0000-0000-000018F10000}"/>
    <cellStyle name="煦弇_laroux" xfId="60847" xr:uid="{00000000-0005-0000-0000-000019F10000}"/>
    <cellStyle name="똿뗦먛귟 [0.00]_PRODUCT DETAIL Q1" xfId="60848" xr:uid="{00000000-0005-0000-0000-00001AF10000}"/>
    <cellStyle name="똿뗦먛귟_PRODUCT DETAIL Q1" xfId="60849" xr:uid="{00000000-0005-0000-0000-00001BF10000}"/>
    <cellStyle name="믅됞 [0.00]_PRODUCT DETAIL Q1" xfId="60850" xr:uid="{00000000-0005-0000-0000-00001CF10000}"/>
    <cellStyle name="믅됞_PRODUCT DETAIL Q1" xfId="60851" xr:uid="{00000000-0005-0000-0000-00001DF10000}"/>
    <cellStyle name="백분율_HOBONG" xfId="60852" xr:uid="{00000000-0005-0000-0000-00001EF10000}"/>
    <cellStyle name="뷭?_BOOKSHIP" xfId="60853" xr:uid="{00000000-0005-0000-0000-00001FF10000}"/>
    <cellStyle name="콤마 [0]_1202" xfId="60854" xr:uid="{00000000-0005-0000-0000-000020F10000}"/>
    <cellStyle name="콤마_1202" xfId="60855" xr:uid="{00000000-0005-0000-0000-000021F10000}"/>
    <cellStyle name="통화 [0]_1202" xfId="60856" xr:uid="{00000000-0005-0000-0000-000022F10000}"/>
    <cellStyle name="통화_1202" xfId="60857" xr:uid="{00000000-0005-0000-0000-000023F10000}"/>
    <cellStyle name="표준_(정보부문)월별인원계획" xfId="60858" xr:uid="{00000000-0005-0000-0000-000024F10000}"/>
    <cellStyle name="一般 2" xfId="60859" xr:uid="{00000000-0005-0000-0000-000025F10000}"/>
    <cellStyle name="一般 2 2" xfId="60860" xr:uid="{00000000-0005-0000-0000-000026F10000}"/>
    <cellStyle name="一般 2 2 2" xfId="60861" xr:uid="{00000000-0005-0000-0000-000027F10000}"/>
    <cellStyle name="一般 2 3" xfId="60862" xr:uid="{00000000-0005-0000-0000-000028F10000}"/>
    <cellStyle name="一般 2_13-Taiwan-Classify transport costs to a part of cost of sales" xfId="60863" xr:uid="{00000000-0005-0000-0000-000029F10000}"/>
    <cellStyle name="一般 3" xfId="60864" xr:uid="{00000000-0005-0000-0000-00002AF10000}"/>
    <cellStyle name="一般 3 2" xfId="60865" xr:uid="{00000000-0005-0000-0000-00002BF10000}"/>
    <cellStyle name="一般 4" xfId="60866" xr:uid="{00000000-0005-0000-0000-00002CF10000}"/>
    <cellStyle name="一般_10-LCT-FS Package" xfId="60867" xr:uid="{00000000-0005-0000-0000-00002DF10000}"/>
    <cellStyle name="中等 2" xfId="60868" xr:uid="{00000000-0005-0000-0000-00002EF10000}"/>
    <cellStyle name="中等 3" xfId="60869" xr:uid="{00000000-0005-0000-0000-00002FF10000}"/>
    <cellStyle name="備註 2" xfId="60870" xr:uid="{00000000-0005-0000-0000-000030F10000}"/>
    <cellStyle name="億啟[0]_050978" xfId="60871" xr:uid="{00000000-0005-0000-0000-000031F10000}"/>
    <cellStyle name="億啟_050978" xfId="60872" xr:uid="{00000000-0005-0000-0000-000032F10000}"/>
    <cellStyle name="千位[0]_ 借 款 明 细" xfId="60873" xr:uid="{00000000-0005-0000-0000-000033F10000}"/>
    <cellStyle name="千位_ 借 款 明 细" xfId="60874" xr:uid="{00000000-0005-0000-0000-000034F10000}"/>
    <cellStyle name="千位分隔 2" xfId="60875" xr:uid="{00000000-0005-0000-0000-000035F10000}"/>
    <cellStyle name="千位分隔 3" xfId="60876" xr:uid="{00000000-0005-0000-0000-000036F10000}"/>
    <cellStyle name="千位分隔 4" xfId="60877" xr:uid="{00000000-0005-0000-0000-000037F10000}"/>
    <cellStyle name="千位分隔 5" xfId="60878" xr:uid="{00000000-0005-0000-0000-000038F10000}"/>
    <cellStyle name="千位分隔[0]W11BB" xfId="60879" xr:uid="{00000000-0005-0000-0000-000039F10000}"/>
    <cellStyle name="千位分隔[0]W11BB 2" xfId="60880" xr:uid="{00000000-0005-0000-0000-00003AF10000}"/>
    <cellStyle name="千位分隔[0]W11BB 3" xfId="60881" xr:uid="{00000000-0005-0000-0000-00003BF10000}"/>
    <cellStyle name="千位分隔[0]W11BB 4" xfId="60882" xr:uid="{00000000-0005-0000-0000-00003CF10000}"/>
    <cellStyle name="千分位 2" xfId="60883" xr:uid="{00000000-0005-0000-0000-00003DF10000}"/>
    <cellStyle name="千分位 2 2" xfId="60884" xr:uid="{00000000-0005-0000-0000-00003EF10000}"/>
    <cellStyle name="千分位 2 2 2" xfId="61165" xr:uid="{00000000-0005-0000-0000-00003FF10000}"/>
    <cellStyle name="千分位 2 2 3" xfId="61311" xr:uid="{00000000-0005-0000-0000-000040F10000}"/>
    <cellStyle name="千分位 2 2 4" xfId="61455" xr:uid="{00000000-0005-0000-0000-000041F10000}"/>
    <cellStyle name="千分位 2 2 5" xfId="61599" xr:uid="{00000000-0005-0000-0000-000042F10000}"/>
    <cellStyle name="千分位 2 2 6" xfId="61743" xr:uid="{00000000-0005-0000-0000-000043F10000}"/>
    <cellStyle name="千分位 2 2 7" xfId="61887" xr:uid="{00000000-0005-0000-0000-000044F10000}"/>
    <cellStyle name="千分位 3" xfId="60885" xr:uid="{00000000-0005-0000-0000-000045F10000}"/>
    <cellStyle name="千分位 3 2" xfId="60886" xr:uid="{00000000-0005-0000-0000-000046F10000}"/>
    <cellStyle name="千分位_Taiwan-SUP Package Form" xfId="60887" xr:uid="{00000000-0005-0000-0000-000047F10000}"/>
    <cellStyle name="合計 2" xfId="60888" xr:uid="{00000000-0005-0000-0000-000048F10000}"/>
    <cellStyle name="合計 3" xfId="60889" xr:uid="{00000000-0005-0000-0000-000049F10000}"/>
    <cellStyle name="壞 2" xfId="60890" xr:uid="{00000000-0005-0000-0000-00004AF10000}"/>
    <cellStyle name="壞 3" xfId="60891" xr:uid="{00000000-0005-0000-0000-00004BF10000}"/>
    <cellStyle name="壞_10-LCT-EXP" xfId="60892" xr:uid="{00000000-0005-0000-0000-00004CF10000}"/>
    <cellStyle name="壞_SUP27" xfId="60893" xr:uid="{00000000-0005-0000-0000-00004DF10000}"/>
    <cellStyle name="好 2" xfId="60894" xr:uid="{00000000-0005-0000-0000-00004EF10000}"/>
    <cellStyle name="好 3" xfId="60895" xr:uid="{00000000-0005-0000-0000-00004FF10000}"/>
    <cellStyle name="好_10-LCT-EXP" xfId="60896" xr:uid="{00000000-0005-0000-0000-000050F10000}"/>
    <cellStyle name="好_LCT-Trail Balance" xfId="60897" xr:uid="{00000000-0005-0000-0000-000051F10000}"/>
    <cellStyle name="好_RESULTS" xfId="60898" xr:uid="{00000000-0005-0000-0000-000052F10000}"/>
    <cellStyle name="好_SUP Package Form-LCT" xfId="60899" xr:uid="{00000000-0005-0000-0000-000053F10000}"/>
    <cellStyle name="好_SUP27" xfId="60900" xr:uid="{00000000-0005-0000-0000-000054F10000}"/>
    <cellStyle name="好_附表(二)之4" xfId="60901" xr:uid="{00000000-0005-0000-0000-000055F10000}"/>
    <cellStyle name="好_附表(六)之2" xfId="60902" xr:uid="{00000000-0005-0000-0000-000056F10000}"/>
    <cellStyle name="好_附表(六)之3" xfId="60903" xr:uid="{00000000-0005-0000-0000-000057F10000}"/>
    <cellStyle name="差" xfId="60904" xr:uid="{00000000-0005-0000-0000-000058F10000}"/>
    <cellStyle name="差 2" xfId="60905" xr:uid="{00000000-0005-0000-0000-000059F10000}"/>
    <cellStyle name="差_10-LCT-EXP" xfId="60906" xr:uid="{00000000-0005-0000-0000-00005AF10000}"/>
    <cellStyle name="差_RESULTS" xfId="60907" xr:uid="{00000000-0005-0000-0000-00005BF10000}"/>
    <cellStyle name="差_附表(二)之4" xfId="60908" xr:uid="{00000000-0005-0000-0000-00005CF10000}"/>
    <cellStyle name="差_附表(六)之2" xfId="60909" xr:uid="{00000000-0005-0000-0000-00005DF10000}"/>
    <cellStyle name="差_附表(六)之3" xfId="60910" xr:uid="{00000000-0005-0000-0000-00005EF10000}"/>
    <cellStyle name="常规 2" xfId="60911" xr:uid="{00000000-0005-0000-0000-00005FF10000}"/>
    <cellStyle name="常规 2 2" xfId="60912" xr:uid="{00000000-0005-0000-0000-000060F10000}"/>
    <cellStyle name="常规 3" xfId="60913" xr:uid="{00000000-0005-0000-0000-000061F10000}"/>
    <cellStyle name="常规 3 2" xfId="60914" xr:uid="{00000000-0005-0000-0000-000062F10000}"/>
    <cellStyle name="常规 4" xfId="60915" xr:uid="{00000000-0005-0000-0000-000063F10000}"/>
    <cellStyle name="常规 4 2" xfId="60916" xr:uid="{00000000-0005-0000-0000-000064F10000}"/>
    <cellStyle name="常规 5" xfId="60917" xr:uid="{00000000-0005-0000-0000-000065F10000}"/>
    <cellStyle name="常规 6" xfId="60918" xr:uid="{00000000-0005-0000-0000-000066F10000}"/>
    <cellStyle name="常规 7" xfId="60919" xr:uid="{00000000-0005-0000-0000-000067F10000}"/>
    <cellStyle name="常规 8" xfId="60920" xr:uid="{00000000-0005-0000-0000-000068F10000}"/>
    <cellStyle name="常规_2009.12负债及利润表(底表)(每月修改月份-并选择性粘贴数值)(勿忘打报表封面)" xfId="60921" xr:uid="{00000000-0005-0000-0000-000069F10000}"/>
    <cellStyle name="强调文字颜色 1" xfId="60922" xr:uid="{00000000-0005-0000-0000-00006AF10000}"/>
    <cellStyle name="强调文字颜色 1 2" xfId="60923" xr:uid="{00000000-0005-0000-0000-00006BF10000}"/>
    <cellStyle name="强调文字颜色 2" xfId="60924" xr:uid="{00000000-0005-0000-0000-00006CF10000}"/>
    <cellStyle name="强调文字颜色 2 2" xfId="60925" xr:uid="{00000000-0005-0000-0000-00006DF10000}"/>
    <cellStyle name="强调文字颜色 3" xfId="60926" xr:uid="{00000000-0005-0000-0000-00006EF10000}"/>
    <cellStyle name="强调文字颜色 3 2" xfId="60927" xr:uid="{00000000-0005-0000-0000-00006FF10000}"/>
    <cellStyle name="强调文字颜色 4" xfId="60928" xr:uid="{00000000-0005-0000-0000-000070F10000}"/>
    <cellStyle name="强调文字颜色 4 2" xfId="60929" xr:uid="{00000000-0005-0000-0000-000071F10000}"/>
    <cellStyle name="强调文字颜色 5" xfId="60930" xr:uid="{00000000-0005-0000-0000-000072F10000}"/>
    <cellStyle name="强调文字颜色 5 2" xfId="60931" xr:uid="{00000000-0005-0000-0000-000073F10000}"/>
    <cellStyle name="强调文字颜色 6" xfId="60932" xr:uid="{00000000-0005-0000-0000-000074F10000}"/>
    <cellStyle name="强调文字颜色 6 2" xfId="60933" xr:uid="{00000000-0005-0000-0000-000075F10000}"/>
    <cellStyle name="普通_ 损益一览表" xfId="60934" xr:uid="{00000000-0005-0000-0000-000076F10000}"/>
    <cellStyle name="标题" xfId="60935" xr:uid="{00000000-0005-0000-0000-000077F10000}"/>
    <cellStyle name="标题 1" xfId="60936" xr:uid="{00000000-0005-0000-0000-000078F10000}"/>
    <cellStyle name="标题 1 2" xfId="60937" xr:uid="{00000000-0005-0000-0000-000079F10000}"/>
    <cellStyle name="标题 2" xfId="60938" xr:uid="{00000000-0005-0000-0000-00007AF10000}"/>
    <cellStyle name="标题 2 2" xfId="60939" xr:uid="{00000000-0005-0000-0000-00007BF10000}"/>
    <cellStyle name="标题 3" xfId="60940" xr:uid="{00000000-0005-0000-0000-00007CF10000}"/>
    <cellStyle name="标题 3 2" xfId="60941" xr:uid="{00000000-0005-0000-0000-00007DF10000}"/>
    <cellStyle name="标题 4" xfId="60942" xr:uid="{00000000-0005-0000-0000-00007EF10000}"/>
    <cellStyle name="标题 4 2" xfId="60943" xr:uid="{00000000-0005-0000-0000-00007FF10000}"/>
    <cellStyle name="标题 5" xfId="60944" xr:uid="{00000000-0005-0000-0000-000080F10000}"/>
    <cellStyle name="标题_10-LCT-EXP" xfId="60945" xr:uid="{00000000-0005-0000-0000-000081F10000}"/>
    <cellStyle name="样式 1" xfId="60946" xr:uid="{00000000-0005-0000-0000-000082F10000}"/>
    <cellStyle name="检查单元格" xfId="60947" xr:uid="{00000000-0005-0000-0000-000083F10000}"/>
    <cellStyle name="检查单元格 2" xfId="60948" xr:uid="{00000000-0005-0000-0000-000084F10000}"/>
    <cellStyle name="標題 1 2" xfId="60949" xr:uid="{00000000-0005-0000-0000-000085F10000}"/>
    <cellStyle name="標題 1 3" xfId="60950" xr:uid="{00000000-0005-0000-0000-000086F10000}"/>
    <cellStyle name="標題 2 2" xfId="60951" xr:uid="{00000000-0005-0000-0000-000087F10000}"/>
    <cellStyle name="標題 2 3" xfId="60952" xr:uid="{00000000-0005-0000-0000-000088F10000}"/>
    <cellStyle name="標題 3 2" xfId="60953" xr:uid="{00000000-0005-0000-0000-000089F10000}"/>
    <cellStyle name="標題 3 3" xfId="60954" xr:uid="{00000000-0005-0000-0000-00008AF10000}"/>
    <cellStyle name="標題 4 2" xfId="60955" xr:uid="{00000000-0005-0000-0000-00008BF10000}"/>
    <cellStyle name="標題 4 3" xfId="60956" xr:uid="{00000000-0005-0000-0000-00008CF10000}"/>
    <cellStyle name="標題 5" xfId="60957" xr:uid="{00000000-0005-0000-0000-00008DF10000}"/>
    <cellStyle name="標題 6" xfId="60958" xr:uid="{00000000-0005-0000-0000-00008EF10000}"/>
    <cellStyle name="樣式 1" xfId="60959" xr:uid="{00000000-0005-0000-0000-00008FF10000}"/>
    <cellStyle name="檢查儲存格 2" xfId="60960" xr:uid="{00000000-0005-0000-0000-000090F10000}"/>
    <cellStyle name="檢查儲存格 3" xfId="60961" xr:uid="{00000000-0005-0000-0000-000091F10000}"/>
    <cellStyle name="汇总" xfId="60962" xr:uid="{00000000-0005-0000-0000-000092F10000}"/>
    <cellStyle name="汇总 2" xfId="60963" xr:uid="{00000000-0005-0000-0000-000093F10000}"/>
    <cellStyle name="注释" xfId="60964" xr:uid="{00000000-0005-0000-0000-000094F10000}"/>
    <cellStyle name="注释 2" xfId="60965" xr:uid="{00000000-0005-0000-0000-000095F10000}"/>
    <cellStyle name="百分比 2" xfId="60966" xr:uid="{00000000-0005-0000-0000-000096F10000}"/>
    <cellStyle name="百分比 2 2" xfId="60967" xr:uid="{00000000-0005-0000-0000-000097F10000}"/>
    <cellStyle name="百分比 2 3" xfId="60968" xr:uid="{00000000-0005-0000-0000-000098F10000}"/>
    <cellStyle name="百分比 3" xfId="60969" xr:uid="{00000000-0005-0000-0000-000099F10000}"/>
    <cellStyle name="綴樟閉撰蟈諉" xfId="60970" xr:uid="{00000000-0005-0000-0000-00009AF10000}"/>
    <cellStyle name="綴樟閉撰蟈諉 2" xfId="60971" xr:uid="{00000000-0005-0000-0000-00009BF10000}"/>
    <cellStyle name="表头" xfId="60972" xr:uid="{00000000-0005-0000-0000-00009CF10000}"/>
    <cellStyle name="解释性文本" xfId="60973" xr:uid="{00000000-0005-0000-0000-00009DF10000}"/>
    <cellStyle name="解释性文本 2" xfId="60974" xr:uid="{00000000-0005-0000-0000-00009EF10000}"/>
    <cellStyle name="計算方式 2" xfId="60975" xr:uid="{00000000-0005-0000-0000-00009FF10000}"/>
    <cellStyle name="計算方式 3" xfId="60976" xr:uid="{00000000-0005-0000-0000-0000A0F10000}"/>
    <cellStyle name="說明文字 2" xfId="60977" xr:uid="{00000000-0005-0000-0000-0000A1F10000}"/>
    <cellStyle name="說明文字 3" xfId="60978" xr:uid="{00000000-0005-0000-0000-0000A2F10000}"/>
    <cellStyle name="警告文字 2" xfId="60979" xr:uid="{00000000-0005-0000-0000-0000A3F10000}"/>
    <cellStyle name="警告文字 3" xfId="60980" xr:uid="{00000000-0005-0000-0000-0000A4F10000}"/>
    <cellStyle name="警告文本" xfId="60981" xr:uid="{00000000-0005-0000-0000-0000A5F10000}"/>
    <cellStyle name="警告文本 2" xfId="60982" xr:uid="{00000000-0005-0000-0000-0000A6F10000}"/>
    <cellStyle name="计算" xfId="60983" xr:uid="{00000000-0005-0000-0000-0000A7F10000}"/>
    <cellStyle name="计算 2" xfId="60984" xr:uid="{00000000-0005-0000-0000-0000A8F10000}"/>
    <cellStyle name="貨幣[0]_GVC0119A" xfId="60985" xr:uid="{00000000-0005-0000-0000-0000A9F10000}"/>
    <cellStyle name="輔色1 2" xfId="60986" xr:uid="{00000000-0005-0000-0000-0000AAF10000}"/>
    <cellStyle name="輔色1 3" xfId="60987" xr:uid="{00000000-0005-0000-0000-0000ABF10000}"/>
    <cellStyle name="輔色2 2" xfId="60988" xr:uid="{00000000-0005-0000-0000-0000ACF10000}"/>
    <cellStyle name="輔色2 3" xfId="60989" xr:uid="{00000000-0005-0000-0000-0000ADF10000}"/>
    <cellStyle name="輔色3 2" xfId="60990" xr:uid="{00000000-0005-0000-0000-0000AEF10000}"/>
    <cellStyle name="輔色3 3" xfId="60991" xr:uid="{00000000-0005-0000-0000-0000AFF10000}"/>
    <cellStyle name="輔色4 2" xfId="60992" xr:uid="{00000000-0005-0000-0000-0000B0F10000}"/>
    <cellStyle name="輔色4 3" xfId="60993" xr:uid="{00000000-0005-0000-0000-0000B1F10000}"/>
    <cellStyle name="輔色5 2" xfId="60994" xr:uid="{00000000-0005-0000-0000-0000B2F10000}"/>
    <cellStyle name="輔色5 3" xfId="60995" xr:uid="{00000000-0005-0000-0000-0000B3F10000}"/>
    <cellStyle name="輔色6 2" xfId="60996" xr:uid="{00000000-0005-0000-0000-0000B4F10000}"/>
    <cellStyle name="輔色6 3" xfId="60997" xr:uid="{00000000-0005-0000-0000-0000B5F10000}"/>
    <cellStyle name="輸入 2" xfId="60998" xr:uid="{00000000-0005-0000-0000-0000B6F10000}"/>
    <cellStyle name="輸入 3" xfId="60999" xr:uid="{00000000-0005-0000-0000-0000B7F10000}"/>
    <cellStyle name="輸出 2" xfId="61000" xr:uid="{00000000-0005-0000-0000-0000B8F10000}"/>
    <cellStyle name="輸出 3" xfId="61001" xr:uid="{00000000-0005-0000-0000-0000B9F10000}"/>
    <cellStyle name="输入" xfId="61002" xr:uid="{00000000-0005-0000-0000-0000BAF10000}"/>
    <cellStyle name="输入 2" xfId="61003" xr:uid="{00000000-0005-0000-0000-0000BBF10000}"/>
    <cellStyle name="输出" xfId="61004" xr:uid="{00000000-0005-0000-0000-0000BCF10000}"/>
    <cellStyle name="输出 2" xfId="61005" xr:uid="{00000000-0005-0000-0000-0000BDF10000}"/>
    <cellStyle name="适中" xfId="61006" xr:uid="{00000000-0005-0000-0000-0000BEF10000}"/>
    <cellStyle name="适中 2" xfId="61007" xr:uid="{00000000-0005-0000-0000-0000BFF10000}"/>
    <cellStyle name="連結的儲存格 2" xfId="61008" xr:uid="{00000000-0005-0000-0000-0000C0F10000}"/>
    <cellStyle name="連結的儲存格 3" xfId="61009" xr:uid="{00000000-0005-0000-0000-0000C1F10000}"/>
    <cellStyle name="都寞_050978" xfId="61010" xr:uid="{00000000-0005-0000-0000-0000C2F10000}"/>
    <cellStyle name="链接单元格" xfId="61011" xr:uid="{00000000-0005-0000-0000-0000C3F10000}"/>
    <cellStyle name="链接单元格 2" xfId="61012" xr:uid="{00000000-0005-0000-0000-0000C4F10000}"/>
    <cellStyle name="閉撰蟈諉" xfId="61013" xr:uid="{00000000-0005-0000-0000-0000C5F10000}"/>
    <cellStyle name="閉撰蟈諉 2" xfId="61014" xr:uid="{00000000-0005-0000-0000-0000C6F10000}"/>
  </cellStyles>
  <dxfs count="1">
    <dxf>
      <font>
        <color theme="0"/>
      </font>
    </dxf>
  </dxfs>
  <tableStyles count="0" defaultTableStyle="TableStyleMedium2" defaultPivotStyle="PivotStyleLight16"/>
  <colors>
    <mruColors>
      <color rgb="FF0000FF"/>
      <color rgb="FF0000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" refreshedDate="45826.368582754629" createdVersion="8" refreshedVersion="8" minRefreshableVersion="3" recordCount="123" xr:uid="{624D312E-A47E-4CFB-B415-E2291D5DA425}">
  <cacheSource type="worksheet">
    <worksheetSource ref="A2:N1009" sheet="Bank loan table"/>
  </cacheSource>
  <cacheFields count="14">
    <cacheField name="Unit : M.Rub" numFmtId="0">
      <sharedItems containsBlank="1"/>
    </cacheField>
    <cacheField name="Company" numFmtId="0">
      <sharedItems containsBlank="1" count="5">
        <s v="CPFO"/>
        <m/>
        <s v="SW"/>
        <s v="APK"/>
        <s v="RBPI"/>
      </sharedItems>
    </cacheField>
    <cacheField name="Description" numFmtId="0">
      <sharedItems containsBlank="1" count="111">
        <s v="CPF Ryazan"/>
        <m/>
        <s v="Severnaya"/>
        <s v="Woyskovitsy"/>
        <s v="Sberbank  130B016F12LZMF ( AB  )"/>
        <s v="Sberbank  130B016FM2LZMF ( AB  )"/>
        <s v="Sberbank  130B018152LZMF ( DB  )"/>
        <s v="Sberbank  130B017JKMF ( AO  )"/>
        <s v="Sberbank  130B017IBMF ( AO  )"/>
        <s v="Sberbank  130B017AYАСРМMF ( Oskol  )"/>
        <s v="Sberbank  130B01763АСРМMF ( Oskol  )"/>
        <s v="Sberbank  550B017PHАСРМMF ( NNPP  )"/>
        <s v="Sberbank  130B014TY2LZMF ( DB  )"/>
        <s v="Sberbank  550COOOZK12LZMF  ( Kornevo  )"/>
        <s v="Bank SPb  7500-22-020286/25 ( PPP  )"/>
        <s v="Bank SPb  7500-24-018253/4  ( NNPP  )"/>
        <s v="Sberbank  130B018CKАСРМMF ( AB  )"/>
        <s v="Bank SPb  7500-22-020286/22 ( PPP  )"/>
        <s v="Sberbank  130B013BZMF ( AKZ  )"/>
        <s v="Bank SPb  7500-22-020286/26  ( PPP  )"/>
        <s v="Gasprombank  0124-031 ( PPP-2  )"/>
        <s v="Bank SPb  7500-22-020286/24  ( PPP  )"/>
        <s v="Bank SPb  7500-22-020286/27 ( PPP )"/>
        <s v="Sberbank  550B017B82LZMF ( NNPP  )"/>
        <s v="Sberbank  130B015SN2LZMF ( AB  )"/>
        <s v="Bank SPb  7500-24-018253/3 ( NNPP  )"/>
        <s v="Sberbank  130B018FGMF ( AKZ  )"/>
        <s v="Sberbank  130B015II2LZMF ( AO  )"/>
        <s v="Sberbank  550С010922LZMF  ( Kornevo  )"/>
        <s v="Bank SPb  7500-22-020286/28 ( PPP  )"/>
        <s v="Sberbank  130B018LHMF ( AKZ  )"/>
        <s v="Sberbank  550С00YFH2LZMF  ( Kornevo  )"/>
        <s v="Gasprombank  0124-034 ( PPP-2  )"/>
        <s v="Sberbank  130C00Z832LZMF ( AB  )"/>
        <s v="Bank SPb  7500-24-018253/1  ( NNPP  )"/>
        <s v="Sberbank  130B016EZ2LZMF ( AB  )"/>
        <s v="Sberbank  130B015WWMF ( Oskol  )"/>
        <s v="Sberbank  130B015Q02LZMF ( AB  )"/>
        <s v="Bank SPb  7500-22-020286/21  ( PPP  )"/>
        <s v="Sberbank  130C00ZY92LZMF ( AO  )"/>
        <s v="Bank SPb  7500-24-018253/7 ( NNPP )"/>
        <s v="Sberbank 550B018WIАСРМMF ( NNPP )"/>
        <s v="Sberbank  130C011H02LZMF ( AB  )"/>
        <s v="Sberbank  130C00ZOB2LZMF ( AB  )"/>
        <s v="Gasprombank  0124-023  ( PPP-2  )"/>
        <s v="VTB BANK   СВЛ/061225-163942 ( NNPP-2  )"/>
        <s v="Sberbank  130C00ZGI2LZMF ( Oskol  )"/>
        <s v="Gasprombank  0124-025  ( PPP-2  )"/>
        <s v="Sberbank   130B013FZMF ( AKZ  )"/>
        <s v="Sberbank  130B01A532LZMF ( DB  )"/>
        <s v="Sberbank   130C010142LZMF ( Oskol  )"/>
        <s v="Sberbank  130B0132S2LZMF ( Oskol  )"/>
        <s v="Bank SPb  7500-25-000001-1  ( Kornevo  )"/>
        <s v="Bank SPb  7500-24-018253/2 ( NNPP  )"/>
        <s v="Sberbank 130B016BF2LZMF ( DB  )"/>
        <s v="Sberbank 130B017BN2LZMF ( AKZ  )"/>
        <s v="Sberbank  130B01882MF ( AKZ  )"/>
        <s v="Bank SPb  7500-22-020286/34 ( PPP  )"/>
        <s v="Sberbank  130C011JG2LZMF ( AB  )"/>
        <s v="Sberbank 130B016UA2LZMF ( AKZ  )"/>
        <s v="Gasprombank  0124-033 ( PPP-2  )"/>
        <s v="Sberbank  130B013H0MF ( AKZ  )"/>
        <s v="Sberbank  130B016AT2LZMF ( DB  )"/>
        <s v="Gasprombank  0125-002 ( PPP-2  )"/>
        <s v="Gasprombank  0125-004 ( PPP-2  )"/>
        <s v="VTB BANK   СВЛ/061225-069229 ( NNPP-2  )"/>
        <s v="Bank SPb  7500-22-020286/33 ( PPP  )"/>
        <s v="Bank SPb  7500-22-020286/29 ( PPP )"/>
        <s v="Sberbank 130B017BA2LZMF ( AKZ  )"/>
        <s v="Bank SPb  7500-22-020286/41 ( PPP  )"/>
        <s v="Bank SPb  7500-22-020286/42 ( PPP  )"/>
        <s v="Sberbank  130B019CBАСРМMF ( AB  )"/>
        <s v="Bank SPb  7500-24-018253/6 ( NNPP )"/>
        <s v="Bank SPb  7500-24-018253/5 ( NNPP )"/>
        <s v="Bank SPb   7500-22-020286/30 ( PPP  )"/>
        <s v="Bank SPb  7500-22-020286/31 ( PPP )"/>
        <s v="Bank SPb  7500-22-020286/32 ( PPP )"/>
        <s v="Bank SPb  7500-22-020286/36 ( PPP )"/>
        <s v="Bank SPb  7500-22-020286/37 ( PPP )"/>
        <s v="Bank SPb  7500-22-020286/38 ( PPP )"/>
        <s v="Bank SPb  7500-22-020286/39 ( PPP )"/>
        <s v="Bank SPb  7500-22-020286/40 ( PPP )"/>
        <s v="Sberbank    601521249 ( RBPI Voronezh  )"/>
        <s v="Sberbank    601521222 ( RBPI Voronezh  )"/>
        <s v="VTB BANK   15/18  ( NNPP-2  )"/>
        <s v="Bank SPb  7500-24-003260  ( PPP  )"/>
        <s v="Bank SPb  7500-22-020286/14  ( PPP  )"/>
        <s v="Gasprombank  0117-053   ( PPP-2  )"/>
        <s v="Gasprombank  0118-046   ( PPP-2  )"/>
        <s v="Gasprombank  0118-045  ( PPP-2  )"/>
        <s v="Bank SPb  7500-22-020286/19 ( PPP  )"/>
        <s v="Bank SPb  7500-22-020286/15 ( PPP )"/>
        <s v="Bank SPb  7500-22-020286/35 ( PPP )"/>
        <s v="Bank SPb  7500-22-020286/4 ( PPP  )"/>
        <s v="Bank SPb  7500-22-020286/11  ( PPP  )"/>
        <s v="Bank SPb  7500-23-042170 ( PPP  )"/>
        <s v="Bank SPb  7500-22-003340  ( PPP  )"/>
        <s v="Gasprombank  0118-066 ( Rechnoe   )"/>
        <s v="Gasprombank  0121-014  ( NNPP  )"/>
        <s v="Gasprombank  0121-015  ( NNPP  )"/>
        <s v="Gasprombank  0121-018  ( PPP  )"/>
        <s v="Bank SPb  7500-22-020286/3  ( PPP  )"/>
        <s v="Bank SPb  7500-22-020286/23  ( PPP  )"/>
        <s v="Sberbank   550B00FYXMF  ( NNPP  )"/>
        <s v="Sberbank  550C00XSNMF  ( NNPP  )" u="1"/>
        <s v="Sberbank  130C00XNM2LZMF ( DB  )" u="1"/>
        <s v="Bank SPb  7500-22-020286/20 ( PPP  )" u="1"/>
        <s v="Sberbank   130C00WAI2LZMF ( AKZ  )" u="1"/>
        <s v="Sberbank   130C00WAW2LZMF ( AKZ  )" u="1"/>
        <s v="Gasprombank  0124-015 ( PPP-2  )" u="1"/>
        <s v="Gasprombank  0120-019  ( NNPP  )" u="1"/>
      </sharedItems>
    </cacheField>
    <cacheField name="Bank" numFmtId="0">
      <sharedItems containsBlank="1"/>
    </cacheField>
    <cacheField name="Preferable rate" numFmtId="0">
      <sharedItems containsBlank="1"/>
    </cacheField>
    <cacheField name="Credit" numFmtId="175">
      <sharedItems containsString="0" containsBlank="1" containsNumber="1" minValue="26.628" maxValue="33880.838021719996"/>
    </cacheField>
    <cacheField name="Loan" numFmtId="0">
      <sharedItems containsString="0" containsBlank="1" containsNumber="1" minValue="26.628" maxValue="33605.200764569992"/>
    </cacheField>
    <cacheField name="Available credit" numFmtId="0">
      <sharedItems containsString="0" containsBlank="1" containsNumber="1" minValue="0" maxValue="275.63725714999998"/>
    </cacheField>
    <cacheField name="Interest rate" numFmtId="10">
      <sharedItems containsString="0" containsBlank="1" containsNumber="1" minValue="4.4200000000000003E-2" maxValue="0.26600000000000001"/>
    </cacheField>
    <cacheField name="Interest rate_x000a_Approved memo" numFmtId="10">
      <sharedItems containsString="0" containsBlank="1" containsNumber="1" containsInteger="1" minValue="0" maxValue="0"/>
    </cacheField>
    <cacheField name="Condition" numFmtId="0">
      <sharedItems containsBlank="1"/>
    </cacheField>
    <cacheField name="Int." numFmtId="0">
      <sharedItems containsString="0" containsBlank="1" containsNumber="1" minValue="0" maxValue="4509.8118833041144"/>
    </cacheField>
    <cacheField name="Agreement _x000a_Date" numFmtId="0">
      <sharedItems containsNonDate="0" containsDate="1" containsString="0" containsBlank="1" minDate="2017-09-22T00:00:00" maxDate="2025-05-31T00:00:00"/>
    </cacheField>
    <cacheField name="Due Date" numFmtId="0">
      <sharedItems containsNonDate="0" containsDate="1" containsString="0" containsBlank="1" minDate="2025-06-04T00:00:00" maxDate="2031-11-2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">
  <r>
    <s v="LTL"/>
    <x v="0"/>
    <x v="0"/>
    <s v="GPB"/>
    <s v="yes"/>
    <n v="899.60311588000002"/>
    <n v="899.60311588000002"/>
    <n v="0"/>
    <n v="0.105"/>
    <m/>
    <s v="Float"/>
    <n v="94.4583271674"/>
    <d v="2018-11-29T00:00:00"/>
    <d v="2026-11-27T00:00:00"/>
  </r>
  <r>
    <s v="STL"/>
    <x v="0"/>
    <x v="0"/>
    <s v="GPB"/>
    <s v="yes"/>
    <n v="500"/>
    <n v="500"/>
    <n v="0"/>
    <n v="0.125"/>
    <m/>
    <s v="Float"/>
    <n v="62.5"/>
    <d v="2024-12-23T00:00:00"/>
    <d v="2025-12-22T00:00:00"/>
  </r>
  <r>
    <m/>
    <x v="1"/>
    <x v="1"/>
    <m/>
    <m/>
    <m/>
    <m/>
    <m/>
    <m/>
    <m/>
    <m/>
    <n v="0"/>
    <m/>
    <m/>
  </r>
  <r>
    <s v="STL"/>
    <x v="2"/>
    <x v="2"/>
    <s v="RSHB"/>
    <s v="yes"/>
    <n v="300"/>
    <n v="300"/>
    <n v="0"/>
    <n v="0.125"/>
    <m/>
    <s v="Float"/>
    <n v="37.5"/>
    <d v="2024-11-29T00:00:00"/>
    <d v="2025-11-29T00:00:00"/>
  </r>
  <r>
    <s v="STL"/>
    <x v="2"/>
    <x v="2"/>
    <s v="SBER"/>
    <s v="yes"/>
    <n v="300"/>
    <n v="150"/>
    <n v="150"/>
    <n v="0.125"/>
    <m/>
    <s v="Float"/>
    <n v="18.75"/>
    <d v="2025-05-13T00:00:00"/>
    <d v="2026-05-13T00:00:00"/>
  </r>
  <r>
    <s v="LTL"/>
    <x v="2"/>
    <x v="2"/>
    <s v="RSHB"/>
    <s v="yes"/>
    <n v="729.10999999999956"/>
    <n v="729.10999999999956"/>
    <n v="0"/>
    <n v="0.105"/>
    <m/>
    <s v="Fix"/>
    <n v="76.556549999999945"/>
    <d v="2020-12-25T00:00:00"/>
    <d v="2025-12-24T00:00:00"/>
  </r>
  <r>
    <s v="STL"/>
    <x v="2"/>
    <x v="3"/>
    <s v="RSHB"/>
    <s v="yes"/>
    <n v="300"/>
    <n v="300"/>
    <n v="0"/>
    <n v="0.125"/>
    <m/>
    <s v="Float"/>
    <n v="37.5"/>
    <d v="2024-11-29T00:00:00"/>
    <d v="2025-11-29T00:00:00"/>
  </r>
  <r>
    <s v="STL"/>
    <x v="2"/>
    <x v="3"/>
    <s v="RSHB"/>
    <s v="yes"/>
    <n v="300"/>
    <n v="300"/>
    <n v="0"/>
    <n v="0.125"/>
    <m/>
    <s v="Float"/>
    <n v="37.5"/>
    <d v="2025-05-07T00:00:00"/>
    <d v="2026-05-07T00:00:00"/>
  </r>
  <r>
    <s v="LTL"/>
    <x v="2"/>
    <x v="3"/>
    <s v="SBER"/>
    <s v="yes"/>
    <n v="2080.6010631299996"/>
    <n v="2080.6010631299996"/>
    <n v="0"/>
    <n v="4.4200000000000003E-2"/>
    <m/>
    <s v="Fix"/>
    <n v="91.962566990345991"/>
    <d v="2022-08-02T00:00:00"/>
    <d v="2029-08-01T00:00:00"/>
  </r>
  <r>
    <m/>
    <x v="1"/>
    <x v="1"/>
    <m/>
    <m/>
    <m/>
    <m/>
    <m/>
    <m/>
    <m/>
    <m/>
    <n v="0"/>
    <m/>
    <m/>
  </r>
  <r>
    <s v="STL"/>
    <x v="3"/>
    <x v="4"/>
    <s v="SBER"/>
    <s v="yes"/>
    <n v="100"/>
    <n v="100"/>
    <n v="0"/>
    <n v="0.12499999999999999"/>
    <m/>
    <s v="Float"/>
    <n v="12.499999999999998"/>
    <d v="2025-03-10T00:00:00"/>
    <d v="2026-03-09T00:00:00"/>
  </r>
  <r>
    <s v="STL"/>
    <x v="3"/>
    <x v="5"/>
    <s v="SBER"/>
    <s v="no"/>
    <n v="100"/>
    <n v="100"/>
    <n v="0"/>
    <n v="0.25"/>
    <m/>
    <s v="Float"/>
    <n v="25"/>
    <d v="2025-03-10T00:00:00"/>
    <d v="2026-03-09T00:00:00"/>
  </r>
  <r>
    <s v="STL"/>
    <x v="3"/>
    <x v="6"/>
    <s v="SBER"/>
    <s v="yes"/>
    <n v="225"/>
    <n v="225"/>
    <n v="0"/>
    <n v="0.12499999999999999"/>
    <m/>
    <s v="Float"/>
    <n v="28.124999999999996"/>
    <d v="2025-03-28T00:00:00"/>
    <d v="2026-03-27T00:00:00"/>
  </r>
  <r>
    <s v="STL"/>
    <x v="3"/>
    <x v="7"/>
    <s v="SBER"/>
    <s v="yes"/>
    <n v="50"/>
    <n v="50"/>
    <n v="0"/>
    <n v="8.299999999999999E-2"/>
    <m/>
    <s v="Float"/>
    <n v="4.1499999999999995"/>
    <d v="2025-03-03T00:00:00"/>
    <d v="2026-03-02T00:00:00"/>
  </r>
  <r>
    <s v="STL"/>
    <x v="3"/>
    <x v="8"/>
    <s v="SBER"/>
    <s v="yes"/>
    <n v="100"/>
    <n v="100"/>
    <n v="0"/>
    <n v="8.299999999999999E-2"/>
    <m/>
    <s v="Float"/>
    <n v="8.2999999999999989"/>
    <d v="2025-03-03T00:00:00"/>
    <d v="2026-03-02T00:00:00"/>
  </r>
  <r>
    <s v="STL"/>
    <x v="3"/>
    <x v="9"/>
    <s v="SBER"/>
    <s v="yes"/>
    <n v="200"/>
    <n v="200"/>
    <n v="0"/>
    <n v="8.299999999999999E-2"/>
    <m/>
    <s v="Float"/>
    <n v="16.599999999999998"/>
    <d v="2025-03-03T00:00:00"/>
    <d v="2026-03-02T00:00:00"/>
  </r>
  <r>
    <s v="STL"/>
    <x v="3"/>
    <x v="10"/>
    <s v="SBER"/>
    <s v="yes"/>
    <n v="100"/>
    <n v="100"/>
    <n v="0"/>
    <n v="8.299999999999999E-2"/>
    <m/>
    <s v="Float"/>
    <n v="8.2999999999999989"/>
    <d v="2025-03-06T00:00:00"/>
    <d v="2026-03-05T00:00:00"/>
  </r>
  <r>
    <s v="STL"/>
    <x v="4"/>
    <x v="11"/>
    <s v="SBER"/>
    <s v="no"/>
    <n v="200"/>
    <n v="200"/>
    <n v="0"/>
    <n v="0.25769999999999998"/>
    <m/>
    <s v="Float"/>
    <n v="51.54"/>
    <d v="2025-03-06T00:00:00"/>
    <d v="2026-03-05T00:00:00"/>
  </r>
  <r>
    <s v="STL"/>
    <x v="3"/>
    <x v="12"/>
    <s v="SBER"/>
    <s v="yes"/>
    <n v="250"/>
    <n v="250"/>
    <n v="0"/>
    <n v="0.12499999999999999"/>
    <m/>
    <s v="Float"/>
    <n v="31.249999999999996"/>
    <d v="2024-12-25T00:00:00"/>
    <d v="2025-12-24T00:00:00"/>
  </r>
  <r>
    <s v="STL"/>
    <x v="4"/>
    <x v="13"/>
    <s v="SPB"/>
    <s v="yes"/>
    <n v="75"/>
    <n v="75"/>
    <n v="0"/>
    <n v="0.125"/>
    <m/>
    <s v="Float"/>
    <n v="9.375"/>
    <d v="2024-07-24T00:00:00"/>
    <d v="2025-07-23T00:00:00"/>
  </r>
  <r>
    <s v="STL"/>
    <x v="4"/>
    <x v="14"/>
    <s v="SPB"/>
    <s v="no"/>
    <n v="95"/>
    <n v="95"/>
    <n v="0"/>
    <n v="0.125"/>
    <m/>
    <s v="Float"/>
    <n v="11.875"/>
    <d v="2024-11-22T00:00:00"/>
    <d v="2025-11-22T00:00:00"/>
  </r>
  <r>
    <s v="STL"/>
    <x v="4"/>
    <x v="15"/>
    <s v="SPB"/>
    <s v="no"/>
    <n v="51"/>
    <n v="48.904144729999999"/>
    <n v="2.0958552700000013"/>
    <n v="0.255"/>
    <m/>
    <s v="Float"/>
    <n v="12.47055690615"/>
    <d v="2024-12-16T00:00:00"/>
    <d v="2025-12-15T00:00:00"/>
  </r>
  <r>
    <s v="STL"/>
    <x v="3"/>
    <x v="16"/>
    <s v="SBER"/>
    <s v="no"/>
    <n v="300"/>
    <n v="300"/>
    <n v="0"/>
    <n v="0.248"/>
    <m/>
    <s v="Float"/>
    <n v="74.400000000000006"/>
    <d v="2025-03-28T00:00:00"/>
    <d v="2026-03-27T00:00:00"/>
  </r>
  <r>
    <s v="STL"/>
    <x v="4"/>
    <x v="17"/>
    <s v="SPB"/>
    <s v="no"/>
    <n v="120"/>
    <n v="120"/>
    <n v="0"/>
    <n v="0.245"/>
    <m/>
    <s v="Float"/>
    <n v="29.4"/>
    <d v="2024-07-23T00:00:00"/>
    <d v="2025-07-22T00:00:00"/>
  </r>
  <r>
    <s v="STL"/>
    <x v="3"/>
    <x v="18"/>
    <s v="SBER"/>
    <s v="no"/>
    <n v="100"/>
    <n v="100"/>
    <n v="0"/>
    <n v="0.25650000000000001"/>
    <m/>
    <s v="Float"/>
    <n v="25.650000000000002"/>
    <d v="2024-10-29T00:00:00"/>
    <d v="2025-10-29T00:00:00"/>
  </r>
  <r>
    <s v="STL"/>
    <x v="4"/>
    <x v="19"/>
    <s v="SPB"/>
    <s v="no"/>
    <n v="85"/>
    <n v="85"/>
    <n v="0"/>
    <n v="0.245"/>
    <m/>
    <s v="Float"/>
    <n v="20.824999999999999"/>
    <d v="2024-12-03T00:00:00"/>
    <d v="2025-12-02T00:00:00"/>
  </r>
  <r>
    <s v="STL"/>
    <x v="4"/>
    <x v="20"/>
    <s v="GPB"/>
    <s v="no"/>
    <n v="250"/>
    <n v="250"/>
    <n v="0"/>
    <n v="0.26250000000000001"/>
    <m/>
    <s v="Float"/>
    <n v="65.625"/>
    <d v="2024-11-07T00:00:00"/>
    <d v="2025-11-06T00:00:00"/>
  </r>
  <r>
    <s v="STL"/>
    <x v="4"/>
    <x v="21"/>
    <s v="SPB"/>
    <s v="no"/>
    <n v="156.80000000000001"/>
    <n v="156.80000000000001"/>
    <n v="0"/>
    <n v="0.245"/>
    <m/>
    <s v="Float"/>
    <n v="38.416000000000004"/>
    <d v="2024-09-26T00:00:00"/>
    <d v="2025-09-25T00:00:00"/>
  </r>
  <r>
    <s v="STL"/>
    <x v="4"/>
    <x v="22"/>
    <s v="SPB"/>
    <s v="no"/>
    <n v="130"/>
    <n v="130"/>
    <n v="0"/>
    <n v="0.245"/>
    <m/>
    <s v="Float"/>
    <n v="31.849999999999998"/>
    <d v="2024-12-09T00:00:00"/>
    <d v="2025-12-08T00:00:00"/>
  </r>
  <r>
    <s v="STL"/>
    <x v="4"/>
    <x v="23"/>
    <s v="SBER"/>
    <s v="yes"/>
    <n v="100"/>
    <n v="100"/>
    <n v="0"/>
    <n v="8.3000000000000004E-2"/>
    <m/>
    <s v="Float"/>
    <n v="8.3000000000000007"/>
    <d v="2025-03-06T00:00:00"/>
    <d v="2026-03-02T00:00:00"/>
  </r>
  <r>
    <s v="STL"/>
    <x v="3"/>
    <x v="24"/>
    <s v="SBER"/>
    <s v="no"/>
    <n v="100"/>
    <n v="100"/>
    <n v="0"/>
    <n v="0.25650000000000001"/>
    <m/>
    <s v="Float"/>
    <n v="25.650000000000002"/>
    <d v="2025-01-14T00:00:00"/>
    <d v="2026-01-13T00:00:00"/>
  </r>
  <r>
    <s v="STL"/>
    <x v="4"/>
    <x v="25"/>
    <s v="SPB"/>
    <s v="no"/>
    <n v="100"/>
    <n v="100"/>
    <n v="0"/>
    <n v="0.245"/>
    <m/>
    <s v="Float"/>
    <n v="24.5"/>
    <d v="2024-12-09T00:00:00"/>
    <d v="2025-12-13T00:00:00"/>
  </r>
  <r>
    <s v="STL"/>
    <x v="3"/>
    <x v="26"/>
    <s v="SBER"/>
    <s v="yes"/>
    <n v="300"/>
    <n v="300"/>
    <n v="0"/>
    <n v="0.12499999999999999"/>
    <m/>
    <s v="Float"/>
    <n v="37.499999999999993"/>
    <d v="2025-05-29T00:00:00"/>
    <d v="2026-05-28T00:00:00"/>
  </r>
  <r>
    <s v="STL"/>
    <x v="3"/>
    <x v="27"/>
    <s v="SBER"/>
    <s v="yes"/>
    <n v="50"/>
    <n v="50"/>
    <n v="0"/>
    <n v="0.12499999999999999"/>
    <m/>
    <s v="Float"/>
    <n v="6.2499999999999991"/>
    <d v="2025-01-15T00:00:00"/>
    <d v="2026-01-14T00:00:00"/>
  </r>
  <r>
    <s v="STL"/>
    <x v="4"/>
    <x v="28"/>
    <s v="SBER"/>
    <s v="yes"/>
    <n v="60"/>
    <n v="60"/>
    <n v="0"/>
    <n v="0.125"/>
    <m/>
    <s v="Float"/>
    <n v="7.5"/>
    <d v="2024-08-12T00:00:00"/>
    <d v="2025-08-11T00:00:00"/>
  </r>
  <r>
    <s v="STL"/>
    <x v="4"/>
    <x v="29"/>
    <s v="SPB"/>
    <s v="no"/>
    <n v="90"/>
    <n v="90"/>
    <n v="0"/>
    <n v="0.255"/>
    <m/>
    <s v="Float"/>
    <n v="22.95"/>
    <d v="2024-12-26T00:00:00"/>
    <d v="2025-12-25T00:00:00"/>
  </r>
  <r>
    <s v="STL"/>
    <x v="3"/>
    <x v="30"/>
    <s v="SBER"/>
    <s v="yes"/>
    <n v="100"/>
    <n v="100"/>
    <n v="0"/>
    <n v="0.12499999999999999"/>
    <m/>
    <s v="Float"/>
    <n v="12.499999999999998"/>
    <d v="2025-05-27T00:00:00"/>
    <d v="2026-05-26T00:00:00"/>
  </r>
  <r>
    <s v="STL"/>
    <x v="4"/>
    <x v="31"/>
    <s v="SBER"/>
    <s v="yes"/>
    <n v="65"/>
    <n v="65"/>
    <n v="0"/>
    <n v="0.12499999999999999"/>
    <m/>
    <s v="Float"/>
    <n v="8.1249999999999982"/>
    <d v="2024-06-21T00:00:00"/>
    <d v="2025-06-20T00:00:00"/>
  </r>
  <r>
    <s v="STL"/>
    <x v="4"/>
    <x v="32"/>
    <s v="GPB"/>
    <s v="yes"/>
    <n v="169"/>
    <n v="169"/>
    <n v="0"/>
    <n v="0.125"/>
    <m/>
    <s v="Float"/>
    <n v="21.125"/>
    <d v="2024-12-26T00:00:00"/>
    <d v="2025-12-25T00:00:00"/>
  </r>
  <r>
    <s v="STL"/>
    <x v="3"/>
    <x v="33"/>
    <s v="SBER"/>
    <s v="yes"/>
    <n v="150"/>
    <n v="150"/>
    <n v="0"/>
    <n v="0.12499999999999999"/>
    <m/>
    <s v="Float"/>
    <n v="18.749999999999996"/>
    <d v="2024-07-12T00:00:00"/>
    <d v="2025-07-11T00:00:00"/>
  </r>
  <r>
    <s v="STL"/>
    <x v="4"/>
    <x v="34"/>
    <s v="SPB"/>
    <s v="no"/>
    <n v="40"/>
    <n v="40"/>
    <n v="0"/>
    <n v="0.245"/>
    <m/>
    <s v="Float"/>
    <n v="9.8000000000000007"/>
    <d v="2024-08-02T00:00:00"/>
    <d v="2025-08-01T00:00:00"/>
  </r>
  <r>
    <s v="STL"/>
    <x v="3"/>
    <x v="35"/>
    <s v="SBER"/>
    <s v="no"/>
    <n v="200"/>
    <n v="200"/>
    <n v="0"/>
    <n v="0.2505"/>
    <m/>
    <s v="Float"/>
    <n v="50.1"/>
    <d v="2025-02-20T00:00:00"/>
    <d v="2026-02-19T00:00:00"/>
  </r>
  <r>
    <s v="STL"/>
    <x v="3"/>
    <x v="36"/>
    <s v="SBER"/>
    <s v="no"/>
    <n v="100"/>
    <n v="100"/>
    <n v="0"/>
    <n v="0.26600000000000001"/>
    <m/>
    <s v="Float"/>
    <n v="26.6"/>
    <d v="2025-01-16T00:00:00"/>
    <d v="2026-01-16T00:00:00"/>
  </r>
  <r>
    <s v="STL"/>
    <x v="3"/>
    <x v="37"/>
    <s v="SBER"/>
    <s v="yes"/>
    <n v="100"/>
    <n v="100"/>
    <n v="0"/>
    <n v="0.12499999999999999"/>
    <m/>
    <s v="Float"/>
    <n v="12.499999999999998"/>
    <d v="2025-01-14T00:00:00"/>
    <d v="2026-01-13T00:00:00"/>
  </r>
  <r>
    <s v="STL"/>
    <x v="4"/>
    <x v="38"/>
    <s v="SPB"/>
    <s v="no"/>
    <n v="50"/>
    <n v="50"/>
    <n v="0"/>
    <n v="0.245"/>
    <m/>
    <s v="Float"/>
    <n v="12.25"/>
    <d v="2024-06-05T00:00:00"/>
    <d v="2025-06-04T00:00:00"/>
  </r>
  <r>
    <s v="STL"/>
    <x v="3"/>
    <x v="39"/>
    <s v="SBER"/>
    <s v="yes"/>
    <n v="50"/>
    <n v="50"/>
    <n v="0"/>
    <n v="0.12499999999999999"/>
    <m/>
    <s v="Float"/>
    <n v="6.2499999999999991"/>
    <d v="2024-07-31T00:00:00"/>
    <d v="2025-07-30T00:00:00"/>
  </r>
  <r>
    <s v="STL"/>
    <x v="4"/>
    <x v="40"/>
    <s v="SPB"/>
    <s v="no"/>
    <n v="100"/>
    <n v="100"/>
    <n v="0"/>
    <n v="0.255"/>
    <m/>
    <s v="Float"/>
    <n v="25.5"/>
    <d v="2025-04-11T00:00:00"/>
    <d v="2026-04-10T00:00:00"/>
  </r>
  <r>
    <s v="STL"/>
    <x v="4"/>
    <x v="41"/>
    <s v="SBER"/>
    <s v="no"/>
    <n v="200"/>
    <n v="200"/>
    <n v="0"/>
    <n v="0.252"/>
    <m/>
    <s v="Float"/>
    <n v="50.4"/>
    <d v="2025-04-08T00:00:00"/>
    <d v="2026-04-07T00:00:00"/>
  </r>
  <r>
    <s v="STL"/>
    <x v="3"/>
    <x v="42"/>
    <s v="SBER"/>
    <s v="no"/>
    <n v="50"/>
    <n v="50"/>
    <n v="0"/>
    <n v="0.246"/>
    <m/>
    <s v="Float"/>
    <n v="12.3"/>
    <d v="2024-09-16T00:00:00"/>
    <d v="2025-09-15T00:00:00"/>
  </r>
  <r>
    <s v="STL"/>
    <x v="3"/>
    <x v="43"/>
    <s v="SBER"/>
    <s v="yes"/>
    <n v="100"/>
    <n v="100"/>
    <n v="0"/>
    <n v="0.12499999999999999"/>
    <m/>
    <s v="Float"/>
    <n v="12.499999999999998"/>
    <d v="2024-08-27T00:00:00"/>
    <d v="2025-08-26T00:00:00"/>
  </r>
  <r>
    <s v="STL"/>
    <x v="4"/>
    <x v="44"/>
    <s v="GPB"/>
    <s v="yes"/>
    <n v="176.24999999000002"/>
    <n v="176.24999999000002"/>
    <n v="0"/>
    <n v="0.125"/>
    <m/>
    <s v="Float"/>
    <n v="22.031249998750003"/>
    <d v="2024-08-06T00:00:00"/>
    <d v="2025-08-05T00:00:00"/>
  </r>
  <r>
    <s v="STL"/>
    <x v="4"/>
    <x v="45"/>
    <s v="VTB"/>
    <s v="no"/>
    <n v="200"/>
    <n v="200"/>
    <n v="0"/>
    <n v="0.255"/>
    <m/>
    <s v="Float"/>
    <n v="51"/>
    <d v="2025-03-31T00:00:00"/>
    <d v="2026-03-31T00:00:00"/>
  </r>
  <r>
    <s v="STL"/>
    <x v="3"/>
    <x v="46"/>
    <s v="SBER"/>
    <s v="no"/>
    <n v="150"/>
    <n v="150"/>
    <n v="0"/>
    <n v="0.19889999999999999"/>
    <m/>
    <s v="Fix"/>
    <n v="29.834999999999997"/>
    <d v="2024-07-18T00:00:00"/>
    <d v="2025-07-17T00:00:00"/>
  </r>
  <r>
    <s v="STL"/>
    <x v="4"/>
    <x v="47"/>
    <s v="GPB"/>
    <s v="no"/>
    <n v="250"/>
    <n v="250"/>
    <n v="0"/>
    <n v="0.23749999999999999"/>
    <m/>
    <s v="Float"/>
    <n v="59.375"/>
    <d v="2024-09-10T00:00:00"/>
    <d v="2025-09-09T00:00:00"/>
  </r>
  <r>
    <s v="STL"/>
    <x v="3"/>
    <x v="48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49"/>
    <s v="SBER"/>
    <s v="yes"/>
    <n v="75"/>
    <n v="75"/>
    <n v="0"/>
    <n v="0.12499999999999999"/>
    <m/>
    <s v="Float"/>
    <n v="9.3749999999999982"/>
    <d v="2025-05-30T00:00:00"/>
    <d v="2026-05-25T00:00:00"/>
  </r>
  <r>
    <s v="STL"/>
    <x v="3"/>
    <x v="50"/>
    <s v="SBER"/>
    <s v="yes"/>
    <n v="100"/>
    <n v="100"/>
    <n v="0"/>
    <n v="0.12499999999999999"/>
    <m/>
    <s v="Float"/>
    <n v="12.499999999999998"/>
    <d v="2024-08-05T00:00:00"/>
    <d v="2025-08-04T00:00:00"/>
  </r>
  <r>
    <s v="STL"/>
    <x v="3"/>
    <x v="51"/>
    <s v="SBER"/>
    <s v="no"/>
    <n v="50"/>
    <n v="50"/>
    <n v="0"/>
    <n v="0.2515"/>
    <m/>
    <s v="Float"/>
    <n v="12.574999999999999"/>
    <d v="2024-10-21T00:00:00"/>
    <d v="2025-10-20T00:00:00"/>
  </r>
  <r>
    <s v="STL"/>
    <x v="4"/>
    <x v="52"/>
    <s v="SPB"/>
    <s v="no"/>
    <n v="50"/>
    <n v="50"/>
    <n v="0"/>
    <n v="0.255"/>
    <m/>
    <s v="Fix"/>
    <n v="12.75"/>
    <d v="2025-01-28T00:00:00"/>
    <d v="2026-01-27T00:00:00"/>
  </r>
  <r>
    <s v="STL"/>
    <x v="4"/>
    <x v="53"/>
    <s v="SPB"/>
    <s v="no"/>
    <n v="200"/>
    <n v="200"/>
    <n v="0"/>
    <n v="0.245"/>
    <m/>
    <s v="Float"/>
    <n v="49"/>
    <d v="2024-11-19T00:00:00"/>
    <d v="2025-11-18T00:00:00"/>
  </r>
  <r>
    <s v="STL"/>
    <x v="3"/>
    <x v="54"/>
    <s v="SBER"/>
    <s v="yes"/>
    <n v="200"/>
    <n v="200"/>
    <n v="0"/>
    <n v="0.12499999999999999"/>
    <m/>
    <s v="Float"/>
    <n v="24.999999999999996"/>
    <d v="2025-02-11T00:00:00"/>
    <d v="2026-02-10T00:00:00"/>
  </r>
  <r>
    <s v="STL"/>
    <x v="3"/>
    <x v="55"/>
    <s v="SBER"/>
    <s v="no"/>
    <n v="100"/>
    <n v="100"/>
    <n v="0"/>
    <n v="0.2505"/>
    <m/>
    <s v="Float"/>
    <n v="25.05"/>
    <d v="2025-02-26T00:00:00"/>
    <d v="2026-02-25T00:00:00"/>
  </r>
  <r>
    <s v="STL"/>
    <x v="3"/>
    <x v="56"/>
    <s v="SBER"/>
    <s v="no"/>
    <n v="300"/>
    <n v="300"/>
    <n v="0"/>
    <n v="0.245"/>
    <m/>
    <s v="Float"/>
    <n v="73.5"/>
    <d v="2025-04-04T00:00:00"/>
    <d v="2026-04-03T00:00:00"/>
  </r>
  <r>
    <s v="STL"/>
    <x v="4"/>
    <x v="57"/>
    <s v="SPB"/>
    <s v="no"/>
    <n v="80"/>
    <n v="80"/>
    <n v="0"/>
    <n v="0.26"/>
    <m/>
    <s v="Float"/>
    <n v="20.8"/>
    <d v="2025-03-06T00:00:00"/>
    <d v="2026-02-07T00:00:00"/>
  </r>
  <r>
    <s v="STL"/>
    <x v="3"/>
    <x v="58"/>
    <s v="SBER"/>
    <s v="yes"/>
    <n v="50"/>
    <n v="50"/>
    <n v="0"/>
    <n v="0.12499999999999999"/>
    <m/>
    <s v="Float"/>
    <n v="6.2499999999999991"/>
    <d v="2024-09-17T00:00:00"/>
    <d v="2025-09-16T00:00:00"/>
  </r>
  <r>
    <s v="STL"/>
    <x v="3"/>
    <x v="59"/>
    <s v="SBER"/>
    <s v="yes"/>
    <n v="200"/>
    <n v="200"/>
    <n v="0"/>
    <n v="0.12499999999999999"/>
    <m/>
    <s v="Float"/>
    <n v="24.999999999999996"/>
    <d v="2025-02-17T00:00:00"/>
    <d v="2026-02-16T00:00:00"/>
  </r>
  <r>
    <s v="STL"/>
    <x v="4"/>
    <x v="60"/>
    <m/>
    <s v="no"/>
    <n v="170"/>
    <n v="170"/>
    <n v="0"/>
    <n v="0.125"/>
    <m/>
    <s v="Float"/>
    <n v="21.25"/>
    <d v="2024-12-26T00:00:00"/>
    <d v="2025-12-25T00:00:00"/>
  </r>
  <r>
    <s v="STL"/>
    <x v="3"/>
    <x v="61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62"/>
    <s v="SBER"/>
    <s v="yes"/>
    <n v="100"/>
    <n v="100"/>
    <n v="0"/>
    <n v="0.12499999999999999"/>
    <m/>
    <s v="Float"/>
    <n v="12.499999999999998"/>
    <d v="2025-02-11T00:00:00"/>
    <d v="2026-02-10T00:00:00"/>
  </r>
  <r>
    <s v="STL"/>
    <x v="4"/>
    <x v="63"/>
    <s v="GPB"/>
    <s v="no"/>
    <n v="300"/>
    <n v="300"/>
    <n v="0"/>
    <n v="0.255"/>
    <m/>
    <s v="Float"/>
    <n v="76.5"/>
    <d v="2025-02-13T00:00:00"/>
    <d v="2026-02-12T00:00:00"/>
  </r>
  <r>
    <s v="STL"/>
    <x v="4"/>
    <x v="64"/>
    <s v="GPB"/>
    <s v="no"/>
    <n v="300"/>
    <n v="300"/>
    <n v="0"/>
    <n v="0.255"/>
    <m/>
    <s v="Float"/>
    <n v="76.5"/>
    <d v="2025-03-18T00:00:00"/>
    <d v="2026-03-17T00:00:00"/>
  </r>
  <r>
    <s v="STL"/>
    <x v="4"/>
    <x v="65"/>
    <s v="VTB"/>
    <s v="no"/>
    <n v="200"/>
    <n v="200"/>
    <n v="0"/>
    <n v="0.26269999999999999"/>
    <m/>
    <s v="Float"/>
    <n v="52.54"/>
    <d v="2025-02-18T00:00:00"/>
    <d v="2026-02-18T00:00:00"/>
  </r>
  <r>
    <s v="STL"/>
    <x v="4"/>
    <x v="66"/>
    <s v="SPB"/>
    <s v="no"/>
    <n v="100"/>
    <n v="100"/>
    <n v="0"/>
    <n v="0.26"/>
    <m/>
    <s v="Float"/>
    <n v="26"/>
    <d v="2025-03-06T00:00:00"/>
    <d v="2026-03-05T00:00:00"/>
  </r>
  <r>
    <s v="STL"/>
    <x v="4"/>
    <x v="67"/>
    <s v="SPB"/>
    <s v="no"/>
    <n v="145"/>
    <n v="145"/>
    <n v="0"/>
    <n v="0.255"/>
    <m/>
    <s v="Float"/>
    <n v="36.975000000000001"/>
    <d v="2025-01-16T00:00:00"/>
    <d v="2026-01-15T00:00:00"/>
  </r>
  <r>
    <s v="STL"/>
    <x v="3"/>
    <x v="68"/>
    <s v="SBER"/>
    <s v="no"/>
    <n v="100"/>
    <n v="100"/>
    <n v="0"/>
    <n v="0.2505"/>
    <m/>
    <s v="Float"/>
    <n v="25.05"/>
    <d v="2025-02-26T00:00:00"/>
    <d v="2026-02-25T00:00:00"/>
  </r>
  <r>
    <s v="STL"/>
    <x v="4"/>
    <x v="69"/>
    <s v="SPB"/>
    <s v="no"/>
    <n v="50"/>
    <n v="50"/>
    <n v="0"/>
    <n v="0.25"/>
    <m/>
    <s v="Float"/>
    <n v="12.5"/>
    <d v="2025-05-06T00:00:00"/>
    <d v="2026-05-05T00:00:00"/>
  </r>
  <r>
    <s v="STL"/>
    <x v="4"/>
    <x v="70"/>
    <s v="SPB"/>
    <s v="no"/>
    <n v="110"/>
    <n v="69.702635709999996"/>
    <n v="40.297364290000004"/>
    <n v="0.25"/>
    <m/>
    <s v="Float"/>
    <n v="17.425658927499999"/>
    <d v="2025-05-26T00:00:00"/>
    <d v="2026-05-25T00:00:00"/>
  </r>
  <r>
    <s v="STL"/>
    <x v="3"/>
    <x v="71"/>
    <s v="SBER"/>
    <s v="no"/>
    <n v="50"/>
    <n v="50"/>
    <n v="0"/>
    <n v="0.24399999999999999"/>
    <m/>
    <s v="Float"/>
    <n v="12.2"/>
    <d v="2025-05-22T00:00:00"/>
    <d v="2026-05-21T00:00:00"/>
  </r>
  <r>
    <s v="STL"/>
    <x v="4"/>
    <x v="72"/>
    <s v="SPB"/>
    <s v="no"/>
    <n v="200"/>
    <n v="200"/>
    <n v="0"/>
    <n v="0.255"/>
    <m/>
    <s v="Float"/>
    <n v="51"/>
    <d v="2024-12-25T00:00:00"/>
    <d v="2025-12-24T00:00:00"/>
  </r>
  <r>
    <s v="STL"/>
    <x v="4"/>
    <x v="73"/>
    <s v="SPB"/>
    <s v="no"/>
    <n v="120"/>
    <n v="120"/>
    <n v="0"/>
    <n v="0.255"/>
    <m/>
    <s v="Float"/>
    <n v="30.6"/>
    <d v="2024-12-24T00:00:00"/>
    <d v="2025-12-23T00:00:00"/>
  </r>
  <r>
    <s v="STL"/>
    <x v="4"/>
    <x v="74"/>
    <s v="SPB"/>
    <s v="no"/>
    <n v="100"/>
    <n v="100"/>
    <n v="0"/>
    <n v="0.255"/>
    <m/>
    <s v="Float"/>
    <n v="25.5"/>
    <d v="2025-01-24T00:00:00"/>
    <d v="2026-01-23T00:00:00"/>
  </r>
  <r>
    <s v="STL"/>
    <x v="4"/>
    <x v="75"/>
    <s v="SPB"/>
    <s v="no"/>
    <n v="100"/>
    <n v="76.440852939999999"/>
    <n v="23.559147060000001"/>
    <n v="0.255"/>
    <m/>
    <s v="Float"/>
    <n v="19.4924174997"/>
    <d v="2025-02-06T00:00:00"/>
    <d v="2026-02-05T00:00:00"/>
  </r>
  <r>
    <s v="STL"/>
    <x v="4"/>
    <x v="76"/>
    <s v="SPB"/>
    <s v="yes"/>
    <n v="80"/>
    <n v="79.567816040000011"/>
    <n v="0.43218395999998904"/>
    <n v="8.3000000000000004E-2"/>
    <m/>
    <s v="Float"/>
    <n v="6.6041287313200012"/>
    <d v="2025-03-10T00:00:00"/>
    <d v="2026-03-09T00:00:00"/>
  </r>
  <r>
    <s v="STL"/>
    <x v="4"/>
    <x v="77"/>
    <s v="SPB"/>
    <s v="no"/>
    <n v="90"/>
    <n v="90"/>
    <n v="0"/>
    <n v="0.26"/>
    <m/>
    <s v="Float"/>
    <n v="23.400000000000002"/>
    <d v="2025-03-20T00:00:00"/>
    <d v="2026-03-19T00:00:00"/>
  </r>
  <r>
    <s v="STL"/>
    <x v="4"/>
    <x v="78"/>
    <s v="SPB"/>
    <s v="no"/>
    <n v="110"/>
    <n v="96.673877310000009"/>
    <n v="13.326122689999991"/>
    <n v="0.26"/>
    <m/>
    <s v="Float"/>
    <n v="25.135208100600003"/>
    <d v="2025-03-25T00:00:00"/>
    <d v="2026-03-24T00:00:00"/>
  </r>
  <r>
    <s v="STL"/>
    <x v="4"/>
    <x v="79"/>
    <s v="SPB"/>
    <s v="no"/>
    <n v="80"/>
    <n v="80"/>
    <n v="0"/>
    <n v="0.26"/>
    <m/>
    <s v="Float"/>
    <n v="20.8"/>
    <d v="2025-04-07T00:00:00"/>
    <d v="2026-04-06T00:00:00"/>
  </r>
  <r>
    <s v="STL"/>
    <x v="4"/>
    <x v="80"/>
    <s v="SPB"/>
    <s v="no"/>
    <n v="100"/>
    <n v="100"/>
    <n v="0"/>
    <n v="0.26"/>
    <m/>
    <s v="Float"/>
    <n v="26"/>
    <d v="2025-04-07T00:00:00"/>
    <d v="2026-04-07T00:00:00"/>
  </r>
  <r>
    <s v="STL"/>
    <x v="4"/>
    <x v="81"/>
    <s v="SPB"/>
    <s v="no"/>
    <n v="110"/>
    <n v="110"/>
    <n v="0"/>
    <n v="0.25"/>
    <m/>
    <s v="Float"/>
    <n v="27.5"/>
    <d v="2025-04-24T00:00:00"/>
    <d v="2026-04-23T00:00:00"/>
  </r>
  <r>
    <s v="LTL"/>
    <x v="3"/>
    <x v="82"/>
    <s v="SBER"/>
    <s v="no"/>
    <n v="9393"/>
    <n v="9393"/>
    <n v="0"/>
    <n v="9.8500000000000004E-2"/>
    <m/>
    <s v="Fix"/>
    <n v="925.21050000000002"/>
    <d v="2021-11-26T00:00:00"/>
    <d v="2031-11-25T00:00:00"/>
  </r>
  <r>
    <s v="LTL"/>
    <x v="3"/>
    <x v="83"/>
    <s v="SBER"/>
    <s v="no"/>
    <n v="4055.5"/>
    <n v="4055.5"/>
    <n v="0"/>
    <n v="0.1201"/>
    <m/>
    <s v="Fix"/>
    <n v="487.06554999999997"/>
    <d v="2021-11-26T00:00:00"/>
    <d v="2031-11-25T00:00:00"/>
  </r>
  <r>
    <s v="LTL"/>
    <x v="4"/>
    <x v="84"/>
    <s v="VTB"/>
    <s v="yes"/>
    <n v="26.628"/>
    <n v="26.628"/>
    <n v="0"/>
    <n v="0.105"/>
    <m/>
    <s v="Float"/>
    <n v="2.7959399999999999"/>
    <d v="2018-07-26T00:00:00"/>
    <d v="2025-07-24T00:00:00"/>
  </r>
  <r>
    <s v="LTL"/>
    <x v="4"/>
    <x v="85"/>
    <s v="SPB"/>
    <s v="no"/>
    <n v="63.831306670000004"/>
    <n v="63.831306670000004"/>
    <n v="0"/>
    <n v="0.23849999999999999"/>
    <m/>
    <s v="Fix"/>
    <n v="15.223766640795001"/>
    <d v="2024-02-01T00:00:00"/>
    <d v="2029-01-31T00:00:00"/>
  </r>
  <r>
    <s v="LTL"/>
    <x v="4"/>
    <x v="86"/>
    <s v="SPB"/>
    <s v="no"/>
    <n v="131.249999"/>
    <n v="131.249999"/>
    <n v="0"/>
    <n v="0.23880000000000001"/>
    <m/>
    <s v="Fix"/>
    <n v="31.342499761200003"/>
    <d v="2024-03-04T00:00:00"/>
    <d v="2029-03-02T00:00:00"/>
  </r>
  <r>
    <s v="LTL"/>
    <x v="4"/>
    <x v="87"/>
    <s v="GPB"/>
    <s v="yes"/>
    <n v="180.00067143999999"/>
    <n v="180.00067143999999"/>
    <n v="0"/>
    <n v="0.105"/>
    <m/>
    <s v="Fix"/>
    <n v="18.900070501199998"/>
    <d v="2017-09-22T00:00:00"/>
    <d v="2025-09-19T00:00:00"/>
  </r>
  <r>
    <s v="LTL"/>
    <x v="4"/>
    <x v="88"/>
    <s v="GPB"/>
    <s v="yes"/>
    <n v="1511.0223497699999"/>
    <n v="1511.0223497699999"/>
    <n v="0"/>
    <n v="0.105"/>
    <m/>
    <s v="Fix"/>
    <n v="158.65734672584998"/>
    <d v="2018-07-23T00:00:00"/>
    <d v="2026-07-22T00:00:00"/>
  </r>
  <r>
    <s v="LTL"/>
    <x v="4"/>
    <x v="89"/>
    <s v="GPB"/>
    <s v="yes"/>
    <n v="1514.4561277"/>
    <n v="1514.4561277"/>
    <n v="0"/>
    <n v="0.105"/>
    <m/>
    <s v="Fix"/>
    <n v="159.01789340849999"/>
    <d v="2018-07-23T00:00:00"/>
    <d v="2026-07-22T00:00:00"/>
  </r>
  <r>
    <s v="LTL"/>
    <x v="4"/>
    <x v="90"/>
    <s v="SPB"/>
    <s v="no"/>
    <n v="65"/>
    <n v="64.652206460000002"/>
    <n v="0.34779353999999785"/>
    <n v="0.245"/>
    <m/>
    <s v="Float"/>
    <n v="15.839790582700001"/>
    <d v="2024-05-24T00:00:00"/>
    <d v="2029-05-23T00:00:00"/>
  </r>
  <r>
    <s v="LTL"/>
    <x v="4"/>
    <x v="91"/>
    <s v="SPB"/>
    <s v="no"/>
    <n v="76.666666000000006"/>
    <n v="76.666666000000006"/>
    <n v="0"/>
    <n v="0.23880000000000001"/>
    <m/>
    <s v="Fix"/>
    <n v="18.307999840800001"/>
    <d v="2024-03-19T00:00:00"/>
    <d v="2029-03-16T00:00:00"/>
  </r>
  <r>
    <s v="LTL"/>
    <x v="4"/>
    <x v="92"/>
    <s v="SPB"/>
    <s v="no"/>
    <n v="80"/>
    <n v="36.462550520000001"/>
    <n v="43.537449479999999"/>
    <n v="0.26500000000000001"/>
    <m/>
    <s v="Float"/>
    <n v="9.662575887800001"/>
    <d v="2025-03-06T00:00:00"/>
    <d v="2029-03-16T00:00:00"/>
  </r>
  <r>
    <s v="LTL"/>
    <x v="4"/>
    <x v="93"/>
    <s v="SPB"/>
    <s v="no"/>
    <n v="43.328000000000003"/>
    <n v="43.328000000000003"/>
    <n v="0"/>
    <n v="0.2354"/>
    <m/>
    <s v="Fix"/>
    <n v="10.1994112"/>
    <d v="2023-05-04T00:00:00"/>
    <d v="2027-04-30T00:00:00"/>
  </r>
  <r>
    <s v="LTL"/>
    <x v="4"/>
    <x v="94"/>
    <s v="SPB"/>
    <s v="no"/>
    <n v="54.44"/>
    <n v="54.44"/>
    <n v="0"/>
    <n v="0.23849999999999999"/>
    <m/>
    <s v="Fix"/>
    <n v="12.983939999999999"/>
    <d v="2023-09-28T00:00:00"/>
    <d v="2027-09-27T00:00:00"/>
  </r>
  <r>
    <s v="LTL"/>
    <x v="4"/>
    <x v="95"/>
    <s v="SPB"/>
    <s v="no"/>
    <n v="241.875"/>
    <n v="241.875"/>
    <n v="0"/>
    <n v="0.2465"/>
    <m/>
    <s v="Fix"/>
    <n v="59.622187500000003"/>
    <d v="2023-12-11T00:00:00"/>
    <d v="2028-12-08T00:00:00"/>
  </r>
  <r>
    <s v="LTL"/>
    <x v="4"/>
    <x v="96"/>
    <s v="SPB"/>
    <s v="no"/>
    <n v="61.32119746"/>
    <n v="61.32119746"/>
    <n v="0"/>
    <n v="0.2424"/>
    <m/>
    <s v="Fix"/>
    <n v="14.864258264304"/>
    <d v="2022-02-24T00:00:00"/>
    <d v="2026-12-30T00:00:00"/>
  </r>
  <r>
    <s v="LTL"/>
    <x v="4"/>
    <x v="97"/>
    <s v="GPB"/>
    <s v="yes"/>
    <n v="157.86416386000002"/>
    <n v="157.86416386000002"/>
    <n v="0"/>
    <n v="0.105"/>
    <m/>
    <s v="Fix"/>
    <n v="16.575737205300001"/>
    <d v="2018-11-30T00:00:00"/>
    <d v="2026-11-27T00:00:00"/>
  </r>
  <r>
    <s v="LTL"/>
    <x v="4"/>
    <x v="98"/>
    <s v="GPB"/>
    <s v="yes"/>
    <n v="80.874707770000001"/>
    <n v="80.874707770000001"/>
    <n v="0"/>
    <n v="0.105"/>
    <m/>
    <s v="Fix"/>
    <n v="8.491844315849999"/>
    <d v="2021-05-25T00:00:00"/>
    <d v="2026-05-22T00:00:00"/>
  </r>
  <r>
    <s v="LTL"/>
    <x v="4"/>
    <x v="99"/>
    <s v="GPB"/>
    <s v="no"/>
    <n v="39.333986079999995"/>
    <n v="39.333986079999995"/>
    <n v="0"/>
    <n v="0.24"/>
    <m/>
    <s v="Float"/>
    <n v="9.4401566591999977"/>
    <d v="2021-05-06T00:00:00"/>
    <d v="2026-05-05T00:00:00"/>
  </r>
  <r>
    <s v="LTL"/>
    <x v="4"/>
    <x v="100"/>
    <s v="GPB"/>
    <s v="yes"/>
    <n v="416.66666697000005"/>
    <n v="416.66666697000005"/>
    <n v="0"/>
    <n v="0.105"/>
    <m/>
    <s v="Fix"/>
    <n v="43.750000031850007"/>
    <d v="2021-07-07T00:00:00"/>
    <d v="2029-07-06T00:00:00"/>
  </r>
  <r>
    <s v="LTL"/>
    <x v="4"/>
    <x v="101"/>
    <s v="SPB"/>
    <s v="no"/>
    <n v="55.414999999999999"/>
    <n v="55.414999999999999"/>
    <n v="0"/>
    <n v="0.23449999999999999"/>
    <m/>
    <s v="Fix"/>
    <n v="12.9948175"/>
    <d v="2023-02-02T00:00:00"/>
    <d v="2027-02-01T00:00:00"/>
  </r>
  <r>
    <s v="LTL"/>
    <x v="4"/>
    <x v="102"/>
    <s v="SPB"/>
    <s v="no"/>
    <n v="35"/>
    <n v="35"/>
    <n v="0"/>
    <n v="0.245"/>
    <m/>
    <s v="Float"/>
    <n v="8.5749999999999993"/>
    <d v="2024-07-30T00:00:00"/>
    <d v="2029-07-27T00:00:00"/>
  </r>
  <r>
    <s v="LTL"/>
    <x v="4"/>
    <x v="103"/>
    <s v="SBER"/>
    <s v="yes"/>
    <n v="230"/>
    <n v="227.95865913999998"/>
    <n v="2.0413408600000196"/>
    <n v="0.05"/>
    <m/>
    <s v="Fix"/>
    <n v="11.397932957"/>
    <d v="2023-03-21T00:00:00"/>
    <d v="2028-03-20T00:00:00"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n v="33880.838021719996"/>
    <n v="33605.200764569992"/>
    <n v="275.63725714999998"/>
    <n v="0.13419981969156439"/>
    <n v="0"/>
    <m/>
    <n v="4509.8118833041144"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C0AA-AE7E-4EF4-B0F5-DEED2861AEA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14">
    <pivotField showAll="0"/>
    <pivotField axis="axisPage" multipleItemSelectionAllowed="1" showAll="0">
      <items count="6">
        <item x="3"/>
        <item h="1" x="0"/>
        <item x="4"/>
        <item h="1" x="2"/>
        <item h="1" x="1"/>
        <item t="default"/>
      </items>
    </pivotField>
    <pivotField axis="axisRow" showAll="0">
      <items count="112">
        <item x="74"/>
        <item x="96"/>
        <item x="94"/>
        <item x="86"/>
        <item x="91"/>
        <item x="90"/>
        <item m="1" x="106"/>
        <item x="38"/>
        <item x="17"/>
        <item x="102"/>
        <item x="21"/>
        <item x="14"/>
        <item x="19"/>
        <item x="22"/>
        <item x="29"/>
        <item x="67"/>
        <item x="75"/>
        <item x="76"/>
        <item x="66"/>
        <item x="57"/>
        <item x="92"/>
        <item x="77"/>
        <item x="78"/>
        <item x="93"/>
        <item x="95"/>
        <item x="85"/>
        <item x="34"/>
        <item x="53"/>
        <item x="25"/>
        <item x="15"/>
        <item x="73"/>
        <item x="72"/>
        <item x="40"/>
        <item x="52"/>
        <item x="0"/>
        <item x="87"/>
        <item x="89"/>
        <item x="88"/>
        <item x="97"/>
        <item m="1" x="110"/>
        <item x="98"/>
        <item x="99"/>
        <item x="100"/>
        <item m="1" x="109"/>
        <item x="44"/>
        <item x="47"/>
        <item x="20"/>
        <item x="60"/>
        <item x="32"/>
        <item x="63"/>
        <item x="64"/>
        <item x="83"/>
        <item x="82"/>
        <item x="103"/>
        <item x="48"/>
        <item m="1" x="107"/>
        <item m="1" x="108"/>
        <item x="50"/>
        <item x="51"/>
        <item x="18"/>
        <item x="61"/>
        <item x="12"/>
        <item x="27"/>
        <item x="37"/>
        <item x="24"/>
        <item x="36"/>
        <item x="62"/>
        <item x="35"/>
        <item x="4"/>
        <item x="5"/>
        <item x="10"/>
        <item x="9"/>
        <item x="8"/>
        <item x="7"/>
        <item x="6"/>
        <item x="56"/>
        <item x="16"/>
        <item m="1" x="105"/>
        <item x="33"/>
        <item x="46"/>
        <item x="43"/>
        <item x="39"/>
        <item x="42"/>
        <item x="58"/>
        <item x="23"/>
        <item x="11"/>
        <item m="1" x="104"/>
        <item x="13"/>
        <item x="31"/>
        <item x="28"/>
        <item x="54"/>
        <item x="59"/>
        <item x="68"/>
        <item x="55"/>
        <item x="41"/>
        <item x="2"/>
        <item x="84"/>
        <item x="65"/>
        <item x="45"/>
        <item x="3"/>
        <item x="1"/>
        <item x="79"/>
        <item x="80"/>
        <item x="81"/>
        <item x="101"/>
        <item x="26"/>
        <item x="30"/>
        <item x="49"/>
        <item x="69"/>
        <item x="70"/>
        <item x="7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Items count="1">
    <i/>
  </colItems>
  <pageFields count="1">
    <pageField fld="1" hier="-1"/>
  </pageFields>
  <dataFields count="1">
    <dataField name="Count of Loan" fld="6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br.ru/eng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ZG63"/>
  <sheetViews>
    <sheetView showGridLines="0" tabSelected="1" zoomScale="90" zoomScaleNormal="90" workbookViewId="0">
      <pane xSplit="228" ySplit="3" topLeftCell="ZB14" activePane="bottomRight" state="frozen"/>
      <selection activeCell="A43" sqref="A43:XFD43"/>
      <selection pane="topRight" activeCell="A43" sqref="A43:XFD43"/>
      <selection pane="bottomLeft" activeCell="A43" sqref="A43:XFD43"/>
      <selection pane="bottomRight" activeCell="ZH52" sqref="ZH52"/>
    </sheetView>
  </sheetViews>
  <sheetFormatPr defaultColWidth="13.77734375" defaultRowHeight="13.2" outlineLevelCol="1"/>
  <cols>
    <col min="1" max="1" width="14.21875" style="1" customWidth="1"/>
    <col min="2" max="2" width="18.6640625" style="1" customWidth="1"/>
    <col min="3" max="3" width="19.6640625" style="1" customWidth="1"/>
    <col min="4" max="4" width="13.77734375" style="1" customWidth="1"/>
    <col min="5" max="46" width="13.77734375" style="1" hidden="1" customWidth="1" outlineLevel="1"/>
    <col min="47" max="48" width="0" style="1" hidden="1" customWidth="1" outlineLevel="1"/>
    <col min="49" max="72" width="15.21875" style="1" hidden="1" customWidth="1" outlineLevel="1"/>
    <col min="73" max="116" width="18" style="1" hidden="1" customWidth="1" outlineLevel="1"/>
    <col min="117" max="161" width="18.21875" style="1" hidden="1" customWidth="1" outlineLevel="1"/>
    <col min="162" max="194" width="18.6640625" style="1" hidden="1" customWidth="1" outlineLevel="1"/>
    <col min="195" max="210" width="15.21875" style="1" hidden="1" customWidth="1" outlineLevel="1"/>
    <col min="211" max="211" width="15.21875" style="1" hidden="1" customWidth="1" outlineLevel="1" collapsed="1"/>
    <col min="212" max="212" width="15.21875" style="1" hidden="1" customWidth="1" outlineLevel="1"/>
    <col min="213" max="213" width="15.21875" style="1" hidden="1" customWidth="1" outlineLevel="1" collapsed="1"/>
    <col min="214" max="216" width="15.21875" style="1" hidden="1" customWidth="1" outlineLevel="1"/>
    <col min="217" max="217" width="15.21875" style="1" hidden="1" customWidth="1" outlineLevel="1" collapsed="1"/>
    <col min="218" max="223" width="15.21875" style="1" hidden="1" customWidth="1" outlineLevel="1"/>
    <col min="224" max="224" width="15.21875" style="1" hidden="1" customWidth="1" outlineLevel="1" collapsed="1"/>
    <col min="225" max="227" width="15.21875" style="1" hidden="1" customWidth="1" outlineLevel="1"/>
    <col min="228" max="228" width="12.21875" style="1" hidden="1" customWidth="1" collapsed="1"/>
    <col min="229" max="340" width="15.21875" style="1" hidden="1" customWidth="1" outlineLevel="1"/>
    <col min="341" max="534" width="13.77734375" style="1" hidden="1" customWidth="1" outlineLevel="1"/>
    <col min="535" max="535" width="13.77734375" style="1" hidden="1" customWidth="1" outlineLevel="1" collapsed="1"/>
    <col min="536" max="562" width="13.77734375" style="1" hidden="1" customWidth="1" outlineLevel="1"/>
    <col min="563" max="563" width="13.77734375" style="1" hidden="1" customWidth="1" outlineLevel="1" collapsed="1"/>
    <col min="564" max="564" width="13.77734375" style="1" hidden="1" customWidth="1" outlineLevel="1"/>
    <col min="565" max="565" width="12.6640625" style="1" hidden="1" customWidth="1" outlineLevel="1" collapsed="1"/>
    <col min="566" max="566" width="12.6640625" style="1" hidden="1" customWidth="1" outlineLevel="1"/>
    <col min="567" max="568" width="13.77734375" style="1" hidden="1" customWidth="1" outlineLevel="1"/>
    <col min="569" max="569" width="13.77734375" style="1" customWidth="1" collapsed="1"/>
    <col min="570" max="681" width="13.77734375" style="1" customWidth="1"/>
    <col min="682" max="16384" width="13.77734375" style="1"/>
  </cols>
  <sheetData>
    <row r="1" spans="1:683" ht="21.45" customHeight="1">
      <c r="A1" s="11" t="s">
        <v>15</v>
      </c>
    </row>
    <row r="2" spans="1:683">
      <c r="J2" s="1" t="s">
        <v>17</v>
      </c>
    </row>
    <row r="3" spans="1:683" s="3" customFormat="1">
      <c r="A3" s="1321"/>
      <c r="B3" s="1321"/>
      <c r="C3" s="1321"/>
      <c r="D3" s="9">
        <v>44617</v>
      </c>
      <c r="E3" s="9">
        <v>44620</v>
      </c>
      <c r="F3" s="9">
        <v>44621</v>
      </c>
      <c r="G3" s="9">
        <v>44622</v>
      </c>
      <c r="H3" s="9">
        <v>44623</v>
      </c>
      <c r="I3" s="9">
        <v>44624</v>
      </c>
      <c r="J3" s="9">
        <v>44629</v>
      </c>
      <c r="K3" s="9">
        <v>44630</v>
      </c>
      <c r="L3" s="9">
        <v>44631</v>
      </c>
      <c r="M3" s="9">
        <v>44634</v>
      </c>
      <c r="N3" s="9">
        <f>+M3+1</f>
        <v>44635</v>
      </c>
      <c r="O3" s="9">
        <f>+N3+1</f>
        <v>44636</v>
      </c>
      <c r="P3" s="9">
        <f>+O3+1</f>
        <v>44637</v>
      </c>
      <c r="Q3" s="9">
        <f>+P3+1</f>
        <v>44638</v>
      </c>
      <c r="R3" s="9">
        <v>44642</v>
      </c>
      <c r="S3" s="9">
        <f>+R3+1</f>
        <v>44643</v>
      </c>
      <c r="T3" s="9">
        <f>+S3+1</f>
        <v>44644</v>
      </c>
      <c r="U3" s="9">
        <f>+T3+1</f>
        <v>44645</v>
      </c>
      <c r="V3" s="9">
        <v>44648</v>
      </c>
      <c r="W3" s="9">
        <f>+V3+1</f>
        <v>44649</v>
      </c>
      <c r="X3" s="9">
        <f>+W3+1</f>
        <v>44650</v>
      </c>
      <c r="Y3" s="9">
        <f>+X3+1</f>
        <v>44651</v>
      </c>
      <c r="Z3" s="9">
        <v>44652</v>
      </c>
      <c r="AA3" s="9">
        <v>44655</v>
      </c>
      <c r="AB3" s="9">
        <v>44656</v>
      </c>
      <c r="AC3" s="9">
        <v>44657</v>
      </c>
      <c r="AD3" s="9">
        <v>44658</v>
      </c>
      <c r="AE3" s="9">
        <v>44659</v>
      </c>
      <c r="AF3" s="9">
        <v>44662</v>
      </c>
      <c r="AG3" s="9">
        <v>44663</v>
      </c>
      <c r="AH3" s="9">
        <v>44664</v>
      </c>
      <c r="AI3" s="9">
        <v>44665</v>
      </c>
      <c r="AJ3" s="9">
        <f>+AI3+1</f>
        <v>44666</v>
      </c>
      <c r="AK3" s="9">
        <f>+AJ3+3</f>
        <v>44669</v>
      </c>
      <c r="AL3" s="9">
        <f>+AK3+1</f>
        <v>44670</v>
      </c>
      <c r="AM3" s="9">
        <f>+AL3+1</f>
        <v>44671</v>
      </c>
      <c r="AN3" s="9">
        <f>+AM3+1</f>
        <v>44672</v>
      </c>
      <c r="AO3" s="9">
        <f>+AN3+1</f>
        <v>44673</v>
      </c>
      <c r="AP3" s="9">
        <f>+AO3+3</f>
        <v>44676</v>
      </c>
      <c r="AQ3" s="9">
        <f>+AP3+1</f>
        <v>44677</v>
      </c>
      <c r="AR3" s="9">
        <f>+AQ3+1</f>
        <v>44678</v>
      </c>
      <c r="AS3" s="9">
        <f>+AR3+1</f>
        <v>44679</v>
      </c>
      <c r="AT3" s="9">
        <f>+AS3+1</f>
        <v>44680</v>
      </c>
      <c r="AU3" s="9">
        <f>+AT3+5</f>
        <v>44685</v>
      </c>
      <c r="AV3" s="9">
        <f>+AU3+1</f>
        <v>44686</v>
      </c>
      <c r="AW3" s="9">
        <f>+AV3+1</f>
        <v>44687</v>
      </c>
      <c r="AX3" s="9">
        <f>+AW3+5</f>
        <v>44692</v>
      </c>
      <c r="AY3" s="9">
        <f>+AX3+1</f>
        <v>44693</v>
      </c>
      <c r="AZ3" s="9">
        <f>+AY3+1</f>
        <v>44694</v>
      </c>
      <c r="BA3" s="9">
        <f>+AZ3+3</f>
        <v>44697</v>
      </c>
      <c r="BB3" s="9">
        <f>+BA3+1</f>
        <v>44698</v>
      </c>
      <c r="BC3" s="9">
        <f>+BB3+1</f>
        <v>44699</v>
      </c>
      <c r="BD3" s="9">
        <f>+BC3+1</f>
        <v>44700</v>
      </c>
      <c r="BE3" s="9">
        <f>+BD3+1</f>
        <v>44701</v>
      </c>
      <c r="BF3" s="9">
        <f>+BE3+3</f>
        <v>44704</v>
      </c>
      <c r="BG3" s="9">
        <f>+BF3+1</f>
        <v>44705</v>
      </c>
      <c r="BH3" s="9">
        <f>+BG3+1</f>
        <v>44706</v>
      </c>
      <c r="BI3" s="9">
        <f>+BH3+1</f>
        <v>44707</v>
      </c>
      <c r="BJ3" s="9">
        <f>+BI3+1</f>
        <v>44708</v>
      </c>
      <c r="BK3" s="9">
        <f>+BJ3+3</f>
        <v>44711</v>
      </c>
      <c r="BL3" s="9">
        <f>+BK3+1</f>
        <v>44712</v>
      </c>
      <c r="BM3" s="9">
        <f>+BL3+1</f>
        <v>44713</v>
      </c>
      <c r="BN3" s="9">
        <f>+BM3+1</f>
        <v>44714</v>
      </c>
      <c r="BO3" s="9">
        <f>+BN3+1</f>
        <v>44715</v>
      </c>
      <c r="BP3" s="9">
        <f>+BO3+3</f>
        <v>44718</v>
      </c>
      <c r="BQ3" s="9">
        <f>+BP3+1</f>
        <v>44719</v>
      </c>
      <c r="BR3" s="9">
        <f>+BQ3+1</f>
        <v>44720</v>
      </c>
      <c r="BS3" s="9">
        <f>+BR3+1</f>
        <v>44721</v>
      </c>
      <c r="BT3" s="9">
        <f>+BS3+1</f>
        <v>44722</v>
      </c>
      <c r="BU3" s="9">
        <f>+BT3+4</f>
        <v>44726</v>
      </c>
      <c r="BV3" s="9">
        <f>+BU3+1</f>
        <v>44727</v>
      </c>
      <c r="BW3" s="9">
        <f>+BV3+1</f>
        <v>44728</v>
      </c>
      <c r="BX3" s="9">
        <f>+BW3+1</f>
        <v>44729</v>
      </c>
      <c r="BY3" s="9">
        <f>+BX3+3</f>
        <v>44732</v>
      </c>
      <c r="BZ3" s="9">
        <f>+BY3+1</f>
        <v>44733</v>
      </c>
      <c r="CA3" s="9">
        <f>+BZ3+1</f>
        <v>44734</v>
      </c>
      <c r="CB3" s="9">
        <f>+CA3+1</f>
        <v>44735</v>
      </c>
      <c r="CC3" s="9">
        <f>+CB3+1</f>
        <v>44736</v>
      </c>
      <c r="CD3" s="9">
        <f>+CC3+3</f>
        <v>44739</v>
      </c>
      <c r="CE3" s="9">
        <f>+CD3+1</f>
        <v>44740</v>
      </c>
      <c r="CF3" s="9">
        <f>+CE3+1</f>
        <v>44741</v>
      </c>
      <c r="CG3" s="9">
        <f>+CF3+1</f>
        <v>44742</v>
      </c>
      <c r="CH3" s="9">
        <f>+CG3+1</f>
        <v>44743</v>
      </c>
      <c r="CI3" s="9">
        <f>+CH3+3</f>
        <v>44746</v>
      </c>
      <c r="CJ3" s="9">
        <f>+CI3+1</f>
        <v>44747</v>
      </c>
      <c r="CK3" s="9">
        <f>+CJ3+1</f>
        <v>44748</v>
      </c>
      <c r="CL3" s="9">
        <f>+CK3+1</f>
        <v>44749</v>
      </c>
      <c r="CM3" s="9">
        <f>+CL3+1</f>
        <v>44750</v>
      </c>
      <c r="CN3" s="9">
        <f>+CM3+3</f>
        <v>44753</v>
      </c>
      <c r="CO3" s="9">
        <f>+CN3+1</f>
        <v>44754</v>
      </c>
      <c r="CP3" s="9">
        <f>+CO3+1</f>
        <v>44755</v>
      </c>
      <c r="CQ3" s="9">
        <f>+CP3+1</f>
        <v>44756</v>
      </c>
      <c r="CR3" s="9">
        <f>+CQ3+1</f>
        <v>44757</v>
      </c>
      <c r="CS3" s="9">
        <f>+CR3+3</f>
        <v>44760</v>
      </c>
      <c r="CT3" s="9">
        <f>+CS3+1</f>
        <v>44761</v>
      </c>
      <c r="CU3" s="9">
        <f>+CT3+1</f>
        <v>44762</v>
      </c>
      <c r="CV3" s="9">
        <f>+CU3+1</f>
        <v>44763</v>
      </c>
      <c r="CW3" s="9">
        <f>+CV3+1</f>
        <v>44764</v>
      </c>
      <c r="CX3" s="9">
        <f>+CW3+3</f>
        <v>44767</v>
      </c>
      <c r="CY3" s="9">
        <f>+CX3+1</f>
        <v>44768</v>
      </c>
      <c r="CZ3" s="9">
        <f>+CY3+1</f>
        <v>44769</v>
      </c>
      <c r="DA3" s="9">
        <f>+CZ3+1</f>
        <v>44770</v>
      </c>
      <c r="DB3" s="9">
        <f>+DA3+1</f>
        <v>44771</v>
      </c>
      <c r="DC3" s="9">
        <f>+DB3+3</f>
        <v>44774</v>
      </c>
      <c r="DD3" s="9">
        <f>+DC3+1</f>
        <v>44775</v>
      </c>
      <c r="DE3" s="9">
        <f>+DD3+1</f>
        <v>44776</v>
      </c>
      <c r="DF3" s="9">
        <f>+DE3+1</f>
        <v>44777</v>
      </c>
      <c r="DG3" s="9">
        <f>+DF3+1</f>
        <v>44778</v>
      </c>
      <c r="DH3" s="9">
        <f>+DG3+3</f>
        <v>44781</v>
      </c>
      <c r="DI3" s="9">
        <f>DH3+1</f>
        <v>44782</v>
      </c>
      <c r="DJ3" s="9">
        <f>DI3+1</f>
        <v>44783</v>
      </c>
      <c r="DK3" s="9">
        <f>DJ3+1</f>
        <v>44784</v>
      </c>
      <c r="DL3" s="9">
        <f>DK3+1</f>
        <v>44785</v>
      </c>
      <c r="DM3" s="9">
        <f>DL3+3</f>
        <v>44788</v>
      </c>
      <c r="DN3" s="9">
        <f>DM3+1</f>
        <v>44789</v>
      </c>
      <c r="DO3" s="9">
        <f>DN3+1</f>
        <v>44790</v>
      </c>
      <c r="DP3" s="9">
        <f>DO3+1</f>
        <v>44791</v>
      </c>
      <c r="DQ3" s="9">
        <f>DP3+1</f>
        <v>44792</v>
      </c>
      <c r="DR3" s="9">
        <f>DQ3+3</f>
        <v>44795</v>
      </c>
      <c r="DS3" s="9">
        <f>DR3+1</f>
        <v>44796</v>
      </c>
      <c r="DT3" s="9">
        <f>DS3+1</f>
        <v>44797</v>
      </c>
      <c r="DU3" s="9">
        <f>DT3+1</f>
        <v>44798</v>
      </c>
      <c r="DV3" s="9">
        <f>DU3+1</f>
        <v>44799</v>
      </c>
      <c r="DW3" s="9">
        <f>DV3+3</f>
        <v>44802</v>
      </c>
      <c r="DX3" s="9">
        <f>DW3+1</f>
        <v>44803</v>
      </c>
      <c r="DY3" s="9">
        <f>DX3+1</f>
        <v>44804</v>
      </c>
      <c r="DZ3" s="9">
        <f>DY3+1</f>
        <v>44805</v>
      </c>
      <c r="EA3" s="9">
        <f>DZ3+1</f>
        <v>44806</v>
      </c>
      <c r="EB3" s="9">
        <f>EA3+3</f>
        <v>44809</v>
      </c>
      <c r="EC3" s="9">
        <f>EB3+1</f>
        <v>44810</v>
      </c>
      <c r="ED3" s="9">
        <f>EC3+1</f>
        <v>44811</v>
      </c>
      <c r="EE3" s="9">
        <f>ED3+1</f>
        <v>44812</v>
      </c>
      <c r="EF3" s="9">
        <f>EE3+1</f>
        <v>44813</v>
      </c>
      <c r="EG3" s="9">
        <f>EF3+3</f>
        <v>44816</v>
      </c>
      <c r="EH3" s="9">
        <f>EG3+1</f>
        <v>44817</v>
      </c>
      <c r="EI3" s="9">
        <f>EH3+1</f>
        <v>44818</v>
      </c>
      <c r="EJ3" s="9">
        <f>EI3+1</f>
        <v>44819</v>
      </c>
      <c r="EK3" s="9">
        <f>EJ3+1</f>
        <v>44820</v>
      </c>
      <c r="EL3" s="9">
        <f>EK3+3</f>
        <v>44823</v>
      </c>
      <c r="EM3" s="9">
        <f>EL3+1</f>
        <v>44824</v>
      </c>
      <c r="EN3" s="9">
        <f>EM3+1</f>
        <v>44825</v>
      </c>
      <c r="EO3" s="9">
        <f>EN3+1</f>
        <v>44826</v>
      </c>
      <c r="EP3" s="9">
        <f>EO3+1</f>
        <v>44827</v>
      </c>
      <c r="EQ3" s="9">
        <f>EP3+3</f>
        <v>44830</v>
      </c>
      <c r="ER3" s="9">
        <f>EQ3+1</f>
        <v>44831</v>
      </c>
      <c r="ES3" s="9">
        <f>ER3+1</f>
        <v>44832</v>
      </c>
      <c r="ET3" s="9">
        <f>ES3+1</f>
        <v>44833</v>
      </c>
      <c r="EU3" s="9">
        <f>ET3+1</f>
        <v>44834</v>
      </c>
      <c r="EV3" s="9">
        <f>EU3+3</f>
        <v>44837</v>
      </c>
      <c r="EW3" s="9">
        <f>EV3+1</f>
        <v>44838</v>
      </c>
      <c r="EX3" s="9">
        <f>EW3+1</f>
        <v>44839</v>
      </c>
      <c r="EY3" s="9">
        <f>EX3+1</f>
        <v>44840</v>
      </c>
      <c r="EZ3" s="9">
        <f>EY3+1</f>
        <v>44841</v>
      </c>
      <c r="FA3" s="9">
        <f>EZ3+3</f>
        <v>44844</v>
      </c>
      <c r="FB3" s="9">
        <f>FA3+1</f>
        <v>44845</v>
      </c>
      <c r="FC3" s="9">
        <f>FB3+1</f>
        <v>44846</v>
      </c>
      <c r="FD3" s="9">
        <f>FC3+1</f>
        <v>44847</v>
      </c>
      <c r="FE3" s="9">
        <f>FD3+1</f>
        <v>44848</v>
      </c>
      <c r="FF3" s="9">
        <f>FE3+3</f>
        <v>44851</v>
      </c>
      <c r="FG3" s="9">
        <f>FF3+1</f>
        <v>44852</v>
      </c>
      <c r="FH3" s="9">
        <f>FG3+1</f>
        <v>44853</v>
      </c>
      <c r="FI3" s="9">
        <f>FH3+1</f>
        <v>44854</v>
      </c>
      <c r="FJ3" s="9">
        <f>FI3+1</f>
        <v>44855</v>
      </c>
      <c r="FK3" s="9">
        <f>FJ3+3</f>
        <v>44858</v>
      </c>
      <c r="FL3" s="9">
        <f>FK3+1</f>
        <v>44859</v>
      </c>
      <c r="FM3" s="9">
        <f>FL3+1</f>
        <v>44860</v>
      </c>
      <c r="FN3" s="9">
        <f>FM3+1</f>
        <v>44861</v>
      </c>
      <c r="FO3" s="9">
        <f>FN3+1</f>
        <v>44862</v>
      </c>
      <c r="FP3" s="9">
        <f>FO3+3</f>
        <v>44865</v>
      </c>
      <c r="FQ3" s="9">
        <f>FP3+1</f>
        <v>44866</v>
      </c>
      <c r="FR3" s="9">
        <f>FQ3+1</f>
        <v>44867</v>
      </c>
      <c r="FS3" s="9">
        <f>FR3+1</f>
        <v>44868</v>
      </c>
      <c r="FT3" s="9">
        <f>FS3+4</f>
        <v>44872</v>
      </c>
      <c r="FU3" s="9">
        <f>FT3+1</f>
        <v>44873</v>
      </c>
      <c r="FV3" s="9">
        <f>FU3+1</f>
        <v>44874</v>
      </c>
      <c r="FW3" s="9">
        <f>FV3+1</f>
        <v>44875</v>
      </c>
      <c r="FX3" s="9">
        <f>FW3+1</f>
        <v>44876</v>
      </c>
      <c r="FY3" s="9">
        <f>FX3+3</f>
        <v>44879</v>
      </c>
      <c r="FZ3" s="9">
        <f>FY3+1</f>
        <v>44880</v>
      </c>
      <c r="GA3" s="9">
        <f>FZ3+1</f>
        <v>44881</v>
      </c>
      <c r="GB3" s="9">
        <f>GA3+1</f>
        <v>44882</v>
      </c>
      <c r="GC3" s="9">
        <f>GB3+1</f>
        <v>44883</v>
      </c>
      <c r="GD3" s="9">
        <f>GC3+3</f>
        <v>44886</v>
      </c>
      <c r="GE3" s="9">
        <f>GD3+1</f>
        <v>44887</v>
      </c>
      <c r="GF3" s="9">
        <f>GE3+1</f>
        <v>44888</v>
      </c>
      <c r="GG3" s="9">
        <f>GF3+1</f>
        <v>44889</v>
      </c>
      <c r="GH3" s="9">
        <f>GG3+1</f>
        <v>44890</v>
      </c>
      <c r="GI3" s="9">
        <f>GH3+3</f>
        <v>44893</v>
      </c>
      <c r="GJ3" s="9">
        <f>GI3+1</f>
        <v>44894</v>
      </c>
      <c r="GK3" s="9">
        <f>GJ3+1</f>
        <v>44895</v>
      </c>
      <c r="GL3" s="9">
        <f>GK3+1</f>
        <v>44896</v>
      </c>
      <c r="GM3" s="9">
        <f>GL3+1</f>
        <v>44897</v>
      </c>
      <c r="GN3" s="9">
        <f>GM3+3</f>
        <v>44900</v>
      </c>
      <c r="GO3" s="9">
        <f>GN3+1</f>
        <v>44901</v>
      </c>
      <c r="GP3" s="9">
        <f>GO3+1</f>
        <v>44902</v>
      </c>
      <c r="GQ3" s="9">
        <f>GP3+1</f>
        <v>44903</v>
      </c>
      <c r="GR3" s="9">
        <f>GQ3+1</f>
        <v>44904</v>
      </c>
      <c r="GS3" s="9">
        <f>GR3+3</f>
        <v>44907</v>
      </c>
      <c r="GT3" s="9">
        <f>GS3+1</f>
        <v>44908</v>
      </c>
      <c r="GU3" s="9">
        <f>GT3+1</f>
        <v>44909</v>
      </c>
      <c r="GV3" s="9">
        <f>GU3+1</f>
        <v>44910</v>
      </c>
      <c r="GW3" s="9">
        <f>GV3+1</f>
        <v>44911</v>
      </c>
      <c r="GX3" s="9">
        <f>GW3+3</f>
        <v>44914</v>
      </c>
      <c r="GY3" s="9">
        <f>GX3+1</f>
        <v>44915</v>
      </c>
      <c r="GZ3" s="9">
        <f>GY3+1</f>
        <v>44916</v>
      </c>
      <c r="HA3" s="9">
        <f>GZ3+1</f>
        <v>44917</v>
      </c>
      <c r="HB3" s="9">
        <f>HA3+1</f>
        <v>44918</v>
      </c>
      <c r="HC3" s="9">
        <f>HB3+3</f>
        <v>44921</v>
      </c>
      <c r="HD3" s="9">
        <f>HC3+1</f>
        <v>44922</v>
      </c>
      <c r="HE3" s="9">
        <v>44937</v>
      </c>
      <c r="HF3" s="9">
        <v>44938</v>
      </c>
      <c r="HG3" s="9">
        <v>44943</v>
      </c>
      <c r="HH3" s="9">
        <v>44944</v>
      </c>
      <c r="HI3" s="9">
        <v>44945</v>
      </c>
      <c r="HJ3" s="9">
        <v>44949</v>
      </c>
      <c r="HK3" s="9">
        <v>44950</v>
      </c>
      <c r="HL3" s="9">
        <v>44951</v>
      </c>
      <c r="HM3" s="9">
        <v>44952</v>
      </c>
      <c r="HN3" s="9">
        <v>44953</v>
      </c>
      <c r="HO3" s="9">
        <v>44956</v>
      </c>
      <c r="HP3" s="9">
        <v>44958</v>
      </c>
      <c r="HQ3" s="9">
        <v>44960</v>
      </c>
      <c r="HR3" s="9">
        <v>44963</v>
      </c>
      <c r="HS3" s="9">
        <v>44964</v>
      </c>
      <c r="HT3" s="9">
        <v>44966</v>
      </c>
      <c r="HU3" s="9">
        <v>44970</v>
      </c>
      <c r="HV3" s="9">
        <v>44972</v>
      </c>
      <c r="HW3" s="9">
        <v>44973</v>
      </c>
      <c r="HX3" s="9">
        <v>44977</v>
      </c>
      <c r="HY3" s="9">
        <v>44979</v>
      </c>
      <c r="HZ3" s="9">
        <v>44984</v>
      </c>
      <c r="IA3" s="9">
        <v>44985</v>
      </c>
      <c r="IB3" s="9">
        <v>44986</v>
      </c>
      <c r="IC3" s="9">
        <v>44988</v>
      </c>
      <c r="ID3" s="9">
        <v>44991</v>
      </c>
      <c r="IE3" s="9">
        <v>44992</v>
      </c>
      <c r="IF3" s="9">
        <v>44995</v>
      </c>
      <c r="IG3" s="9">
        <v>44998</v>
      </c>
      <c r="IH3" s="9">
        <v>45000</v>
      </c>
      <c r="II3" s="9">
        <v>45001</v>
      </c>
      <c r="IJ3" s="9">
        <v>45002</v>
      </c>
      <c r="IK3" s="9">
        <v>45006</v>
      </c>
      <c r="IL3" s="9">
        <v>45007</v>
      </c>
      <c r="IM3" s="9">
        <v>45009</v>
      </c>
      <c r="IN3" s="9">
        <v>45013</v>
      </c>
      <c r="IO3" s="9">
        <v>45014</v>
      </c>
      <c r="IP3" s="9">
        <v>45015</v>
      </c>
      <c r="IQ3" s="9">
        <v>45016</v>
      </c>
      <c r="IR3" s="9">
        <v>45019</v>
      </c>
      <c r="IS3" s="9">
        <v>45020</v>
      </c>
      <c r="IT3" s="9">
        <v>45021</v>
      </c>
      <c r="IU3" s="9">
        <v>45022</v>
      </c>
      <c r="IV3" s="9">
        <v>45023</v>
      </c>
      <c r="IW3" s="9">
        <v>45026</v>
      </c>
      <c r="IX3" s="9">
        <v>45027</v>
      </c>
      <c r="IY3" s="9">
        <v>45028</v>
      </c>
      <c r="IZ3" s="9">
        <v>45029</v>
      </c>
      <c r="JA3" s="9">
        <v>45030</v>
      </c>
      <c r="JB3" s="9">
        <v>45033</v>
      </c>
      <c r="JC3" s="9">
        <v>45034</v>
      </c>
      <c r="JD3" s="9">
        <v>45035</v>
      </c>
      <c r="JE3" s="9">
        <v>45036</v>
      </c>
      <c r="JF3" s="9">
        <v>45037</v>
      </c>
      <c r="JG3" s="9">
        <v>45040</v>
      </c>
      <c r="JH3" s="9">
        <v>45041</v>
      </c>
      <c r="JI3" s="9">
        <v>45042</v>
      </c>
      <c r="JJ3" s="9">
        <v>45043</v>
      </c>
      <c r="JK3" s="9">
        <v>45044</v>
      </c>
      <c r="JL3" s="9">
        <v>45048</v>
      </c>
      <c r="JM3" s="9">
        <v>45049</v>
      </c>
      <c r="JN3" s="9">
        <v>45050</v>
      </c>
      <c r="JO3" s="9">
        <v>45051</v>
      </c>
      <c r="JP3" s="9">
        <v>45056</v>
      </c>
      <c r="JQ3" s="9">
        <v>45057</v>
      </c>
      <c r="JR3" s="9">
        <v>45058</v>
      </c>
      <c r="JS3" s="9">
        <v>45061</v>
      </c>
      <c r="JT3" s="9">
        <v>45062</v>
      </c>
      <c r="JU3" s="9">
        <v>45063</v>
      </c>
      <c r="JV3" s="9">
        <v>45065</v>
      </c>
      <c r="JW3" s="9">
        <v>45068</v>
      </c>
      <c r="JX3" s="9">
        <v>45069</v>
      </c>
      <c r="JY3" s="9">
        <v>45070</v>
      </c>
      <c r="JZ3" s="9">
        <v>45071</v>
      </c>
      <c r="KA3" s="9">
        <v>45072</v>
      </c>
      <c r="KB3" s="9">
        <v>45075</v>
      </c>
      <c r="KC3" s="9">
        <v>45076</v>
      </c>
      <c r="KD3" s="9">
        <v>45077</v>
      </c>
      <c r="KE3" s="9">
        <v>45078</v>
      </c>
      <c r="KF3" s="9">
        <v>45079</v>
      </c>
      <c r="KG3" s="9">
        <v>45082</v>
      </c>
      <c r="KH3" s="9">
        <v>45083</v>
      </c>
      <c r="KI3" s="9">
        <v>45084</v>
      </c>
      <c r="KJ3" s="9">
        <v>45085</v>
      </c>
      <c r="KK3" s="9">
        <v>45086</v>
      </c>
      <c r="KL3" s="9">
        <v>45090</v>
      </c>
      <c r="KM3" s="9">
        <v>45091</v>
      </c>
      <c r="KN3" s="9">
        <v>45092</v>
      </c>
      <c r="KO3" s="9">
        <v>45093</v>
      </c>
      <c r="KP3" s="9">
        <v>45096</v>
      </c>
      <c r="KQ3" s="9">
        <v>45097</v>
      </c>
      <c r="KR3" s="9">
        <v>45098</v>
      </c>
      <c r="KS3" s="9">
        <v>45099</v>
      </c>
      <c r="KT3" s="9">
        <v>45100</v>
      </c>
      <c r="KU3" s="9">
        <v>45103</v>
      </c>
      <c r="KV3" s="9">
        <v>45104</v>
      </c>
      <c r="KW3" s="9">
        <v>45105</v>
      </c>
      <c r="KX3" s="9">
        <v>45106</v>
      </c>
      <c r="KY3" s="9">
        <v>45107</v>
      </c>
      <c r="KZ3" s="9">
        <v>45110</v>
      </c>
      <c r="LA3" s="9">
        <v>45111</v>
      </c>
      <c r="LB3" s="9">
        <v>45112</v>
      </c>
      <c r="LC3" s="9">
        <v>45113</v>
      </c>
      <c r="LD3" s="9">
        <v>45114</v>
      </c>
      <c r="LE3" s="9">
        <v>45117</v>
      </c>
      <c r="LF3" s="9">
        <v>45118</v>
      </c>
      <c r="LG3" s="9">
        <v>45119</v>
      </c>
      <c r="LH3" s="9">
        <v>45120</v>
      </c>
      <c r="LI3" s="9">
        <v>45121</v>
      </c>
      <c r="LJ3" s="9">
        <v>45124</v>
      </c>
      <c r="LK3" s="9">
        <v>45125</v>
      </c>
      <c r="LL3" s="9">
        <v>45126</v>
      </c>
      <c r="LM3" s="9">
        <v>45127</v>
      </c>
      <c r="LN3" s="9">
        <v>45128</v>
      </c>
      <c r="LO3" s="9">
        <v>45131</v>
      </c>
      <c r="LP3" s="9">
        <v>45132</v>
      </c>
      <c r="LQ3" s="9">
        <v>45133</v>
      </c>
      <c r="LR3" s="9">
        <v>45138</v>
      </c>
      <c r="LS3" s="9">
        <v>45141</v>
      </c>
      <c r="LT3" s="9">
        <v>45142</v>
      </c>
      <c r="LU3" s="963">
        <v>45145</v>
      </c>
      <c r="LV3" s="963">
        <v>45146</v>
      </c>
      <c r="LW3" s="963">
        <v>45147</v>
      </c>
      <c r="LX3" s="963">
        <v>45148</v>
      </c>
      <c r="LY3" s="963">
        <v>45149</v>
      </c>
      <c r="LZ3" s="963">
        <v>45152</v>
      </c>
      <c r="MA3" s="963">
        <v>45153</v>
      </c>
      <c r="MB3" s="963">
        <v>45154</v>
      </c>
      <c r="MC3" s="963">
        <v>45155</v>
      </c>
      <c r="MD3" s="963">
        <v>45156</v>
      </c>
      <c r="ME3" s="963">
        <v>45159</v>
      </c>
      <c r="MF3" s="963">
        <v>45160</v>
      </c>
      <c r="MG3" s="963">
        <v>45161</v>
      </c>
      <c r="MH3" s="963">
        <v>45162</v>
      </c>
      <c r="MI3" s="963">
        <v>45163</v>
      </c>
      <c r="MJ3" s="963">
        <v>45166</v>
      </c>
      <c r="MK3" s="963">
        <v>45167</v>
      </c>
      <c r="ML3" s="963">
        <v>45168</v>
      </c>
      <c r="MM3" s="963">
        <v>45169</v>
      </c>
      <c r="MN3" s="963">
        <v>45170</v>
      </c>
      <c r="MO3" s="963">
        <v>45173</v>
      </c>
      <c r="MP3" s="963">
        <v>45174</v>
      </c>
      <c r="MQ3" s="963">
        <v>45175</v>
      </c>
      <c r="MR3" s="963">
        <v>45176</v>
      </c>
      <c r="MS3" s="963">
        <v>45177</v>
      </c>
      <c r="MT3" s="963">
        <v>45180</v>
      </c>
      <c r="MU3" s="963">
        <v>45181</v>
      </c>
      <c r="MV3" s="963">
        <v>45182</v>
      </c>
      <c r="MW3" s="963">
        <v>45183</v>
      </c>
      <c r="MX3" s="963">
        <v>45184</v>
      </c>
      <c r="MY3" s="963">
        <v>45187</v>
      </c>
      <c r="MZ3" s="963">
        <v>45188</v>
      </c>
      <c r="NA3" s="963">
        <v>45189</v>
      </c>
      <c r="NB3" s="963">
        <v>45190</v>
      </c>
      <c r="NC3" s="963">
        <v>45191</v>
      </c>
      <c r="ND3" s="963">
        <v>45194</v>
      </c>
      <c r="NE3" s="963">
        <v>45195</v>
      </c>
      <c r="NF3" s="963">
        <v>45196</v>
      </c>
      <c r="NG3" s="963">
        <v>45197</v>
      </c>
      <c r="NH3" s="963">
        <v>45198</v>
      </c>
      <c r="NI3" s="963">
        <v>45201</v>
      </c>
      <c r="NJ3" s="963">
        <v>45202</v>
      </c>
      <c r="NK3" s="963">
        <v>45203</v>
      </c>
      <c r="NL3" s="963">
        <v>45204</v>
      </c>
      <c r="NM3" s="963">
        <v>45205</v>
      </c>
      <c r="NN3" s="963">
        <v>45208</v>
      </c>
      <c r="NO3" s="963">
        <v>45209</v>
      </c>
      <c r="NP3" s="963">
        <v>45210</v>
      </c>
      <c r="NQ3" s="963">
        <v>45211</v>
      </c>
      <c r="NR3" s="963">
        <v>45212</v>
      </c>
      <c r="NS3" s="963">
        <v>45215</v>
      </c>
      <c r="NT3" s="963">
        <v>45216</v>
      </c>
      <c r="NU3" s="963">
        <v>45217</v>
      </c>
      <c r="NV3" s="963">
        <v>45218</v>
      </c>
      <c r="NW3" s="963">
        <v>45219</v>
      </c>
      <c r="NX3" s="963">
        <v>45222</v>
      </c>
      <c r="NY3" s="963">
        <v>45223</v>
      </c>
      <c r="NZ3" s="963">
        <v>45224</v>
      </c>
      <c r="OA3" s="963">
        <v>45225</v>
      </c>
      <c r="OB3" s="963">
        <v>45226</v>
      </c>
      <c r="OC3" s="963">
        <v>45229</v>
      </c>
      <c r="OD3" s="963">
        <v>45230</v>
      </c>
      <c r="OE3" s="963">
        <v>45231</v>
      </c>
      <c r="OF3" s="963">
        <v>45232</v>
      </c>
      <c r="OG3" s="963">
        <v>45233</v>
      </c>
      <c r="OH3" s="963">
        <v>45237</v>
      </c>
      <c r="OI3" s="963">
        <v>45238</v>
      </c>
      <c r="OJ3" s="963">
        <v>45239</v>
      </c>
      <c r="OK3" s="963">
        <v>45240</v>
      </c>
      <c r="OL3" s="963">
        <v>45243</v>
      </c>
      <c r="OM3" s="963">
        <v>45244</v>
      </c>
      <c r="ON3" s="963">
        <v>45245</v>
      </c>
      <c r="OO3" s="963">
        <v>45246</v>
      </c>
      <c r="OP3" s="963">
        <v>45247</v>
      </c>
      <c r="OQ3" s="963">
        <v>45250</v>
      </c>
      <c r="OR3" s="963">
        <v>45251</v>
      </c>
      <c r="OS3" s="963">
        <v>45252</v>
      </c>
      <c r="OT3" s="963">
        <v>45253</v>
      </c>
      <c r="OU3" s="963">
        <v>45254</v>
      </c>
      <c r="OV3" s="963">
        <v>45257</v>
      </c>
      <c r="OW3" s="963">
        <v>45258</v>
      </c>
      <c r="OX3" s="963">
        <v>45259</v>
      </c>
      <c r="OY3" s="963">
        <v>45260</v>
      </c>
      <c r="OZ3" s="963">
        <v>45261</v>
      </c>
      <c r="PA3" s="963">
        <v>45264</v>
      </c>
      <c r="PB3" s="963">
        <v>45265</v>
      </c>
      <c r="PC3" s="963">
        <v>45266</v>
      </c>
      <c r="PD3" s="963">
        <v>45267</v>
      </c>
      <c r="PE3" s="963">
        <v>45268</v>
      </c>
      <c r="PF3" s="963">
        <v>45271</v>
      </c>
      <c r="PG3" s="963">
        <v>45272</v>
      </c>
      <c r="PH3" s="963">
        <v>45273</v>
      </c>
      <c r="PI3" s="963">
        <v>45274</v>
      </c>
      <c r="PJ3" s="963">
        <v>45275</v>
      </c>
      <c r="PK3" s="963">
        <v>45278</v>
      </c>
      <c r="PL3" s="963">
        <v>45279</v>
      </c>
      <c r="PM3" s="963">
        <v>45280</v>
      </c>
      <c r="PN3" s="963">
        <v>45281</v>
      </c>
      <c r="PO3" s="963">
        <v>45282</v>
      </c>
      <c r="PP3" s="963">
        <v>45285</v>
      </c>
      <c r="PQ3" s="963">
        <v>45286</v>
      </c>
      <c r="PR3" s="963">
        <v>45287</v>
      </c>
      <c r="PS3" s="963">
        <v>45288</v>
      </c>
      <c r="PT3" s="963">
        <v>45289</v>
      </c>
      <c r="PU3" s="963">
        <v>45300</v>
      </c>
      <c r="PV3" s="963">
        <v>45301</v>
      </c>
      <c r="PW3" s="963">
        <v>45302</v>
      </c>
      <c r="PX3" s="963">
        <v>45303</v>
      </c>
      <c r="PY3" s="963">
        <v>45306</v>
      </c>
      <c r="PZ3" s="963">
        <v>45307</v>
      </c>
      <c r="QA3" s="963">
        <v>45308</v>
      </c>
      <c r="QB3" s="963">
        <v>45309</v>
      </c>
      <c r="QC3" s="963">
        <v>45310</v>
      </c>
      <c r="QD3" s="963">
        <v>45313</v>
      </c>
      <c r="QE3" s="963">
        <v>45314</v>
      </c>
      <c r="QF3" s="963">
        <v>45315</v>
      </c>
      <c r="QG3" s="963">
        <v>45316</v>
      </c>
      <c r="QH3" s="963">
        <v>45317</v>
      </c>
      <c r="QI3" s="9">
        <v>45320</v>
      </c>
      <c r="QJ3" s="9">
        <v>45321</v>
      </c>
      <c r="QK3" s="9">
        <v>45322</v>
      </c>
      <c r="QL3" s="9">
        <v>45323</v>
      </c>
      <c r="QM3" s="9">
        <v>45324</v>
      </c>
      <c r="QN3" s="9">
        <v>45327</v>
      </c>
      <c r="QO3" s="9">
        <v>45328</v>
      </c>
      <c r="QP3" s="9">
        <v>45329</v>
      </c>
      <c r="QQ3" s="9">
        <v>45330</v>
      </c>
      <c r="QR3" s="9">
        <v>45331</v>
      </c>
      <c r="QS3" s="9">
        <v>45334</v>
      </c>
      <c r="QT3" s="9">
        <v>45335</v>
      </c>
      <c r="QU3" s="9">
        <v>45336</v>
      </c>
      <c r="QV3" s="9">
        <v>45337</v>
      </c>
      <c r="QW3" s="9">
        <v>45338</v>
      </c>
      <c r="QX3" s="9">
        <v>45341</v>
      </c>
      <c r="QY3" s="9">
        <v>45342</v>
      </c>
      <c r="QZ3" s="9">
        <v>45343</v>
      </c>
      <c r="RA3" s="9">
        <v>45344</v>
      </c>
      <c r="RB3" s="9">
        <v>45348</v>
      </c>
      <c r="RC3" s="9">
        <v>45349</v>
      </c>
      <c r="RD3" s="9">
        <v>45350</v>
      </c>
      <c r="RE3" s="9">
        <v>45351</v>
      </c>
      <c r="RF3" s="9">
        <v>45352</v>
      </c>
      <c r="RG3" s="9">
        <v>45355</v>
      </c>
      <c r="RH3" s="9">
        <v>45356</v>
      </c>
      <c r="RI3" s="9">
        <v>45357</v>
      </c>
      <c r="RJ3" s="9">
        <v>45358</v>
      </c>
      <c r="RK3" s="9">
        <v>45362</v>
      </c>
      <c r="RL3" s="9">
        <v>45363</v>
      </c>
      <c r="RM3" s="9">
        <v>45364</v>
      </c>
      <c r="RN3" s="9">
        <v>45365</v>
      </c>
      <c r="RO3" s="9">
        <v>45366</v>
      </c>
      <c r="RP3" s="9">
        <v>45369</v>
      </c>
      <c r="RQ3" s="9">
        <v>45370</v>
      </c>
      <c r="RR3" s="9">
        <v>45371</v>
      </c>
      <c r="RS3" s="9">
        <v>45372</v>
      </c>
      <c r="RT3" s="9">
        <v>45373</v>
      </c>
      <c r="RU3" s="9">
        <v>45376</v>
      </c>
      <c r="RV3" s="9">
        <v>45377</v>
      </c>
      <c r="RW3" s="9">
        <v>45378</v>
      </c>
      <c r="RX3" s="9">
        <v>45379</v>
      </c>
      <c r="RY3" s="9">
        <v>45380</v>
      </c>
      <c r="RZ3" s="9">
        <v>45383</v>
      </c>
      <c r="SA3" s="9">
        <v>45384</v>
      </c>
      <c r="SB3" s="9">
        <v>45385</v>
      </c>
      <c r="SC3" s="9">
        <v>45386</v>
      </c>
      <c r="SD3" s="9">
        <v>45387</v>
      </c>
      <c r="SE3" s="9">
        <v>45390</v>
      </c>
      <c r="SF3" s="9">
        <v>45391</v>
      </c>
      <c r="SG3" s="9">
        <v>45392</v>
      </c>
      <c r="SH3" s="9">
        <v>45393</v>
      </c>
      <c r="SI3" s="9">
        <v>45394</v>
      </c>
      <c r="SJ3" s="9">
        <v>45397</v>
      </c>
      <c r="SK3" s="9">
        <v>45398</v>
      </c>
      <c r="SL3" s="9">
        <v>45399</v>
      </c>
      <c r="SM3" s="9">
        <v>45400</v>
      </c>
      <c r="SN3" s="9">
        <v>45401</v>
      </c>
      <c r="SO3" s="9">
        <v>45404</v>
      </c>
      <c r="SP3" s="9">
        <v>45405</v>
      </c>
      <c r="SQ3" s="9">
        <v>45406</v>
      </c>
      <c r="SR3" s="9">
        <v>45407</v>
      </c>
      <c r="SS3" s="9">
        <v>45408</v>
      </c>
      <c r="ST3" s="9">
        <v>45409</v>
      </c>
      <c r="SU3" s="9">
        <v>45414</v>
      </c>
      <c r="SV3" s="9">
        <v>45415</v>
      </c>
      <c r="SW3" s="9">
        <v>45418</v>
      </c>
      <c r="SX3" s="9">
        <v>45419</v>
      </c>
      <c r="SY3" s="9">
        <v>45420</v>
      </c>
      <c r="SZ3" s="9">
        <v>45425</v>
      </c>
      <c r="TA3" s="9">
        <v>45426</v>
      </c>
      <c r="TB3" s="9">
        <v>45427</v>
      </c>
      <c r="TC3" s="9">
        <v>45428</v>
      </c>
      <c r="TD3" s="9">
        <v>45429</v>
      </c>
      <c r="TE3" s="9">
        <v>45432</v>
      </c>
      <c r="TF3" s="9">
        <v>45433</v>
      </c>
      <c r="TG3" s="9">
        <v>45434</v>
      </c>
      <c r="TH3" s="9">
        <v>45435</v>
      </c>
      <c r="TI3" s="9">
        <v>45436</v>
      </c>
      <c r="TJ3" s="9">
        <v>45439</v>
      </c>
      <c r="TK3" s="9">
        <v>45440</v>
      </c>
      <c r="TL3" s="9">
        <v>45441</v>
      </c>
      <c r="TM3" s="9">
        <v>45442</v>
      </c>
      <c r="TN3" s="9">
        <v>45443</v>
      </c>
      <c r="TO3" s="9">
        <v>45446</v>
      </c>
      <c r="TP3" s="9">
        <v>45447</v>
      </c>
      <c r="TQ3" s="9">
        <v>45448</v>
      </c>
      <c r="TR3" s="9">
        <v>45449</v>
      </c>
      <c r="TS3" s="9">
        <v>45450</v>
      </c>
      <c r="TT3" s="9">
        <v>45453</v>
      </c>
      <c r="TU3" s="9">
        <v>45454</v>
      </c>
      <c r="TV3" s="9">
        <v>45456</v>
      </c>
      <c r="TW3" s="9">
        <v>45457</v>
      </c>
      <c r="TX3" s="9">
        <v>45460</v>
      </c>
      <c r="TY3" s="9">
        <v>45461</v>
      </c>
      <c r="TZ3" s="9">
        <v>45462</v>
      </c>
      <c r="UA3" s="9">
        <v>45463</v>
      </c>
      <c r="UB3" s="9">
        <v>45469</v>
      </c>
      <c r="UC3" s="9">
        <v>45475</v>
      </c>
      <c r="UD3" s="9">
        <v>45482</v>
      </c>
      <c r="UE3" s="9">
        <v>45488</v>
      </c>
      <c r="UF3" s="9">
        <v>45489</v>
      </c>
      <c r="UG3" s="9">
        <v>45491</v>
      </c>
      <c r="UH3" s="9">
        <v>45496</v>
      </c>
      <c r="UI3" s="9">
        <v>45502</v>
      </c>
      <c r="UJ3" s="9">
        <v>45504</v>
      </c>
      <c r="UK3" s="9">
        <v>45509</v>
      </c>
      <c r="UL3" s="9">
        <v>45513</v>
      </c>
      <c r="UM3" s="9">
        <v>45517</v>
      </c>
      <c r="UN3" s="9">
        <v>45525</v>
      </c>
      <c r="UO3" s="9">
        <v>45526</v>
      </c>
      <c r="UP3" s="9">
        <v>45527</v>
      </c>
      <c r="UQ3" s="9">
        <v>45531</v>
      </c>
      <c r="UR3" s="9">
        <v>45532</v>
      </c>
      <c r="US3" s="9">
        <v>45537</v>
      </c>
      <c r="UT3" s="9">
        <v>45539</v>
      </c>
      <c r="UU3" s="9">
        <v>45540</v>
      </c>
      <c r="UV3" s="9">
        <v>45546</v>
      </c>
      <c r="UW3" s="9">
        <v>45548</v>
      </c>
      <c r="UX3" s="9">
        <v>45552</v>
      </c>
      <c r="UY3" s="9">
        <v>45553</v>
      </c>
      <c r="UZ3" s="9">
        <v>45555</v>
      </c>
      <c r="VA3" s="9">
        <v>45559</v>
      </c>
      <c r="VB3" s="9">
        <v>45561</v>
      </c>
      <c r="VC3" s="9">
        <v>45565</v>
      </c>
      <c r="VD3" s="9">
        <v>45566</v>
      </c>
      <c r="VE3" s="9">
        <v>45567</v>
      </c>
      <c r="VF3" s="9">
        <v>45576</v>
      </c>
      <c r="VG3" s="9">
        <v>45579</v>
      </c>
      <c r="VH3" s="9">
        <v>45580</v>
      </c>
      <c r="VI3" s="9">
        <v>45583</v>
      </c>
      <c r="VJ3" s="9">
        <v>45588</v>
      </c>
      <c r="VK3" s="9">
        <v>45589</v>
      </c>
      <c r="VL3" s="9">
        <v>45590</v>
      </c>
      <c r="VM3" s="9">
        <v>45595</v>
      </c>
      <c r="VN3" s="9">
        <v>45597</v>
      </c>
      <c r="VO3" s="9">
        <v>45598</v>
      </c>
      <c r="VP3" s="9">
        <v>45601</v>
      </c>
      <c r="VQ3" s="9">
        <v>45604</v>
      </c>
      <c r="VR3" s="9">
        <v>45608</v>
      </c>
      <c r="VS3" s="9">
        <v>45609</v>
      </c>
      <c r="VT3" s="9">
        <v>45610</v>
      </c>
      <c r="VU3" s="9">
        <v>45614</v>
      </c>
      <c r="VV3" s="9">
        <v>45616</v>
      </c>
      <c r="VW3" s="9">
        <v>45617</v>
      </c>
      <c r="VX3" s="9">
        <v>45622</v>
      </c>
      <c r="VY3" s="9">
        <v>45625</v>
      </c>
      <c r="VZ3" s="9">
        <v>45628</v>
      </c>
      <c r="WA3" s="9">
        <v>45629</v>
      </c>
      <c r="WB3" s="9">
        <v>45632</v>
      </c>
      <c r="WC3" s="9">
        <v>45638</v>
      </c>
      <c r="WD3" s="9">
        <v>45642</v>
      </c>
      <c r="WE3" s="9">
        <v>45645</v>
      </c>
      <c r="WF3" s="9">
        <v>45649</v>
      </c>
      <c r="WG3" s="9">
        <v>45652</v>
      </c>
      <c r="WH3" s="9">
        <v>45666</v>
      </c>
      <c r="WI3" s="9">
        <v>45670</v>
      </c>
      <c r="WJ3" s="9">
        <v>45671</v>
      </c>
      <c r="WK3" s="9">
        <v>45674</v>
      </c>
      <c r="WL3" s="9">
        <v>45677</v>
      </c>
      <c r="WM3" s="9">
        <v>45679</v>
      </c>
      <c r="WN3" s="9">
        <v>45684</v>
      </c>
      <c r="WO3" s="9">
        <v>45687</v>
      </c>
      <c r="WP3" s="9">
        <v>45692</v>
      </c>
      <c r="WQ3" s="9">
        <v>45693</v>
      </c>
      <c r="WR3" s="9">
        <v>45695</v>
      </c>
      <c r="WS3" s="9">
        <v>45698</v>
      </c>
      <c r="WT3" s="9">
        <v>45702</v>
      </c>
      <c r="WU3" s="9">
        <v>45706</v>
      </c>
      <c r="WV3" s="9">
        <v>45708</v>
      </c>
      <c r="WW3" s="9">
        <v>45712</v>
      </c>
      <c r="WX3" s="9">
        <v>45714</v>
      </c>
      <c r="WY3" s="9">
        <v>45716</v>
      </c>
      <c r="WZ3" s="9">
        <v>45721</v>
      </c>
      <c r="XA3" s="9">
        <v>45727</v>
      </c>
      <c r="XB3" s="9">
        <v>45728</v>
      </c>
      <c r="XC3" s="9">
        <v>45733</v>
      </c>
      <c r="XD3" s="9">
        <v>45735</v>
      </c>
      <c r="XE3" s="9">
        <v>45736</v>
      </c>
      <c r="XF3" s="9">
        <v>45740</v>
      </c>
      <c r="XG3" s="9">
        <v>45742</v>
      </c>
      <c r="XH3" s="9">
        <v>45743</v>
      </c>
      <c r="XI3" s="9">
        <v>45744</v>
      </c>
      <c r="XJ3" s="9">
        <v>45748</v>
      </c>
      <c r="XK3" s="9">
        <v>45750</v>
      </c>
      <c r="XL3" s="9">
        <v>45754</v>
      </c>
      <c r="XM3" s="9">
        <v>45756</v>
      </c>
      <c r="XN3" s="9">
        <v>45761</v>
      </c>
      <c r="XO3" s="9">
        <v>45769</v>
      </c>
      <c r="XP3" s="9">
        <v>45770</v>
      </c>
      <c r="XQ3" s="9">
        <v>45771</v>
      </c>
      <c r="XR3" s="9">
        <v>45772</v>
      </c>
      <c r="XS3" s="9">
        <v>45775</v>
      </c>
      <c r="XT3" s="9">
        <v>45777</v>
      </c>
      <c r="XU3" s="9">
        <v>45782</v>
      </c>
      <c r="XV3" s="9">
        <v>45783</v>
      </c>
      <c r="XW3" s="9">
        <v>45784</v>
      </c>
      <c r="XX3" s="9">
        <v>45789</v>
      </c>
      <c r="XY3" s="9">
        <v>45790</v>
      </c>
      <c r="XZ3" s="9">
        <v>45792</v>
      </c>
      <c r="YA3" s="9">
        <v>45797</v>
      </c>
      <c r="YB3" s="9">
        <v>45799</v>
      </c>
      <c r="YC3" s="9">
        <v>45803</v>
      </c>
      <c r="YD3" s="9">
        <v>45804</v>
      </c>
      <c r="YE3" s="9">
        <v>45811</v>
      </c>
      <c r="YF3" s="9">
        <v>45812</v>
      </c>
      <c r="YG3" s="9">
        <v>45814</v>
      </c>
      <c r="YH3" s="9">
        <v>45817</v>
      </c>
      <c r="YI3" s="9">
        <v>45824</v>
      </c>
      <c r="YJ3" s="9">
        <v>45825</v>
      </c>
      <c r="YK3" s="9">
        <v>45826</v>
      </c>
      <c r="YL3" s="9">
        <v>45832</v>
      </c>
      <c r="YM3" s="9">
        <v>45838</v>
      </c>
      <c r="YN3" s="9">
        <v>45840</v>
      </c>
      <c r="YO3" s="9">
        <v>45842</v>
      </c>
      <c r="YP3" s="9">
        <v>45845</v>
      </c>
      <c r="YQ3" s="9">
        <v>45846</v>
      </c>
      <c r="YR3" s="9">
        <v>45847</v>
      </c>
      <c r="YS3" s="9">
        <v>45848</v>
      </c>
      <c r="YT3" s="9">
        <v>45849</v>
      </c>
      <c r="YU3" s="9">
        <v>45853</v>
      </c>
      <c r="YV3" s="9">
        <v>45856</v>
      </c>
      <c r="YW3" s="9">
        <v>45859</v>
      </c>
      <c r="YX3" s="9">
        <v>45861</v>
      </c>
      <c r="YY3" s="9">
        <v>45863</v>
      </c>
      <c r="YZ3" s="9">
        <v>45868</v>
      </c>
      <c r="ZA3" s="9">
        <v>45870</v>
      </c>
      <c r="ZB3" s="9">
        <v>45875</v>
      </c>
      <c r="ZC3" s="9">
        <v>45876</v>
      </c>
      <c r="ZD3" s="9">
        <v>45880</v>
      </c>
      <c r="ZE3" s="1"/>
      <c r="ZF3" s="1"/>
      <c r="ZG3" s="1"/>
    </row>
    <row r="4" spans="1:683">
      <c r="A4" s="1330" t="s">
        <v>2</v>
      </c>
      <c r="B4" s="1331"/>
      <c r="C4" s="1332"/>
      <c r="D4" s="4">
        <v>9.5000000000000001E-2</v>
      </c>
      <c r="E4" s="136">
        <v>0.2</v>
      </c>
      <c r="F4" s="136">
        <v>0.2</v>
      </c>
      <c r="G4" s="136">
        <v>0.2</v>
      </c>
      <c r="H4" s="136">
        <v>0.2</v>
      </c>
      <c r="I4" s="136">
        <v>0.2</v>
      </c>
      <c r="J4" s="136">
        <v>0.2</v>
      </c>
      <c r="K4" s="136">
        <v>0.2</v>
      </c>
      <c r="L4" s="136">
        <v>0.2</v>
      </c>
      <c r="M4" s="136">
        <v>0.2</v>
      </c>
      <c r="N4" s="136">
        <v>0.2</v>
      </c>
      <c r="O4" s="136">
        <v>0.2</v>
      </c>
      <c r="P4" s="136">
        <v>0.2</v>
      </c>
      <c r="Q4" s="136">
        <v>0.2</v>
      </c>
      <c r="R4" s="136">
        <v>0.2</v>
      </c>
      <c r="S4" s="136">
        <v>0.2</v>
      </c>
      <c r="T4" s="136">
        <v>0.2</v>
      </c>
      <c r="U4" s="136">
        <v>0.2</v>
      </c>
      <c r="V4" s="136">
        <v>0.2</v>
      </c>
      <c r="W4" s="136">
        <v>0.2</v>
      </c>
      <c r="X4" s="136">
        <v>0.2</v>
      </c>
      <c r="Y4" s="136">
        <v>0.2</v>
      </c>
      <c r="Z4" s="136">
        <v>0.2</v>
      </c>
      <c r="AA4" s="136">
        <v>0.2</v>
      </c>
      <c r="AB4" s="136">
        <v>0.2</v>
      </c>
      <c r="AC4" s="136">
        <v>0.2</v>
      </c>
      <c r="AD4" s="136">
        <v>0.2</v>
      </c>
      <c r="AE4" s="136">
        <v>0.2</v>
      </c>
      <c r="AF4" s="136">
        <v>0.17</v>
      </c>
      <c r="AG4" s="136">
        <v>0.17</v>
      </c>
      <c r="AH4" s="136">
        <v>0.17</v>
      </c>
      <c r="AI4" s="136">
        <v>0.17</v>
      </c>
      <c r="AJ4" s="136">
        <v>0.17</v>
      </c>
      <c r="AK4" s="136">
        <v>0.17</v>
      </c>
      <c r="AL4" s="136">
        <v>0.17</v>
      </c>
      <c r="AM4" s="136">
        <v>0.17</v>
      </c>
      <c r="AN4" s="136">
        <v>0.17</v>
      </c>
      <c r="AO4" s="136">
        <v>0.17</v>
      </c>
      <c r="AP4" s="136">
        <v>0.17</v>
      </c>
      <c r="AQ4" s="136">
        <v>0.17</v>
      </c>
      <c r="AR4" s="136">
        <v>0.17</v>
      </c>
      <c r="AS4" s="136">
        <v>0.17</v>
      </c>
      <c r="AT4" s="136">
        <v>0.17</v>
      </c>
      <c r="AU4" s="136">
        <v>0.14000000000000001</v>
      </c>
      <c r="AV4" s="136">
        <v>0.14000000000000001</v>
      </c>
      <c r="AW4" s="136">
        <v>0.14000000000000001</v>
      </c>
      <c r="AX4" s="136">
        <v>0.14000000000000001</v>
      </c>
      <c r="AY4" s="136">
        <v>0.14000000000000001</v>
      </c>
      <c r="AZ4" s="136">
        <v>0.14000000000000001</v>
      </c>
      <c r="BA4" s="136">
        <v>0.14000000000000001</v>
      </c>
      <c r="BB4" s="136">
        <v>0.14000000000000001</v>
      </c>
      <c r="BC4" s="136">
        <v>0.14000000000000001</v>
      </c>
      <c r="BD4" s="136">
        <v>0.14000000000000001</v>
      </c>
      <c r="BE4" s="136">
        <v>0.14000000000000001</v>
      </c>
      <c r="BF4" s="136">
        <v>0.14000000000000001</v>
      </c>
      <c r="BG4" s="136">
        <v>0.14000000000000001</v>
      </c>
      <c r="BH4" s="136">
        <v>0.14000000000000001</v>
      </c>
      <c r="BI4" s="136">
        <v>0.14000000000000001</v>
      </c>
      <c r="BJ4" s="136">
        <v>0.11</v>
      </c>
      <c r="BK4" s="136">
        <v>0.11</v>
      </c>
      <c r="BL4" s="136">
        <v>0.11</v>
      </c>
      <c r="BM4" s="136">
        <v>0.11</v>
      </c>
      <c r="BN4" s="136">
        <v>0.11</v>
      </c>
      <c r="BO4" s="136">
        <v>0.11</v>
      </c>
      <c r="BP4" s="136">
        <v>0.11</v>
      </c>
      <c r="BQ4" s="136">
        <v>0.11</v>
      </c>
      <c r="BR4" s="136">
        <v>0.11</v>
      </c>
      <c r="BS4" s="136">
        <v>0.11</v>
      </c>
      <c r="BT4" s="136">
        <v>0.11</v>
      </c>
      <c r="BU4" s="584">
        <v>9.5000000000000001E-2</v>
      </c>
      <c r="BV4" s="584">
        <v>9.5000000000000001E-2</v>
      </c>
      <c r="BW4" s="584">
        <v>9.5000000000000001E-2</v>
      </c>
      <c r="BX4" s="584">
        <v>9.5000000000000001E-2</v>
      </c>
      <c r="BY4" s="584">
        <v>9.5000000000000001E-2</v>
      </c>
      <c r="BZ4" s="584">
        <v>9.5000000000000001E-2</v>
      </c>
      <c r="CA4" s="584">
        <v>9.5000000000000001E-2</v>
      </c>
      <c r="CB4" s="584">
        <v>9.5000000000000001E-2</v>
      </c>
      <c r="CC4" s="584">
        <v>9.5000000000000001E-2</v>
      </c>
      <c r="CD4" s="584">
        <v>9.5000000000000001E-2</v>
      </c>
      <c r="CE4" s="584">
        <v>9.5000000000000001E-2</v>
      </c>
      <c r="CF4" s="584">
        <v>9.5000000000000001E-2</v>
      </c>
      <c r="CG4" s="584">
        <v>9.5000000000000001E-2</v>
      </c>
      <c r="CH4" s="584">
        <v>9.5000000000000001E-2</v>
      </c>
      <c r="CI4" s="584">
        <v>9.5000000000000001E-2</v>
      </c>
      <c r="CJ4" s="584">
        <v>9.5000000000000001E-2</v>
      </c>
      <c r="CK4" s="584">
        <v>9.5000000000000001E-2</v>
      </c>
      <c r="CL4" s="584">
        <v>9.5000000000000001E-2</v>
      </c>
      <c r="CM4" s="584">
        <v>9.5000000000000001E-2</v>
      </c>
      <c r="CN4" s="584">
        <v>9.5000000000000001E-2</v>
      </c>
      <c r="CO4" s="584">
        <v>9.5000000000000001E-2</v>
      </c>
      <c r="CP4" s="584">
        <v>9.5000000000000001E-2</v>
      </c>
      <c r="CQ4" s="584">
        <v>9.5000000000000001E-2</v>
      </c>
      <c r="CR4" s="584">
        <v>9.5000000000000001E-2</v>
      </c>
      <c r="CS4" s="584">
        <v>9.5000000000000001E-2</v>
      </c>
      <c r="CT4" s="584">
        <v>9.5000000000000001E-2</v>
      </c>
      <c r="CU4" s="584">
        <v>9.5000000000000001E-2</v>
      </c>
      <c r="CV4" s="584">
        <v>9.5000000000000001E-2</v>
      </c>
      <c r="CW4" s="584">
        <v>9.5000000000000001E-2</v>
      </c>
      <c r="CX4" s="584">
        <v>0.08</v>
      </c>
      <c r="CY4" s="584">
        <v>0.08</v>
      </c>
      <c r="CZ4" s="584">
        <v>0.08</v>
      </c>
      <c r="DA4" s="584">
        <v>0.08</v>
      </c>
      <c r="DB4" s="584">
        <v>0.08</v>
      </c>
      <c r="DC4" s="584">
        <v>0.08</v>
      </c>
      <c r="DD4" s="584">
        <v>0.08</v>
      </c>
      <c r="DE4" s="584">
        <v>0.08</v>
      </c>
      <c r="DF4" s="584">
        <v>0.08</v>
      </c>
      <c r="DG4" s="584">
        <v>0.08</v>
      </c>
      <c r="DH4" s="584">
        <v>0.08</v>
      </c>
      <c r="DI4" s="584">
        <v>0.08</v>
      </c>
      <c r="DJ4" s="584">
        <v>0.08</v>
      </c>
      <c r="DK4" s="584">
        <v>0.08</v>
      </c>
      <c r="DL4" s="584">
        <v>0.08</v>
      </c>
      <c r="DM4" s="584">
        <v>0.08</v>
      </c>
      <c r="DN4" s="584">
        <v>0.08</v>
      </c>
      <c r="DO4" s="584">
        <v>0.08</v>
      </c>
      <c r="DP4" s="584">
        <v>0.08</v>
      </c>
      <c r="DQ4" s="584">
        <v>0.08</v>
      </c>
      <c r="DR4" s="584">
        <v>0.08</v>
      </c>
      <c r="DS4" s="584">
        <v>0.08</v>
      </c>
      <c r="DT4" s="584">
        <v>0.08</v>
      </c>
      <c r="DU4" s="584">
        <v>0.08</v>
      </c>
      <c r="DV4" s="584">
        <v>0.08</v>
      </c>
      <c r="DW4" s="584">
        <v>0.08</v>
      </c>
      <c r="DX4" s="584">
        <v>0.08</v>
      </c>
      <c r="DY4" s="584">
        <v>0.08</v>
      </c>
      <c r="DZ4" s="584">
        <v>0.08</v>
      </c>
      <c r="EA4" s="584">
        <v>0.08</v>
      </c>
      <c r="EB4" s="584">
        <v>0.08</v>
      </c>
      <c r="EC4" s="584">
        <v>0.08</v>
      </c>
      <c r="ED4" s="584">
        <v>0.08</v>
      </c>
      <c r="EE4" s="584">
        <v>0.08</v>
      </c>
      <c r="EF4" s="584">
        <v>0.08</v>
      </c>
      <c r="EG4" s="584">
        <v>0.08</v>
      </c>
      <c r="EH4" s="584">
        <v>0.08</v>
      </c>
      <c r="EI4" s="584">
        <v>0.08</v>
      </c>
      <c r="EJ4" s="584">
        <v>0.08</v>
      </c>
      <c r="EK4" s="584">
        <v>0.08</v>
      </c>
      <c r="EL4" s="584">
        <v>7.4999999999999997E-2</v>
      </c>
      <c r="EM4" s="584">
        <v>7.4999999999999997E-2</v>
      </c>
      <c r="EN4" s="584">
        <v>7.4999999999999997E-2</v>
      </c>
      <c r="EO4" s="584">
        <v>7.4999999999999997E-2</v>
      </c>
      <c r="EP4" s="584">
        <v>7.4999999999999997E-2</v>
      </c>
      <c r="EQ4" s="584">
        <v>7.4999999999999997E-2</v>
      </c>
      <c r="ER4" s="584">
        <v>7.4999999999999997E-2</v>
      </c>
      <c r="ES4" s="584">
        <v>7.4999999999999997E-2</v>
      </c>
      <c r="ET4" s="584">
        <v>7.4999999999999997E-2</v>
      </c>
      <c r="EU4" s="584">
        <v>7.4999999999999997E-2</v>
      </c>
      <c r="EV4" s="584">
        <v>7.4999999999999997E-2</v>
      </c>
      <c r="EW4" s="584">
        <v>7.4999999999999997E-2</v>
      </c>
      <c r="EX4" s="584">
        <v>7.4999999999999997E-2</v>
      </c>
      <c r="EY4" s="584">
        <v>7.4999999999999997E-2</v>
      </c>
      <c r="EZ4" s="584">
        <v>7.4999999999999997E-2</v>
      </c>
      <c r="FA4" s="584">
        <v>7.4999999999999997E-2</v>
      </c>
      <c r="FB4" s="584">
        <v>7.4999999999999997E-2</v>
      </c>
      <c r="FC4" s="584">
        <v>7.4999999999999997E-2</v>
      </c>
      <c r="FD4" s="584">
        <v>7.4999999999999997E-2</v>
      </c>
      <c r="FE4" s="584">
        <v>7.4999999999999997E-2</v>
      </c>
      <c r="FF4" s="584">
        <v>7.4999999999999997E-2</v>
      </c>
      <c r="FG4" s="584">
        <v>7.4999999999999997E-2</v>
      </c>
      <c r="FH4" s="584">
        <v>7.4999999999999997E-2</v>
      </c>
      <c r="FI4" s="584">
        <v>7.4999999999999997E-2</v>
      </c>
      <c r="FJ4" s="584">
        <v>7.4999999999999997E-2</v>
      </c>
      <c r="FK4" s="584">
        <v>7.4999999999999997E-2</v>
      </c>
      <c r="FL4" s="584">
        <v>7.4999999999999997E-2</v>
      </c>
      <c r="FM4" s="584">
        <v>7.4999999999999997E-2</v>
      </c>
      <c r="FN4" s="584">
        <v>7.4999999999999997E-2</v>
      </c>
      <c r="FO4" s="584">
        <v>7.4999999999999997E-2</v>
      </c>
      <c r="FP4" s="584">
        <v>7.4999999999999997E-2</v>
      </c>
      <c r="FQ4" s="584">
        <v>7.4999999999999997E-2</v>
      </c>
      <c r="FR4" s="584">
        <v>7.4999999999999997E-2</v>
      </c>
      <c r="FS4" s="584">
        <v>7.4999999999999997E-2</v>
      </c>
      <c r="FT4" s="584">
        <v>7.4999999999999997E-2</v>
      </c>
      <c r="FU4" s="584">
        <v>7.4999999999999997E-2</v>
      </c>
      <c r="FV4" s="584">
        <v>7.4999999999999997E-2</v>
      </c>
      <c r="FW4" s="584">
        <v>7.4999999999999997E-2</v>
      </c>
      <c r="FX4" s="584">
        <v>7.4999999999999997E-2</v>
      </c>
      <c r="FY4" s="584">
        <v>7.4999999999999997E-2</v>
      </c>
      <c r="FZ4" s="584">
        <v>7.4999999999999997E-2</v>
      </c>
      <c r="GA4" s="584">
        <v>7.4999999999999997E-2</v>
      </c>
      <c r="GB4" s="584">
        <v>7.4999999999999997E-2</v>
      </c>
      <c r="GC4" s="584">
        <v>7.4999999999999997E-2</v>
      </c>
      <c r="GD4" s="584">
        <v>7.4999999999999997E-2</v>
      </c>
      <c r="GE4" s="584">
        <v>7.4999999999999997E-2</v>
      </c>
      <c r="GF4" s="584">
        <v>7.4999999999999997E-2</v>
      </c>
      <c r="GG4" s="584">
        <v>7.4999999999999997E-2</v>
      </c>
      <c r="GH4" s="584">
        <v>7.4999999999999997E-2</v>
      </c>
      <c r="GI4" s="584">
        <v>7.4999999999999997E-2</v>
      </c>
      <c r="GJ4" s="584">
        <v>7.4999999999999997E-2</v>
      </c>
      <c r="GK4" s="584">
        <v>7.4999999999999997E-2</v>
      </c>
      <c r="GL4" s="584">
        <v>7.4999999999999997E-2</v>
      </c>
      <c r="GM4" s="584">
        <v>7.4999999999999997E-2</v>
      </c>
      <c r="GN4" s="584">
        <v>7.4999999999999997E-2</v>
      </c>
      <c r="GO4" s="584">
        <v>7.4999999999999997E-2</v>
      </c>
      <c r="GP4" s="584">
        <v>7.4999999999999997E-2</v>
      </c>
      <c r="GQ4" s="584">
        <v>7.4999999999999997E-2</v>
      </c>
      <c r="GR4" s="584">
        <v>7.4999999999999997E-2</v>
      </c>
      <c r="GS4" s="584">
        <v>7.4999999999999997E-2</v>
      </c>
      <c r="GT4" s="584">
        <v>7.4999999999999997E-2</v>
      </c>
      <c r="GU4" s="584">
        <v>7.4999999999999997E-2</v>
      </c>
      <c r="GV4" s="584">
        <v>7.4999999999999997E-2</v>
      </c>
      <c r="GW4" s="584">
        <v>7.4999999999999997E-2</v>
      </c>
      <c r="GX4" s="584">
        <v>7.4999999999999997E-2</v>
      </c>
      <c r="GY4" s="584">
        <v>7.4999999999999997E-2</v>
      </c>
      <c r="GZ4" s="584">
        <v>7.4999999999999997E-2</v>
      </c>
      <c r="HA4" s="584">
        <v>7.4999999999999997E-2</v>
      </c>
      <c r="HB4" s="584">
        <v>7.4999999999999997E-2</v>
      </c>
      <c r="HC4" s="584">
        <v>7.4999999999999997E-2</v>
      </c>
      <c r="HD4" s="584">
        <v>7.4999999999999997E-2</v>
      </c>
      <c r="HE4" s="584">
        <v>7.4999999999999997E-2</v>
      </c>
      <c r="HF4" s="584">
        <v>7.4999999999999997E-2</v>
      </c>
      <c r="HG4" s="584">
        <v>7.4999999999999997E-2</v>
      </c>
      <c r="HH4" s="584">
        <v>7.4999999999999997E-2</v>
      </c>
      <c r="HI4" s="584">
        <v>7.4999999999999997E-2</v>
      </c>
      <c r="HJ4" s="584">
        <v>7.4999999999999997E-2</v>
      </c>
      <c r="HK4" s="584">
        <v>7.4999999999999997E-2</v>
      </c>
      <c r="HL4" s="584">
        <v>7.4999999999999997E-2</v>
      </c>
      <c r="HM4" s="584">
        <v>7.4999999999999997E-2</v>
      </c>
      <c r="HN4" s="584">
        <v>7.4999999999999997E-2</v>
      </c>
      <c r="HO4" s="584">
        <v>7.4999999999999997E-2</v>
      </c>
      <c r="HP4" s="584">
        <v>7.4999999999999997E-2</v>
      </c>
      <c r="HQ4" s="584">
        <v>7.4999999999999997E-2</v>
      </c>
      <c r="HR4" s="584">
        <v>7.4999999999999997E-2</v>
      </c>
      <c r="HS4" s="584">
        <v>7.4999999999999997E-2</v>
      </c>
      <c r="HT4" s="584">
        <v>7.4999999999999997E-2</v>
      </c>
      <c r="HU4" s="584">
        <v>7.4999999999999997E-2</v>
      </c>
      <c r="HV4" s="584">
        <v>7.4999999999999997E-2</v>
      </c>
      <c r="HW4" s="584">
        <v>7.4999999999999997E-2</v>
      </c>
      <c r="HX4" s="584">
        <v>7.4999999999999997E-2</v>
      </c>
      <c r="HY4" s="584">
        <v>7.4999999999999997E-2</v>
      </c>
      <c r="HZ4" s="584">
        <v>7.4999999999999997E-2</v>
      </c>
      <c r="IA4" s="584">
        <v>7.4999999999999997E-2</v>
      </c>
      <c r="IB4" s="584">
        <v>7.4999999999999997E-2</v>
      </c>
      <c r="IC4" s="584">
        <v>7.4999999999999997E-2</v>
      </c>
      <c r="ID4" s="584">
        <v>7.4999999999999997E-2</v>
      </c>
      <c r="IE4" s="584">
        <v>7.4999999999999997E-2</v>
      </c>
      <c r="IF4" s="584">
        <v>7.4999999999999997E-2</v>
      </c>
      <c r="IG4" s="584">
        <v>7.4999999999999997E-2</v>
      </c>
      <c r="IH4" s="584">
        <v>7.4999999999999997E-2</v>
      </c>
      <c r="II4" s="584">
        <v>7.4999999999999997E-2</v>
      </c>
      <c r="IJ4" s="584">
        <v>7.4999999999999997E-2</v>
      </c>
      <c r="IK4" s="584">
        <v>7.4999999999999997E-2</v>
      </c>
      <c r="IL4" s="584">
        <v>7.4999999999999997E-2</v>
      </c>
      <c r="IM4" s="584">
        <v>7.4999999999999997E-2</v>
      </c>
      <c r="IN4" s="584">
        <v>7.4999999999999997E-2</v>
      </c>
      <c r="IO4" s="584">
        <v>7.4999999999999997E-2</v>
      </c>
      <c r="IP4" s="584">
        <v>7.4999999999999997E-2</v>
      </c>
      <c r="IQ4" s="584">
        <v>7.4999999999999997E-2</v>
      </c>
      <c r="IR4" s="584">
        <v>7.4999999999999997E-2</v>
      </c>
      <c r="IS4" s="584">
        <v>7.4999999999999997E-2</v>
      </c>
      <c r="IT4" s="584">
        <v>7.4999999999999997E-2</v>
      </c>
      <c r="IU4" s="584">
        <v>7.4999999999999997E-2</v>
      </c>
      <c r="IV4" s="584">
        <v>7.4999999999999997E-2</v>
      </c>
      <c r="IW4" s="584">
        <v>7.4999999999999997E-2</v>
      </c>
      <c r="IX4" s="584">
        <v>7.4999999999999997E-2</v>
      </c>
      <c r="IY4" s="584">
        <v>7.4999999999999997E-2</v>
      </c>
      <c r="IZ4" s="584">
        <v>7.4999999999999997E-2</v>
      </c>
      <c r="JA4" s="584">
        <v>7.4999999999999997E-2</v>
      </c>
      <c r="JB4" s="584">
        <v>7.4999999999999997E-2</v>
      </c>
      <c r="JC4" s="584">
        <v>7.4999999999999997E-2</v>
      </c>
      <c r="JD4" s="584">
        <v>7.4999999999999997E-2</v>
      </c>
      <c r="JE4" s="584">
        <v>7.4999999999999997E-2</v>
      </c>
      <c r="JF4" s="584">
        <v>7.4999999999999997E-2</v>
      </c>
      <c r="JG4" s="584">
        <v>7.4999999999999997E-2</v>
      </c>
      <c r="JH4" s="584">
        <v>7.4999999999999997E-2</v>
      </c>
      <c r="JI4" s="584">
        <v>7.4999999999999997E-2</v>
      </c>
      <c r="JJ4" s="584">
        <v>7.4999999999999997E-2</v>
      </c>
      <c r="JK4" s="584">
        <v>7.4999999999999997E-2</v>
      </c>
      <c r="JL4" s="584">
        <v>7.4999999999999997E-2</v>
      </c>
      <c r="JM4" s="584">
        <v>7.4999999999999997E-2</v>
      </c>
      <c r="JN4" s="584">
        <v>7.4999999999999997E-2</v>
      </c>
      <c r="JO4" s="584">
        <v>7.4999999999999997E-2</v>
      </c>
      <c r="JP4" s="584">
        <v>7.4999999999999997E-2</v>
      </c>
      <c r="JQ4" s="584">
        <v>7.4999999999999997E-2</v>
      </c>
      <c r="JR4" s="584">
        <v>7.4999999999999997E-2</v>
      </c>
      <c r="JS4" s="584">
        <v>7.4999999999999997E-2</v>
      </c>
      <c r="JT4" s="584">
        <v>7.4999999999999997E-2</v>
      </c>
      <c r="JU4" s="584">
        <v>7.4999999999999997E-2</v>
      </c>
      <c r="JV4" s="584">
        <v>7.4999999999999997E-2</v>
      </c>
      <c r="JW4" s="584">
        <v>7.4999999999999997E-2</v>
      </c>
      <c r="JX4" s="584">
        <v>7.4999999999999997E-2</v>
      </c>
      <c r="JY4" s="584">
        <v>7.4999999999999997E-2</v>
      </c>
      <c r="JZ4" s="584">
        <v>7.4999999999999997E-2</v>
      </c>
      <c r="KA4" s="584">
        <v>7.4999999999999997E-2</v>
      </c>
      <c r="KB4" s="584">
        <v>7.4999999999999997E-2</v>
      </c>
      <c r="KC4" s="584">
        <v>7.4999999999999997E-2</v>
      </c>
      <c r="KD4" s="584">
        <v>7.4999999999999997E-2</v>
      </c>
      <c r="KE4" s="584">
        <v>7.4999999999999997E-2</v>
      </c>
      <c r="KF4" s="584">
        <v>7.4999999999999997E-2</v>
      </c>
      <c r="KG4" s="584">
        <v>7.4999999999999997E-2</v>
      </c>
      <c r="KH4" s="584">
        <v>7.4999999999999997E-2</v>
      </c>
      <c r="KI4" s="584">
        <v>7.4999999999999997E-2</v>
      </c>
      <c r="KJ4" s="584">
        <v>7.4999999999999997E-2</v>
      </c>
      <c r="KK4" s="584">
        <v>7.4999999999999997E-2</v>
      </c>
      <c r="KL4" s="584">
        <v>7.4999999999999997E-2</v>
      </c>
      <c r="KM4" s="584">
        <v>7.4999999999999997E-2</v>
      </c>
      <c r="KN4" s="584">
        <v>7.4999999999999997E-2</v>
      </c>
      <c r="KO4" s="584">
        <v>7.4999999999999997E-2</v>
      </c>
      <c r="KP4" s="584">
        <v>7.4999999999999997E-2</v>
      </c>
      <c r="KQ4" s="584">
        <v>7.4999999999999997E-2</v>
      </c>
      <c r="KR4" s="584">
        <v>7.4999999999999997E-2</v>
      </c>
      <c r="KS4" s="584">
        <v>7.4999999999999997E-2</v>
      </c>
      <c r="KT4" s="584">
        <v>7.4999999999999997E-2</v>
      </c>
      <c r="KU4" s="584">
        <v>7.4999999999999997E-2</v>
      </c>
      <c r="KV4" s="584">
        <v>7.4999999999999997E-2</v>
      </c>
      <c r="KW4" s="584">
        <v>7.4999999999999997E-2</v>
      </c>
      <c r="KX4" s="584">
        <v>7.4999999999999997E-2</v>
      </c>
      <c r="KY4" s="584">
        <v>7.4999999999999997E-2</v>
      </c>
      <c r="KZ4" s="584">
        <v>7.4999999999999997E-2</v>
      </c>
      <c r="LA4" s="584">
        <v>7.4999999999999997E-2</v>
      </c>
      <c r="LB4" s="584">
        <v>7.4999999999999997E-2</v>
      </c>
      <c r="LC4" s="584">
        <v>7.4999999999999997E-2</v>
      </c>
      <c r="LD4" s="584">
        <v>7.4999999999999997E-2</v>
      </c>
      <c r="LE4" s="584">
        <v>7.4999999999999997E-2</v>
      </c>
      <c r="LF4" s="584">
        <v>7.4999999999999997E-2</v>
      </c>
      <c r="LG4" s="584">
        <v>7.4999999999999997E-2</v>
      </c>
      <c r="LH4" s="584">
        <v>7.4999999999999997E-2</v>
      </c>
      <c r="LI4" s="584">
        <v>7.4999999999999997E-2</v>
      </c>
      <c r="LJ4" s="584">
        <v>7.4999999999999997E-2</v>
      </c>
      <c r="LK4" s="584">
        <v>7.4999999999999997E-2</v>
      </c>
      <c r="LL4" s="584">
        <v>7.4999999999999997E-2</v>
      </c>
      <c r="LM4" s="584">
        <v>7.4999999999999997E-2</v>
      </c>
      <c r="LN4" s="584">
        <v>7.4999999999999997E-2</v>
      </c>
      <c r="LO4" s="584">
        <v>8.5000000000000006E-2</v>
      </c>
      <c r="LP4" s="584">
        <v>8.5000000000000006E-2</v>
      </c>
      <c r="LQ4" s="584">
        <v>8.5000000000000006E-2</v>
      </c>
      <c r="LR4" s="584">
        <v>8.5000000000000006E-2</v>
      </c>
      <c r="LS4" s="584">
        <v>8.5000000000000006E-2</v>
      </c>
      <c r="LT4" s="584">
        <v>8.5000000000000006E-2</v>
      </c>
      <c r="LU4" s="584">
        <v>8.5000000000000006E-2</v>
      </c>
      <c r="LV4" s="584">
        <v>8.5000000000000006E-2</v>
      </c>
      <c r="LW4" s="584">
        <v>8.5000000000000006E-2</v>
      </c>
      <c r="LX4" s="584">
        <v>8.5000000000000006E-2</v>
      </c>
      <c r="LY4" s="584">
        <v>8.5000000000000006E-2</v>
      </c>
      <c r="LZ4" s="584">
        <v>8.5000000000000006E-2</v>
      </c>
      <c r="MA4" s="584">
        <v>0.12</v>
      </c>
      <c r="MB4" s="584">
        <v>0.12</v>
      </c>
      <c r="MC4" s="584">
        <v>0.12</v>
      </c>
      <c r="MD4" s="584">
        <v>0.12</v>
      </c>
      <c r="ME4" s="584">
        <v>0.12</v>
      </c>
      <c r="MF4" s="584">
        <v>0.12</v>
      </c>
      <c r="MG4" s="584">
        <v>0.12</v>
      </c>
      <c r="MH4" s="584">
        <v>0.12</v>
      </c>
      <c r="MI4" s="584">
        <v>0.12</v>
      </c>
      <c r="MJ4" s="584">
        <v>0.12</v>
      </c>
      <c r="MK4" s="584">
        <v>0.12</v>
      </c>
      <c r="ML4" s="584">
        <v>0.12</v>
      </c>
      <c r="MM4" s="584">
        <v>0.12</v>
      </c>
      <c r="MN4" s="584">
        <v>0.12</v>
      </c>
      <c r="MO4" s="584">
        <v>0.12</v>
      </c>
      <c r="MP4" s="584">
        <v>0.12</v>
      </c>
      <c r="MQ4" s="584">
        <v>0.12</v>
      </c>
      <c r="MR4" s="584">
        <v>0.12</v>
      </c>
      <c r="MS4" s="584">
        <v>0.12</v>
      </c>
      <c r="MT4" s="584">
        <v>0.12</v>
      </c>
      <c r="MU4" s="584">
        <v>0.12</v>
      </c>
      <c r="MV4" s="584">
        <v>0.12</v>
      </c>
      <c r="MW4" s="584">
        <v>0.12</v>
      </c>
      <c r="MX4" s="584">
        <v>0.13</v>
      </c>
      <c r="MY4" s="584">
        <f>+MX4</f>
        <v>0.13</v>
      </c>
      <c r="MZ4" s="584">
        <f t="shared" ref="MZ4:NC4" si="0">+MY4</f>
        <v>0.13</v>
      </c>
      <c r="NA4" s="584">
        <f t="shared" si="0"/>
        <v>0.13</v>
      </c>
      <c r="NB4" s="584">
        <f t="shared" si="0"/>
        <v>0.13</v>
      </c>
      <c r="NC4" s="584">
        <f t="shared" si="0"/>
        <v>0.13</v>
      </c>
      <c r="ND4" s="584">
        <v>0.13</v>
      </c>
      <c r="NE4" s="584">
        <v>0.13</v>
      </c>
      <c r="NF4" s="584">
        <v>0.13</v>
      </c>
      <c r="NG4" s="584">
        <v>0.13</v>
      </c>
      <c r="NH4" s="584">
        <v>0.13</v>
      </c>
      <c r="NI4" s="584">
        <v>0.13</v>
      </c>
      <c r="NJ4" s="584">
        <v>0.13</v>
      </c>
      <c r="NK4" s="584">
        <v>0.13</v>
      </c>
      <c r="NL4" s="584">
        <v>0.13</v>
      </c>
      <c r="NM4" s="584">
        <v>0.13</v>
      </c>
      <c r="NN4" s="584">
        <v>0.13</v>
      </c>
      <c r="NO4" s="584">
        <v>0.13</v>
      </c>
      <c r="NP4" s="584">
        <v>0.13</v>
      </c>
      <c r="NQ4" s="584">
        <v>0.13</v>
      </c>
      <c r="NR4" s="584">
        <v>0.13</v>
      </c>
      <c r="NS4" s="584">
        <v>0.13</v>
      </c>
      <c r="NT4" s="584">
        <v>0.13</v>
      </c>
      <c r="NU4" s="584">
        <v>0.13</v>
      </c>
      <c r="NV4" s="584">
        <v>0.13</v>
      </c>
      <c r="NW4" s="584">
        <v>0.13</v>
      </c>
      <c r="NX4" s="584">
        <v>0.13</v>
      </c>
      <c r="NY4" s="584">
        <v>0.13</v>
      </c>
      <c r="NZ4" s="584">
        <v>0.13</v>
      </c>
      <c r="OA4" s="584">
        <v>0.13</v>
      </c>
      <c r="OB4" s="584">
        <v>0.13</v>
      </c>
      <c r="OC4" s="584">
        <v>0.15</v>
      </c>
      <c r="OD4" s="584">
        <v>0.15</v>
      </c>
      <c r="OE4" s="584">
        <v>0.15</v>
      </c>
      <c r="OF4" s="584">
        <v>0.15</v>
      </c>
      <c r="OG4" s="584">
        <v>0.15</v>
      </c>
      <c r="OH4" s="584">
        <v>0.15</v>
      </c>
      <c r="OI4" s="584">
        <v>0.15</v>
      </c>
      <c r="OJ4" s="584">
        <v>0.15</v>
      </c>
      <c r="OK4" s="584">
        <v>0.15</v>
      </c>
      <c r="OL4" s="584">
        <v>0.15</v>
      </c>
      <c r="OM4" s="584">
        <v>0.15</v>
      </c>
      <c r="ON4" s="584">
        <v>0.15</v>
      </c>
      <c r="OO4" s="584">
        <v>0.15</v>
      </c>
      <c r="OP4" s="584">
        <v>0.15</v>
      </c>
      <c r="OQ4" s="584">
        <v>0.15</v>
      </c>
      <c r="OR4" s="584">
        <v>0.15</v>
      </c>
      <c r="OS4" s="584">
        <v>0.15</v>
      </c>
      <c r="OT4" s="584">
        <v>0.15</v>
      </c>
      <c r="OU4" s="584">
        <v>0.15</v>
      </c>
      <c r="OV4" s="584">
        <v>0.15</v>
      </c>
      <c r="OW4" s="584">
        <v>0.15</v>
      </c>
      <c r="OX4" s="584">
        <v>0.15</v>
      </c>
      <c r="OY4" s="584">
        <v>0.15</v>
      </c>
      <c r="OZ4" s="584">
        <v>0.15</v>
      </c>
      <c r="PA4" s="584">
        <v>0.15</v>
      </c>
      <c r="PB4" s="584">
        <v>0.15</v>
      </c>
      <c r="PC4" s="584">
        <v>0.15</v>
      </c>
      <c r="PD4" s="584">
        <v>0.15</v>
      </c>
      <c r="PE4" s="584">
        <v>0.15</v>
      </c>
      <c r="PF4" s="584">
        <v>0.15</v>
      </c>
      <c r="PG4" s="584">
        <v>0.15</v>
      </c>
      <c r="PH4" s="584">
        <v>0.15</v>
      </c>
      <c r="PI4" s="584">
        <v>0.15</v>
      </c>
      <c r="PJ4" s="584">
        <v>0.15</v>
      </c>
      <c r="PK4" s="584">
        <v>0.16</v>
      </c>
      <c r="PL4" s="584">
        <v>0.16</v>
      </c>
      <c r="PM4" s="584">
        <v>0.16</v>
      </c>
      <c r="PN4" s="584">
        <v>0.16</v>
      </c>
      <c r="PO4" s="584">
        <v>0.16</v>
      </c>
      <c r="PP4" s="584">
        <v>0.16</v>
      </c>
      <c r="PQ4" s="584">
        <v>0.16</v>
      </c>
      <c r="PR4" s="584">
        <v>0.16</v>
      </c>
      <c r="PS4" s="584">
        <v>0.16</v>
      </c>
      <c r="PT4" s="584">
        <v>0.16</v>
      </c>
      <c r="PU4" s="584">
        <v>0.16</v>
      </c>
      <c r="PV4" s="584">
        <v>0.16</v>
      </c>
      <c r="PW4" s="584">
        <v>0.16</v>
      </c>
      <c r="PX4" s="584">
        <v>0.16</v>
      </c>
      <c r="PY4" s="584">
        <v>0.16</v>
      </c>
      <c r="PZ4" s="584">
        <v>0.16</v>
      </c>
      <c r="QA4" s="584">
        <v>0.16</v>
      </c>
      <c r="QB4" s="584">
        <v>0.16</v>
      </c>
      <c r="QC4" s="584">
        <v>0.16</v>
      </c>
      <c r="QD4" s="584">
        <v>0.16</v>
      </c>
      <c r="QE4" s="584">
        <v>0.16</v>
      </c>
      <c r="QF4" s="584">
        <v>0.16</v>
      </c>
      <c r="QG4" s="584">
        <v>0.16</v>
      </c>
      <c r="QH4" s="584">
        <v>0.16</v>
      </c>
      <c r="QI4" s="584">
        <v>0.16</v>
      </c>
      <c r="QJ4" s="584">
        <v>0.16</v>
      </c>
      <c r="QK4" s="584">
        <v>0.16</v>
      </c>
      <c r="QL4" s="584">
        <v>0.16</v>
      </c>
      <c r="QM4" s="584">
        <v>0.16</v>
      </c>
      <c r="QN4" s="584">
        <v>0.16</v>
      </c>
      <c r="QO4" s="584">
        <v>0.16</v>
      </c>
      <c r="QP4" s="584">
        <v>0.16</v>
      </c>
      <c r="QQ4" s="584">
        <v>0.16</v>
      </c>
      <c r="QR4" s="584">
        <v>0.16</v>
      </c>
      <c r="QS4" s="584">
        <v>0.16</v>
      </c>
      <c r="QT4" s="584">
        <v>0.16</v>
      </c>
      <c r="QU4" s="584">
        <v>0.16</v>
      </c>
      <c r="QV4" s="584">
        <v>0.16</v>
      </c>
      <c r="QW4" s="584">
        <v>0.16</v>
      </c>
      <c r="QX4" s="584">
        <v>0.16</v>
      </c>
      <c r="QY4" s="584">
        <v>0.16</v>
      </c>
      <c r="QZ4" s="584">
        <v>0.16</v>
      </c>
      <c r="RA4" s="584">
        <v>0.16</v>
      </c>
      <c r="RB4" s="584">
        <v>0.16</v>
      </c>
      <c r="RC4" s="584">
        <v>0.16</v>
      </c>
      <c r="RD4" s="584">
        <v>0.16</v>
      </c>
      <c r="RE4" s="584">
        <v>0.16</v>
      </c>
      <c r="RF4" s="584">
        <v>0.16</v>
      </c>
      <c r="RG4" s="584">
        <v>0.16</v>
      </c>
      <c r="RH4" s="584">
        <v>0.16</v>
      </c>
      <c r="RI4" s="584">
        <v>0.16</v>
      </c>
      <c r="RJ4" s="584">
        <v>0.16</v>
      </c>
      <c r="RK4" s="584">
        <v>0.16</v>
      </c>
      <c r="RL4" s="584">
        <v>0.16</v>
      </c>
      <c r="RM4" s="584">
        <v>0.16</v>
      </c>
      <c r="RN4" s="584">
        <v>0.16</v>
      </c>
      <c r="RO4" s="584">
        <v>0.16</v>
      </c>
      <c r="RP4" s="584">
        <v>0.16</v>
      </c>
      <c r="RQ4" s="584">
        <v>0.16</v>
      </c>
      <c r="RR4" s="584">
        <v>0.16</v>
      </c>
      <c r="RS4" s="584">
        <v>0.16</v>
      </c>
      <c r="RT4" s="584">
        <v>0.16</v>
      </c>
      <c r="RU4" s="584">
        <v>0.16</v>
      </c>
      <c r="RV4" s="584">
        <v>0.16</v>
      </c>
      <c r="RW4" s="584">
        <v>0.16</v>
      </c>
      <c r="RX4" s="584">
        <v>0.16</v>
      </c>
      <c r="RY4" s="584">
        <v>0.16</v>
      </c>
      <c r="RZ4" s="584">
        <v>0.16</v>
      </c>
      <c r="SA4" s="584">
        <v>0.16</v>
      </c>
      <c r="SB4" s="584">
        <v>0.16</v>
      </c>
      <c r="SC4" s="584">
        <v>0.16</v>
      </c>
      <c r="SD4" s="584">
        <v>0.16</v>
      </c>
      <c r="SE4" s="584">
        <v>0.16</v>
      </c>
      <c r="SF4" s="584">
        <v>0.16</v>
      </c>
      <c r="SG4" s="584">
        <v>0.16</v>
      </c>
      <c r="SH4" s="584">
        <v>0.16</v>
      </c>
      <c r="SI4" s="584">
        <v>0.16</v>
      </c>
      <c r="SJ4" s="584">
        <v>0.16</v>
      </c>
      <c r="SK4" s="584">
        <v>0.16</v>
      </c>
      <c r="SL4" s="584">
        <v>0.16</v>
      </c>
      <c r="SM4" s="584">
        <v>0.16</v>
      </c>
      <c r="SN4" s="584">
        <v>0.16</v>
      </c>
      <c r="SO4" s="584">
        <v>0.16</v>
      </c>
      <c r="SP4" s="584">
        <v>0.16</v>
      </c>
      <c r="SQ4" s="584">
        <v>0.16</v>
      </c>
      <c r="SR4" s="584">
        <v>0.16</v>
      </c>
      <c r="SS4" s="584">
        <v>0.16</v>
      </c>
      <c r="ST4" s="584">
        <v>0.16</v>
      </c>
      <c r="SU4" s="584">
        <v>0.16</v>
      </c>
      <c r="SV4" s="584">
        <v>0.16</v>
      </c>
      <c r="SW4" s="584">
        <v>0.16</v>
      </c>
      <c r="SX4" s="584">
        <v>0.16</v>
      </c>
      <c r="SY4" s="584">
        <v>0.16</v>
      </c>
      <c r="SZ4" s="584">
        <v>0.16</v>
      </c>
      <c r="TA4" s="584">
        <v>0.16</v>
      </c>
      <c r="TB4" s="584">
        <v>0.16</v>
      </c>
      <c r="TC4" s="584">
        <v>0.16</v>
      </c>
      <c r="TD4" s="584">
        <v>0.16</v>
      </c>
      <c r="TE4" s="584">
        <v>0.16</v>
      </c>
      <c r="TF4" s="584">
        <v>0.16</v>
      </c>
      <c r="TG4" s="584">
        <v>0.16</v>
      </c>
      <c r="TH4" s="584">
        <v>0.16</v>
      </c>
      <c r="TI4" s="584">
        <v>0.16</v>
      </c>
      <c r="TJ4" s="584">
        <v>0.16</v>
      </c>
      <c r="TK4" s="584">
        <v>0.16</v>
      </c>
      <c r="TL4" s="584">
        <v>0.16</v>
      </c>
      <c r="TM4" s="584">
        <v>0.16</v>
      </c>
      <c r="TN4" s="584">
        <v>0.16</v>
      </c>
      <c r="TO4" s="584">
        <v>0.16</v>
      </c>
      <c r="TP4" s="584">
        <v>0.16</v>
      </c>
      <c r="TQ4" s="584">
        <v>0.16</v>
      </c>
      <c r="TR4" s="584">
        <v>0.16</v>
      </c>
      <c r="TS4" s="584">
        <v>0.16</v>
      </c>
      <c r="TT4" s="584">
        <v>0.16</v>
      </c>
      <c r="TU4" s="584">
        <v>0.16</v>
      </c>
      <c r="TV4" s="584">
        <v>0.16</v>
      </c>
      <c r="TW4" s="584">
        <v>0.16</v>
      </c>
      <c r="TX4" s="584">
        <v>0.16</v>
      </c>
      <c r="TY4" s="584">
        <v>0.16</v>
      </c>
      <c r="TZ4" s="584">
        <v>0.16</v>
      </c>
      <c r="UA4" s="584">
        <v>0.16</v>
      </c>
      <c r="UB4" s="584">
        <v>0.16</v>
      </c>
      <c r="UC4" s="584">
        <v>0.16</v>
      </c>
      <c r="UD4" s="584">
        <v>0.16</v>
      </c>
      <c r="UE4" s="584">
        <v>0.16</v>
      </c>
      <c r="UF4" s="584">
        <v>0.16</v>
      </c>
      <c r="UG4" s="584">
        <v>0.16</v>
      </c>
      <c r="UH4" s="584">
        <v>0.16</v>
      </c>
      <c r="UI4" s="584">
        <v>0.18</v>
      </c>
      <c r="UJ4" s="584">
        <v>0.18</v>
      </c>
      <c r="UK4" s="584">
        <v>0.18</v>
      </c>
      <c r="UL4" s="584">
        <v>0.18</v>
      </c>
      <c r="UM4" s="584">
        <v>0.18</v>
      </c>
      <c r="UN4" s="584">
        <v>0.18</v>
      </c>
      <c r="UO4" s="584">
        <v>0.18</v>
      </c>
      <c r="UP4" s="584">
        <v>0.18</v>
      </c>
      <c r="UQ4" s="584">
        <v>0.18</v>
      </c>
      <c r="UR4" s="584">
        <v>0.18</v>
      </c>
      <c r="US4" s="584">
        <v>0.18</v>
      </c>
      <c r="UT4" s="584">
        <v>0.18</v>
      </c>
      <c r="UU4" s="584">
        <v>0.18</v>
      </c>
      <c r="UV4" s="584">
        <v>0.18</v>
      </c>
      <c r="UW4" s="584">
        <v>0.18</v>
      </c>
      <c r="UX4" s="584">
        <v>0.19</v>
      </c>
      <c r="UY4" s="584">
        <v>0.19</v>
      </c>
      <c r="UZ4" s="584">
        <v>0.19</v>
      </c>
      <c r="VA4" s="584">
        <v>0.19</v>
      </c>
      <c r="VB4" s="584">
        <v>0.19</v>
      </c>
      <c r="VC4" s="584">
        <v>0.19</v>
      </c>
      <c r="VD4" s="584">
        <v>0.19</v>
      </c>
      <c r="VE4" s="584">
        <v>0.19</v>
      </c>
      <c r="VF4" s="584">
        <v>0.19</v>
      </c>
      <c r="VG4" s="584">
        <v>0.19</v>
      </c>
      <c r="VH4" s="584">
        <v>0.19</v>
      </c>
      <c r="VI4" s="584">
        <v>0.19</v>
      </c>
      <c r="VJ4" s="584">
        <v>0.19</v>
      </c>
      <c r="VK4" s="584">
        <v>0.19</v>
      </c>
      <c r="VL4" s="584">
        <v>0.19</v>
      </c>
      <c r="VM4" s="584">
        <v>0.21</v>
      </c>
      <c r="VN4" s="584">
        <v>0.21</v>
      </c>
      <c r="VO4" s="584">
        <v>0.21</v>
      </c>
      <c r="VP4" s="584">
        <v>0.21</v>
      </c>
      <c r="VQ4" s="584">
        <v>0.21</v>
      </c>
      <c r="VR4" s="584">
        <v>0.21</v>
      </c>
      <c r="VS4" s="584">
        <v>0.21</v>
      </c>
      <c r="VT4" s="584">
        <v>0.21</v>
      </c>
      <c r="VU4" s="584">
        <v>0.21</v>
      </c>
      <c r="VV4" s="584">
        <v>0.21</v>
      </c>
      <c r="VW4" s="584">
        <v>0.21</v>
      </c>
      <c r="VX4" s="584">
        <v>0.21</v>
      </c>
      <c r="VY4" s="584">
        <v>0.21</v>
      </c>
      <c r="VZ4" s="584">
        <v>0.21</v>
      </c>
      <c r="WA4" s="584">
        <v>0.21</v>
      </c>
      <c r="WB4" s="584">
        <v>0.21</v>
      </c>
      <c r="WC4" s="584">
        <v>0.21</v>
      </c>
      <c r="WD4" s="584">
        <v>0.21</v>
      </c>
      <c r="WE4" s="584">
        <v>0.21</v>
      </c>
      <c r="WF4" s="584">
        <v>0.21</v>
      </c>
      <c r="WG4" s="584">
        <v>0.21</v>
      </c>
      <c r="WH4" s="584">
        <v>0.21</v>
      </c>
      <c r="WI4" s="584">
        <v>0.21</v>
      </c>
      <c r="WJ4" s="584">
        <v>0.21</v>
      </c>
      <c r="WK4" s="584">
        <v>0.21</v>
      </c>
      <c r="WL4" s="584">
        <v>0.21</v>
      </c>
      <c r="WM4" s="584">
        <v>0.21</v>
      </c>
      <c r="WN4" s="584">
        <v>0.21</v>
      </c>
      <c r="WO4" s="584">
        <v>0.21</v>
      </c>
      <c r="WP4" s="584">
        <v>0.21</v>
      </c>
      <c r="WQ4" s="584">
        <v>0.21</v>
      </c>
      <c r="WR4" s="584">
        <v>0.21</v>
      </c>
      <c r="WS4" s="584">
        <v>0.21</v>
      </c>
      <c r="WT4" s="584">
        <v>0.21</v>
      </c>
      <c r="WU4" s="584">
        <v>0.21</v>
      </c>
      <c r="WV4" s="584">
        <v>0.21</v>
      </c>
      <c r="WW4" s="584">
        <v>0.21</v>
      </c>
      <c r="WX4" s="584">
        <v>0.21</v>
      </c>
      <c r="WY4" s="584">
        <v>0.21</v>
      </c>
      <c r="WZ4" s="584">
        <v>0.21</v>
      </c>
      <c r="XA4" s="584">
        <v>0.21</v>
      </c>
      <c r="XB4" s="584">
        <v>0.21</v>
      </c>
      <c r="XC4" s="584">
        <v>0.21</v>
      </c>
      <c r="XD4" s="584">
        <v>0.21</v>
      </c>
      <c r="XE4" s="584">
        <v>0.21</v>
      </c>
      <c r="XF4" s="584">
        <v>0.21</v>
      </c>
      <c r="XG4" s="584">
        <v>0.21</v>
      </c>
      <c r="XH4" s="584">
        <v>0.21</v>
      </c>
      <c r="XI4" s="584">
        <v>0.21</v>
      </c>
      <c r="XJ4" s="584">
        <v>0.21</v>
      </c>
      <c r="XK4" s="584">
        <v>0.21</v>
      </c>
      <c r="XL4" s="584">
        <v>0.21</v>
      </c>
      <c r="XM4" s="584">
        <v>0.21</v>
      </c>
      <c r="XN4" s="584">
        <v>0.21</v>
      </c>
      <c r="XO4" s="584">
        <v>0.21</v>
      </c>
      <c r="XP4" s="584">
        <v>0.21</v>
      </c>
      <c r="XQ4" s="584">
        <v>0.21</v>
      </c>
      <c r="XR4" s="584">
        <v>0.21</v>
      </c>
      <c r="XS4" s="584">
        <v>0.21</v>
      </c>
      <c r="XT4" s="584">
        <v>0.21</v>
      </c>
      <c r="XU4" s="584">
        <v>0.21</v>
      </c>
      <c r="XV4" s="584">
        <v>0.21</v>
      </c>
      <c r="XW4" s="584">
        <v>0.21</v>
      </c>
      <c r="XX4" s="584">
        <v>0.21</v>
      </c>
      <c r="XY4" s="584">
        <v>0.21</v>
      </c>
      <c r="XZ4" s="584">
        <v>0.21</v>
      </c>
      <c r="YA4" s="584">
        <v>0.21</v>
      </c>
      <c r="YB4" s="584">
        <v>0.21</v>
      </c>
      <c r="YC4" s="584">
        <v>0.21</v>
      </c>
      <c r="YD4" s="584">
        <v>0.21</v>
      </c>
      <c r="YE4" s="584">
        <v>0.21</v>
      </c>
      <c r="YF4" s="584">
        <v>0.21</v>
      </c>
      <c r="YG4" s="584">
        <v>0.21</v>
      </c>
      <c r="YH4" s="1307">
        <v>0.2</v>
      </c>
      <c r="YI4" s="584">
        <v>0.2</v>
      </c>
      <c r="YJ4" s="584">
        <v>0.2</v>
      </c>
      <c r="YK4" s="584">
        <v>0.2</v>
      </c>
      <c r="YL4" s="584">
        <v>0.2</v>
      </c>
      <c r="YM4" s="584">
        <v>0.2</v>
      </c>
      <c r="YN4" s="584">
        <v>0.2</v>
      </c>
      <c r="YO4" s="584">
        <v>0.2</v>
      </c>
      <c r="YP4" s="584">
        <v>0.2</v>
      </c>
      <c r="YQ4" s="584">
        <v>0.2</v>
      </c>
      <c r="YR4" s="584">
        <v>0.2</v>
      </c>
      <c r="YS4" s="584">
        <v>0.2</v>
      </c>
      <c r="YT4" s="584">
        <v>0.2</v>
      </c>
      <c r="YU4" s="584">
        <v>0.2</v>
      </c>
      <c r="YV4" s="584">
        <v>0.2</v>
      </c>
      <c r="YW4" s="584">
        <v>0.2</v>
      </c>
      <c r="YX4" s="584">
        <v>0.2</v>
      </c>
      <c r="YY4" s="584">
        <v>0.2</v>
      </c>
      <c r="YZ4" s="1312">
        <v>0.18</v>
      </c>
      <c r="ZA4" s="584">
        <v>0.18</v>
      </c>
      <c r="ZB4" s="584">
        <v>0.18</v>
      </c>
      <c r="ZC4" s="584">
        <v>0.18</v>
      </c>
      <c r="ZD4" s="584">
        <v>0.18</v>
      </c>
    </row>
    <row r="5" spans="1:683" ht="15" customHeight="1">
      <c r="A5" s="87"/>
      <c r="B5" s="87"/>
      <c r="C5" s="87"/>
      <c r="AU5" s="1" t="s">
        <v>366</v>
      </c>
      <c r="AW5" s="1319" t="s">
        <v>380</v>
      </c>
      <c r="AX5" s="1319"/>
      <c r="AY5" s="1319"/>
      <c r="AZ5" s="1319"/>
      <c r="BA5" s="1319"/>
      <c r="BB5" s="1319"/>
      <c r="BC5" s="1319"/>
      <c r="BD5" s="1319"/>
      <c r="BE5" s="1319"/>
      <c r="BF5" s="1319"/>
      <c r="BG5" s="1319"/>
      <c r="BH5" s="1319"/>
      <c r="BI5" s="1319" t="s">
        <v>382</v>
      </c>
      <c r="BJ5" s="1319"/>
      <c r="BK5" s="1319"/>
      <c r="BL5" s="1319"/>
      <c r="BM5" s="1319"/>
      <c r="BN5" s="1319"/>
      <c r="BO5" s="1319"/>
      <c r="BP5" s="1319"/>
      <c r="BQ5" s="1319"/>
      <c r="BR5" s="1319"/>
      <c r="BS5" s="1319"/>
      <c r="BT5" s="1319" t="s">
        <v>419</v>
      </c>
      <c r="BU5" s="1333" t="s">
        <v>420</v>
      </c>
      <c r="BV5" s="1333"/>
      <c r="BW5" s="1333"/>
      <c r="BX5" s="585"/>
      <c r="BY5" s="585"/>
      <c r="BZ5" s="585"/>
      <c r="CA5" s="585"/>
      <c r="CB5" s="585"/>
      <c r="CC5" s="585"/>
      <c r="CD5" s="585"/>
      <c r="CE5" s="585"/>
      <c r="CF5" s="585"/>
      <c r="CG5" s="585"/>
      <c r="CH5" s="585"/>
      <c r="CI5" s="585"/>
      <c r="CJ5" s="585"/>
      <c r="CK5" s="585"/>
      <c r="CL5" s="585"/>
      <c r="CM5" s="585"/>
      <c r="CN5" s="585"/>
      <c r="CO5" s="585"/>
      <c r="CP5" s="585"/>
      <c r="CQ5" s="585"/>
      <c r="CR5" s="585"/>
      <c r="CS5" s="585"/>
      <c r="CT5" s="585"/>
      <c r="CU5" s="585"/>
      <c r="CV5" s="585"/>
      <c r="CW5" s="1319" t="s">
        <v>421</v>
      </c>
      <c r="CX5" s="585"/>
      <c r="CY5" s="585"/>
      <c r="CZ5" s="585"/>
      <c r="DA5" s="585"/>
      <c r="DB5" s="585"/>
      <c r="DC5" s="585"/>
      <c r="DD5" s="585"/>
      <c r="DE5" s="585"/>
      <c r="DF5" s="585"/>
      <c r="DG5" s="585"/>
      <c r="DH5" s="585"/>
      <c r="DI5" s="585"/>
      <c r="DJ5" s="585"/>
      <c r="DK5" s="585"/>
      <c r="DL5" s="585"/>
      <c r="DM5" s="585"/>
      <c r="DN5" s="585"/>
      <c r="DO5" s="585"/>
      <c r="DP5" s="585"/>
      <c r="DQ5" s="585"/>
      <c r="DR5" s="585"/>
      <c r="DS5" s="585"/>
      <c r="DT5" s="585"/>
      <c r="DU5" s="585"/>
      <c r="DV5" s="585"/>
      <c r="DW5" s="585"/>
      <c r="DX5" s="585"/>
      <c r="DY5" s="585"/>
      <c r="DZ5" s="585"/>
      <c r="EA5" s="585"/>
      <c r="EB5" s="585"/>
      <c r="EC5" s="585"/>
      <c r="ED5" s="585"/>
      <c r="EE5" s="585"/>
      <c r="EF5" s="585"/>
      <c r="EG5" s="585"/>
      <c r="EH5" s="585"/>
      <c r="EI5" s="585"/>
      <c r="EJ5" s="585"/>
      <c r="EK5" s="585"/>
      <c r="EL5" s="585"/>
      <c r="EM5" s="585"/>
      <c r="EN5" s="585"/>
      <c r="EO5" s="585"/>
      <c r="EP5" s="585"/>
      <c r="EQ5" s="585"/>
      <c r="ER5" s="585"/>
      <c r="ES5" s="585"/>
      <c r="ET5" s="585"/>
      <c r="EU5" s="585"/>
      <c r="EV5" s="585"/>
      <c r="EW5" s="585"/>
      <c r="EX5" s="585"/>
      <c r="EY5" s="585"/>
      <c r="EZ5" s="585"/>
      <c r="FA5" s="585"/>
      <c r="FB5" s="585"/>
      <c r="FC5" s="585"/>
      <c r="FD5" s="585"/>
      <c r="FE5" s="585"/>
      <c r="FF5" s="585"/>
      <c r="FG5" s="585"/>
      <c r="FH5" s="585"/>
      <c r="FI5" s="585"/>
      <c r="FJ5" s="585"/>
      <c r="FK5" s="585"/>
      <c r="FL5" s="585"/>
      <c r="FM5" s="585"/>
      <c r="FN5" s="585"/>
      <c r="FO5" s="585"/>
      <c r="FP5" s="585"/>
      <c r="FQ5" s="585"/>
      <c r="FR5" s="585"/>
      <c r="FS5" s="585"/>
      <c r="FT5" s="585"/>
      <c r="FU5" s="585"/>
      <c r="FV5" s="585"/>
      <c r="FW5" s="585"/>
      <c r="FX5" s="585"/>
      <c r="FY5" s="585"/>
      <c r="FZ5" s="585"/>
      <c r="GA5" s="585"/>
      <c r="GB5" s="585"/>
      <c r="GC5" s="585"/>
      <c r="GD5" s="585"/>
      <c r="GE5" s="585"/>
      <c r="GF5" s="585"/>
      <c r="GG5" s="585"/>
      <c r="GH5" s="585"/>
      <c r="GI5" s="585"/>
      <c r="GJ5" s="585"/>
      <c r="GK5" s="585"/>
      <c r="GL5" s="585"/>
      <c r="GM5" s="585"/>
      <c r="GN5" s="585"/>
      <c r="GO5" s="585"/>
      <c r="GP5" s="585"/>
      <c r="GQ5" s="585"/>
      <c r="GR5" s="585"/>
      <c r="GS5" s="585"/>
      <c r="GT5" s="585"/>
      <c r="GU5" s="585"/>
      <c r="GV5" s="585"/>
      <c r="GW5" s="585"/>
      <c r="GX5" s="585"/>
      <c r="GY5" s="585"/>
      <c r="GZ5" s="585"/>
      <c r="HA5" s="585"/>
      <c r="HB5" s="585"/>
      <c r="HC5" s="585"/>
      <c r="HD5" s="585"/>
      <c r="HE5" s="585"/>
      <c r="HF5" s="585"/>
      <c r="HG5" s="585"/>
      <c r="HH5" s="585"/>
      <c r="HI5" s="585"/>
      <c r="HJ5" s="585"/>
      <c r="HK5" s="585"/>
      <c r="HL5" s="585"/>
      <c r="HM5" s="585"/>
      <c r="HN5" s="585"/>
      <c r="HO5" s="585"/>
      <c r="HP5" s="585"/>
      <c r="HQ5" s="585"/>
      <c r="HR5" s="585"/>
      <c r="HS5" s="585"/>
      <c r="HT5" s="585"/>
      <c r="HU5" s="585"/>
      <c r="HV5" s="585"/>
      <c r="HW5" s="585"/>
      <c r="HX5" s="585"/>
      <c r="HY5" s="585"/>
      <c r="HZ5" s="585"/>
      <c r="IA5" s="585"/>
      <c r="IB5" s="585"/>
      <c r="IC5" s="585"/>
      <c r="ID5" s="585"/>
      <c r="IE5" s="585"/>
      <c r="IF5" s="585"/>
      <c r="IG5" s="585"/>
      <c r="IH5" s="585"/>
      <c r="II5" s="585"/>
      <c r="IJ5" s="585"/>
      <c r="IK5" s="585"/>
      <c r="IL5" s="585"/>
      <c r="IM5" s="585"/>
      <c r="IN5" s="585"/>
      <c r="IO5" s="585"/>
      <c r="IP5" s="585"/>
      <c r="IQ5" s="585"/>
      <c r="IR5" s="585"/>
      <c r="IS5" s="585"/>
      <c r="IT5" s="585"/>
      <c r="IU5" s="585"/>
      <c r="IV5" s="585"/>
      <c r="IW5" s="585"/>
      <c r="IX5" s="585"/>
      <c r="IY5" s="585"/>
      <c r="IZ5" s="585"/>
      <c r="JA5" s="585"/>
      <c r="JB5" s="585"/>
      <c r="JC5" s="585"/>
      <c r="JD5" s="585"/>
      <c r="JE5" s="585"/>
      <c r="JF5" s="585"/>
      <c r="JG5" s="585"/>
      <c r="JH5" s="585"/>
      <c r="JI5" s="585"/>
      <c r="JJ5" s="585"/>
      <c r="JK5" s="585"/>
      <c r="JL5" s="585"/>
      <c r="JM5" s="585"/>
      <c r="JN5" s="585"/>
      <c r="JO5" s="585"/>
      <c r="JP5" s="585"/>
      <c r="JQ5" s="585"/>
      <c r="JR5" s="585"/>
      <c r="JS5" s="585"/>
      <c r="JT5" s="585"/>
      <c r="JU5" s="585"/>
      <c r="JV5" s="585"/>
      <c r="JW5" s="585"/>
      <c r="JX5" s="585"/>
      <c r="JY5" s="585"/>
      <c r="JZ5" s="585"/>
      <c r="KA5" s="585"/>
      <c r="KB5" s="585"/>
      <c r="KC5" s="585"/>
      <c r="KD5" s="585"/>
      <c r="KE5" s="585"/>
      <c r="KF5" s="585"/>
      <c r="KG5" s="585"/>
      <c r="KH5" s="585"/>
      <c r="KI5" s="585"/>
      <c r="KJ5" s="585"/>
      <c r="KK5" s="585"/>
      <c r="KL5" s="585"/>
      <c r="KM5" s="585"/>
      <c r="KN5" s="585"/>
      <c r="KO5" s="585"/>
      <c r="KP5" s="585"/>
      <c r="KQ5" s="585"/>
      <c r="KR5" s="585"/>
      <c r="KS5" s="585"/>
      <c r="KT5" s="585"/>
      <c r="KU5" s="585"/>
      <c r="KV5" s="585"/>
      <c r="KW5" s="585"/>
      <c r="KX5" s="585"/>
      <c r="KY5" s="585"/>
      <c r="KZ5" s="585"/>
      <c r="LA5" s="585"/>
      <c r="LB5" s="585"/>
      <c r="LC5" s="585"/>
      <c r="LD5" s="585"/>
      <c r="LE5" s="585"/>
      <c r="LF5" s="585"/>
      <c r="LG5" s="585"/>
      <c r="LH5" s="585"/>
      <c r="LI5" s="585"/>
      <c r="LJ5" s="585"/>
      <c r="LK5" s="585"/>
      <c r="LL5" s="585"/>
      <c r="LM5" s="585"/>
      <c r="LN5" s="585"/>
      <c r="LO5" s="585"/>
      <c r="LP5" s="585"/>
      <c r="LQ5" s="585"/>
      <c r="LR5" s="585"/>
      <c r="LS5" s="585"/>
      <c r="LT5" s="585"/>
      <c r="LU5" s="585"/>
      <c r="LV5" s="585"/>
      <c r="LW5" s="585"/>
      <c r="LX5" s="585"/>
      <c r="LY5" s="585"/>
      <c r="LZ5" s="585"/>
      <c r="MA5" s="585"/>
      <c r="MB5" s="585"/>
      <c r="MC5" s="585"/>
      <c r="MD5" s="585"/>
      <c r="ME5" s="585"/>
      <c r="MF5" s="585"/>
      <c r="MG5" s="585"/>
      <c r="MH5" s="585"/>
      <c r="MI5" s="585"/>
      <c r="MJ5" s="585"/>
      <c r="MK5" s="585"/>
      <c r="ML5" s="585"/>
      <c r="MM5" s="585"/>
      <c r="MN5" s="585"/>
      <c r="MO5" s="585"/>
      <c r="MP5" s="585"/>
      <c r="MQ5" s="585"/>
      <c r="MR5" s="585"/>
      <c r="MS5" s="585"/>
      <c r="MT5" s="585"/>
      <c r="MU5" s="585"/>
      <c r="MV5" s="585"/>
      <c r="MW5" s="585"/>
      <c r="MX5" s="585"/>
      <c r="MY5" s="585"/>
      <c r="MZ5" s="585"/>
      <c r="NA5" s="585"/>
      <c r="NB5" s="585"/>
      <c r="NC5" s="585"/>
      <c r="ND5" s="585"/>
      <c r="NE5" s="585"/>
      <c r="NF5" s="585"/>
      <c r="NG5" s="585"/>
      <c r="NH5" s="585"/>
      <c r="NI5" s="585"/>
      <c r="NJ5" s="585"/>
      <c r="NK5" s="585"/>
      <c r="NL5" s="585"/>
      <c r="NM5" s="585"/>
      <c r="NN5" s="585"/>
      <c r="NO5" s="585"/>
      <c r="NP5" s="585"/>
      <c r="NQ5" s="585"/>
      <c r="NR5" s="585"/>
      <c r="NS5" s="585"/>
      <c r="NT5" s="585"/>
      <c r="NU5" s="585"/>
      <c r="NV5" s="585"/>
      <c r="NW5" s="585"/>
      <c r="NX5" s="585"/>
      <c r="NY5" s="585"/>
      <c r="NZ5" s="585"/>
      <c r="OA5" s="585"/>
      <c r="OB5" s="585"/>
      <c r="OC5" s="585"/>
      <c r="OD5" s="585"/>
      <c r="OE5" s="585"/>
      <c r="OF5" s="585"/>
      <c r="OG5" s="585"/>
      <c r="OH5" s="585"/>
      <c r="OI5" s="585"/>
      <c r="OJ5" s="585"/>
      <c r="OK5" s="585"/>
      <c r="OL5" s="585"/>
      <c r="OM5" s="585"/>
      <c r="ON5" s="585"/>
      <c r="OO5" s="585"/>
      <c r="OP5" s="585"/>
      <c r="OQ5" s="585"/>
      <c r="OR5" s="585"/>
      <c r="OS5" s="585"/>
      <c r="OT5" s="585"/>
      <c r="OU5" s="585"/>
      <c r="OV5" s="585"/>
      <c r="OW5" s="585"/>
      <c r="OX5" s="585"/>
      <c r="OY5" s="585"/>
      <c r="OZ5" s="585"/>
      <c r="PA5" s="585"/>
      <c r="PB5" s="585"/>
      <c r="PC5" s="585"/>
      <c r="PD5" s="585"/>
      <c r="PE5" s="585"/>
      <c r="PF5" s="585"/>
      <c r="PG5" s="585"/>
      <c r="PH5" s="585"/>
      <c r="PI5" s="585"/>
      <c r="PJ5" s="585"/>
      <c r="PK5" s="585"/>
      <c r="PL5" s="585"/>
      <c r="PM5" s="585"/>
      <c r="PN5" s="585"/>
      <c r="PO5" s="585"/>
      <c r="PP5" s="585"/>
      <c r="PQ5" s="585"/>
      <c r="PR5" s="585"/>
      <c r="PS5" s="585"/>
      <c r="PT5" s="585"/>
      <c r="PU5" s="585"/>
      <c r="PV5" s="585"/>
      <c r="PW5" s="585"/>
      <c r="PX5" s="585"/>
      <c r="PY5" s="585"/>
      <c r="PZ5" s="585"/>
      <c r="QA5" s="585"/>
      <c r="QB5" s="585"/>
      <c r="QC5" s="585"/>
      <c r="QD5" s="585"/>
      <c r="QE5" s="585"/>
      <c r="QF5" s="585"/>
      <c r="QG5" s="585"/>
      <c r="QH5" s="585"/>
      <c r="QI5" s="585"/>
      <c r="QJ5" s="585"/>
      <c r="QK5" s="585"/>
      <c r="QL5" s="585"/>
      <c r="QM5" s="585"/>
      <c r="QN5" s="585"/>
      <c r="QO5" s="585"/>
      <c r="QP5" s="585"/>
      <c r="QQ5" s="585"/>
      <c r="QR5" s="585"/>
      <c r="QS5" s="585"/>
      <c r="QT5" s="585"/>
      <c r="QU5" s="585"/>
      <c r="QV5" s="585"/>
      <c r="QW5" s="585"/>
      <c r="QX5" s="585"/>
      <c r="QY5" s="585"/>
      <c r="QZ5" s="585"/>
      <c r="RA5" s="585"/>
      <c r="RB5" s="585"/>
      <c r="RC5" s="585"/>
      <c r="RD5" s="585"/>
      <c r="RE5" s="585"/>
      <c r="RF5" s="585"/>
      <c r="RG5" s="585"/>
      <c r="RH5" s="585"/>
      <c r="RI5" s="585"/>
      <c r="RJ5" s="585"/>
      <c r="RK5" s="585"/>
      <c r="RL5" s="585"/>
      <c r="RM5" s="585"/>
      <c r="RN5" s="585"/>
      <c r="RO5" s="585"/>
      <c r="RP5" s="585"/>
      <c r="RQ5" s="585"/>
      <c r="RR5" s="585"/>
      <c r="RS5" s="585"/>
      <c r="RT5" s="585"/>
      <c r="RU5" s="585"/>
      <c r="RV5" s="585"/>
      <c r="RW5" s="585"/>
      <c r="RX5" s="585"/>
      <c r="RY5" s="585"/>
      <c r="RZ5" s="585"/>
      <c r="SA5" s="585"/>
      <c r="SB5" s="585"/>
      <c r="SC5" s="585"/>
      <c r="SD5" s="585"/>
      <c r="SE5" s="585"/>
      <c r="SF5" s="585"/>
      <c r="SG5" s="585"/>
      <c r="SH5" s="585"/>
      <c r="SI5" s="585"/>
      <c r="SJ5" s="585"/>
      <c r="SK5" s="585"/>
      <c r="SL5" s="585"/>
      <c r="SM5" s="585"/>
      <c r="SN5" s="585"/>
      <c r="SO5" s="585"/>
      <c r="SP5" s="585"/>
      <c r="SQ5" s="585"/>
      <c r="SR5" s="585"/>
      <c r="SS5" s="585"/>
      <c r="ST5" s="585"/>
      <c r="SU5" s="585"/>
      <c r="SV5" s="585"/>
      <c r="SW5" s="585"/>
      <c r="SX5" s="585"/>
      <c r="SY5" s="585"/>
      <c r="SZ5" s="585"/>
      <c r="TA5" s="585"/>
      <c r="TB5" s="585"/>
      <c r="TC5" s="585"/>
      <c r="TD5" s="585"/>
      <c r="TE5" s="585"/>
      <c r="TF5" s="585"/>
      <c r="TG5" s="585"/>
      <c r="TH5" s="585"/>
      <c r="TI5" s="585"/>
      <c r="TJ5" s="585"/>
      <c r="TK5" s="585"/>
      <c r="TL5" s="585"/>
      <c r="TM5" s="585"/>
      <c r="TN5" s="585"/>
      <c r="TO5" s="585"/>
      <c r="TP5" s="585"/>
      <c r="TQ5" s="585"/>
      <c r="TR5" s="585"/>
      <c r="TS5" s="585"/>
      <c r="TT5" s="585"/>
      <c r="TU5" s="585"/>
      <c r="TV5" s="585"/>
      <c r="TW5" s="585"/>
      <c r="TX5" s="585"/>
      <c r="TY5" s="585"/>
      <c r="TZ5" s="585"/>
      <c r="UA5" s="585"/>
      <c r="UB5" s="585"/>
      <c r="UC5" s="585"/>
      <c r="UD5" s="585"/>
      <c r="UE5" s="585"/>
      <c r="UF5" s="585"/>
      <c r="UG5" s="585"/>
      <c r="UH5" s="585"/>
      <c r="UI5" s="585"/>
      <c r="UJ5" s="585"/>
      <c r="UK5" s="585"/>
      <c r="UL5" s="585"/>
      <c r="UM5" s="585"/>
      <c r="UN5" s="585"/>
      <c r="UO5" s="585"/>
      <c r="UP5" s="585"/>
      <c r="UQ5" s="585"/>
      <c r="UR5" s="585"/>
      <c r="US5" s="585"/>
      <c r="UT5" s="585"/>
      <c r="UU5" s="585"/>
      <c r="UV5" s="585"/>
      <c r="UW5" s="585"/>
      <c r="UX5" s="585"/>
      <c r="UY5" s="585"/>
      <c r="UZ5" s="585"/>
      <c r="VA5" s="585"/>
      <c r="VB5" s="585"/>
      <c r="VC5" s="585"/>
      <c r="VD5" s="585"/>
      <c r="VE5" s="585"/>
      <c r="VF5" s="585"/>
      <c r="VG5" s="585"/>
      <c r="VH5" s="585"/>
      <c r="VI5" s="585"/>
      <c r="VJ5" s="585"/>
      <c r="VK5" s="585"/>
      <c r="VL5" s="585"/>
      <c r="VM5" s="585"/>
      <c r="VN5" s="585"/>
      <c r="VO5" s="585"/>
      <c r="VP5" s="585"/>
      <c r="VQ5" s="585"/>
      <c r="VR5" s="585"/>
      <c r="VS5" s="585"/>
      <c r="VT5" s="585"/>
      <c r="VU5" s="585"/>
      <c r="VV5" s="585"/>
      <c r="VW5" s="585"/>
      <c r="VX5" s="585"/>
      <c r="VY5" s="585"/>
      <c r="VZ5" s="585"/>
      <c r="WA5" s="585"/>
      <c r="WB5" s="585"/>
      <c r="WC5" s="585"/>
      <c r="WD5" s="585"/>
      <c r="WE5" s="585"/>
      <c r="WF5" s="585"/>
      <c r="WG5" s="585"/>
      <c r="WH5" s="585"/>
      <c r="WI5" s="585"/>
      <c r="WJ5" s="585"/>
      <c r="WK5" s="585"/>
      <c r="WL5" s="585"/>
      <c r="WM5" s="585"/>
      <c r="WN5" s="585"/>
      <c r="WO5" s="585"/>
      <c r="WP5" s="585"/>
      <c r="WQ5" s="585"/>
      <c r="WR5" s="585"/>
      <c r="WS5" s="585"/>
      <c r="WT5" s="585"/>
      <c r="WU5" s="585"/>
      <c r="WV5" s="585"/>
      <c r="WW5" s="585"/>
      <c r="WX5" s="585"/>
      <c r="WY5" s="585"/>
      <c r="WZ5" s="585"/>
      <c r="XA5" s="585"/>
      <c r="XB5" s="585"/>
      <c r="XC5" s="585"/>
      <c r="XD5" s="585"/>
      <c r="XE5" s="585"/>
      <c r="XF5" s="585"/>
      <c r="XG5" s="585"/>
      <c r="XH5" s="585"/>
      <c r="XI5" s="585"/>
      <c r="XJ5" s="585"/>
      <c r="XK5" s="585"/>
      <c r="XL5" s="585"/>
      <c r="XM5" s="585"/>
      <c r="XN5" s="585"/>
      <c r="XO5" s="585"/>
      <c r="XP5" s="585"/>
      <c r="XQ5" s="585"/>
      <c r="XR5" s="585"/>
      <c r="XS5" s="585"/>
      <c r="XT5" s="585"/>
      <c r="XU5" s="585"/>
      <c r="XV5" s="585"/>
      <c r="XW5" s="585"/>
      <c r="XX5" s="585"/>
      <c r="XY5" s="585"/>
      <c r="XZ5" s="585"/>
      <c r="YA5" s="585"/>
      <c r="YB5" s="585"/>
      <c r="YC5" s="585"/>
      <c r="YD5" s="585"/>
      <c r="YE5" s="585"/>
      <c r="YF5" s="585"/>
      <c r="YG5" s="585"/>
      <c r="YH5" s="585"/>
      <c r="YI5" s="585"/>
      <c r="YJ5" s="585"/>
      <c r="YK5" s="585"/>
      <c r="YL5" s="585"/>
      <c r="YM5" s="585"/>
      <c r="YN5" s="585"/>
      <c r="YO5" s="585"/>
      <c r="YP5" s="585"/>
      <c r="YQ5" s="585"/>
      <c r="YR5" s="585"/>
      <c r="YS5" s="585"/>
      <c r="YT5" s="585"/>
      <c r="YU5" s="585"/>
      <c r="YV5" s="585"/>
      <c r="YW5" s="585"/>
      <c r="YX5" s="585"/>
      <c r="YY5" s="585"/>
      <c r="YZ5" s="585"/>
      <c r="ZA5" s="585"/>
      <c r="ZB5" s="585"/>
      <c r="ZC5" s="585"/>
      <c r="ZD5" s="585"/>
    </row>
    <row r="6" spans="1:683" ht="13.2" customHeight="1">
      <c r="A6" s="87"/>
      <c r="B6" s="87"/>
      <c r="C6" s="87"/>
      <c r="AU6" s="1" t="s">
        <v>365</v>
      </c>
      <c r="AW6" s="1320"/>
      <c r="AX6" s="1320"/>
      <c r="AY6" s="1320"/>
      <c r="AZ6" s="1320"/>
      <c r="BA6" s="1320"/>
      <c r="BB6" s="1320"/>
      <c r="BC6" s="1320"/>
      <c r="BD6" s="1320"/>
      <c r="BE6" s="1320"/>
      <c r="BF6" s="1320"/>
      <c r="BG6" s="1320"/>
      <c r="BH6" s="1320"/>
      <c r="BI6" s="1320"/>
      <c r="BJ6" s="1320"/>
      <c r="BK6" s="1320"/>
      <c r="BL6" s="1320"/>
      <c r="BM6" s="1320"/>
      <c r="BN6" s="1320"/>
      <c r="BO6" s="1320"/>
      <c r="BP6" s="1320"/>
      <c r="BQ6" s="1320"/>
      <c r="BR6" s="1320"/>
      <c r="BS6" s="1320"/>
      <c r="BT6" s="1320"/>
      <c r="BU6" s="1333"/>
      <c r="BV6" s="1333"/>
      <c r="BW6" s="1333"/>
      <c r="BX6" s="585"/>
      <c r="BY6" s="585"/>
      <c r="BZ6" s="585"/>
      <c r="CA6" s="585"/>
      <c r="CB6" s="585"/>
      <c r="CC6" s="585"/>
      <c r="CD6" s="585"/>
      <c r="CE6" s="585"/>
      <c r="CF6" s="585"/>
      <c r="CG6" s="585"/>
      <c r="CH6" s="585"/>
      <c r="CI6" s="585"/>
      <c r="CJ6" s="585"/>
      <c r="CK6" s="585"/>
      <c r="CL6" s="585"/>
      <c r="CM6" s="585"/>
      <c r="CN6" s="585"/>
      <c r="CO6" s="585"/>
      <c r="CP6" s="585"/>
      <c r="CQ6" s="585"/>
      <c r="CR6" s="585"/>
      <c r="CS6" s="585"/>
      <c r="CT6" s="585"/>
      <c r="CU6" s="585"/>
      <c r="CV6" s="585"/>
      <c r="CW6" s="1320"/>
      <c r="CX6" s="585"/>
      <c r="CY6" s="585"/>
      <c r="CZ6" s="585"/>
      <c r="DA6" s="585"/>
      <c r="DB6" s="585"/>
      <c r="DC6" s="585"/>
      <c r="DD6" s="585"/>
      <c r="DE6" s="585"/>
      <c r="DF6" s="585"/>
      <c r="DG6" s="585"/>
      <c r="DH6" s="585"/>
      <c r="DI6" s="585"/>
      <c r="DJ6" s="585"/>
      <c r="DK6" s="585"/>
      <c r="DL6" s="585"/>
      <c r="DM6" s="585"/>
      <c r="DN6" s="585"/>
      <c r="DO6" s="585"/>
      <c r="DP6" s="585"/>
      <c r="DQ6" s="585"/>
      <c r="DR6" s="585"/>
      <c r="DS6" s="585"/>
      <c r="DT6" s="585"/>
      <c r="DU6" s="585"/>
      <c r="DV6" s="585"/>
      <c r="DW6" s="585"/>
      <c r="DX6" s="585"/>
      <c r="DY6" s="585"/>
      <c r="DZ6" s="585"/>
      <c r="EA6" s="585"/>
      <c r="EB6" s="585"/>
      <c r="EC6" s="585"/>
      <c r="ED6" s="585"/>
      <c r="EE6" s="585"/>
      <c r="EF6" s="585"/>
      <c r="EG6" s="585"/>
      <c r="EH6" s="585"/>
      <c r="EI6" s="585"/>
      <c r="EJ6" s="585"/>
      <c r="EK6" s="585"/>
      <c r="EL6" s="585"/>
      <c r="EM6" s="585"/>
      <c r="EN6" s="585"/>
      <c r="EO6" s="585"/>
      <c r="EP6" s="585"/>
      <c r="EQ6" s="585"/>
      <c r="ER6" s="585"/>
      <c r="ES6" s="585"/>
      <c r="ET6" s="585"/>
      <c r="EU6" s="585"/>
      <c r="EV6" s="585"/>
      <c r="EW6" s="585"/>
      <c r="EX6" s="585"/>
      <c r="EY6" s="585"/>
      <c r="EZ6" s="585"/>
      <c r="FA6" s="585"/>
      <c r="FB6" s="585"/>
      <c r="FC6" s="585"/>
      <c r="FD6" s="585"/>
      <c r="FE6" s="585"/>
      <c r="FF6" s="585"/>
      <c r="FG6" s="585"/>
      <c r="FH6" s="585"/>
      <c r="FI6" s="585"/>
      <c r="FJ6" s="585"/>
      <c r="FK6" s="585"/>
      <c r="FL6" s="585"/>
      <c r="FM6" s="585"/>
      <c r="FN6" s="585"/>
      <c r="FO6" s="585"/>
      <c r="FP6" s="585"/>
      <c r="FQ6" s="585"/>
      <c r="FR6" s="585"/>
      <c r="FS6" s="585"/>
      <c r="FT6" s="585"/>
      <c r="FU6" s="585"/>
      <c r="FV6" s="585"/>
      <c r="FW6" s="585"/>
      <c r="FX6" s="585"/>
      <c r="FY6" s="585"/>
      <c r="FZ6" s="585"/>
      <c r="GA6" s="585"/>
      <c r="GB6" s="585"/>
      <c r="GC6" s="585"/>
      <c r="GD6" s="585"/>
      <c r="GE6" s="585"/>
      <c r="GF6" s="585"/>
      <c r="GG6" s="585"/>
      <c r="GH6" s="585"/>
      <c r="GI6" s="585"/>
      <c r="GJ6" s="585"/>
      <c r="GK6" s="585"/>
      <c r="GL6" s="585"/>
      <c r="GM6" s="585"/>
      <c r="GN6" s="585"/>
      <c r="GO6" s="585"/>
      <c r="GP6" s="585"/>
      <c r="GQ6" s="585"/>
      <c r="GR6" s="585"/>
      <c r="GS6" s="585"/>
      <c r="GT6" s="585"/>
      <c r="GU6" s="585"/>
      <c r="GV6" s="585"/>
      <c r="GW6" s="585"/>
      <c r="GX6" s="585"/>
      <c r="GY6" s="585"/>
      <c r="GZ6" s="585"/>
      <c r="HA6" s="585"/>
      <c r="HB6" s="585"/>
      <c r="HC6" s="585"/>
      <c r="HD6" s="585"/>
      <c r="HE6" s="585"/>
      <c r="HF6" s="585"/>
      <c r="HG6" s="585"/>
      <c r="HH6" s="585"/>
      <c r="HI6" s="585"/>
      <c r="HJ6" s="585"/>
      <c r="HK6" s="585"/>
      <c r="HL6" s="585"/>
      <c r="HM6" s="585"/>
      <c r="HN6" s="585"/>
      <c r="HO6" s="585"/>
      <c r="HP6" s="585"/>
      <c r="HQ6" s="585"/>
      <c r="HR6" s="585"/>
      <c r="HS6" s="585"/>
      <c r="HT6" s="585"/>
      <c r="HU6" s="585"/>
      <c r="HV6" s="585"/>
      <c r="HW6" s="585"/>
      <c r="HX6" s="585"/>
      <c r="HY6" s="585"/>
      <c r="HZ6" s="585"/>
      <c r="IA6" s="585"/>
      <c r="IB6" s="585"/>
      <c r="IC6" s="585"/>
      <c r="ID6" s="585"/>
      <c r="IE6" s="585"/>
      <c r="IF6" s="585"/>
      <c r="IG6" s="585"/>
      <c r="IH6" s="585"/>
      <c r="II6" s="585"/>
      <c r="IJ6" s="585"/>
      <c r="IK6" s="585"/>
      <c r="IL6" s="585"/>
      <c r="IM6" s="585"/>
      <c r="IN6" s="585"/>
      <c r="IO6" s="585"/>
      <c r="IP6" s="585"/>
      <c r="IQ6" s="585"/>
      <c r="IR6" s="585"/>
      <c r="IS6" s="585"/>
      <c r="IT6" s="585"/>
      <c r="IU6" s="585"/>
      <c r="IV6" s="585"/>
      <c r="IW6" s="585"/>
      <c r="IX6" s="585"/>
      <c r="IY6" s="585"/>
      <c r="IZ6" s="585"/>
      <c r="JA6" s="585"/>
      <c r="JB6" s="585"/>
      <c r="JC6" s="585"/>
      <c r="JD6" s="585"/>
      <c r="JE6" s="585"/>
      <c r="JF6" s="585"/>
      <c r="JG6" s="585"/>
      <c r="JH6" s="585"/>
      <c r="JI6" s="585"/>
      <c r="JJ6" s="585"/>
      <c r="JK6" s="585"/>
      <c r="JL6" s="585"/>
      <c r="JM6" s="585"/>
      <c r="JN6" s="585"/>
      <c r="JO6" s="585"/>
      <c r="JP6" s="585"/>
      <c r="JQ6" s="585"/>
      <c r="JR6" s="585"/>
      <c r="JS6" s="585"/>
      <c r="JT6" s="585"/>
      <c r="JU6" s="585"/>
      <c r="JV6" s="585"/>
      <c r="JW6" s="585"/>
      <c r="JX6" s="585"/>
      <c r="JY6" s="585"/>
      <c r="JZ6" s="585"/>
      <c r="KA6" s="585"/>
      <c r="KB6" s="585"/>
      <c r="KC6" s="585"/>
      <c r="KD6" s="585"/>
      <c r="KE6" s="585"/>
      <c r="KF6" s="585"/>
      <c r="KG6" s="585"/>
      <c r="KH6" s="585"/>
      <c r="KI6" s="585"/>
      <c r="KJ6" s="585"/>
      <c r="KK6" s="585"/>
      <c r="KL6" s="585"/>
      <c r="KM6" s="585"/>
      <c r="KN6" s="585"/>
      <c r="KO6" s="585"/>
      <c r="KP6" s="585"/>
      <c r="KQ6" s="585"/>
      <c r="KR6" s="585"/>
      <c r="KS6" s="585"/>
      <c r="KT6" s="585"/>
      <c r="KU6" s="585"/>
      <c r="KV6" s="585"/>
      <c r="KW6" s="585"/>
      <c r="KX6" s="585"/>
      <c r="KY6" s="585"/>
      <c r="KZ6" s="585"/>
      <c r="LA6" s="585"/>
      <c r="LB6" s="585"/>
      <c r="LC6" s="585"/>
      <c r="LD6" s="585"/>
      <c r="LE6" s="585"/>
      <c r="LF6" s="585"/>
      <c r="LG6" s="585"/>
      <c r="LH6" s="585"/>
      <c r="LI6" s="585"/>
      <c r="LJ6" s="585"/>
      <c r="LK6" s="585"/>
      <c r="LL6" s="585"/>
      <c r="LM6" s="585"/>
      <c r="LN6" s="585"/>
      <c r="LO6" s="585"/>
      <c r="LP6" s="585"/>
      <c r="LQ6" s="585"/>
      <c r="LR6" s="585"/>
      <c r="LS6" s="585"/>
      <c r="LT6" s="585"/>
      <c r="LU6" s="585"/>
      <c r="LV6" s="964"/>
      <c r="LW6" s="964"/>
      <c r="LX6" s="964"/>
      <c r="LY6" s="964"/>
      <c r="LZ6" s="964"/>
      <c r="MA6" s="964"/>
      <c r="MB6" s="964"/>
      <c r="MC6" s="964"/>
      <c r="MD6" s="964"/>
      <c r="ME6" s="964"/>
      <c r="MF6" s="964"/>
      <c r="MG6" s="964"/>
      <c r="MH6" s="964"/>
      <c r="MI6" s="964"/>
      <c r="MJ6" s="964"/>
      <c r="MK6" s="964"/>
      <c r="ML6" s="964"/>
      <c r="MM6" s="964"/>
      <c r="MN6" s="964"/>
      <c r="MO6" s="964"/>
      <c r="MP6" s="964"/>
      <c r="MQ6" s="964"/>
      <c r="MR6" s="964"/>
      <c r="MS6" s="964"/>
      <c r="MT6" s="964"/>
      <c r="MU6" s="964"/>
      <c r="MV6" s="964"/>
      <c r="MW6" s="964"/>
      <c r="MX6" s="964"/>
      <c r="MY6" s="964"/>
      <c r="MZ6" s="964"/>
      <c r="NA6" s="964"/>
      <c r="NB6" s="964"/>
      <c r="NC6" s="964"/>
      <c r="ND6" s="964"/>
      <c r="NE6" s="964"/>
      <c r="NF6" s="964"/>
      <c r="NG6" s="964"/>
      <c r="NH6" s="964"/>
      <c r="NI6" s="964"/>
      <c r="NJ6" s="964"/>
      <c r="NK6" s="964"/>
      <c r="NL6" s="964"/>
      <c r="NM6" s="964"/>
      <c r="NN6" s="964"/>
      <c r="NO6" s="964"/>
      <c r="NP6" s="964"/>
      <c r="NQ6" s="964"/>
      <c r="NR6" s="964"/>
      <c r="NS6" s="964"/>
      <c r="NT6" s="964"/>
      <c r="NU6" s="964"/>
      <c r="NV6" s="964"/>
      <c r="NW6" s="964"/>
      <c r="NX6" s="964"/>
      <c r="NY6" s="964"/>
      <c r="NZ6" s="964"/>
      <c r="OA6" s="964"/>
      <c r="OB6" s="964"/>
      <c r="OC6" s="964"/>
      <c r="OD6" s="964"/>
      <c r="OE6" s="964"/>
      <c r="OF6" s="964"/>
      <c r="OG6" s="964"/>
      <c r="OH6" s="964"/>
      <c r="OI6" s="964"/>
      <c r="OJ6" s="964"/>
      <c r="OK6" s="964"/>
      <c r="OL6" s="964"/>
      <c r="OM6" s="964"/>
      <c r="ON6" s="964"/>
      <c r="OO6" s="964"/>
      <c r="OP6" s="964"/>
      <c r="OQ6" s="964"/>
      <c r="OR6" s="964"/>
      <c r="OS6" s="964"/>
      <c r="OT6" s="964"/>
      <c r="OU6" s="964"/>
      <c r="OV6" s="964"/>
      <c r="OW6" s="964"/>
      <c r="OX6" s="964"/>
      <c r="OY6" s="964"/>
      <c r="OZ6" s="964"/>
      <c r="PA6" s="964"/>
      <c r="PB6" s="964"/>
      <c r="PC6" s="964"/>
      <c r="PD6" s="964"/>
      <c r="PE6" s="964"/>
      <c r="PF6" s="964"/>
      <c r="PG6" s="964"/>
      <c r="PH6" s="964"/>
      <c r="PI6" s="964"/>
      <c r="PJ6" s="964"/>
      <c r="PK6" s="964"/>
      <c r="PL6" s="964"/>
      <c r="PM6" s="964"/>
      <c r="PN6" s="964"/>
      <c r="PO6" s="964"/>
      <c r="PP6" s="964"/>
      <c r="PQ6" s="964"/>
      <c r="PR6" s="964"/>
      <c r="PS6" s="964"/>
      <c r="PT6" s="964"/>
      <c r="PU6" s="964"/>
      <c r="PV6" s="964"/>
      <c r="PW6" s="964"/>
      <c r="PX6" s="964"/>
      <c r="PY6" s="964"/>
      <c r="PZ6" s="964"/>
      <c r="QA6" s="964"/>
      <c r="QB6" s="964"/>
      <c r="QC6" s="964"/>
      <c r="QD6" s="964"/>
      <c r="QE6" s="964"/>
      <c r="QF6" s="964"/>
      <c r="QG6" s="964"/>
      <c r="QH6" s="964"/>
      <c r="QI6" s="964"/>
      <c r="QJ6" s="964"/>
      <c r="QK6" s="964"/>
      <c r="QL6" s="964"/>
      <c r="QM6" s="964"/>
      <c r="QN6" s="964"/>
      <c r="QO6" s="964"/>
      <c r="QP6" s="964"/>
      <c r="QQ6" s="964"/>
      <c r="QR6" s="964"/>
      <c r="QS6" s="964"/>
      <c r="QT6" s="964"/>
      <c r="QU6" s="964"/>
      <c r="QV6" s="964"/>
      <c r="QW6" s="964"/>
      <c r="QX6" s="964"/>
      <c r="QY6" s="964"/>
      <c r="QZ6" s="964"/>
      <c r="RA6" s="964"/>
      <c r="RB6" s="964"/>
      <c r="RC6" s="964"/>
      <c r="RD6" s="964"/>
      <c r="RE6" s="964"/>
      <c r="RF6" s="964"/>
      <c r="RG6" s="964"/>
      <c r="RH6" s="964"/>
      <c r="RI6" s="964"/>
      <c r="RJ6" s="964"/>
      <c r="RK6" s="964"/>
      <c r="RL6" s="964"/>
      <c r="RM6" s="964"/>
      <c r="RN6" s="964"/>
      <c r="RO6" s="964"/>
      <c r="RP6" s="964"/>
      <c r="RQ6" s="964"/>
      <c r="RR6" s="964"/>
      <c r="RS6" s="964"/>
      <c r="RT6" s="964"/>
      <c r="RU6" s="964"/>
      <c r="RV6" s="964"/>
      <c r="RW6" s="964"/>
      <c r="RX6" s="964"/>
      <c r="RY6" s="964"/>
      <c r="RZ6" s="964"/>
      <c r="SA6" s="964"/>
      <c r="SB6" s="964"/>
      <c r="SC6" s="964"/>
      <c r="SD6" s="964"/>
      <c r="SE6" s="964"/>
      <c r="SF6" s="964"/>
      <c r="SG6" s="964"/>
      <c r="SH6" s="964"/>
      <c r="SI6" s="964"/>
      <c r="SJ6" s="964"/>
      <c r="SK6" s="964"/>
      <c r="SL6" s="964"/>
      <c r="SM6" s="964"/>
      <c r="SN6" s="964"/>
      <c r="SO6" s="964"/>
      <c r="SP6" s="964"/>
      <c r="SQ6" s="964"/>
      <c r="SR6" s="964"/>
      <c r="SS6" s="964"/>
      <c r="ST6" s="964"/>
      <c r="SU6" s="964"/>
      <c r="SV6" s="964"/>
      <c r="SW6" s="964"/>
      <c r="SX6" s="964"/>
      <c r="SY6" s="964"/>
      <c r="SZ6" s="964"/>
      <c r="TA6" s="964"/>
      <c r="TB6" s="964"/>
      <c r="TC6" s="964"/>
      <c r="TD6" s="964"/>
      <c r="TE6" s="964"/>
      <c r="TF6" s="964"/>
      <c r="TG6" s="964"/>
      <c r="TH6" s="964"/>
      <c r="TI6" s="964"/>
      <c r="TJ6" s="964"/>
      <c r="TK6" s="964"/>
      <c r="TL6" s="964"/>
      <c r="TM6" s="964"/>
      <c r="TN6" s="964"/>
      <c r="TO6" s="964"/>
      <c r="TP6" s="964"/>
      <c r="TQ6" s="964"/>
      <c r="TR6" s="964"/>
      <c r="TS6" s="964"/>
      <c r="TT6" s="964"/>
      <c r="TU6" s="964"/>
      <c r="TV6" s="964"/>
      <c r="TW6" s="964"/>
      <c r="TX6" s="964"/>
      <c r="TY6" s="964"/>
      <c r="TZ6" s="964"/>
      <c r="UA6" s="964"/>
      <c r="UB6" s="964"/>
      <c r="UC6" s="964"/>
      <c r="UD6" s="964"/>
      <c r="UE6" s="964"/>
      <c r="UF6" s="964"/>
      <c r="UG6" s="964"/>
      <c r="UH6" s="964"/>
      <c r="UI6" s="964"/>
      <c r="UJ6" s="964"/>
      <c r="UK6" s="964"/>
      <c r="UL6" s="964"/>
      <c r="UM6" s="964"/>
      <c r="UN6" s="964"/>
      <c r="UO6" s="964"/>
      <c r="UP6" s="964"/>
      <c r="UQ6" s="964"/>
      <c r="UR6" s="964"/>
      <c r="US6" s="964"/>
      <c r="UT6" s="964"/>
      <c r="UU6" s="964"/>
      <c r="UV6" s="964"/>
      <c r="UW6" s="964"/>
      <c r="UX6" s="964"/>
      <c r="UY6" s="964"/>
      <c r="UZ6" s="964"/>
      <c r="VA6" s="964"/>
      <c r="VB6" s="964"/>
      <c r="VC6" s="964"/>
      <c r="VD6" s="964"/>
      <c r="VE6" s="964"/>
      <c r="VF6" s="964"/>
      <c r="VG6" s="964"/>
      <c r="VH6" s="964"/>
      <c r="VI6" s="964"/>
      <c r="VJ6" s="964"/>
      <c r="VK6" s="964"/>
      <c r="VL6" s="964"/>
      <c r="VM6" s="964"/>
      <c r="VN6" s="964"/>
      <c r="VO6" s="964"/>
      <c r="VP6" s="964"/>
      <c r="VQ6" s="964"/>
      <c r="VR6" s="964"/>
      <c r="VS6" s="964"/>
      <c r="VT6" s="964"/>
      <c r="VU6" s="964"/>
      <c r="VV6" s="964"/>
      <c r="VW6" s="964"/>
      <c r="VX6" s="964"/>
      <c r="VY6" s="964"/>
      <c r="VZ6" s="964"/>
      <c r="WA6" s="964"/>
      <c r="WB6" s="964"/>
      <c r="WC6" s="964"/>
      <c r="WD6" s="964"/>
      <c r="WE6" s="964"/>
      <c r="WF6" s="964"/>
      <c r="WG6" s="964"/>
      <c r="WH6" s="964"/>
      <c r="WI6" s="964"/>
      <c r="WJ6" s="964"/>
      <c r="WK6" s="964"/>
      <c r="WL6" s="964"/>
      <c r="WM6" s="964"/>
      <c r="WN6" s="964"/>
      <c r="WO6" s="964"/>
      <c r="WP6" s="964"/>
      <c r="WQ6" s="964"/>
      <c r="WR6" s="964"/>
      <c r="WS6" s="964"/>
      <c r="WT6" s="964"/>
      <c r="WU6" s="964"/>
      <c r="WV6" s="964"/>
      <c r="WW6" s="964"/>
      <c r="WX6" s="964"/>
      <c r="WY6" s="964"/>
      <c r="WZ6" s="964"/>
      <c r="XA6" s="964"/>
      <c r="XB6" s="964"/>
      <c r="XC6" s="964"/>
      <c r="XD6" s="964"/>
      <c r="XE6" s="964"/>
      <c r="XF6" s="964"/>
      <c r="XG6" s="964"/>
      <c r="XH6" s="964"/>
      <c r="XI6" s="964"/>
      <c r="XJ6" s="964"/>
      <c r="XK6" s="964"/>
      <c r="XL6" s="964"/>
      <c r="XM6" s="964"/>
      <c r="XN6" s="964"/>
      <c r="XO6" s="964"/>
      <c r="XP6" s="964"/>
      <c r="XQ6" s="964"/>
      <c r="XR6" s="964"/>
      <c r="XS6" s="964"/>
      <c r="XT6" s="964"/>
      <c r="XU6" s="964"/>
      <c r="XV6" s="964"/>
      <c r="XW6" s="964"/>
      <c r="XX6" s="964"/>
      <c r="XY6" s="964"/>
      <c r="XZ6" s="964"/>
      <c r="YA6" s="964"/>
      <c r="YB6" s="964"/>
      <c r="YC6" s="964"/>
      <c r="YD6" s="964"/>
      <c r="YE6" s="964"/>
      <c r="YF6" s="964"/>
      <c r="YG6" s="964"/>
      <c r="YH6" s="964"/>
      <c r="YI6" s="964"/>
      <c r="YJ6" s="964"/>
      <c r="YK6" s="964"/>
      <c r="YL6" s="964"/>
      <c r="YM6" s="964"/>
      <c r="YN6" s="964"/>
      <c r="YO6" s="964"/>
      <c r="YP6" s="964"/>
      <c r="YQ6" s="964"/>
      <c r="YR6" s="964"/>
      <c r="YS6" s="964"/>
      <c r="YT6" s="964"/>
      <c r="YU6" s="964"/>
      <c r="YV6" s="964"/>
      <c r="YW6" s="964"/>
      <c r="YX6" s="964"/>
      <c r="YY6" s="964"/>
      <c r="YZ6" s="964"/>
      <c r="ZA6" s="964"/>
      <c r="ZB6" s="964"/>
      <c r="ZC6" s="964"/>
      <c r="ZD6" s="964"/>
    </row>
    <row r="7" spans="1:683">
      <c r="A7" s="1326" t="s">
        <v>1</v>
      </c>
      <c r="B7" s="1327"/>
      <c r="C7" s="88" t="s">
        <v>9</v>
      </c>
      <c r="D7" s="5">
        <v>86.92</v>
      </c>
      <c r="E7" s="137">
        <v>97.03</v>
      </c>
      <c r="F7" s="137">
        <v>99.32</v>
      </c>
      <c r="G7" s="137">
        <v>103.24</v>
      </c>
      <c r="H7" s="137">
        <v>111.7564</v>
      </c>
      <c r="I7" s="137">
        <v>105.81</v>
      </c>
      <c r="J7" s="137">
        <v>116.0847</v>
      </c>
      <c r="K7" s="137">
        <v>120.3785</v>
      </c>
      <c r="L7" s="137">
        <v>116.7517</v>
      </c>
      <c r="M7" s="137">
        <v>115.19629999999999</v>
      </c>
      <c r="N7" s="137">
        <v>111.4823</v>
      </c>
      <c r="O7" s="137">
        <v>108.0521</v>
      </c>
      <c r="P7" s="137">
        <v>104.80119999999999</v>
      </c>
      <c r="Q7" s="137">
        <v>103.9524</v>
      </c>
      <c r="R7" s="137">
        <v>104.6819</v>
      </c>
      <c r="S7" s="137">
        <v>104.0741</v>
      </c>
      <c r="T7" s="137">
        <v>103.1618</v>
      </c>
      <c r="U7" s="137">
        <v>96.0458</v>
      </c>
      <c r="V7" s="137">
        <v>95.661799999999999</v>
      </c>
      <c r="W7" s="137">
        <v>93.712500000000006</v>
      </c>
      <c r="X7" s="137">
        <v>86.284300000000002</v>
      </c>
      <c r="Y7" s="137">
        <v>84.085099999999997</v>
      </c>
      <c r="Z7" s="137">
        <v>83.409700000000001</v>
      </c>
      <c r="AA7" s="137">
        <v>83.4285</v>
      </c>
      <c r="AB7" s="137">
        <v>83.593199999999996</v>
      </c>
      <c r="AC7" s="137">
        <v>83.352000000000004</v>
      </c>
      <c r="AD7" s="137">
        <v>82.596199999999996</v>
      </c>
      <c r="AE7" s="137">
        <v>76.2547</v>
      </c>
      <c r="AF7" s="137">
        <v>74.850099999999998</v>
      </c>
      <c r="AG7" s="137">
        <v>79.159599999999998</v>
      </c>
      <c r="AH7" s="137">
        <v>79.627399999999994</v>
      </c>
      <c r="AI7" s="137">
        <v>79.847099999999998</v>
      </c>
      <c r="AJ7" s="137">
        <v>81.287999999999997</v>
      </c>
      <c r="AK7" s="137">
        <v>80.043700000000001</v>
      </c>
      <c r="AL7" s="137">
        <v>79.4529</v>
      </c>
      <c r="AM7" s="137">
        <v>79.028700000000001</v>
      </c>
      <c r="AN7" s="137">
        <v>77.0809</v>
      </c>
      <c r="AO7" s="137">
        <v>74.998999999999995</v>
      </c>
      <c r="AP7" s="137">
        <v>73.504999999999995</v>
      </c>
      <c r="AQ7" s="137">
        <v>73.361099999999993</v>
      </c>
      <c r="AR7" s="137">
        <v>72.7089</v>
      </c>
      <c r="AS7" s="137">
        <v>72.876400000000004</v>
      </c>
      <c r="AT7" s="137">
        <v>72.295299999999997</v>
      </c>
      <c r="AU7" s="137">
        <v>71.023700000000005</v>
      </c>
      <c r="AV7" s="137">
        <v>69.415999999999997</v>
      </c>
      <c r="AW7" s="137">
        <v>66.237799999999993</v>
      </c>
      <c r="AX7" s="137">
        <v>67.384299999999996</v>
      </c>
      <c r="AY7" s="137">
        <v>68.838899999999995</v>
      </c>
      <c r="AZ7" s="137">
        <v>65.791600000000003</v>
      </c>
      <c r="BA7" s="137">
        <v>63.779899999999998</v>
      </c>
      <c r="BB7" s="137">
        <v>63.444499999999998</v>
      </c>
      <c r="BC7" s="137">
        <v>63.5428</v>
      </c>
      <c r="BD7" s="137">
        <v>63.564300000000003</v>
      </c>
      <c r="BE7" s="137">
        <v>62.403100000000002</v>
      </c>
      <c r="BF7" s="137">
        <v>58.886200000000002</v>
      </c>
      <c r="BG7" s="137">
        <v>58.2087</v>
      </c>
      <c r="BH7" s="137">
        <v>56.969000000000001</v>
      </c>
      <c r="BI7" s="137">
        <v>56.299599999999998</v>
      </c>
      <c r="BJ7" s="137">
        <v>62.049500000000002</v>
      </c>
      <c r="BK7" s="137">
        <v>66.402900000000002</v>
      </c>
      <c r="BL7" s="137">
        <v>63.097499999999997</v>
      </c>
      <c r="BM7" s="137">
        <v>61.606900000000003</v>
      </c>
      <c r="BN7" s="137">
        <v>61.473300000000002</v>
      </c>
      <c r="BO7" s="137">
        <v>61.575000000000003</v>
      </c>
      <c r="BP7" s="137">
        <v>61.965899999999998</v>
      </c>
      <c r="BQ7" s="137">
        <v>61.109400000000001</v>
      </c>
      <c r="BR7" s="137">
        <v>60.956499999999998</v>
      </c>
      <c r="BS7" s="137">
        <v>60.228200000000001</v>
      </c>
      <c r="BT7" s="137">
        <v>58.389499999999998</v>
      </c>
      <c r="BU7" s="137">
        <v>57.777999999999999</v>
      </c>
      <c r="BV7" s="137">
        <v>57.092599999999997</v>
      </c>
      <c r="BW7" s="137">
        <v>56.662399999999998</v>
      </c>
      <c r="BX7" s="137">
        <v>56.869100000000003</v>
      </c>
      <c r="BY7" s="137">
        <v>56.710099999999997</v>
      </c>
      <c r="BZ7" s="137">
        <v>56.172699999999999</v>
      </c>
      <c r="CA7" s="137">
        <v>54.708100000000002</v>
      </c>
      <c r="CB7" s="137">
        <v>53.278799999999997</v>
      </c>
      <c r="CC7" s="137">
        <v>53.357799999999997</v>
      </c>
      <c r="CD7" s="137">
        <v>53.323399999999999</v>
      </c>
      <c r="CE7" s="137">
        <v>53.364100000000001</v>
      </c>
      <c r="CF7" s="137">
        <v>52.969900000000003</v>
      </c>
      <c r="CG7" s="137">
        <v>51.158000000000001</v>
      </c>
      <c r="CH7" s="137">
        <v>52.512300000000003</v>
      </c>
      <c r="CI7" s="137">
        <v>53.767600000000002</v>
      </c>
      <c r="CJ7" s="137">
        <v>55.085799999999999</v>
      </c>
      <c r="CK7" s="137">
        <v>58.511800000000001</v>
      </c>
      <c r="CL7" s="137">
        <v>62.911000000000001</v>
      </c>
      <c r="CM7" s="137">
        <v>63.142699999999998</v>
      </c>
      <c r="CN7" s="137">
        <v>61.266399999999997</v>
      </c>
      <c r="CO7" s="137">
        <v>61.304499999999997</v>
      </c>
      <c r="CP7" s="137">
        <v>58.854100000000003</v>
      </c>
      <c r="CQ7" s="137">
        <v>58.532200000000003</v>
      </c>
      <c r="CR7" s="137">
        <v>58.256799999999998</v>
      </c>
      <c r="CS7" s="137">
        <v>57.832299999999996</v>
      </c>
      <c r="CT7" s="137">
        <v>56.561599999999999</v>
      </c>
      <c r="CU7" s="137">
        <v>55.436999999999998</v>
      </c>
      <c r="CV7" s="137">
        <v>54.8491</v>
      </c>
      <c r="CW7" s="137">
        <v>56.478299999999997</v>
      </c>
      <c r="CX7" s="137">
        <v>57.3917</v>
      </c>
      <c r="CY7" s="137">
        <v>57.7821</v>
      </c>
      <c r="CZ7" s="137">
        <v>58.660499999999999</v>
      </c>
      <c r="DA7" s="137">
        <v>60.219799999999999</v>
      </c>
      <c r="DB7" s="137">
        <v>60.203099999999999</v>
      </c>
      <c r="DC7" s="137">
        <v>61.310099999999998</v>
      </c>
      <c r="DD7" s="137">
        <v>62.050600000000003</v>
      </c>
      <c r="DE7" s="137">
        <v>60.159500000000001</v>
      </c>
      <c r="DF7" s="137">
        <v>60.237400000000001</v>
      </c>
      <c r="DG7" s="137">
        <v>60.258000000000003</v>
      </c>
      <c r="DH7" s="137">
        <v>60.369599999999998</v>
      </c>
      <c r="DI7" s="137">
        <v>60.316400000000002</v>
      </c>
      <c r="DJ7" s="137">
        <v>60.381399999999999</v>
      </c>
      <c r="DK7" s="137">
        <v>60.4542</v>
      </c>
      <c r="DL7" s="137">
        <v>60.622900000000001</v>
      </c>
      <c r="DM7" s="137">
        <v>60.899299999999997</v>
      </c>
      <c r="DN7" s="137">
        <v>61.374699999999997</v>
      </c>
      <c r="DO7" s="137">
        <v>61.424700000000001</v>
      </c>
      <c r="DP7" s="137">
        <v>60.755200000000002</v>
      </c>
      <c r="DQ7" s="137">
        <v>59.957000000000001</v>
      </c>
      <c r="DR7" s="137">
        <v>59.132100000000001</v>
      </c>
      <c r="DS7" s="137">
        <v>59.741900000000001</v>
      </c>
      <c r="DT7" s="137">
        <v>59.896299999999997</v>
      </c>
      <c r="DU7" s="137">
        <v>59.997399999999999</v>
      </c>
      <c r="DV7" s="137">
        <v>59.7699</v>
      </c>
      <c r="DW7" s="137">
        <v>60.092399999999998</v>
      </c>
      <c r="DX7" s="137">
        <v>60.363599999999998</v>
      </c>
      <c r="DY7" s="137">
        <v>60.367699999999999</v>
      </c>
      <c r="DZ7" s="137">
        <v>60.238599999999998</v>
      </c>
      <c r="EA7" s="137">
        <v>60.237000000000002</v>
      </c>
      <c r="EB7" s="137">
        <v>60.371299999999998</v>
      </c>
      <c r="EC7" s="137">
        <v>60.903300000000002</v>
      </c>
      <c r="ED7" s="137">
        <v>60.854399999999998</v>
      </c>
      <c r="EE7" s="137">
        <v>61.181399999999996</v>
      </c>
      <c r="EF7" s="137">
        <v>60.801000000000002</v>
      </c>
      <c r="EG7" s="137">
        <v>60.4696</v>
      </c>
      <c r="EH7" s="137">
        <v>60.456800000000001</v>
      </c>
      <c r="EI7" s="137">
        <v>60.067599999999999</v>
      </c>
      <c r="EJ7" s="137">
        <v>60.067599999999999</v>
      </c>
      <c r="EK7" s="137">
        <v>60.067599999999999</v>
      </c>
      <c r="EL7" s="137">
        <v>60.031599999999997</v>
      </c>
      <c r="EM7" s="137">
        <v>60.166200000000003</v>
      </c>
      <c r="EN7" s="137">
        <v>60.015799999999999</v>
      </c>
      <c r="EO7" s="137">
        <v>60.868499999999997</v>
      </c>
      <c r="EP7" s="137">
        <v>59.831800000000001</v>
      </c>
      <c r="EQ7" s="137">
        <v>58.1006</v>
      </c>
      <c r="ER7" s="137">
        <v>57.999000000000002</v>
      </c>
      <c r="ES7" s="137">
        <v>58.175600000000003</v>
      </c>
      <c r="ET7" s="137">
        <v>58.448500000000003</v>
      </c>
      <c r="EU7" s="137">
        <v>57.412999999999997</v>
      </c>
      <c r="EV7" s="137">
        <v>55.298699999999997</v>
      </c>
      <c r="EW7" s="137">
        <v>57.566400000000002</v>
      </c>
      <c r="EX7" s="137">
        <v>58.7913</v>
      </c>
      <c r="EY7" s="137">
        <v>59.404299999999999</v>
      </c>
      <c r="EZ7" s="137">
        <v>60.253399999999999</v>
      </c>
      <c r="FA7" s="137">
        <v>61.247500000000002</v>
      </c>
      <c r="FB7" s="137">
        <v>62.312600000000003</v>
      </c>
      <c r="FC7" s="137">
        <v>63.683999999999997</v>
      </c>
      <c r="FD7" s="137">
        <v>63.755899999999997</v>
      </c>
      <c r="FE7" s="137">
        <v>63.491700000000002</v>
      </c>
      <c r="FF7" s="137">
        <v>63.055799999999998</v>
      </c>
      <c r="FG7" s="137">
        <v>61.763399999999997</v>
      </c>
      <c r="FH7" s="137">
        <v>61.703200000000002</v>
      </c>
      <c r="FI7" s="137">
        <v>61.590499999999999</v>
      </c>
      <c r="FJ7" s="137">
        <v>61.501800000000003</v>
      </c>
      <c r="FK7" s="137">
        <v>61.195799999999998</v>
      </c>
      <c r="FL7" s="137">
        <v>61.1629</v>
      </c>
      <c r="FM7" s="137">
        <v>61.332599999999999</v>
      </c>
      <c r="FN7" s="137">
        <v>61.427700000000002</v>
      </c>
      <c r="FO7" s="137">
        <v>61.358899999999998</v>
      </c>
      <c r="FP7" s="137">
        <v>61.534300000000002</v>
      </c>
      <c r="FQ7" s="137">
        <v>61.622900000000001</v>
      </c>
      <c r="FR7" s="137">
        <v>61.427500000000002</v>
      </c>
      <c r="FS7" s="137">
        <v>61.6175</v>
      </c>
      <c r="FT7" s="137">
        <v>62.095500000000001</v>
      </c>
      <c r="FU7" s="5">
        <v>61.236699999999999</v>
      </c>
      <c r="FV7" s="5">
        <v>60.977400000000003</v>
      </c>
      <c r="FW7" s="5">
        <v>61.061100000000003</v>
      </c>
      <c r="FX7" s="5">
        <v>61.243400000000001</v>
      </c>
      <c r="FY7" s="5">
        <v>62.243400000000001</v>
      </c>
      <c r="FZ7" s="5">
        <v>60.398200000000003</v>
      </c>
      <c r="GA7" s="5">
        <v>60.311599999999999</v>
      </c>
      <c r="GB7" s="5">
        <v>60.348399999999998</v>
      </c>
      <c r="GC7" s="5">
        <v>60.389400000000002</v>
      </c>
      <c r="GD7" s="5">
        <v>60.374099999999999</v>
      </c>
      <c r="GE7" s="5">
        <v>60.737900000000003</v>
      </c>
      <c r="GF7" s="5">
        <v>60.656599999999997</v>
      </c>
      <c r="GG7" s="5">
        <v>60.504300000000001</v>
      </c>
      <c r="GH7" s="5">
        <v>60.386600000000001</v>
      </c>
      <c r="GI7" s="5">
        <v>60.479700000000001</v>
      </c>
      <c r="GJ7" s="5">
        <v>60.752000000000002</v>
      </c>
      <c r="GK7" s="5">
        <v>61.074199999999998</v>
      </c>
      <c r="GL7" s="5">
        <v>60.880299999999998</v>
      </c>
      <c r="GM7" s="5">
        <v>61.1479</v>
      </c>
      <c r="GN7" s="5">
        <v>61.774900000000002</v>
      </c>
      <c r="GO7" s="5">
        <v>62.184899999999999</v>
      </c>
      <c r="GP7" s="5">
        <v>62.910299999999999</v>
      </c>
      <c r="GQ7" s="5">
        <v>62.937199999999997</v>
      </c>
      <c r="GR7" s="5">
        <v>62.572200000000002</v>
      </c>
      <c r="GS7" s="5">
        <v>62.381300000000003</v>
      </c>
      <c r="GT7" s="5">
        <v>62.767400000000002</v>
      </c>
      <c r="GU7" s="5">
        <v>63.212000000000003</v>
      </c>
      <c r="GV7" s="5">
        <v>63.359000000000002</v>
      </c>
      <c r="GW7" s="5">
        <v>64.301500000000004</v>
      </c>
      <c r="GX7" s="5">
        <v>64.607799999999997</v>
      </c>
      <c r="GY7" s="5">
        <v>65.607799999999997</v>
      </c>
      <c r="GZ7" s="5">
        <v>66.607799999999997</v>
      </c>
      <c r="HA7" s="5">
        <v>70.525599999999997</v>
      </c>
      <c r="HB7" s="5">
        <v>72.130600000000001</v>
      </c>
      <c r="HC7" s="5">
        <v>68.676000000000002</v>
      </c>
      <c r="HD7" s="5">
        <v>68.448700000000002</v>
      </c>
      <c r="HE7" s="5">
        <v>69.609399999999994</v>
      </c>
      <c r="HF7" s="5">
        <v>69.020200000000003</v>
      </c>
      <c r="HG7" s="5">
        <v>68.289199999999994</v>
      </c>
      <c r="HH7" s="5">
        <v>68.664400000000001</v>
      </c>
      <c r="HI7" s="5">
        <v>68.872799999999998</v>
      </c>
      <c r="HJ7" s="5">
        <v>68.665599999999998</v>
      </c>
      <c r="HK7" s="5">
        <v>68.628799999999998</v>
      </c>
      <c r="HL7" s="5">
        <v>68.752899999999997</v>
      </c>
      <c r="HM7" s="5">
        <v>68.957300000000004</v>
      </c>
      <c r="HN7" s="5">
        <v>69.126300000000001</v>
      </c>
      <c r="HO7" s="5">
        <v>69.337199999999996</v>
      </c>
      <c r="HP7" s="5">
        <v>70.517399999999995</v>
      </c>
      <c r="HQ7" s="5">
        <v>70.041399999999996</v>
      </c>
      <c r="HR7" s="5">
        <v>70.384699999999995</v>
      </c>
      <c r="HS7" s="5">
        <v>70.599100000000007</v>
      </c>
      <c r="HT7" s="5">
        <v>71.576300000000003</v>
      </c>
      <c r="HU7" s="5">
        <v>72.792299999999997</v>
      </c>
      <c r="HV7" s="5">
        <v>73.864500000000007</v>
      </c>
      <c r="HW7" s="5">
        <v>74.207700000000003</v>
      </c>
      <c r="HX7" s="5">
        <v>74.758799999999994</v>
      </c>
      <c r="HY7" s="5">
        <v>74.8596</v>
      </c>
      <c r="HZ7" s="5">
        <v>74.708699999999993</v>
      </c>
      <c r="IA7" s="5">
        <v>75.432299999999998</v>
      </c>
      <c r="IB7" s="5">
        <v>74.893199999999993</v>
      </c>
      <c r="IC7" s="5">
        <v>75.472899999999996</v>
      </c>
      <c r="ID7" s="5">
        <v>75.459199999999996</v>
      </c>
      <c r="IE7" s="5">
        <v>75.472800000000007</v>
      </c>
      <c r="IF7" s="5">
        <v>75.902799999999999</v>
      </c>
      <c r="IG7" s="5">
        <v>75.940600000000003</v>
      </c>
      <c r="IH7" s="5">
        <v>75.192700000000002</v>
      </c>
      <c r="II7" s="5">
        <v>75.745699999999999</v>
      </c>
      <c r="IJ7" s="5">
        <v>76.409499999999994</v>
      </c>
      <c r="IK7" s="5">
        <v>77.242199999999997</v>
      </c>
      <c r="IL7" s="5">
        <v>76.837299999999999</v>
      </c>
      <c r="IM7" s="5">
        <v>76.307199999999995</v>
      </c>
      <c r="IN7" s="5">
        <v>76.566199999999995</v>
      </c>
      <c r="IO7" s="5">
        <v>76.593900000000005</v>
      </c>
      <c r="IP7" s="5">
        <v>76.978099999999998</v>
      </c>
      <c r="IQ7" s="5">
        <v>77.086299999999994</v>
      </c>
      <c r="IR7" s="5">
        <v>77.323300000000003</v>
      </c>
      <c r="IS7" s="5">
        <v>77.950999999999993</v>
      </c>
      <c r="IT7" s="5">
        <v>79.356300000000005</v>
      </c>
      <c r="IU7" s="5">
        <v>79.496099999999998</v>
      </c>
      <c r="IV7" s="5">
        <v>80.671300000000002</v>
      </c>
      <c r="IW7" s="5">
        <v>82.398799999999994</v>
      </c>
      <c r="IX7" s="5">
        <v>81.744100000000003</v>
      </c>
      <c r="IY7" s="5">
        <v>82.179900000000004</v>
      </c>
      <c r="IZ7" s="5">
        <v>82.093400000000003</v>
      </c>
      <c r="JA7" s="5">
        <v>81.675799999999995</v>
      </c>
      <c r="JB7" s="5">
        <v>81.504499999999993</v>
      </c>
      <c r="JC7" s="5">
        <v>81.627899999999997</v>
      </c>
      <c r="JD7" s="5">
        <v>81.602800000000002</v>
      </c>
      <c r="JE7" s="5">
        <v>81.654899999999998</v>
      </c>
      <c r="JF7" s="5">
        <v>81.618799999999993</v>
      </c>
      <c r="JG7" s="5">
        <v>81.4863</v>
      </c>
      <c r="JH7" s="5">
        <v>81.274500000000003</v>
      </c>
      <c r="JI7" s="5">
        <v>81.549899999999994</v>
      </c>
      <c r="JJ7" s="5">
        <v>81.627399999999994</v>
      </c>
      <c r="JK7" s="5">
        <v>81.560100000000006</v>
      </c>
      <c r="JL7" s="5">
        <v>80.509299999999996</v>
      </c>
      <c r="JM7" s="5">
        <v>79.960899999999995</v>
      </c>
      <c r="JN7" s="5">
        <v>79.307100000000005</v>
      </c>
      <c r="JO7" s="5">
        <v>78.613900000000001</v>
      </c>
      <c r="JP7" s="5">
        <v>76.820700000000002</v>
      </c>
      <c r="JQ7" s="5">
        <v>76.692899999999995</v>
      </c>
      <c r="JR7" s="5">
        <v>75.884600000000006</v>
      </c>
      <c r="JS7" s="5">
        <v>77.204099999999997</v>
      </c>
      <c r="JT7" s="5">
        <v>79.100399999999993</v>
      </c>
      <c r="JU7" s="5">
        <v>79.979799999999997</v>
      </c>
      <c r="JV7" s="5">
        <v>80.036600000000007</v>
      </c>
      <c r="JW7" s="5">
        <v>79.909300000000002</v>
      </c>
      <c r="JX7" s="5">
        <v>79.937899999999999</v>
      </c>
      <c r="JY7" s="5">
        <v>80.166499999999999</v>
      </c>
      <c r="JZ7" s="5">
        <v>79.966899999999995</v>
      </c>
      <c r="KA7" s="5">
        <v>79.984099999999998</v>
      </c>
      <c r="KB7" s="5">
        <v>79.966700000000003</v>
      </c>
      <c r="KC7" s="5">
        <v>80.055499999999995</v>
      </c>
      <c r="KD7" s="5">
        <v>80.687200000000004</v>
      </c>
      <c r="KE7" s="5">
        <v>80.994200000000006</v>
      </c>
      <c r="KF7" s="5">
        <v>80.965699999999998</v>
      </c>
      <c r="KG7" s="5">
        <v>80.875600000000006</v>
      </c>
      <c r="KH7" s="5">
        <v>81.329400000000007</v>
      </c>
      <c r="KI7" s="5">
        <v>81.250200000000007</v>
      </c>
      <c r="KJ7" s="5">
        <v>81.458100000000002</v>
      </c>
      <c r="KK7" s="5">
        <v>82.093000000000004</v>
      </c>
      <c r="KL7" s="5">
        <v>82.6417</v>
      </c>
      <c r="KM7" s="5">
        <v>83.640500000000003</v>
      </c>
      <c r="KN7" s="5">
        <v>84.3249</v>
      </c>
      <c r="KO7" s="5">
        <v>83.961100000000002</v>
      </c>
      <c r="KP7" s="5">
        <v>83.649799999999999</v>
      </c>
      <c r="KQ7" s="5">
        <v>83.986599999999996</v>
      </c>
      <c r="KR7" s="5">
        <v>84.233599999999996</v>
      </c>
      <c r="KS7" s="5">
        <v>84.246700000000004</v>
      </c>
      <c r="KT7" s="5">
        <v>83.607699999999994</v>
      </c>
      <c r="KU7" s="5">
        <v>84.079300000000003</v>
      </c>
      <c r="KV7" s="5">
        <v>84.66</v>
      </c>
      <c r="KW7" s="5">
        <v>85.050399999999996</v>
      </c>
      <c r="KX7" s="5">
        <v>85.619200000000006</v>
      </c>
      <c r="KY7" s="5">
        <v>87.034099999999995</v>
      </c>
      <c r="KZ7" s="5">
        <v>88.384399999999999</v>
      </c>
      <c r="LA7" s="5">
        <v>89.325500000000005</v>
      </c>
      <c r="LB7" s="5">
        <v>89.545000000000002</v>
      </c>
      <c r="LC7" s="5">
        <v>90.337999999999994</v>
      </c>
      <c r="LD7" s="5">
        <v>92.569500000000005</v>
      </c>
      <c r="LE7" s="5">
        <v>91.687899999999999</v>
      </c>
      <c r="LF7" s="5">
        <v>91.493099999999998</v>
      </c>
      <c r="LG7" s="5">
        <v>90.504499999999993</v>
      </c>
      <c r="LH7" s="5">
        <v>90.625299999999996</v>
      </c>
      <c r="LI7" s="5">
        <v>90.175700000000006</v>
      </c>
      <c r="LJ7" s="5">
        <v>90.119</v>
      </c>
      <c r="LK7" s="5">
        <v>90.421700000000001</v>
      </c>
      <c r="LL7" s="5">
        <v>90.690600000000003</v>
      </c>
      <c r="LM7" s="5">
        <v>91.204599999999999</v>
      </c>
      <c r="LN7" s="5">
        <v>90.854500000000002</v>
      </c>
      <c r="LO7" s="5">
        <v>90.384600000000006</v>
      </c>
      <c r="LP7" s="5">
        <v>90.489000000000004</v>
      </c>
      <c r="LQ7" s="5">
        <v>90.094499999999996</v>
      </c>
      <c r="LR7" s="5">
        <v>90.978300000000004</v>
      </c>
      <c r="LS7" s="5">
        <v>92.840999999999994</v>
      </c>
      <c r="LT7" s="5">
        <v>93.779200000000003</v>
      </c>
      <c r="LU7" s="5">
        <v>94.807599999999994</v>
      </c>
      <c r="LV7" s="5">
        <v>96.566800000000001</v>
      </c>
      <c r="LW7" s="5">
        <v>96.075500000000005</v>
      </c>
      <c r="LX7" s="5">
        <v>97.399900000000002</v>
      </c>
      <c r="LY7" s="5">
        <v>97.279399999999995</v>
      </c>
      <c r="LZ7" s="5">
        <v>98.206599999999995</v>
      </c>
      <c r="MA7" s="5">
        <v>101.0399</v>
      </c>
      <c r="MB7" s="5">
        <v>97.421700000000001</v>
      </c>
      <c r="MC7" s="5">
        <v>96.704499999999996</v>
      </c>
      <c r="MD7" s="5">
        <v>93.745999999999995</v>
      </c>
      <c r="ME7" s="5">
        <v>93.404700000000005</v>
      </c>
      <c r="MF7" s="5">
        <v>94.142399999999995</v>
      </c>
      <c r="MG7" s="5">
        <v>94.118499999999997</v>
      </c>
      <c r="MH7" s="5">
        <v>94.442099999999996</v>
      </c>
      <c r="MI7" s="5">
        <v>94.400700000000001</v>
      </c>
      <c r="MJ7" s="5">
        <v>94.711699999999993</v>
      </c>
      <c r="MK7" s="5">
        <v>95.471699999999998</v>
      </c>
      <c r="ML7" s="5">
        <v>95.706999999999994</v>
      </c>
      <c r="MM7" s="5">
        <v>95.928299999999993</v>
      </c>
      <c r="MN7" s="5">
        <v>96.334400000000002</v>
      </c>
      <c r="MO7" s="5">
        <v>96.341099999999997</v>
      </c>
      <c r="MP7" s="5">
        <v>96.619900000000001</v>
      </c>
      <c r="MQ7" s="5">
        <v>97.538300000000007</v>
      </c>
      <c r="MR7" s="5">
        <v>97.843900000000005</v>
      </c>
      <c r="MS7" s="5">
        <v>98.196100000000001</v>
      </c>
      <c r="MT7" s="5">
        <v>97.924099999999996</v>
      </c>
      <c r="MU7" s="5">
        <v>96.508300000000006</v>
      </c>
      <c r="MV7" s="5">
        <v>94.703500000000005</v>
      </c>
      <c r="MW7" s="5">
        <v>95.979399999999998</v>
      </c>
      <c r="MX7" s="5">
        <v>96.160899999999998</v>
      </c>
      <c r="MY7" s="5">
        <v>96.633799999999994</v>
      </c>
      <c r="MZ7" s="5">
        <v>96.647199999999998</v>
      </c>
      <c r="NA7" s="5">
        <v>96.223600000000005</v>
      </c>
      <c r="NB7" s="5">
        <v>96.617199999999997</v>
      </c>
      <c r="NC7" s="5">
        <v>96.0762</v>
      </c>
      <c r="ND7" s="5">
        <v>96.041899999999998</v>
      </c>
      <c r="NE7" s="5">
        <v>96.145600000000002</v>
      </c>
      <c r="NF7" s="5">
        <v>96.237799999999993</v>
      </c>
      <c r="NG7" s="5">
        <v>96.5</v>
      </c>
      <c r="NH7" s="5">
        <v>97.001800000000003</v>
      </c>
      <c r="NI7" s="5">
        <v>97.414699999999996</v>
      </c>
      <c r="NJ7" s="5">
        <v>98.478499999999997</v>
      </c>
      <c r="NK7" s="5">
        <v>99.267700000000005</v>
      </c>
      <c r="NL7" s="5">
        <v>99.455500000000001</v>
      </c>
      <c r="NM7" s="5">
        <v>99.676199999999994</v>
      </c>
      <c r="NN7" s="5">
        <v>100.4911</v>
      </c>
      <c r="NO7" s="5">
        <v>101.35980000000001</v>
      </c>
      <c r="NP7" s="5">
        <v>99.934899999999999</v>
      </c>
      <c r="NQ7" s="5">
        <v>99.980800000000002</v>
      </c>
      <c r="NR7" s="5">
        <v>96.994799999999998</v>
      </c>
      <c r="NS7" s="5">
        <v>97.307500000000005</v>
      </c>
      <c r="NT7" s="5">
        <v>97.286500000000004</v>
      </c>
      <c r="NU7" s="5">
        <v>97.345799999999997</v>
      </c>
      <c r="NV7" s="5">
        <v>97.372399999999999</v>
      </c>
      <c r="NW7" s="5">
        <v>97.307400000000001</v>
      </c>
      <c r="NX7" s="5">
        <v>95.905299999999997</v>
      </c>
      <c r="NY7" s="5">
        <v>94.708100000000002</v>
      </c>
      <c r="NZ7" s="5">
        <v>93.522400000000005</v>
      </c>
      <c r="OA7" s="5">
        <v>93.150700000000001</v>
      </c>
      <c r="OB7" s="5">
        <v>93.561599999999999</v>
      </c>
      <c r="OC7" s="5">
        <v>93.217399999999998</v>
      </c>
      <c r="OD7" s="5">
        <v>93.243499999999997</v>
      </c>
      <c r="OE7" s="5">
        <v>92.022599999999997</v>
      </c>
      <c r="OF7" s="5">
        <v>93.280100000000004</v>
      </c>
      <c r="OG7" s="5">
        <v>93.173000000000002</v>
      </c>
      <c r="OH7" s="5">
        <v>93.0351</v>
      </c>
      <c r="OI7" s="5">
        <v>92.415099999999995</v>
      </c>
      <c r="OJ7" s="5">
        <v>92.197299999999998</v>
      </c>
      <c r="OK7" s="5">
        <v>91.926599999999993</v>
      </c>
      <c r="OL7" s="5">
        <v>92.0535</v>
      </c>
      <c r="OM7" s="5">
        <v>92.118499999999997</v>
      </c>
      <c r="ON7" s="5">
        <v>91.257000000000005</v>
      </c>
      <c r="OO7" s="5">
        <v>89.456500000000005</v>
      </c>
      <c r="OP7" s="5">
        <v>88.946600000000004</v>
      </c>
      <c r="OQ7" s="5">
        <v>89.123699999999999</v>
      </c>
      <c r="OR7" s="5">
        <v>88.495400000000004</v>
      </c>
      <c r="OS7" s="5">
        <v>87.870099999999994</v>
      </c>
      <c r="OT7" s="5">
        <v>88.1648</v>
      </c>
      <c r="OU7" s="5">
        <v>88.120599999999996</v>
      </c>
      <c r="OV7" s="5">
        <v>88.813299999999998</v>
      </c>
      <c r="OW7" s="5">
        <v>88.704499999999996</v>
      </c>
      <c r="OX7" s="5">
        <v>88.610200000000006</v>
      </c>
      <c r="OY7" s="5">
        <v>88.884100000000004</v>
      </c>
      <c r="OZ7" s="5">
        <v>88.581900000000005</v>
      </c>
      <c r="PA7" s="5">
        <v>89.761899999999997</v>
      </c>
      <c r="PB7" s="5">
        <v>90.672799999999995</v>
      </c>
      <c r="PC7" s="5">
        <v>91.582300000000004</v>
      </c>
      <c r="PD7" s="5">
        <v>92.782600000000002</v>
      </c>
      <c r="PE7" s="5">
        <v>92.565399999999997</v>
      </c>
      <c r="PF7" s="5">
        <v>91.640199999999993</v>
      </c>
      <c r="PG7" s="5">
        <v>90.9846</v>
      </c>
      <c r="PH7" s="5">
        <v>90.215800000000002</v>
      </c>
      <c r="PI7" s="5">
        <v>89.892600000000002</v>
      </c>
      <c r="PJ7" s="5">
        <v>89.674099999999996</v>
      </c>
      <c r="PK7" s="5">
        <v>89.696600000000004</v>
      </c>
      <c r="PL7" s="5">
        <v>90.416200000000003</v>
      </c>
      <c r="PM7" s="5">
        <v>90.087000000000003</v>
      </c>
      <c r="PN7" s="5">
        <v>90.405600000000007</v>
      </c>
      <c r="PO7" s="5">
        <v>91.706199999999995</v>
      </c>
      <c r="PP7" s="5">
        <v>91.938900000000004</v>
      </c>
      <c r="PQ7" s="5">
        <v>91.968999999999994</v>
      </c>
      <c r="PR7" s="5">
        <v>91.706900000000005</v>
      </c>
      <c r="PS7" s="5">
        <v>91.705100000000002</v>
      </c>
      <c r="PT7" s="5">
        <v>90.304100000000005</v>
      </c>
      <c r="PU7" s="5">
        <v>89.688299999999998</v>
      </c>
      <c r="PV7" s="5">
        <v>90.403999999999996</v>
      </c>
      <c r="PW7" s="5">
        <v>89.393900000000002</v>
      </c>
      <c r="PX7" s="5">
        <v>88.781800000000004</v>
      </c>
      <c r="PY7" s="5">
        <v>88.132400000000004</v>
      </c>
      <c r="PZ7" s="5">
        <v>87.677199999999999</v>
      </c>
      <c r="QA7" s="5">
        <v>87.645700000000005</v>
      </c>
      <c r="QB7" s="5">
        <v>88.353999999999999</v>
      </c>
      <c r="QC7" s="5">
        <v>88.661000000000001</v>
      </c>
      <c r="QD7" s="5">
        <v>88.589600000000004</v>
      </c>
      <c r="QE7" s="5">
        <v>87.972399999999993</v>
      </c>
      <c r="QF7" s="5">
        <v>87.919899999999998</v>
      </c>
      <c r="QG7" s="5">
        <v>88.282899999999998</v>
      </c>
      <c r="QH7" s="5">
        <v>88.656199999999998</v>
      </c>
      <c r="QI7" s="5">
        <v>89.515900000000002</v>
      </c>
      <c r="QJ7" s="5">
        <v>89.608999999999995</v>
      </c>
      <c r="QK7" s="5">
        <v>89.288700000000006</v>
      </c>
      <c r="QL7" s="5">
        <v>89.6678</v>
      </c>
      <c r="QM7" s="5">
        <v>90.229900000000001</v>
      </c>
      <c r="QN7" s="5">
        <v>90.662599999999998</v>
      </c>
      <c r="QO7" s="5">
        <v>91.243399999999994</v>
      </c>
      <c r="QP7" s="5">
        <v>90.684200000000004</v>
      </c>
      <c r="QQ7" s="5">
        <v>91.151399999999995</v>
      </c>
      <c r="QR7" s="5">
        <v>91.256100000000004</v>
      </c>
      <c r="QS7" s="5">
        <v>90.890100000000004</v>
      </c>
      <c r="QT7" s="5">
        <v>91.075800000000001</v>
      </c>
      <c r="QU7" s="5">
        <v>91.205699999999993</v>
      </c>
      <c r="QV7" s="5">
        <v>91.431600000000003</v>
      </c>
      <c r="QW7" s="5">
        <v>91.823700000000002</v>
      </c>
      <c r="QX7" s="5">
        <v>92.549199999999999</v>
      </c>
      <c r="QY7" s="5">
        <v>92.410200000000003</v>
      </c>
      <c r="QZ7" s="5">
        <v>92.349000000000004</v>
      </c>
      <c r="RA7" s="5">
        <v>92.438699999999997</v>
      </c>
      <c r="RB7" s="5">
        <v>92.751900000000006</v>
      </c>
      <c r="RC7" s="5">
        <v>92.632099999999994</v>
      </c>
      <c r="RD7" s="5">
        <v>92.042500000000004</v>
      </c>
      <c r="RE7" s="5">
        <v>91.869200000000006</v>
      </c>
      <c r="RF7" s="5">
        <v>90.842299999999994</v>
      </c>
      <c r="RG7" s="5">
        <v>91.333600000000004</v>
      </c>
      <c r="RH7" s="5">
        <v>91.353399999999993</v>
      </c>
      <c r="RI7" s="5">
        <v>91.160399999999996</v>
      </c>
      <c r="RJ7" s="5">
        <v>90.341200000000001</v>
      </c>
      <c r="RK7" s="5">
        <v>90.749300000000005</v>
      </c>
      <c r="RL7" s="5">
        <v>90.625200000000007</v>
      </c>
      <c r="RM7" s="5">
        <v>90.881799999999998</v>
      </c>
      <c r="RN7" s="5">
        <v>91.544899999999998</v>
      </c>
      <c r="RO7" s="5">
        <v>91.635900000000007</v>
      </c>
      <c r="RP7" s="5">
        <v>91.87</v>
      </c>
      <c r="RQ7" s="5">
        <v>91.982900000000001</v>
      </c>
      <c r="RR7" s="5">
        <v>92.224299999999999</v>
      </c>
      <c r="RS7" s="5">
        <v>92.686099999999996</v>
      </c>
      <c r="RT7" s="5">
        <v>91.9499</v>
      </c>
      <c r="RU7" s="5">
        <v>92.611800000000002</v>
      </c>
      <c r="RV7" s="5">
        <v>92.7761</v>
      </c>
      <c r="RW7" s="5">
        <v>92.5745</v>
      </c>
      <c r="RX7" s="5">
        <v>92.591899999999995</v>
      </c>
      <c r="RY7" s="5">
        <v>92.262799999999999</v>
      </c>
      <c r="RZ7" s="5">
        <v>92.366</v>
      </c>
      <c r="SA7" s="5">
        <v>92.291399999999996</v>
      </c>
      <c r="SB7" s="5">
        <v>92.525400000000005</v>
      </c>
      <c r="SC7" s="5">
        <v>92.389200000000002</v>
      </c>
      <c r="SD7" s="5">
        <v>92.305800000000005</v>
      </c>
      <c r="SE7" s="5">
        <v>92.415499999999994</v>
      </c>
      <c r="SF7" s="5">
        <v>92.581000000000003</v>
      </c>
      <c r="SG7" s="5">
        <v>92.746300000000005</v>
      </c>
      <c r="SH7" s="5">
        <v>93.219800000000006</v>
      </c>
      <c r="SI7" s="5">
        <v>93.7196</v>
      </c>
      <c r="SJ7" s="5">
        <v>93.441900000000004</v>
      </c>
      <c r="SK7" s="5">
        <v>93.589100000000002</v>
      </c>
      <c r="SL7" s="5">
        <v>94.074200000000005</v>
      </c>
      <c r="SM7" s="5">
        <v>94.324200000000005</v>
      </c>
      <c r="SN7" s="5">
        <v>94.092200000000005</v>
      </c>
      <c r="SO7" s="5">
        <v>93.440899999999999</v>
      </c>
      <c r="SP7" s="5">
        <v>93.251900000000006</v>
      </c>
      <c r="SQ7" s="5">
        <v>93.291799999999995</v>
      </c>
      <c r="SR7" s="5">
        <v>92.505799999999994</v>
      </c>
      <c r="SS7" s="5">
        <v>92.131399999999999</v>
      </c>
      <c r="ST7" s="5">
        <v>92.013400000000004</v>
      </c>
      <c r="SU7" s="5">
        <v>91.7791</v>
      </c>
      <c r="SV7" s="5">
        <v>92.053799999999995</v>
      </c>
      <c r="SW7" s="5">
        <v>91.691800000000001</v>
      </c>
      <c r="SX7" s="5">
        <v>91.312399999999997</v>
      </c>
      <c r="SY7" s="5">
        <v>91.123099999999994</v>
      </c>
      <c r="SZ7" s="5">
        <v>91.823899999999995</v>
      </c>
      <c r="TA7" s="5">
        <v>91.632999999999996</v>
      </c>
      <c r="TB7" s="5">
        <v>91.359099999999998</v>
      </c>
      <c r="TC7" s="5">
        <v>91.257300000000001</v>
      </c>
      <c r="TD7" s="5">
        <v>90.923900000000003</v>
      </c>
      <c r="TE7" s="5">
        <v>90.987300000000005</v>
      </c>
      <c r="TF7" s="5">
        <v>90.653700000000001</v>
      </c>
      <c r="TG7" s="5">
        <v>90.408199999999994</v>
      </c>
      <c r="TH7" s="5">
        <v>90.188699999999997</v>
      </c>
      <c r="TI7" s="5">
        <v>90.248599999999996</v>
      </c>
      <c r="TJ7" s="5">
        <v>89.702600000000004</v>
      </c>
      <c r="TK7" s="5">
        <v>88.685199999999995</v>
      </c>
      <c r="TL7" s="5">
        <v>88.4375</v>
      </c>
      <c r="TM7" s="5">
        <v>89.258899999999997</v>
      </c>
      <c r="TN7" s="5">
        <v>89.786900000000003</v>
      </c>
      <c r="TO7" s="5">
        <v>90.191500000000005</v>
      </c>
      <c r="TP7" s="5">
        <v>89.375500000000002</v>
      </c>
      <c r="TQ7" s="5">
        <v>88.757400000000004</v>
      </c>
      <c r="TR7" s="5">
        <v>88.743600000000001</v>
      </c>
      <c r="TS7" s="5">
        <v>88.760400000000004</v>
      </c>
      <c r="TT7" s="5">
        <v>88.760599999999997</v>
      </c>
      <c r="TU7" s="5">
        <v>88.994399999999999</v>
      </c>
      <c r="TV7" s="5">
        <v>89.0214</v>
      </c>
      <c r="TW7" s="5">
        <v>88.207999999999998</v>
      </c>
      <c r="TX7" s="5">
        <v>89.065799999999996</v>
      </c>
      <c r="TY7" s="5">
        <v>89.049899999999994</v>
      </c>
      <c r="TZ7" s="5">
        <v>87.035399999999996</v>
      </c>
      <c r="UA7" s="5">
        <v>82.628200000000007</v>
      </c>
      <c r="UB7" s="5">
        <v>87.277000000000001</v>
      </c>
      <c r="UC7" s="5">
        <v>87.297200000000004</v>
      </c>
      <c r="UD7" s="5">
        <v>88.168800000000005</v>
      </c>
      <c r="UE7" s="5">
        <v>87.742699999999999</v>
      </c>
      <c r="UF7" s="5">
        <v>87.807699999999997</v>
      </c>
      <c r="UG7" s="5">
        <v>87.780500000000004</v>
      </c>
      <c r="UH7" s="5">
        <v>88.087199999999996</v>
      </c>
      <c r="UI7" s="5">
        <v>85.564999999999998</v>
      </c>
      <c r="UJ7" s="5">
        <v>86.33</v>
      </c>
      <c r="UK7" s="5">
        <v>85.702399999999997</v>
      </c>
      <c r="UL7" s="5">
        <v>86.562100000000001</v>
      </c>
      <c r="UM7" s="5">
        <v>89.947500000000005</v>
      </c>
      <c r="UN7" s="5">
        <v>90.694400000000002</v>
      </c>
      <c r="UO7" s="5">
        <v>91.686199999999999</v>
      </c>
      <c r="UP7" s="5">
        <v>91.2881</v>
      </c>
      <c r="UQ7" s="5">
        <v>91.774500000000003</v>
      </c>
      <c r="UR7" s="5">
        <v>91.480699999999999</v>
      </c>
      <c r="US7" s="5">
        <v>91.186800000000005</v>
      </c>
      <c r="UT7" s="5">
        <v>88.611800000000002</v>
      </c>
      <c r="UU7" s="5">
        <v>88.928799999999995</v>
      </c>
      <c r="UV7" s="5">
        <v>91.112700000000004</v>
      </c>
      <c r="UW7" s="5">
        <v>91.1096</v>
      </c>
      <c r="UX7" s="5">
        <v>91.142300000000006</v>
      </c>
      <c r="UY7" s="5">
        <v>91.429199999999994</v>
      </c>
      <c r="UZ7" s="5">
        <v>92.696200000000005</v>
      </c>
      <c r="VA7" s="5">
        <v>92.92</v>
      </c>
      <c r="VB7" s="5">
        <v>92.388000000000005</v>
      </c>
      <c r="VC7" s="5">
        <v>92.712599999999995</v>
      </c>
      <c r="VD7" s="5">
        <v>93.222099999999998</v>
      </c>
      <c r="VE7" s="5">
        <v>93.358099999999993</v>
      </c>
      <c r="VF7" s="5">
        <v>97.239400000000003</v>
      </c>
      <c r="VG7" s="5">
        <v>96.068600000000004</v>
      </c>
      <c r="VH7" s="5">
        <v>96.102099999999993</v>
      </c>
      <c r="VI7" s="5">
        <v>97.149000000000001</v>
      </c>
      <c r="VJ7" s="5">
        <v>96.591800000000006</v>
      </c>
      <c r="VK7" s="5">
        <v>96.637900000000002</v>
      </c>
      <c r="VL7" s="5">
        <v>96.740200000000002</v>
      </c>
      <c r="VM7" s="5">
        <v>97.326099999999997</v>
      </c>
      <c r="VN7" s="5">
        <v>97.022599999999997</v>
      </c>
      <c r="VO7" s="5">
        <v>97.440200000000004</v>
      </c>
      <c r="VP7" s="5">
        <v>97.549899999999994</v>
      </c>
      <c r="VQ7" s="5">
        <v>98.072599999999994</v>
      </c>
      <c r="VR7" s="5">
        <v>97.954999999999998</v>
      </c>
      <c r="VS7" s="5">
        <v>97.9559</v>
      </c>
      <c r="VT7" s="5">
        <v>98.365700000000004</v>
      </c>
      <c r="VU7" s="5">
        <v>99.997</v>
      </c>
      <c r="VV7" s="5">
        <v>100.0348</v>
      </c>
      <c r="VW7" s="5">
        <v>100.2192</v>
      </c>
      <c r="VX7" s="5">
        <v>103.7908</v>
      </c>
      <c r="VY7" s="5">
        <v>109.5782</v>
      </c>
      <c r="VZ7" s="5">
        <v>107.7409</v>
      </c>
      <c r="WA7" s="5">
        <v>107.1758</v>
      </c>
      <c r="WB7" s="5">
        <v>103.3837</v>
      </c>
      <c r="WC7" s="5">
        <v>103.27070000000001</v>
      </c>
      <c r="WD7" s="5">
        <v>103.43049999999999</v>
      </c>
      <c r="WE7" s="5">
        <v>102.77630000000001</v>
      </c>
      <c r="WF7" s="5">
        <v>102.3438</v>
      </c>
      <c r="WG7" s="5">
        <v>99.612499999999997</v>
      </c>
      <c r="WH7" s="5">
        <v>101.6797</v>
      </c>
      <c r="WI7" s="5">
        <v>101.91459999999999</v>
      </c>
      <c r="WJ7" s="5">
        <v>102.7081</v>
      </c>
      <c r="WK7" s="5">
        <v>102.3762</v>
      </c>
      <c r="WL7" s="5">
        <v>102.41370000000001</v>
      </c>
      <c r="WM7" s="5">
        <v>99.928200000000004</v>
      </c>
      <c r="WN7" s="5">
        <v>98.263599999999997</v>
      </c>
      <c r="WO7" s="5">
        <v>98.012600000000006</v>
      </c>
      <c r="WP7" s="5">
        <v>99.943299999999994</v>
      </c>
      <c r="WQ7" s="5">
        <v>98.533600000000007</v>
      </c>
      <c r="WR7" s="5">
        <v>96.910399999999996</v>
      </c>
      <c r="WS7" s="5">
        <v>97.276200000000003</v>
      </c>
      <c r="WT7" s="5">
        <v>91.031300000000002</v>
      </c>
      <c r="WU7" s="5">
        <v>91.434700000000007</v>
      </c>
      <c r="WV7" s="5">
        <v>90.4268</v>
      </c>
      <c r="WW7" s="5">
        <v>88.167599999999993</v>
      </c>
      <c r="WX7" s="5">
        <v>86.631799999999998</v>
      </c>
      <c r="WY7" s="5">
        <v>87.696700000000007</v>
      </c>
      <c r="WZ7" s="5">
        <v>89.244799999999998</v>
      </c>
      <c r="XA7" s="5">
        <v>88.387200000000007</v>
      </c>
      <c r="XB7" s="5">
        <v>86.566900000000004</v>
      </c>
      <c r="XC7" s="5">
        <v>85.569400000000002</v>
      </c>
      <c r="XD7" s="5">
        <v>81.501800000000003</v>
      </c>
      <c r="XE7" s="5">
        <v>82.848699999999994</v>
      </c>
      <c r="XF7" s="5">
        <v>84.64</v>
      </c>
      <c r="XG7" s="5">
        <v>84.192999999999998</v>
      </c>
      <c r="XH7" s="5">
        <v>84.206500000000005</v>
      </c>
      <c r="XI7" s="5">
        <v>83.834699999999998</v>
      </c>
      <c r="XJ7" s="5">
        <v>85.496300000000005</v>
      </c>
      <c r="XK7" s="5">
        <v>84.552199999999999</v>
      </c>
      <c r="XL7" s="5">
        <v>84.2774</v>
      </c>
      <c r="XM7" s="5">
        <v>85.464100000000002</v>
      </c>
      <c r="XN7" s="5">
        <v>84.004000000000005</v>
      </c>
      <c r="XO7" s="5">
        <v>80.759699999999995</v>
      </c>
      <c r="XP7" s="5">
        <v>81.462000000000003</v>
      </c>
      <c r="XQ7" s="5">
        <v>82.363699999999994</v>
      </c>
      <c r="XR7" s="5">
        <v>82.855900000000005</v>
      </c>
      <c r="XS7" s="5">
        <v>82.654899999999998</v>
      </c>
      <c r="XT7" s="5">
        <v>81.561599999999999</v>
      </c>
      <c r="XU7" s="5">
        <v>81.493300000000005</v>
      </c>
      <c r="XV7" s="5">
        <v>81.913700000000006</v>
      </c>
      <c r="XW7" s="5">
        <v>80.964399999999998</v>
      </c>
      <c r="XX7" s="5">
        <v>80.861199999999997</v>
      </c>
      <c r="XY7" s="5">
        <v>80.888300000000001</v>
      </c>
      <c r="XZ7" s="5">
        <v>80.223699999999994</v>
      </c>
      <c r="YA7" s="5">
        <v>80.413700000000006</v>
      </c>
      <c r="YB7" s="5">
        <v>79.753</v>
      </c>
      <c r="YC7" s="5">
        <v>79.710800000000006</v>
      </c>
      <c r="YD7" s="5">
        <v>79.658799999999999</v>
      </c>
      <c r="YE7" s="5">
        <v>79.128500000000003</v>
      </c>
      <c r="YF7" s="5">
        <v>78.854900000000001</v>
      </c>
      <c r="YG7" s="5">
        <v>79.127200000000002</v>
      </c>
      <c r="YH7" s="5">
        <v>79.170299999999997</v>
      </c>
      <c r="YI7" s="5">
        <v>79.002799999999993</v>
      </c>
      <c r="YJ7" s="5">
        <v>78.506699999999995</v>
      </c>
      <c r="YK7" s="5">
        <v>78.713499999999996</v>
      </c>
      <c r="YL7" s="5">
        <v>78.292299999999997</v>
      </c>
      <c r="YM7" s="5">
        <v>78.468500000000006</v>
      </c>
      <c r="YN7" s="5">
        <v>78.418099999999995</v>
      </c>
      <c r="YO7" s="5">
        <v>78.783100000000005</v>
      </c>
      <c r="YP7" s="5">
        <v>78.835400000000007</v>
      </c>
      <c r="YQ7" s="5">
        <v>78.718500000000006</v>
      </c>
      <c r="YR7" s="5">
        <v>78.168199999999999</v>
      </c>
      <c r="YS7" s="5">
        <v>78.172700000000006</v>
      </c>
      <c r="YT7" s="5">
        <v>77.902900000000002</v>
      </c>
      <c r="YU7" s="5">
        <v>78.372200000000007</v>
      </c>
      <c r="YV7" s="5">
        <v>78.185599999999994</v>
      </c>
      <c r="YW7" s="5">
        <v>78.312899999999999</v>
      </c>
      <c r="YX7" s="5">
        <v>78.088200000000001</v>
      </c>
      <c r="YY7" s="5">
        <v>78.862300000000005</v>
      </c>
      <c r="YZ7" s="5">
        <v>82.219700000000003</v>
      </c>
      <c r="ZA7" s="5">
        <v>80.316299999999998</v>
      </c>
      <c r="ZB7" s="5">
        <v>80.049000000000007</v>
      </c>
      <c r="ZC7" s="5">
        <v>80.191400000000002</v>
      </c>
      <c r="ZD7" s="5">
        <v>79.779600000000002</v>
      </c>
      <c r="ZE7" s="1" t="s">
        <v>84</v>
      </c>
    </row>
    <row r="8" spans="1:683" ht="14.4">
      <c r="A8" s="1328"/>
      <c r="B8" s="1329"/>
      <c r="C8" s="88" t="s">
        <v>10</v>
      </c>
      <c r="D8" s="5">
        <v>97.76</v>
      </c>
      <c r="E8" s="137">
        <v>108.14</v>
      </c>
      <c r="F8" s="137">
        <v>111.01</v>
      </c>
      <c r="G8" s="137">
        <v>114.55</v>
      </c>
      <c r="H8" s="137">
        <v>124.01609999999999</v>
      </c>
      <c r="I8" s="137">
        <v>116.53</v>
      </c>
      <c r="J8" s="137">
        <v>126.4395</v>
      </c>
      <c r="K8" s="137">
        <v>132.9581</v>
      </c>
      <c r="L8" s="137">
        <v>128.95230000000001</v>
      </c>
      <c r="M8" s="137">
        <v>127.2343</v>
      </c>
      <c r="N8" s="137">
        <v>122.4522</v>
      </c>
      <c r="O8" s="137">
        <v>118.76009999999999</v>
      </c>
      <c r="P8" s="137">
        <v>115.9311</v>
      </c>
      <c r="Q8" s="137">
        <v>114.39960000000001</v>
      </c>
      <c r="R8" s="137">
        <v>115.6002</v>
      </c>
      <c r="S8" s="137">
        <v>114.7833</v>
      </c>
      <c r="T8" s="137">
        <v>113.26130000000001</v>
      </c>
      <c r="U8" s="137">
        <v>105.4679</v>
      </c>
      <c r="V8" s="137">
        <v>105.2662</v>
      </c>
      <c r="W8" s="137">
        <v>102.67140000000001</v>
      </c>
      <c r="X8" s="137">
        <v>96.008499999999998</v>
      </c>
      <c r="Y8" s="137">
        <v>93.695999999999998</v>
      </c>
      <c r="Z8" s="137">
        <v>92.492999999999995</v>
      </c>
      <c r="AA8" s="137">
        <v>92.146799999999999</v>
      </c>
      <c r="AB8" s="137">
        <v>92.387200000000007</v>
      </c>
      <c r="AC8" s="137">
        <v>91.728899999999996</v>
      </c>
      <c r="AD8" s="137">
        <v>90.599800000000002</v>
      </c>
      <c r="AE8" s="137">
        <v>83.293000000000006</v>
      </c>
      <c r="AF8" s="137">
        <v>81.706400000000002</v>
      </c>
      <c r="AG8" s="137">
        <v>85.975200000000001</v>
      </c>
      <c r="AH8" s="137">
        <v>86.793899999999994</v>
      </c>
      <c r="AI8" s="137">
        <v>86.721900000000005</v>
      </c>
      <c r="AJ8" s="137">
        <v>88.002399999999994</v>
      </c>
      <c r="AK8" s="137">
        <v>87.0715</v>
      </c>
      <c r="AL8" s="137">
        <v>86.428899999999999</v>
      </c>
      <c r="AM8" s="137">
        <v>85.967399999999998</v>
      </c>
      <c r="AN8" s="137">
        <v>83.270499999999998</v>
      </c>
      <c r="AO8" s="137">
        <v>81.2239</v>
      </c>
      <c r="AP8" s="137">
        <v>80.024900000000002</v>
      </c>
      <c r="AQ8" s="137">
        <v>77.465100000000007</v>
      </c>
      <c r="AR8" s="137">
        <v>76.667000000000002</v>
      </c>
      <c r="AS8" s="137">
        <v>75.922399999999996</v>
      </c>
      <c r="AT8" s="137">
        <v>75.311700000000002</v>
      </c>
      <c r="AU8" s="137">
        <v>74.558899999999994</v>
      </c>
      <c r="AV8" s="137">
        <v>72.781499999999994</v>
      </c>
      <c r="AW8" s="137">
        <v>70.066199999999995</v>
      </c>
      <c r="AX8" s="137">
        <v>71.096299999999999</v>
      </c>
      <c r="AY8" s="137">
        <v>72.631399999999999</v>
      </c>
      <c r="AZ8" s="137">
        <v>68.783500000000004</v>
      </c>
      <c r="BA8" s="137">
        <v>65.793899999999994</v>
      </c>
      <c r="BB8" s="137">
        <v>65.816599999999994</v>
      </c>
      <c r="BC8" s="137">
        <v>66.364400000000003</v>
      </c>
      <c r="BD8" s="137">
        <v>66.613500000000002</v>
      </c>
      <c r="BE8" s="137">
        <v>64.9358</v>
      </c>
      <c r="BF8" s="137">
        <v>60.895299999999999</v>
      </c>
      <c r="BG8" s="137">
        <v>60.385100000000001</v>
      </c>
      <c r="BH8" s="137">
        <v>58.8705</v>
      </c>
      <c r="BI8" s="137">
        <v>57.920999999999999</v>
      </c>
      <c r="BJ8" s="137">
        <v>64.4392</v>
      </c>
      <c r="BK8" s="137">
        <v>69.435299999999998</v>
      </c>
      <c r="BL8" s="137">
        <v>64.716999999999999</v>
      </c>
      <c r="BM8" s="137">
        <v>62.739699999999999</v>
      </c>
      <c r="BN8" s="137">
        <v>63.6629</v>
      </c>
      <c r="BO8" s="137">
        <v>64.905299999999997</v>
      </c>
      <c r="BP8" s="137">
        <v>65.9191</v>
      </c>
      <c r="BQ8" s="137">
        <v>64.866900000000001</v>
      </c>
      <c r="BR8" s="137">
        <v>64.569900000000004</v>
      </c>
      <c r="BS8" s="137">
        <v>63.938000000000002</v>
      </c>
      <c r="BT8" s="137">
        <v>62.093400000000003</v>
      </c>
      <c r="BU8" s="137">
        <v>60.965600000000002</v>
      </c>
      <c r="BV8" s="137">
        <v>59.248100000000001</v>
      </c>
      <c r="BW8" s="137">
        <v>59.120399999999997</v>
      </c>
      <c r="BX8" s="137">
        <v>58.956800000000001</v>
      </c>
      <c r="BY8" s="137">
        <v>59.329900000000002</v>
      </c>
      <c r="BZ8" s="137">
        <v>58.8003</v>
      </c>
      <c r="CA8" s="137">
        <v>57.456600000000002</v>
      </c>
      <c r="CB8" s="137">
        <v>55.8307</v>
      </c>
      <c r="CC8" s="137">
        <v>55.988599999999998</v>
      </c>
      <c r="CD8" s="137">
        <v>55.963999999999999</v>
      </c>
      <c r="CE8" s="137">
        <v>56.0535</v>
      </c>
      <c r="CF8" s="137">
        <v>55.888599999999997</v>
      </c>
      <c r="CG8" s="137">
        <v>53.857999999999997</v>
      </c>
      <c r="CH8" s="137">
        <v>54.640500000000003</v>
      </c>
      <c r="CI8" s="137">
        <v>56.358400000000003</v>
      </c>
      <c r="CJ8" s="137">
        <v>57.183599999999998</v>
      </c>
      <c r="CK8" s="137">
        <v>60.161799999999999</v>
      </c>
      <c r="CL8" s="137">
        <v>64.325999999999993</v>
      </c>
      <c r="CM8" s="137">
        <v>64.134900000000002</v>
      </c>
      <c r="CN8" s="137">
        <v>62.049900000000001</v>
      </c>
      <c r="CO8" s="137">
        <v>61.805599999999998</v>
      </c>
      <c r="CP8" s="137">
        <v>58.764299999999999</v>
      </c>
      <c r="CQ8" s="137">
        <v>58.900199999999998</v>
      </c>
      <c r="CR8" s="137">
        <v>58.343200000000003</v>
      </c>
      <c r="CS8" s="137">
        <v>57.885100000000001</v>
      </c>
      <c r="CT8" s="137">
        <v>57.1526</v>
      </c>
      <c r="CU8" s="137">
        <v>56.446300000000001</v>
      </c>
      <c r="CV8" s="137">
        <v>55.826000000000001</v>
      </c>
      <c r="CW8" s="137">
        <v>57.113300000000002</v>
      </c>
      <c r="CX8" s="137">
        <v>57.760800000000003</v>
      </c>
      <c r="CY8" s="137">
        <v>58.674100000000003</v>
      </c>
      <c r="CZ8" s="137">
        <v>59.406799999999997</v>
      </c>
      <c r="DA8" s="137">
        <v>61.0032</v>
      </c>
      <c r="DB8" s="137">
        <v>61.217100000000002</v>
      </c>
      <c r="DC8" s="137">
        <v>62.569499999999998</v>
      </c>
      <c r="DD8" s="137">
        <v>63.2468</v>
      </c>
      <c r="DE8" s="137">
        <v>61.265599999999999</v>
      </c>
      <c r="DF8" s="137">
        <v>61.124299999999998</v>
      </c>
      <c r="DG8" s="137">
        <v>61.087200000000003</v>
      </c>
      <c r="DH8" s="137">
        <v>61.360999999999997</v>
      </c>
      <c r="DI8" s="137">
        <v>61.161499999999997</v>
      </c>
      <c r="DJ8" s="137">
        <v>61.554200000000002</v>
      </c>
      <c r="DK8" s="137">
        <v>61.704000000000001</v>
      </c>
      <c r="DL8" s="137">
        <v>62.515599999999999</v>
      </c>
      <c r="DM8" s="137">
        <v>62.535499999999999</v>
      </c>
      <c r="DN8" s="137">
        <v>62.505600000000001</v>
      </c>
      <c r="DO8" s="137">
        <v>62.3551</v>
      </c>
      <c r="DP8" s="137">
        <v>61.8322</v>
      </c>
      <c r="DQ8" s="137">
        <v>60.895699999999998</v>
      </c>
      <c r="DR8" s="137">
        <v>59.3934</v>
      </c>
      <c r="DS8" s="137">
        <v>59.534399999999998</v>
      </c>
      <c r="DT8" s="137">
        <v>59.330399999999997</v>
      </c>
      <c r="DU8" s="137">
        <v>59.508200000000002</v>
      </c>
      <c r="DV8" s="137">
        <v>59.598300000000002</v>
      </c>
      <c r="DW8" s="137">
        <v>59.878399999999999</v>
      </c>
      <c r="DX8" s="137">
        <v>59.960799999999999</v>
      </c>
      <c r="DY8" s="137">
        <v>60.575200000000002</v>
      </c>
      <c r="DZ8" s="137">
        <v>60.214100000000002</v>
      </c>
      <c r="EA8" s="137">
        <v>60.284199999999998</v>
      </c>
      <c r="EB8" s="137">
        <v>60.218699999999998</v>
      </c>
      <c r="EC8" s="137">
        <v>60.140799999999999</v>
      </c>
      <c r="ED8" s="137">
        <v>60.492899999999999</v>
      </c>
      <c r="EE8" s="137">
        <v>60.5458</v>
      </c>
      <c r="EF8" s="137">
        <v>60.6952</v>
      </c>
      <c r="EG8" s="137">
        <v>60.857100000000003</v>
      </c>
      <c r="EH8" s="137">
        <v>61.3127</v>
      </c>
      <c r="EI8" s="137">
        <v>60.936399999999999</v>
      </c>
      <c r="EJ8" s="137">
        <v>60.936399999999999</v>
      </c>
      <c r="EK8" s="137">
        <v>60.936399999999999</v>
      </c>
      <c r="EL8" s="137">
        <v>59.874000000000002</v>
      </c>
      <c r="EM8" s="137">
        <v>60.0426</v>
      </c>
      <c r="EN8" s="137">
        <v>60.050699999999999</v>
      </c>
      <c r="EO8" s="137">
        <v>60.210999999999999</v>
      </c>
      <c r="EP8" s="137">
        <v>58.938800000000001</v>
      </c>
      <c r="EQ8" s="137">
        <v>56.475099999999998</v>
      </c>
      <c r="ER8" s="137">
        <v>55.927799999999998</v>
      </c>
      <c r="ES8" s="137">
        <v>55.9953</v>
      </c>
      <c r="ET8" s="137">
        <v>55.723199999999999</v>
      </c>
      <c r="EU8" s="137">
        <v>55.406399999999998</v>
      </c>
      <c r="EV8" s="137">
        <v>52.737900000000003</v>
      </c>
      <c r="EW8" s="137">
        <v>54.3947</v>
      </c>
      <c r="EX8" s="137">
        <v>56.172499999999999</v>
      </c>
      <c r="EY8" s="137">
        <v>58.061300000000003</v>
      </c>
      <c r="EZ8" s="137">
        <v>58.239199999999997</v>
      </c>
      <c r="FA8" s="137">
        <v>59.9756</v>
      </c>
      <c r="FB8" s="137">
        <v>60.801900000000003</v>
      </c>
      <c r="FC8" s="137">
        <v>62.348100000000002</v>
      </c>
      <c r="FD8" s="137">
        <v>62.5867</v>
      </c>
      <c r="FE8" s="137">
        <v>62.590299999999999</v>
      </c>
      <c r="FF8" s="137">
        <v>62.469499999999996</v>
      </c>
      <c r="FG8" s="137">
        <v>60.5608</v>
      </c>
      <c r="FH8" s="137">
        <v>60.53</v>
      </c>
      <c r="FI8" s="137">
        <v>60.108600000000003</v>
      </c>
      <c r="FJ8" s="137">
        <v>60.437100000000001</v>
      </c>
      <c r="FK8" s="137">
        <v>59.837800000000001</v>
      </c>
      <c r="FL8" s="137">
        <v>60.157499999999999</v>
      </c>
      <c r="FM8" s="137">
        <v>60.464799999999997</v>
      </c>
      <c r="FN8" s="137">
        <v>61.568199999999997</v>
      </c>
      <c r="FO8" s="137">
        <v>61.571800000000003</v>
      </c>
      <c r="FP8" s="137">
        <v>61.132800000000003</v>
      </c>
      <c r="FQ8" s="137">
        <v>61.119599999999998</v>
      </c>
      <c r="FR8" s="137">
        <v>60.966799999999999</v>
      </c>
      <c r="FS8" s="137">
        <v>60.921599999999998</v>
      </c>
      <c r="FT8" s="137">
        <v>60.607100000000003</v>
      </c>
      <c r="FU8" s="5">
        <v>60.901299999999999</v>
      </c>
      <c r="FV8" s="5">
        <v>60.823099999999997</v>
      </c>
      <c r="FW8" s="5">
        <v>61.244500000000002</v>
      </c>
      <c r="FX8" s="5">
        <v>61.003700000000002</v>
      </c>
      <c r="FY8" s="5">
        <v>62.003700000000002</v>
      </c>
      <c r="FZ8" s="5">
        <v>62.1554</v>
      </c>
      <c r="GA8" s="5">
        <v>62.6297</v>
      </c>
      <c r="GB8" s="5">
        <v>62.667499999999997</v>
      </c>
      <c r="GC8" s="5">
        <v>62.571199999999997</v>
      </c>
      <c r="GD8" s="5">
        <v>62.448399999999999</v>
      </c>
      <c r="GE8" s="5">
        <v>62.124499999999998</v>
      </c>
      <c r="GF8" s="5">
        <v>62.177399999999999</v>
      </c>
      <c r="GG8" s="5">
        <v>62.284999999999997</v>
      </c>
      <c r="GH8" s="5">
        <v>62.781399999999998</v>
      </c>
      <c r="GI8" s="5">
        <v>62.876199999999997</v>
      </c>
      <c r="GJ8" s="5">
        <v>63.300800000000002</v>
      </c>
      <c r="GK8" s="5">
        <v>63.388199999999998</v>
      </c>
      <c r="GL8" s="5">
        <v>63.050400000000003</v>
      </c>
      <c r="GM8" s="5">
        <v>63.8279</v>
      </c>
      <c r="GN8" s="5">
        <v>64.986800000000002</v>
      </c>
      <c r="GO8" s="5">
        <v>65.520499999999998</v>
      </c>
      <c r="GP8" s="5">
        <v>66.108699999999999</v>
      </c>
      <c r="GQ8" s="5">
        <v>65.896600000000007</v>
      </c>
      <c r="GR8" s="5">
        <v>65.676199999999994</v>
      </c>
      <c r="GS8" s="5">
        <v>65.840699999999998</v>
      </c>
      <c r="GT8" s="5">
        <v>66.27</v>
      </c>
      <c r="GU8" s="5">
        <v>66.701700000000002</v>
      </c>
      <c r="GV8" s="5">
        <v>67.447800000000001</v>
      </c>
      <c r="GW8" s="5">
        <v>68.447000000000003</v>
      </c>
      <c r="GX8" s="5">
        <v>68.779799999999994</v>
      </c>
      <c r="GY8" s="5">
        <v>69.779799999999994</v>
      </c>
      <c r="GZ8" s="5">
        <v>70.779799999999994</v>
      </c>
      <c r="HA8" s="5">
        <v>75.091399999999993</v>
      </c>
      <c r="HB8" s="5">
        <v>76.644599999999997</v>
      </c>
      <c r="HC8" s="5">
        <v>73.040700000000001</v>
      </c>
      <c r="HD8" s="5">
        <v>72.622600000000006</v>
      </c>
      <c r="HE8" s="5">
        <v>74.543800000000005</v>
      </c>
      <c r="HF8" s="5">
        <v>74.136099999999999</v>
      </c>
      <c r="HG8" s="5">
        <v>73.829800000000006</v>
      </c>
      <c r="HH8" s="5">
        <v>74.264600000000002</v>
      </c>
      <c r="HI8" s="5">
        <v>74.588200000000001</v>
      </c>
      <c r="HJ8" s="5">
        <v>74.343400000000003</v>
      </c>
      <c r="HK8" s="5">
        <v>74.730699999999999</v>
      </c>
      <c r="HL8" s="5">
        <v>74.694800000000001</v>
      </c>
      <c r="HM8" s="5">
        <v>74.956400000000002</v>
      </c>
      <c r="HN8" s="5">
        <v>75.334800000000001</v>
      </c>
      <c r="HO8" s="5">
        <v>75.406199999999998</v>
      </c>
      <c r="HP8" s="5">
        <v>76.300399999999996</v>
      </c>
      <c r="HQ8" s="5">
        <v>76.956400000000002</v>
      </c>
      <c r="HR8" s="5">
        <v>76.734399999999994</v>
      </c>
      <c r="HS8" s="5">
        <v>76.034700000000001</v>
      </c>
      <c r="HT8" s="5">
        <v>76.834400000000002</v>
      </c>
      <c r="HU8" s="5">
        <v>78.054199999999994</v>
      </c>
      <c r="HV8" s="5">
        <v>79.335499999999996</v>
      </c>
      <c r="HW8" s="5">
        <v>79.565399999999997</v>
      </c>
      <c r="HX8" s="5">
        <v>79.610399999999998</v>
      </c>
      <c r="HY8" s="5">
        <v>79.758799999999994</v>
      </c>
      <c r="HZ8" s="5">
        <v>79.571600000000004</v>
      </c>
      <c r="IA8" s="5">
        <v>79.623000000000005</v>
      </c>
      <c r="IB8" s="5">
        <v>79.513400000000004</v>
      </c>
      <c r="IC8" s="5">
        <v>80.189700000000002</v>
      </c>
      <c r="ID8" s="5">
        <v>80.046899999999994</v>
      </c>
      <c r="IE8" s="5">
        <v>80.235299999999995</v>
      </c>
      <c r="IF8" s="5">
        <v>80.137200000000007</v>
      </c>
      <c r="IG8" s="5">
        <v>80.400899999999993</v>
      </c>
      <c r="IH8" s="5">
        <v>80.519199999999998</v>
      </c>
      <c r="II8" s="5">
        <v>80.876300000000001</v>
      </c>
      <c r="IJ8" s="5">
        <v>81.141800000000003</v>
      </c>
      <c r="IK8" s="5">
        <v>82.373599999999996</v>
      </c>
      <c r="IL8" s="5">
        <v>82.5428</v>
      </c>
      <c r="IM8" s="5">
        <v>83.145200000000003</v>
      </c>
      <c r="IN8" s="5">
        <v>82.291300000000007</v>
      </c>
      <c r="IO8" s="5">
        <v>82.775000000000006</v>
      </c>
      <c r="IP8" s="5">
        <v>83.485900000000001</v>
      </c>
      <c r="IQ8" s="5">
        <v>83.763900000000007</v>
      </c>
      <c r="IR8" s="5">
        <v>84.111599999999996</v>
      </c>
      <c r="IS8" s="5">
        <v>84.618499999999997</v>
      </c>
      <c r="IT8" s="5">
        <v>86.720699999999994</v>
      </c>
      <c r="IU8" s="5">
        <v>87.095399999999998</v>
      </c>
      <c r="IV8" s="5">
        <v>88.129400000000004</v>
      </c>
      <c r="IW8" s="5">
        <v>90.289199999999994</v>
      </c>
      <c r="IX8" s="5">
        <v>89.173699999999997</v>
      </c>
      <c r="IY8" s="5">
        <v>89.727099999999993</v>
      </c>
      <c r="IZ8" s="5">
        <v>89.759900000000002</v>
      </c>
      <c r="JA8" s="5">
        <v>90.003500000000003</v>
      </c>
      <c r="JB8" s="5">
        <v>90.163700000000006</v>
      </c>
      <c r="JC8" s="5">
        <v>89.659000000000006</v>
      </c>
      <c r="JD8" s="5">
        <v>89.571299999999994</v>
      </c>
      <c r="JE8" s="5">
        <v>89.373599999999996</v>
      </c>
      <c r="JF8" s="5">
        <v>89.463800000000006</v>
      </c>
      <c r="JG8" s="5">
        <v>89.349500000000006</v>
      </c>
      <c r="JH8" s="5">
        <v>89.4589</v>
      </c>
      <c r="JI8" s="5">
        <v>90.033199999999994</v>
      </c>
      <c r="JJ8" s="5">
        <v>90.143600000000006</v>
      </c>
      <c r="JK8" s="5">
        <v>90.202299999999994</v>
      </c>
      <c r="JL8" s="5">
        <v>88.371200000000002</v>
      </c>
      <c r="JM8" s="5">
        <v>87.655600000000007</v>
      </c>
      <c r="JN8" s="5">
        <v>87.575000000000003</v>
      </c>
      <c r="JO8" s="5">
        <v>86.998599999999996</v>
      </c>
      <c r="JP8" s="5">
        <v>84.907300000000006</v>
      </c>
      <c r="JQ8" s="5">
        <v>84.149799999999999</v>
      </c>
      <c r="JR8" s="5">
        <v>82.887699999999995</v>
      </c>
      <c r="JS8" s="5">
        <v>84.25</v>
      </c>
      <c r="JT8" s="5">
        <v>86.086200000000005</v>
      </c>
      <c r="JU8" s="5">
        <v>87.161900000000003</v>
      </c>
      <c r="JV8" s="5">
        <v>86.496399999999994</v>
      </c>
      <c r="JW8" s="5">
        <v>86.277000000000001</v>
      </c>
      <c r="JX8" s="5">
        <v>86.496300000000005</v>
      </c>
      <c r="JY8" s="5">
        <v>86.550200000000004</v>
      </c>
      <c r="JZ8" s="5">
        <v>86.1995</v>
      </c>
      <c r="KA8" s="5">
        <v>85.8767</v>
      </c>
      <c r="KB8" s="5">
        <v>85.918999999999997</v>
      </c>
      <c r="KC8" s="5">
        <v>85.901300000000006</v>
      </c>
      <c r="KD8" s="5">
        <v>86.511899999999997</v>
      </c>
      <c r="KE8" s="5">
        <v>86.500900000000001</v>
      </c>
      <c r="KF8" s="5">
        <v>86.576400000000007</v>
      </c>
      <c r="KG8" s="5">
        <v>87.100999999999999</v>
      </c>
      <c r="KH8" s="5">
        <v>87.031800000000004</v>
      </c>
      <c r="KI8" s="5">
        <v>86.951899999999995</v>
      </c>
      <c r="KJ8" s="5">
        <v>87.165099999999995</v>
      </c>
      <c r="KK8" s="5">
        <v>88.037899999999993</v>
      </c>
      <c r="KL8" s="5">
        <v>89.005700000000004</v>
      </c>
      <c r="KM8" s="5">
        <v>90.389899999999997</v>
      </c>
      <c r="KN8" s="5">
        <v>91.066800000000001</v>
      </c>
      <c r="KO8" s="5">
        <v>90.966499999999996</v>
      </c>
      <c r="KP8" s="5">
        <v>91.632900000000006</v>
      </c>
      <c r="KQ8" s="5">
        <v>91.796599999999998</v>
      </c>
      <c r="KR8" s="5">
        <v>92.0745</v>
      </c>
      <c r="KS8" s="5">
        <v>92.001400000000004</v>
      </c>
      <c r="KT8" s="5">
        <v>91.942999999999998</v>
      </c>
      <c r="KU8" s="5">
        <v>91.493300000000005</v>
      </c>
      <c r="KV8" s="5">
        <v>92.3</v>
      </c>
      <c r="KW8" s="5">
        <v>93.137299999999996</v>
      </c>
      <c r="KX8" s="5">
        <v>93.864400000000003</v>
      </c>
      <c r="KY8" s="5">
        <v>95.105199999999996</v>
      </c>
      <c r="KZ8" s="5">
        <v>96.019499999999994</v>
      </c>
      <c r="LA8" s="5">
        <v>97.258200000000002</v>
      </c>
      <c r="LB8" s="5">
        <v>97.738200000000006</v>
      </c>
      <c r="LC8" s="5">
        <v>98.414400000000001</v>
      </c>
      <c r="LD8" s="5">
        <v>100.7163</v>
      </c>
      <c r="LE8" s="5">
        <v>99.818899999999999</v>
      </c>
      <c r="LF8" s="5">
        <v>100.41549999999999</v>
      </c>
      <c r="LG8" s="5">
        <v>99.677499999999995</v>
      </c>
      <c r="LH8" s="5">
        <v>99.888999999999996</v>
      </c>
      <c r="LI8" s="5">
        <v>100.6788</v>
      </c>
      <c r="LJ8" s="5">
        <v>101.1992</v>
      </c>
      <c r="LK8" s="5">
        <v>101.64960000000001</v>
      </c>
      <c r="LL8" s="5">
        <v>102.0271</v>
      </c>
      <c r="LM8" s="5">
        <v>102.44410000000001</v>
      </c>
      <c r="LN8" s="5">
        <v>101.833</v>
      </c>
      <c r="LO8" s="5">
        <v>100.6562</v>
      </c>
      <c r="LP8" s="5">
        <v>100.3614</v>
      </c>
      <c r="LQ8" s="5">
        <v>99.691800000000001</v>
      </c>
      <c r="LR8" s="5">
        <v>99.958600000000004</v>
      </c>
      <c r="LS8" s="5">
        <v>101.9268</v>
      </c>
      <c r="LT8" s="5">
        <v>102.53100000000001</v>
      </c>
      <c r="LU8" s="5">
        <v>103.8379</v>
      </c>
      <c r="LV8" s="5">
        <v>106.0543</v>
      </c>
      <c r="LW8" s="5">
        <v>105.43519999999999</v>
      </c>
      <c r="LX8" s="5">
        <v>106.8897</v>
      </c>
      <c r="LY8" s="5">
        <v>107.1563</v>
      </c>
      <c r="LZ8" s="5">
        <v>107.9723</v>
      </c>
      <c r="MA8" s="5">
        <v>110.68470000000001</v>
      </c>
      <c r="MB8" s="5">
        <v>106.5736</v>
      </c>
      <c r="MC8" s="5">
        <v>105.6591</v>
      </c>
      <c r="MD8" s="5">
        <v>102.181</v>
      </c>
      <c r="ME8" s="5">
        <v>101.4802</v>
      </c>
      <c r="MF8" s="5">
        <v>102.5719</v>
      </c>
      <c r="MG8" s="5">
        <v>102.753</v>
      </c>
      <c r="MH8" s="5">
        <v>102.2452</v>
      </c>
      <c r="MI8" s="5">
        <v>102.47190000000001</v>
      </c>
      <c r="MJ8" s="5">
        <v>102.2586</v>
      </c>
      <c r="MK8" s="5">
        <v>103.24339999999999</v>
      </c>
      <c r="ML8" s="5">
        <v>103.4765</v>
      </c>
      <c r="MM8" s="5">
        <v>104.4496</v>
      </c>
      <c r="MN8" s="5">
        <v>104.94070000000001</v>
      </c>
      <c r="MO8" s="5">
        <v>104.6108</v>
      </c>
      <c r="MP8" s="5">
        <v>104.4171</v>
      </c>
      <c r="MQ8" s="5">
        <v>104.90430000000001</v>
      </c>
      <c r="MR8" s="5">
        <v>105.0789</v>
      </c>
      <c r="MS8" s="5">
        <v>105.27760000000001</v>
      </c>
      <c r="MT8" s="5">
        <v>104.88720000000001</v>
      </c>
      <c r="MU8" s="5">
        <v>103.53319999999999</v>
      </c>
      <c r="MV8" s="5">
        <v>101.5646</v>
      </c>
      <c r="MW8" s="5">
        <v>103.1066</v>
      </c>
      <c r="MX8" s="5">
        <v>103.2289</v>
      </c>
      <c r="MY8" s="5">
        <v>103.03579999999999</v>
      </c>
      <c r="MZ8" s="5">
        <v>103.0945</v>
      </c>
      <c r="NA8" s="5">
        <v>102.9211</v>
      </c>
      <c r="NB8" s="5">
        <v>103.3699</v>
      </c>
      <c r="NC8" s="5">
        <v>102.36060000000001</v>
      </c>
      <c r="ND8" s="5">
        <v>102.24850000000001</v>
      </c>
      <c r="NE8" s="5">
        <v>102.2453</v>
      </c>
      <c r="NF8" s="5">
        <v>101.9888</v>
      </c>
      <c r="NG8" s="5">
        <v>101.97799999999999</v>
      </c>
      <c r="NH8" s="5">
        <v>102.0979</v>
      </c>
      <c r="NI8" s="5">
        <v>103.1631</v>
      </c>
      <c r="NJ8" s="5">
        <v>103.86799999999999</v>
      </c>
      <c r="NK8" s="5">
        <v>104.0621</v>
      </c>
      <c r="NL8" s="5">
        <v>104.30240000000001</v>
      </c>
      <c r="NM8" s="5">
        <v>104.7877</v>
      </c>
      <c r="NN8" s="5">
        <v>106.01</v>
      </c>
      <c r="NO8" s="5">
        <v>107.0322</v>
      </c>
      <c r="NP8" s="5">
        <v>105.68640000000001</v>
      </c>
      <c r="NQ8" s="5">
        <v>105.95440000000001</v>
      </c>
      <c r="NR8" s="5">
        <v>103.035</v>
      </c>
      <c r="NS8" s="5">
        <v>102.5523</v>
      </c>
      <c r="NT8" s="5">
        <v>102.52</v>
      </c>
      <c r="NU8" s="5">
        <v>102.7527</v>
      </c>
      <c r="NV8" s="5">
        <v>102.9059</v>
      </c>
      <c r="NW8" s="5">
        <v>102.6255</v>
      </c>
      <c r="NX8" s="5">
        <v>101.42570000000001</v>
      </c>
      <c r="NY8" s="5">
        <v>100.303</v>
      </c>
      <c r="NZ8" s="5">
        <v>99.553399999999996</v>
      </c>
      <c r="OA8" s="5">
        <v>98.654300000000006</v>
      </c>
      <c r="OB8" s="5">
        <v>98.7376</v>
      </c>
      <c r="OC8" s="5">
        <v>98.350399999999993</v>
      </c>
      <c r="OD8" s="5">
        <v>98.616399999999999</v>
      </c>
      <c r="OE8" s="5">
        <v>97.9345</v>
      </c>
      <c r="OF8" s="5">
        <v>98.436499999999995</v>
      </c>
      <c r="OG8" s="5">
        <v>98.999499999999998</v>
      </c>
      <c r="OH8" s="5">
        <v>99.011099999999999</v>
      </c>
      <c r="OI8" s="5">
        <v>98.786299999999997</v>
      </c>
      <c r="OJ8" s="5">
        <v>98.440299999999993</v>
      </c>
      <c r="OK8" s="5">
        <v>98.407600000000002</v>
      </c>
      <c r="OL8" s="5">
        <v>98.3155</v>
      </c>
      <c r="OM8" s="5">
        <v>98.531400000000005</v>
      </c>
      <c r="ON8" s="5">
        <v>97.778099999999995</v>
      </c>
      <c r="OO8" s="5">
        <v>97.133399999999995</v>
      </c>
      <c r="OP8" s="5">
        <v>96.592100000000002</v>
      </c>
      <c r="OQ8" s="5">
        <v>96.769199999999998</v>
      </c>
      <c r="OR8" s="5">
        <v>96.659700000000001</v>
      </c>
      <c r="OS8" s="5">
        <v>96.256100000000004</v>
      </c>
      <c r="OT8" s="5">
        <v>96.147499999999994</v>
      </c>
      <c r="OU8" s="5">
        <v>96.2273</v>
      </c>
      <c r="OV8" s="5">
        <v>96.918700000000001</v>
      </c>
      <c r="OW8" s="5">
        <v>97.159400000000005</v>
      </c>
      <c r="OX8" s="5">
        <v>97.065899999999999</v>
      </c>
      <c r="OY8" s="5">
        <v>97.650300000000001</v>
      </c>
      <c r="OZ8" s="5">
        <v>96.8827</v>
      </c>
      <c r="PA8" s="5">
        <v>97.912599999999998</v>
      </c>
      <c r="PB8" s="5">
        <v>98.576800000000006</v>
      </c>
      <c r="PC8" s="5">
        <v>99.134</v>
      </c>
      <c r="PD8" s="5">
        <v>100.1353</v>
      </c>
      <c r="PE8" s="5">
        <v>99.813100000000006</v>
      </c>
      <c r="PF8" s="5">
        <v>98.840900000000005</v>
      </c>
      <c r="PG8" s="5">
        <v>98.076899999999995</v>
      </c>
      <c r="PH8" s="5">
        <v>97.403000000000006</v>
      </c>
      <c r="PI8" s="5">
        <v>96.95</v>
      </c>
      <c r="PJ8" s="5">
        <v>97.737700000000004</v>
      </c>
      <c r="PK8" s="5">
        <v>98.418599999999998</v>
      </c>
      <c r="PL8" s="5">
        <v>98.757800000000003</v>
      </c>
      <c r="PM8" s="5">
        <v>98.576400000000007</v>
      </c>
      <c r="PN8" s="5">
        <v>99.048000000000002</v>
      </c>
      <c r="PO8" s="5">
        <v>100.51130000000001</v>
      </c>
      <c r="PP8" s="5">
        <v>101.2863</v>
      </c>
      <c r="PQ8" s="5">
        <v>101.57810000000001</v>
      </c>
      <c r="PR8" s="5">
        <v>101.1178</v>
      </c>
      <c r="PS8" s="5">
        <v>101.3451</v>
      </c>
      <c r="PT8" s="5">
        <v>100.5506</v>
      </c>
      <c r="PU8" s="5">
        <v>99.191900000000004</v>
      </c>
      <c r="PV8" s="5">
        <v>98.982500000000002</v>
      </c>
      <c r="PW8" s="5">
        <v>97.874499999999998</v>
      </c>
      <c r="PX8" s="5">
        <v>97.540099999999995</v>
      </c>
      <c r="PY8" s="5">
        <v>96.7517</v>
      </c>
      <c r="PZ8" s="5">
        <v>96.068200000000004</v>
      </c>
      <c r="QA8" s="5">
        <v>95.600700000000003</v>
      </c>
      <c r="QB8" s="5">
        <v>96.053100000000001</v>
      </c>
      <c r="QC8" s="5">
        <v>96.588200000000001</v>
      </c>
      <c r="QD8" s="5">
        <v>96.383499999999998</v>
      </c>
      <c r="QE8" s="5">
        <v>95.885400000000004</v>
      </c>
      <c r="QF8" s="5">
        <v>95.826599999999999</v>
      </c>
      <c r="QG8" s="5">
        <v>96.165700000000001</v>
      </c>
      <c r="QH8" s="5">
        <v>96.636499999999998</v>
      </c>
      <c r="QI8" s="5">
        <v>97.094499999999996</v>
      </c>
      <c r="QJ8" s="5">
        <v>96.977699999999999</v>
      </c>
      <c r="QK8" s="5">
        <v>96.789500000000004</v>
      </c>
      <c r="QL8" s="5">
        <v>97.114900000000006</v>
      </c>
      <c r="QM8" s="5">
        <v>97.400899999999993</v>
      </c>
      <c r="QN8" s="5">
        <v>98.643699999999995</v>
      </c>
      <c r="QO8" s="5">
        <v>98.227900000000005</v>
      </c>
      <c r="QP8" s="5">
        <v>97.444000000000003</v>
      </c>
      <c r="QQ8" s="5">
        <v>98.093599999999995</v>
      </c>
      <c r="QR8" s="5">
        <v>98.354299999999995</v>
      </c>
      <c r="QS8" s="5">
        <v>97.936400000000006</v>
      </c>
      <c r="QT8" s="5">
        <v>98.151200000000003</v>
      </c>
      <c r="QU8" s="5">
        <v>98.191699999999997</v>
      </c>
      <c r="QV8" s="5">
        <v>97.813299999999998</v>
      </c>
      <c r="QW8" s="5">
        <v>98.409899999999993</v>
      </c>
      <c r="QX8" s="5">
        <v>99.3523</v>
      </c>
      <c r="QY8" s="5">
        <v>99.488900000000001</v>
      </c>
      <c r="QZ8" s="5">
        <v>99.558899999999994</v>
      </c>
      <c r="RA8" s="5">
        <v>99.896799999999999</v>
      </c>
      <c r="RB8" s="5">
        <v>100.4425</v>
      </c>
      <c r="RC8" s="5">
        <v>100.1776</v>
      </c>
      <c r="RD8" s="5">
        <v>99.921400000000006</v>
      </c>
      <c r="RE8" s="5">
        <v>99.45</v>
      </c>
      <c r="RF8" s="5">
        <v>98.544700000000006</v>
      </c>
      <c r="RG8" s="5">
        <v>98.722499999999997</v>
      </c>
      <c r="RH8" s="5">
        <v>99.106099999999998</v>
      </c>
      <c r="RI8" s="5">
        <v>98.936599999999999</v>
      </c>
      <c r="RJ8" s="5">
        <v>98.201700000000002</v>
      </c>
      <c r="RK8" s="5">
        <v>98.8767</v>
      </c>
      <c r="RL8" s="5">
        <v>99.131699999999995</v>
      </c>
      <c r="RM8" s="5">
        <v>99.356099999999998</v>
      </c>
      <c r="RN8" s="5">
        <v>100.18689999999999</v>
      </c>
      <c r="RO8" s="5">
        <v>100.2625</v>
      </c>
      <c r="RP8" s="5">
        <v>99.971800000000002</v>
      </c>
      <c r="RQ8" s="5">
        <v>100.2432</v>
      </c>
      <c r="RR8" s="5">
        <v>100.10469999999999</v>
      </c>
      <c r="RS8" s="5">
        <v>100.6139</v>
      </c>
      <c r="RT8" s="5">
        <v>100.36499999999999</v>
      </c>
      <c r="RU8" s="5">
        <v>100.217</v>
      </c>
      <c r="RV8" s="5">
        <v>100.3651</v>
      </c>
      <c r="RW8" s="5">
        <v>100.4121</v>
      </c>
      <c r="RX8" s="5">
        <v>100.2704</v>
      </c>
      <c r="RY8" s="5">
        <v>99.705699999999993</v>
      </c>
      <c r="RZ8" s="5">
        <v>99.529899999999998</v>
      </c>
      <c r="SA8" s="5">
        <v>99.566100000000006</v>
      </c>
      <c r="SB8" s="5">
        <v>99.411600000000007</v>
      </c>
      <c r="SC8" s="5">
        <v>99.427700000000002</v>
      </c>
      <c r="SD8" s="5">
        <v>100.0668</v>
      </c>
      <c r="SE8" s="5">
        <v>100.1259</v>
      </c>
      <c r="SF8" s="5">
        <v>100.2236</v>
      </c>
      <c r="SG8" s="5">
        <v>100.7473</v>
      </c>
      <c r="SH8" s="5">
        <v>101.2333</v>
      </c>
      <c r="SI8" s="5">
        <v>100.6793</v>
      </c>
      <c r="SJ8" s="5">
        <v>99.726399999999998</v>
      </c>
      <c r="SK8" s="5">
        <v>99.793400000000005</v>
      </c>
      <c r="SL8" s="5">
        <v>99.934100000000001</v>
      </c>
      <c r="SM8" s="5">
        <v>100.2787</v>
      </c>
      <c r="SN8" s="5">
        <v>100.5316</v>
      </c>
      <c r="SO8" s="5">
        <v>99.579700000000003</v>
      </c>
      <c r="SP8" s="5">
        <v>99.364800000000002</v>
      </c>
      <c r="SQ8" s="5">
        <v>99.560900000000004</v>
      </c>
      <c r="SR8" s="5">
        <v>98.911799999999999</v>
      </c>
      <c r="SS8" s="5">
        <v>98.707899999999995</v>
      </c>
      <c r="ST8" s="5">
        <v>98.718699999999998</v>
      </c>
      <c r="SU8" s="5">
        <v>98.027000000000001</v>
      </c>
      <c r="SV8" s="5">
        <v>98.6447</v>
      </c>
      <c r="SW8" s="5">
        <v>98.560199999999995</v>
      </c>
      <c r="SX8" s="5">
        <v>98.472999999999999</v>
      </c>
      <c r="SY8" s="5">
        <v>98.306200000000004</v>
      </c>
      <c r="SZ8" s="5">
        <v>98.946100000000001</v>
      </c>
      <c r="TA8" s="5">
        <v>98.848600000000005</v>
      </c>
      <c r="TB8" s="5">
        <v>98.668199999999999</v>
      </c>
      <c r="TC8" s="5">
        <v>98.826700000000002</v>
      </c>
      <c r="TD8" s="5">
        <v>98.897800000000004</v>
      </c>
      <c r="TE8" s="5">
        <v>98.777600000000007</v>
      </c>
      <c r="TF8" s="5">
        <v>98.584199999999996</v>
      </c>
      <c r="TG8" s="5">
        <v>98.2971</v>
      </c>
      <c r="TH8" s="5">
        <v>97.898899999999998</v>
      </c>
      <c r="TI8" s="5">
        <v>97.878799999999998</v>
      </c>
      <c r="TJ8" s="5">
        <v>97.095399999999998</v>
      </c>
      <c r="TK8" s="5">
        <v>96.303399999999996</v>
      </c>
      <c r="TL8" s="5">
        <v>96.238299999999995</v>
      </c>
      <c r="TM8" s="5">
        <v>96.891000000000005</v>
      </c>
      <c r="TN8" s="5">
        <v>97.134699999999995</v>
      </c>
      <c r="TO8" s="5">
        <v>97.790800000000004</v>
      </c>
      <c r="TP8" s="5">
        <v>96.872100000000003</v>
      </c>
      <c r="TQ8" s="5">
        <v>96.563000000000002</v>
      </c>
      <c r="TR8" s="5">
        <v>96.444299999999998</v>
      </c>
      <c r="TS8" s="5">
        <v>96.569800000000001</v>
      </c>
      <c r="TT8" s="5">
        <v>96.691599999999994</v>
      </c>
      <c r="TU8" s="5">
        <v>95.636700000000005</v>
      </c>
      <c r="TV8" s="5">
        <v>95.739099999999993</v>
      </c>
      <c r="TW8" s="5">
        <v>94.832400000000007</v>
      </c>
      <c r="TX8" s="5">
        <v>95.151399999999995</v>
      </c>
      <c r="TY8" s="5">
        <v>95.390600000000006</v>
      </c>
      <c r="TZ8" s="5">
        <v>93.299400000000006</v>
      </c>
      <c r="UA8" s="5">
        <v>89.091399999999993</v>
      </c>
      <c r="UB8" s="5">
        <v>93.734700000000004</v>
      </c>
      <c r="UC8" s="5">
        <v>93.958200000000005</v>
      </c>
      <c r="UD8" s="5">
        <v>95.662400000000005</v>
      </c>
      <c r="UE8" s="5">
        <v>95.758799999999994</v>
      </c>
      <c r="UF8" s="5">
        <v>95.784899999999993</v>
      </c>
      <c r="UG8" s="5">
        <v>95.759100000000004</v>
      </c>
      <c r="UH8" s="5">
        <v>96.304599999999994</v>
      </c>
      <c r="UI8" s="5">
        <v>93.264099999999999</v>
      </c>
      <c r="UJ8" s="5">
        <v>93.294700000000006</v>
      </c>
      <c r="UK8" s="5">
        <v>92.829099999999997</v>
      </c>
      <c r="UL8" s="5">
        <v>94.133300000000006</v>
      </c>
      <c r="UM8" s="5">
        <v>96.685199999999995</v>
      </c>
      <c r="UN8" s="5">
        <v>100.20399999999999</v>
      </c>
      <c r="UO8" s="5">
        <v>101.9508</v>
      </c>
      <c r="UP8" s="5">
        <v>101.6207</v>
      </c>
      <c r="UQ8" s="5">
        <v>102.4927</v>
      </c>
      <c r="UR8" s="5">
        <v>102.2911</v>
      </c>
      <c r="US8" s="5">
        <v>100.76220000000001</v>
      </c>
      <c r="UT8" s="5">
        <v>97.812100000000001</v>
      </c>
      <c r="UU8" s="5">
        <v>98.072500000000005</v>
      </c>
      <c r="UV8" s="5">
        <v>100.4995</v>
      </c>
      <c r="UW8" s="5">
        <v>100.3907</v>
      </c>
      <c r="UX8" s="5">
        <v>101.27889999999999</v>
      </c>
      <c r="UY8" s="5">
        <v>101.5057</v>
      </c>
      <c r="UZ8" s="5">
        <v>103.249</v>
      </c>
      <c r="VA8" s="5">
        <v>103.2191</v>
      </c>
      <c r="VB8" s="5">
        <v>103.47580000000001</v>
      </c>
      <c r="VC8" s="5">
        <v>103.46939999999999</v>
      </c>
      <c r="VD8" s="5">
        <v>104.1735</v>
      </c>
      <c r="VE8" s="5">
        <v>103.6502</v>
      </c>
      <c r="VF8" s="5">
        <v>106.5074</v>
      </c>
      <c r="VG8" s="5">
        <v>105.1095</v>
      </c>
      <c r="VH8" s="5">
        <v>105.4854</v>
      </c>
      <c r="VI8" s="5">
        <v>105.756</v>
      </c>
      <c r="VJ8" s="5">
        <v>104.866</v>
      </c>
      <c r="VK8" s="5">
        <v>104.3815</v>
      </c>
      <c r="VL8" s="5">
        <v>104.51390000000001</v>
      </c>
      <c r="VM8" s="5">
        <v>105.4375</v>
      </c>
      <c r="VN8" s="5">
        <v>105.5231</v>
      </c>
      <c r="VO8" s="5">
        <v>105.8415</v>
      </c>
      <c r="VP8" s="5">
        <v>106.1426</v>
      </c>
      <c r="VQ8" s="5">
        <v>105.56789999999999</v>
      </c>
      <c r="VR8" s="5">
        <v>104.8522</v>
      </c>
      <c r="VS8" s="5">
        <v>104.2533</v>
      </c>
      <c r="VT8" s="5">
        <v>104.2901</v>
      </c>
      <c r="VU8" s="5">
        <v>105.7072</v>
      </c>
      <c r="VV8" s="5">
        <v>105.7338</v>
      </c>
      <c r="VW8" s="5">
        <v>105.809</v>
      </c>
      <c r="VX8" s="5">
        <v>108.87050000000001</v>
      </c>
      <c r="VY8" s="5">
        <v>116.14100000000001</v>
      </c>
      <c r="VZ8" s="5">
        <v>114.31489999999999</v>
      </c>
      <c r="WA8" s="5">
        <v>112.8019</v>
      </c>
      <c r="WB8" s="5">
        <v>109.78019999999999</v>
      </c>
      <c r="WC8" s="5">
        <v>108.55880000000001</v>
      </c>
      <c r="WD8" s="5">
        <v>109.01260000000001</v>
      </c>
      <c r="WE8" s="5">
        <v>108.50830000000001</v>
      </c>
      <c r="WF8" s="5">
        <v>106.5444</v>
      </c>
      <c r="WG8" s="5">
        <v>103.94159999999999</v>
      </c>
      <c r="WH8" s="5">
        <v>106.1028</v>
      </c>
      <c r="WI8" s="5">
        <v>105.04640000000001</v>
      </c>
      <c r="WJ8" s="5">
        <v>104.8556</v>
      </c>
      <c r="WK8" s="5">
        <v>105.80719999999999</v>
      </c>
      <c r="WL8" s="5">
        <v>105.0457</v>
      </c>
      <c r="WM8" s="5">
        <v>103.2856</v>
      </c>
      <c r="WN8" s="5">
        <v>103.187</v>
      </c>
      <c r="WO8" s="5">
        <v>102.4041</v>
      </c>
      <c r="WP8" s="5">
        <v>102.491</v>
      </c>
      <c r="WQ8" s="5">
        <v>102.68519999999999</v>
      </c>
      <c r="WR8" s="5">
        <v>100.6751</v>
      </c>
      <c r="WS8" s="5">
        <v>101.2243</v>
      </c>
      <c r="WT8" s="5">
        <v>94.9221</v>
      </c>
      <c r="WU8" s="5">
        <v>95.8048</v>
      </c>
      <c r="WV8" s="5">
        <v>94.083399999999997</v>
      </c>
      <c r="WW8" s="5">
        <v>92.015199999999993</v>
      </c>
      <c r="WX8" s="5">
        <v>90.940299999999993</v>
      </c>
      <c r="WY8" s="5">
        <v>92.036199999999994</v>
      </c>
      <c r="WZ8" s="5">
        <v>93.903400000000005</v>
      </c>
      <c r="XA8" s="5">
        <v>95.444299999999998</v>
      </c>
      <c r="XB8" s="5">
        <v>93.663899999999998</v>
      </c>
      <c r="XC8" s="5">
        <v>93.608699999999999</v>
      </c>
      <c r="XD8" s="5">
        <v>87.569699999999997</v>
      </c>
      <c r="XE8" s="5">
        <v>90.825699999999998</v>
      </c>
      <c r="XF8" s="5">
        <v>91.426199999999994</v>
      </c>
      <c r="XG8" s="5">
        <v>92.340900000000005</v>
      </c>
      <c r="XH8" s="5">
        <v>92.002899999999997</v>
      </c>
      <c r="XI8" s="5">
        <v>90.5441</v>
      </c>
      <c r="XJ8" s="5">
        <v>92.427599999999998</v>
      </c>
      <c r="XK8" s="5">
        <v>91.204400000000007</v>
      </c>
      <c r="XL8" s="5">
        <v>92.985500000000002</v>
      </c>
      <c r="XM8" s="5">
        <v>93.775499999999994</v>
      </c>
      <c r="XN8" s="5">
        <v>96.216300000000004</v>
      </c>
      <c r="XO8" s="5">
        <v>93.671400000000006</v>
      </c>
      <c r="XP8" s="5">
        <v>94.04</v>
      </c>
      <c r="XQ8" s="5">
        <v>94.572299999999998</v>
      </c>
      <c r="XR8" s="5">
        <v>94.712900000000005</v>
      </c>
      <c r="XS8" s="5">
        <v>94.359300000000005</v>
      </c>
      <c r="XT8" s="5">
        <v>93.173000000000002</v>
      </c>
      <c r="XU8" s="5">
        <v>92.837000000000003</v>
      </c>
      <c r="XV8" s="5">
        <v>92.908199999999994</v>
      </c>
      <c r="XW8" s="5">
        <v>91.916899999999998</v>
      </c>
      <c r="XX8" s="5">
        <v>92.143900000000002</v>
      </c>
      <c r="XY8" s="5">
        <v>90.111699999999999</v>
      </c>
      <c r="XZ8" s="5">
        <v>90.382099999999994</v>
      </c>
      <c r="YA8" s="5">
        <v>90.509799999999998</v>
      </c>
      <c r="YB8" s="5">
        <v>91.299000000000007</v>
      </c>
      <c r="YC8" s="5">
        <v>90.520700000000005</v>
      </c>
      <c r="YD8" s="5">
        <v>90.464399999999998</v>
      </c>
      <c r="YE8" s="5">
        <v>90.376999999999995</v>
      </c>
      <c r="YF8" s="5">
        <v>89.926699999999997</v>
      </c>
      <c r="YG8" s="5">
        <v>90.663499999999999</v>
      </c>
      <c r="YH8" s="5">
        <v>90.395399999999995</v>
      </c>
      <c r="YI8" s="5">
        <v>90.006799999999998</v>
      </c>
      <c r="YJ8" s="5">
        <v>90.943799999999996</v>
      </c>
      <c r="YK8" s="5">
        <v>90.754800000000003</v>
      </c>
      <c r="YL8" s="5">
        <v>89.838800000000006</v>
      </c>
      <c r="YM8" s="5">
        <v>92.278499999999994</v>
      </c>
      <c r="YN8" s="5">
        <v>92.744</v>
      </c>
      <c r="YO8" s="5">
        <v>93.127700000000004</v>
      </c>
      <c r="YP8" s="5">
        <v>93.010300000000001</v>
      </c>
      <c r="YQ8" s="5">
        <v>92.413799999999995</v>
      </c>
      <c r="YR8" s="5">
        <v>91.966700000000003</v>
      </c>
      <c r="YS8" s="5">
        <v>91.417500000000004</v>
      </c>
      <c r="YT8" s="5">
        <v>91.499200000000002</v>
      </c>
      <c r="YU8" s="5">
        <v>91.773799999999994</v>
      </c>
      <c r="YV8" s="5">
        <v>90.971599999999995</v>
      </c>
      <c r="YW8" s="5">
        <v>91.082099999999997</v>
      </c>
      <c r="YX8" s="5">
        <v>91.778199999999998</v>
      </c>
      <c r="YY8" s="5">
        <v>93.336200000000005</v>
      </c>
      <c r="YZ8" s="5">
        <v>94.997600000000006</v>
      </c>
      <c r="ZA8" s="5">
        <v>91.875100000000003</v>
      </c>
      <c r="ZB8" s="5">
        <v>92.509399999999999</v>
      </c>
      <c r="ZC8" s="5">
        <v>93.007199999999997</v>
      </c>
      <c r="ZD8" s="5">
        <v>92.88</v>
      </c>
      <c r="ZE8" s="92" t="s">
        <v>85</v>
      </c>
    </row>
    <row r="9" spans="1:683">
      <c r="A9" s="1328"/>
      <c r="B9" s="1329"/>
      <c r="C9" s="665" t="s">
        <v>469</v>
      </c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66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66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66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666"/>
      <c r="BV9" s="666"/>
      <c r="BW9" s="666"/>
      <c r="BX9" s="666"/>
      <c r="BY9" s="666"/>
      <c r="BZ9" s="666"/>
      <c r="CA9" s="666"/>
      <c r="CB9" s="666"/>
      <c r="CC9" s="666"/>
      <c r="CD9" s="666"/>
      <c r="CE9" s="666"/>
      <c r="CF9" s="666"/>
      <c r="CG9" s="666"/>
      <c r="CH9" s="666"/>
      <c r="CI9" s="666"/>
      <c r="CJ9" s="666"/>
      <c r="CK9" s="666"/>
      <c r="CL9" s="666"/>
      <c r="CM9" s="666"/>
      <c r="CN9" s="666"/>
      <c r="CO9" s="666"/>
      <c r="CP9" s="666"/>
      <c r="CQ9" s="666"/>
      <c r="CR9" s="666"/>
      <c r="CS9" s="666"/>
      <c r="CT9" s="666"/>
      <c r="CU9" s="666"/>
      <c r="CV9" s="666"/>
      <c r="CW9" s="666"/>
      <c r="CX9" s="666"/>
      <c r="CY9" s="666"/>
      <c r="CZ9" s="666"/>
      <c r="DA9" s="666"/>
      <c r="DB9" s="666"/>
      <c r="DC9" s="666"/>
      <c r="DD9" s="666"/>
      <c r="DE9" s="666"/>
      <c r="DF9" s="666"/>
      <c r="DG9" s="666"/>
      <c r="DH9" s="666"/>
      <c r="DI9" s="666"/>
      <c r="DJ9" s="666"/>
      <c r="DK9" s="666"/>
      <c r="DL9" s="666"/>
      <c r="DM9" s="666"/>
      <c r="DN9" s="666"/>
      <c r="DO9" s="666"/>
      <c r="DP9" s="666"/>
      <c r="DQ9" s="666"/>
      <c r="DR9" s="666"/>
      <c r="DS9" s="666"/>
      <c r="DT9" s="666"/>
      <c r="DU9" s="666"/>
      <c r="DV9" s="666"/>
      <c r="DW9" s="666"/>
      <c r="DX9" s="666"/>
      <c r="DY9" s="666"/>
      <c r="DZ9" s="666"/>
      <c r="EA9" s="666"/>
      <c r="EB9" s="666"/>
      <c r="EC9" s="666"/>
      <c r="ED9" s="666"/>
      <c r="EE9" s="666"/>
      <c r="EF9" s="666"/>
      <c r="EG9" s="666"/>
      <c r="EH9" s="666"/>
      <c r="EI9" s="666"/>
      <c r="EJ9" s="666"/>
      <c r="EK9" s="666"/>
      <c r="EL9" s="666"/>
      <c r="EM9" s="666"/>
      <c r="EN9" s="666"/>
      <c r="EO9" s="666"/>
      <c r="EP9" s="666"/>
      <c r="EQ9" s="666"/>
      <c r="ER9" s="666"/>
      <c r="ES9" s="666"/>
      <c r="ET9" s="666"/>
      <c r="EU9" s="666"/>
      <c r="EV9" s="666"/>
      <c r="EW9" s="666"/>
      <c r="EX9" s="666"/>
      <c r="EY9" s="666"/>
      <c r="EZ9" s="666"/>
      <c r="FA9" s="666"/>
      <c r="FB9" s="666"/>
      <c r="FC9" s="666"/>
      <c r="FD9" s="666"/>
      <c r="FE9" s="666"/>
      <c r="FF9" s="666"/>
      <c r="FG9" s="666"/>
      <c r="FH9" s="666"/>
      <c r="FI9" s="666"/>
      <c r="FJ9" s="666"/>
      <c r="FK9" s="666"/>
      <c r="FL9" s="666"/>
      <c r="FM9" s="666"/>
      <c r="FN9" s="666"/>
      <c r="FO9" s="666"/>
      <c r="FP9" s="666"/>
      <c r="FQ9" s="666"/>
      <c r="FR9" s="666"/>
      <c r="FS9" s="666"/>
      <c r="FT9" s="666"/>
      <c r="FU9" s="666"/>
      <c r="FV9" s="666"/>
      <c r="FW9" s="666"/>
      <c r="FX9" s="666"/>
      <c r="FY9" s="666"/>
      <c r="FZ9" s="666"/>
      <c r="GA9" s="666"/>
      <c r="GB9" s="666"/>
      <c r="GC9" s="666"/>
      <c r="GD9" s="666"/>
      <c r="GE9" s="666"/>
      <c r="GF9" s="666"/>
      <c r="GG9" s="666"/>
      <c r="GH9" s="666"/>
      <c r="GI9" s="666"/>
      <c r="GJ9" s="666"/>
      <c r="GK9" s="666"/>
      <c r="GL9" s="666"/>
      <c r="GM9" s="666"/>
      <c r="GN9" s="666"/>
      <c r="GO9" s="666"/>
      <c r="GP9" s="666"/>
      <c r="GQ9" s="666"/>
      <c r="GR9" s="666"/>
      <c r="GS9" s="666"/>
      <c r="GT9" s="666"/>
      <c r="GU9" s="666"/>
      <c r="GV9" s="666"/>
      <c r="GW9" s="666"/>
      <c r="GX9" s="666"/>
      <c r="GY9" s="666"/>
      <c r="GZ9" s="666"/>
      <c r="HA9" s="666"/>
      <c r="HB9" s="666"/>
      <c r="HC9" s="666"/>
      <c r="HD9" s="666"/>
      <c r="HE9" s="666"/>
      <c r="HF9" s="666"/>
      <c r="HG9" s="666"/>
      <c r="HH9" s="666"/>
      <c r="HI9" s="666"/>
      <c r="HJ9" s="666"/>
      <c r="HK9" s="666"/>
      <c r="HL9" s="666"/>
      <c r="HM9" s="666"/>
      <c r="HN9" s="666"/>
      <c r="HO9" s="666"/>
      <c r="HP9" s="666"/>
      <c r="HQ9" s="666"/>
      <c r="HR9" s="666"/>
      <c r="HS9" s="666"/>
      <c r="HT9" s="5">
        <v>10.539099999999999</v>
      </c>
      <c r="HU9" s="5">
        <v>10.691599999999999</v>
      </c>
      <c r="HV9" s="5">
        <v>10.822699999999999</v>
      </c>
      <c r="HW9" s="5">
        <v>10.847300000000001</v>
      </c>
      <c r="HX9" s="5">
        <v>10.8409</v>
      </c>
      <c r="HY9" s="5">
        <v>10.856199999999999</v>
      </c>
      <c r="HZ9" s="5">
        <v>10.8398</v>
      </c>
      <c r="IA9" s="5">
        <v>10.7928</v>
      </c>
      <c r="IB9" s="5">
        <v>10.746700000000001</v>
      </c>
      <c r="IC9" s="5">
        <v>10.908899999999999</v>
      </c>
      <c r="ID9" s="5">
        <v>10.9137</v>
      </c>
      <c r="IE9" s="5">
        <v>10.875400000000001</v>
      </c>
      <c r="IF9" s="5">
        <v>10.862299999999999</v>
      </c>
      <c r="IG9" s="5">
        <v>10.8995</v>
      </c>
      <c r="IH9" s="5">
        <v>10.929600000000001</v>
      </c>
      <c r="II9" s="5">
        <v>10.9704</v>
      </c>
      <c r="IJ9" s="5">
        <v>11.048500000000001</v>
      </c>
      <c r="IK9" s="5">
        <v>11.2057</v>
      </c>
      <c r="IL9" s="5">
        <v>11.1652</v>
      </c>
      <c r="IM9" s="5">
        <v>11.1662</v>
      </c>
      <c r="IN9" s="5">
        <v>11.1098</v>
      </c>
      <c r="IO9" s="5">
        <v>11.1127</v>
      </c>
      <c r="IP9" s="5">
        <v>11.1622</v>
      </c>
      <c r="IQ9" s="5">
        <v>11.184699999999999</v>
      </c>
      <c r="IR9" s="5">
        <v>11.241099999999999</v>
      </c>
      <c r="IS9" s="5">
        <v>11.3028</v>
      </c>
      <c r="IT9" s="5">
        <v>11.530799999999999</v>
      </c>
      <c r="IU9" s="5">
        <v>11.544499999999999</v>
      </c>
      <c r="IV9" s="5">
        <v>11.703900000000001</v>
      </c>
      <c r="IW9" s="5">
        <v>11.9582</v>
      </c>
      <c r="IX9" s="5">
        <v>11.874599999999999</v>
      </c>
      <c r="IY9" s="5">
        <v>11.924799999999999</v>
      </c>
      <c r="IZ9" s="5">
        <v>11.914199999999999</v>
      </c>
      <c r="JA9" s="5">
        <v>11.8566</v>
      </c>
      <c r="JB9" s="5">
        <v>11.8803</v>
      </c>
      <c r="JC9" s="5">
        <v>11.852</v>
      </c>
      <c r="JD9" s="5">
        <v>11.8482</v>
      </c>
      <c r="JE9" s="5">
        <v>11.8178</v>
      </c>
      <c r="JF9" s="5">
        <v>11.847</v>
      </c>
      <c r="JG9" s="5">
        <v>11.8111</v>
      </c>
      <c r="JH9" s="5">
        <v>11.77</v>
      </c>
      <c r="JI9" s="5">
        <v>11.766400000000001</v>
      </c>
      <c r="JJ9" s="5">
        <v>11.762600000000001</v>
      </c>
      <c r="JK9" s="5">
        <v>11.7608</v>
      </c>
      <c r="JL9" s="5">
        <v>11.565899999999999</v>
      </c>
      <c r="JM9" s="5">
        <v>11.4884</v>
      </c>
      <c r="JN9" s="5">
        <v>11.445600000000001</v>
      </c>
      <c r="JO9" s="5">
        <v>11.348800000000001</v>
      </c>
      <c r="JP9" s="5">
        <v>11.1158</v>
      </c>
      <c r="JQ9" s="5">
        <v>11.039</v>
      </c>
      <c r="JR9" s="5">
        <v>10.911899999999999</v>
      </c>
      <c r="JS9" s="5">
        <v>11.0844</v>
      </c>
      <c r="JT9" s="5">
        <v>11.3467</v>
      </c>
      <c r="JU9" s="5">
        <v>11.464</v>
      </c>
      <c r="JV9" s="5">
        <v>11.355399999999999</v>
      </c>
      <c r="JW9" s="5">
        <v>11.366</v>
      </c>
      <c r="JX9" s="5">
        <v>11.3499</v>
      </c>
      <c r="JY9" s="5">
        <v>11.3504</v>
      </c>
      <c r="JZ9" s="5">
        <v>11.324299999999999</v>
      </c>
      <c r="KA9" s="5">
        <v>11.281599999999999</v>
      </c>
      <c r="KB9" s="5">
        <v>11.304399999999999</v>
      </c>
      <c r="KC9" s="5">
        <v>11.290100000000001</v>
      </c>
      <c r="KD9" s="5">
        <v>11.361499999999999</v>
      </c>
      <c r="KE9" s="5">
        <v>11.3697</v>
      </c>
      <c r="KF9" s="5">
        <v>11.3629</v>
      </c>
      <c r="KG9" s="5">
        <v>11.4139</v>
      </c>
      <c r="KH9" s="5">
        <v>11.414999999999999</v>
      </c>
      <c r="KI9" s="5">
        <v>11.389200000000001</v>
      </c>
      <c r="KJ9" s="5">
        <v>11.4163</v>
      </c>
      <c r="KK9" s="5">
        <v>11.489599999999999</v>
      </c>
      <c r="KL9" s="5">
        <v>11.5716</v>
      </c>
      <c r="KM9" s="5">
        <v>11.668100000000001</v>
      </c>
      <c r="KN9" s="5">
        <v>11.762600000000001</v>
      </c>
      <c r="KO9" s="5">
        <v>11.7356</v>
      </c>
      <c r="KP9" s="5">
        <v>11.733000000000001</v>
      </c>
      <c r="KQ9" s="5">
        <v>11.715299999999999</v>
      </c>
      <c r="KR9" s="5">
        <v>11.7255</v>
      </c>
      <c r="KS9" s="5">
        <v>11.7059</v>
      </c>
      <c r="KT9" s="5">
        <v>11.6221</v>
      </c>
      <c r="KU9" s="5">
        <v>11.6455</v>
      </c>
      <c r="KV9" s="5">
        <v>11.69</v>
      </c>
      <c r="KW9" s="5">
        <v>11.768000000000001</v>
      </c>
      <c r="KX9" s="5">
        <v>11.7958</v>
      </c>
      <c r="KY9" s="5">
        <v>11.9894</v>
      </c>
      <c r="KZ9" s="5">
        <v>12.158799999999999</v>
      </c>
      <c r="LA9" s="5">
        <v>12.292299999999999</v>
      </c>
      <c r="LB9" s="5">
        <v>12.372199999999999</v>
      </c>
      <c r="LC9" s="5">
        <v>12.448399999999999</v>
      </c>
      <c r="LD9" s="5">
        <v>12.755100000000001</v>
      </c>
      <c r="LE9" s="5">
        <v>12.637700000000001</v>
      </c>
      <c r="LF9" s="5">
        <v>12.623100000000001</v>
      </c>
      <c r="LG9" s="5">
        <v>12.549099999999999</v>
      </c>
      <c r="LH9" s="5">
        <v>12.5829</v>
      </c>
      <c r="LI9" s="5">
        <v>12.581</v>
      </c>
      <c r="LJ9" s="5">
        <v>12.607200000000001</v>
      </c>
      <c r="LK9" s="5">
        <v>12.592700000000001</v>
      </c>
      <c r="LL9" s="5">
        <v>12.6351</v>
      </c>
      <c r="LM9" s="5">
        <v>12.6303</v>
      </c>
      <c r="LN9" s="5">
        <v>12.6455</v>
      </c>
      <c r="LO9" s="5">
        <v>12.5784</v>
      </c>
      <c r="LP9" s="5">
        <v>12.553599999999999</v>
      </c>
      <c r="LQ9" s="5">
        <v>12.598800000000001</v>
      </c>
      <c r="LR9" s="5">
        <v>12.6891</v>
      </c>
      <c r="LS9" s="5">
        <v>12.9223</v>
      </c>
      <c r="LT9" s="5">
        <v>13.0395</v>
      </c>
      <c r="LU9" s="5">
        <v>13.1755</v>
      </c>
      <c r="LV9" s="5">
        <v>13.41</v>
      </c>
      <c r="LW9" s="5">
        <v>13.276999999999999</v>
      </c>
      <c r="LX9" s="5">
        <v>13.4741</v>
      </c>
      <c r="LY9" s="5">
        <v>13.459</v>
      </c>
      <c r="LZ9" s="5">
        <v>13.5351</v>
      </c>
      <c r="MA9" s="5">
        <v>13.8741</v>
      </c>
      <c r="MB9" s="5">
        <v>13.322699999999999</v>
      </c>
      <c r="MC9" s="5">
        <v>13.2065</v>
      </c>
      <c r="MD9" s="5">
        <v>12.7875</v>
      </c>
      <c r="ME9" s="5">
        <v>12.7545</v>
      </c>
      <c r="MF9" s="5">
        <v>12.862</v>
      </c>
      <c r="MG9" s="5">
        <v>12.8734</v>
      </c>
      <c r="MH9" s="5">
        <v>12.9215</v>
      </c>
      <c r="MI9" s="5">
        <v>12.9407</v>
      </c>
      <c r="MJ9" s="5">
        <v>12.972</v>
      </c>
      <c r="MK9" s="5">
        <v>13.055</v>
      </c>
      <c r="ML9" s="5">
        <v>13.1096</v>
      </c>
      <c r="MM9" s="5">
        <v>13.1311</v>
      </c>
      <c r="MN9" s="5">
        <v>13.1943</v>
      </c>
      <c r="MO9" s="5">
        <v>13.2479</v>
      </c>
      <c r="MP9" s="5">
        <v>13.286099999999999</v>
      </c>
      <c r="MQ9" s="5">
        <v>13.340199999999999</v>
      </c>
      <c r="MR9" s="5">
        <v>13.3749</v>
      </c>
      <c r="MS9" s="5">
        <v>13.3787</v>
      </c>
      <c r="MT9" s="5">
        <v>13.313499999999999</v>
      </c>
      <c r="MU9" s="5">
        <v>13.1975</v>
      </c>
      <c r="MV9" s="5">
        <v>12.952199999999999</v>
      </c>
      <c r="MW9" s="5">
        <v>13.173500000000001</v>
      </c>
      <c r="MX9" s="5">
        <v>13.193099999999999</v>
      </c>
      <c r="MY9" s="5">
        <v>13.267200000000001</v>
      </c>
      <c r="MZ9" s="5">
        <v>13.2387</v>
      </c>
      <c r="NA9" s="5">
        <v>13.169499999999999</v>
      </c>
      <c r="NB9" s="5">
        <v>13.2097</v>
      </c>
      <c r="NC9" s="5">
        <v>13.1335</v>
      </c>
      <c r="ND9" s="5">
        <v>13.141400000000001</v>
      </c>
      <c r="NE9" s="5">
        <v>13.1394</v>
      </c>
      <c r="NF9" s="5">
        <v>13.150399999999999</v>
      </c>
      <c r="NG9" s="5">
        <v>13.1852</v>
      </c>
      <c r="NH9" s="5">
        <v>13.2753</v>
      </c>
      <c r="NI9" s="5">
        <v>13.358700000000001</v>
      </c>
      <c r="NJ9" s="5">
        <v>13.4955</v>
      </c>
      <c r="NK9" s="5">
        <v>13.5556</v>
      </c>
      <c r="NL9" s="5">
        <v>13.5779</v>
      </c>
      <c r="NM9" s="5">
        <v>13.6183</v>
      </c>
      <c r="NN9" s="5">
        <v>13.737299999999999</v>
      </c>
      <c r="NO9" s="5">
        <v>13.8926</v>
      </c>
      <c r="NP9" s="5">
        <v>13.6821</v>
      </c>
      <c r="NQ9" s="5">
        <v>13.6982</v>
      </c>
      <c r="NR9" s="5">
        <v>13.284000000000001</v>
      </c>
      <c r="NS9" s="5">
        <v>13.3026</v>
      </c>
      <c r="NT9" s="5">
        <v>13.289300000000001</v>
      </c>
      <c r="NU9" s="5">
        <v>13.285500000000001</v>
      </c>
      <c r="NV9" s="5">
        <v>13.2881</v>
      </c>
      <c r="NW9" s="5">
        <v>13.253299999999999</v>
      </c>
      <c r="NX9" s="5">
        <v>13.0688</v>
      </c>
      <c r="NY9" s="5">
        <v>12.921900000000001</v>
      </c>
      <c r="NZ9" s="5">
        <v>12.766</v>
      </c>
      <c r="OA9" s="5">
        <v>12.708399999999999</v>
      </c>
      <c r="OB9" s="5">
        <v>12.7507</v>
      </c>
      <c r="OC9" s="5">
        <v>12.712199999999999</v>
      </c>
      <c r="OD9" s="5">
        <v>12.707100000000001</v>
      </c>
      <c r="OE9" s="5">
        <v>12.533899999999999</v>
      </c>
      <c r="OF9" s="5">
        <v>12.7052</v>
      </c>
      <c r="OG9" s="5">
        <v>12.7042</v>
      </c>
      <c r="OH9" s="5">
        <v>12.6911</v>
      </c>
      <c r="OI9" s="5">
        <v>12.6656</v>
      </c>
      <c r="OJ9" s="5">
        <v>12.663</v>
      </c>
      <c r="OK9" s="5">
        <v>12.5998</v>
      </c>
      <c r="OL9" s="5">
        <v>12.597899999999999</v>
      </c>
      <c r="OM9" s="5">
        <v>12.6122</v>
      </c>
      <c r="ON9" s="5">
        <v>12.4948</v>
      </c>
      <c r="OO9" s="5">
        <v>12.3348</v>
      </c>
      <c r="OP9" s="5">
        <v>12.2479</v>
      </c>
      <c r="OQ9" s="5">
        <v>12.3104</v>
      </c>
      <c r="OR9" s="5">
        <v>12.323</v>
      </c>
      <c r="OS9" s="5">
        <v>12.3009</v>
      </c>
      <c r="OT9" s="5">
        <v>12.3026</v>
      </c>
      <c r="OU9" s="5">
        <v>12.3225</v>
      </c>
      <c r="OV9" s="5">
        <v>12.3949</v>
      </c>
      <c r="OW9" s="5">
        <v>12.3842</v>
      </c>
      <c r="OX9" s="5">
        <v>12.368499999999999</v>
      </c>
      <c r="OY9" s="5">
        <v>12.4527</v>
      </c>
      <c r="OZ9" s="5">
        <v>12.3927</v>
      </c>
      <c r="PA9" s="5">
        <v>12.5479</v>
      </c>
      <c r="PB9" s="5">
        <v>12.6897</v>
      </c>
      <c r="PC9" s="5">
        <v>12.8073</v>
      </c>
      <c r="PD9" s="5">
        <v>12.9511</v>
      </c>
      <c r="PE9" s="5">
        <v>12.922000000000001</v>
      </c>
      <c r="PF9" s="5">
        <v>12.789300000000001</v>
      </c>
      <c r="PG9" s="5">
        <v>12.6503</v>
      </c>
      <c r="PH9" s="5">
        <v>12.563599999999999</v>
      </c>
      <c r="PI9" s="5">
        <v>12.4993</v>
      </c>
      <c r="PJ9" s="5">
        <v>12.5457</v>
      </c>
      <c r="PK9" s="5">
        <v>12.6091</v>
      </c>
      <c r="PL9" s="5">
        <v>12.6578</v>
      </c>
      <c r="PM9" s="5">
        <v>12.579000000000001</v>
      </c>
      <c r="PN9" s="5">
        <v>12.6577</v>
      </c>
      <c r="PO9" s="5">
        <v>12.8124</v>
      </c>
      <c r="PP9" s="5">
        <v>12.8598</v>
      </c>
      <c r="PQ9" s="5">
        <v>12.837899999999999</v>
      </c>
      <c r="PR9" s="5">
        <v>12.793699999999999</v>
      </c>
      <c r="PS9" s="5">
        <v>12.8011</v>
      </c>
      <c r="PT9" s="5">
        <v>12.674899999999999</v>
      </c>
      <c r="PU9" s="5">
        <v>12.5762</v>
      </c>
      <c r="PV9" s="5">
        <v>12.5861</v>
      </c>
      <c r="PW9" s="5">
        <v>12.4305</v>
      </c>
      <c r="PX9" s="5">
        <v>12.363</v>
      </c>
      <c r="PY9" s="5">
        <v>12.242800000000001</v>
      </c>
      <c r="PZ9" s="5">
        <v>12.151999999999999</v>
      </c>
      <c r="QA9" s="5">
        <v>12.121700000000001</v>
      </c>
      <c r="QB9" s="5">
        <v>12.1935</v>
      </c>
      <c r="QC9" s="5">
        <v>12.249000000000001</v>
      </c>
      <c r="QD9" s="5">
        <v>12.2706</v>
      </c>
      <c r="QE9" s="5">
        <v>12.180300000000001</v>
      </c>
      <c r="QF9" s="5">
        <v>12.227399999999999</v>
      </c>
      <c r="QG9" s="5">
        <v>12.2887</v>
      </c>
      <c r="QH9" s="5">
        <v>12.327</v>
      </c>
      <c r="QI9" s="5">
        <v>12.4375</v>
      </c>
      <c r="QJ9" s="5">
        <v>12.449</v>
      </c>
      <c r="QK9" s="5">
        <v>12.406599999999999</v>
      </c>
      <c r="QL9" s="5">
        <v>12.458</v>
      </c>
      <c r="QM9" s="5">
        <v>12.5357</v>
      </c>
      <c r="QN9" s="5">
        <v>12.600199999999999</v>
      </c>
      <c r="QO9" s="5">
        <v>12.6335</v>
      </c>
      <c r="QP9" s="5">
        <v>12.592599999999999</v>
      </c>
      <c r="QQ9" s="5">
        <v>12.648400000000001</v>
      </c>
      <c r="QR9" s="5">
        <v>12.635199999999999</v>
      </c>
      <c r="QS9" s="5">
        <v>12.540699999999999</v>
      </c>
      <c r="QT9" s="5">
        <v>12.5526</v>
      </c>
      <c r="QU9" s="5">
        <v>12.5814</v>
      </c>
      <c r="QV9" s="5">
        <v>12.583299999999999</v>
      </c>
      <c r="QW9" s="5">
        <v>12.656599999999999</v>
      </c>
      <c r="QX9" s="5">
        <v>12.7418</v>
      </c>
      <c r="QY9" s="5">
        <v>12.7662</v>
      </c>
      <c r="QZ9" s="5">
        <v>12.797000000000001</v>
      </c>
      <c r="RA9" s="5">
        <v>12.803900000000001</v>
      </c>
      <c r="RB9" s="5">
        <v>12.7951</v>
      </c>
      <c r="RC9" s="5">
        <v>12.780900000000001</v>
      </c>
      <c r="RD9" s="5">
        <v>12.7357</v>
      </c>
      <c r="RE9" s="5">
        <v>12.708500000000001</v>
      </c>
      <c r="RF9" s="5">
        <v>12.567500000000001</v>
      </c>
      <c r="RG9" s="5">
        <v>12.631600000000001</v>
      </c>
      <c r="RH9" s="5">
        <v>12.6478</v>
      </c>
      <c r="RI9" s="5">
        <v>12.618</v>
      </c>
      <c r="RJ9" s="5">
        <v>12.5061</v>
      </c>
      <c r="RK9" s="5">
        <v>12.5756</v>
      </c>
      <c r="RL9" s="5">
        <v>12.5938</v>
      </c>
      <c r="RM9" s="5">
        <v>12.644</v>
      </c>
      <c r="RN9" s="5">
        <v>12.7041</v>
      </c>
      <c r="RO9" s="5">
        <v>12.7151</v>
      </c>
      <c r="RP9" s="5">
        <v>12.732799999999999</v>
      </c>
      <c r="RQ9" s="5">
        <v>12.7501</v>
      </c>
      <c r="RR9" s="5">
        <v>12.7729</v>
      </c>
      <c r="RS9" s="5">
        <v>12.8337</v>
      </c>
      <c r="RT9" s="5">
        <v>12.751899999999999</v>
      </c>
      <c r="RU9" s="5">
        <v>12.7445</v>
      </c>
      <c r="RV9" s="5">
        <v>12.789300000000001</v>
      </c>
      <c r="RW9" s="5">
        <v>12.7844</v>
      </c>
      <c r="RX9" s="5">
        <v>12.7477</v>
      </c>
      <c r="RY9" s="5">
        <v>12.697900000000001</v>
      </c>
      <c r="RZ9" s="5">
        <v>12.670999999999999</v>
      </c>
      <c r="SA9" s="5">
        <v>12.687200000000001</v>
      </c>
      <c r="SB9" s="5">
        <v>12.7211</v>
      </c>
      <c r="SC9" s="5">
        <v>12.714499999999999</v>
      </c>
      <c r="SD9" s="5">
        <v>12.7143</v>
      </c>
      <c r="SE9" s="5">
        <v>12.760199999999999</v>
      </c>
      <c r="SF9" s="5">
        <v>12.769600000000001</v>
      </c>
      <c r="SG9" s="5">
        <v>12.8004</v>
      </c>
      <c r="SH9" s="5">
        <v>12.872999999999999</v>
      </c>
      <c r="SI9" s="5">
        <v>12.911899999999999</v>
      </c>
      <c r="SJ9" s="5">
        <v>12.868499999999999</v>
      </c>
      <c r="SK9" s="5">
        <v>12.884399999999999</v>
      </c>
      <c r="SL9" s="5">
        <v>12.9331</v>
      </c>
      <c r="SM9" s="5">
        <v>13</v>
      </c>
      <c r="SN9" s="5">
        <v>12.976000000000001</v>
      </c>
      <c r="SO9" s="5">
        <v>12.881600000000001</v>
      </c>
      <c r="SP9" s="5">
        <v>12.8484</v>
      </c>
      <c r="SQ9" s="5">
        <v>12.839600000000001</v>
      </c>
      <c r="SR9" s="5">
        <v>12.718299999999999</v>
      </c>
      <c r="SS9" s="5">
        <v>12.6716</v>
      </c>
      <c r="ST9" s="5">
        <v>12.6347</v>
      </c>
      <c r="SU9" s="5">
        <v>12.5657</v>
      </c>
      <c r="SV9" s="5">
        <v>12.6821</v>
      </c>
      <c r="SW9" s="5">
        <v>12.6972</v>
      </c>
      <c r="SX9" s="5">
        <v>12.645300000000001</v>
      </c>
      <c r="SY9" s="5">
        <v>12.5962</v>
      </c>
      <c r="SZ9" s="5">
        <v>12.6243</v>
      </c>
      <c r="TA9" s="5">
        <v>12.622999999999999</v>
      </c>
      <c r="TB9" s="5">
        <v>12.602499999999999</v>
      </c>
      <c r="TC9" s="5">
        <v>12.6113</v>
      </c>
      <c r="TD9" s="5">
        <v>12.5832</v>
      </c>
      <c r="TE9" s="5">
        <v>12.5753</v>
      </c>
      <c r="TF9" s="5">
        <v>12.51</v>
      </c>
      <c r="TG9" s="5">
        <v>12.4613</v>
      </c>
      <c r="TH9" s="5">
        <v>12.4274</v>
      </c>
      <c r="TI9" s="5">
        <v>12.426600000000001</v>
      </c>
      <c r="TJ9" s="5">
        <v>12.33</v>
      </c>
      <c r="TK9" s="5">
        <v>12.190300000000001</v>
      </c>
      <c r="TL9" s="5">
        <v>12.162800000000001</v>
      </c>
      <c r="TM9" s="5">
        <v>12.2752</v>
      </c>
      <c r="TN9" s="5">
        <v>12.365</v>
      </c>
      <c r="TO9" s="5">
        <v>12.402799999999999</v>
      </c>
      <c r="TP9" s="5">
        <v>12.3011</v>
      </c>
      <c r="TQ9" s="5">
        <v>12.2248</v>
      </c>
      <c r="TR9" s="5">
        <v>12.224399999999999</v>
      </c>
      <c r="TS9" s="5">
        <v>12.225099999999999</v>
      </c>
      <c r="TT9" s="5">
        <v>12.228999999999999</v>
      </c>
      <c r="TU9" s="5">
        <v>12.221299999999999</v>
      </c>
      <c r="TV9" s="5">
        <v>12.231</v>
      </c>
      <c r="TW9" s="5">
        <v>12.040800000000001</v>
      </c>
      <c r="TX9" s="5">
        <v>12.1629</v>
      </c>
      <c r="TY9" s="5">
        <v>12.1267</v>
      </c>
      <c r="TZ9" s="5">
        <v>11.7964</v>
      </c>
      <c r="UA9" s="5">
        <v>11.1652</v>
      </c>
      <c r="UB9" s="5">
        <v>11.810499999999999</v>
      </c>
      <c r="UC9" s="5">
        <v>11.8019</v>
      </c>
      <c r="UD9" s="5">
        <v>11.980399999999999</v>
      </c>
      <c r="UE9" s="5">
        <v>11.976599999999999</v>
      </c>
      <c r="UF9" s="5">
        <v>11.979100000000001</v>
      </c>
      <c r="UG9" s="5">
        <v>11.974</v>
      </c>
      <c r="UH9" s="5">
        <v>12.053699999999999</v>
      </c>
      <c r="UI9" s="5">
        <v>11.7296</v>
      </c>
      <c r="UJ9" s="5">
        <v>11.8368</v>
      </c>
      <c r="UK9" s="5">
        <v>11.8307</v>
      </c>
      <c r="UL9" s="5">
        <v>11.866400000000001</v>
      </c>
      <c r="UM9" s="5">
        <v>11.8576</v>
      </c>
      <c r="UN9" s="5">
        <v>12.116099999999999</v>
      </c>
      <c r="UO9" s="5">
        <v>12.211399999999999</v>
      </c>
      <c r="UP9" s="5">
        <v>11.9567</v>
      </c>
      <c r="UQ9" s="5">
        <v>11.686299999999999</v>
      </c>
      <c r="UR9" s="5">
        <v>11.751300000000001</v>
      </c>
      <c r="US9" s="5">
        <v>12.0151</v>
      </c>
      <c r="UT9" s="5">
        <v>12.1106</v>
      </c>
      <c r="UU9" s="5">
        <v>12.508599999999999</v>
      </c>
      <c r="UV9" s="5">
        <v>12.6952</v>
      </c>
      <c r="UW9" s="5">
        <v>12.7362</v>
      </c>
      <c r="UX9" s="5">
        <v>12.776199999999999</v>
      </c>
      <c r="UY9" s="5">
        <v>12.922599999999999</v>
      </c>
      <c r="UZ9" s="5">
        <v>13.1028</v>
      </c>
      <c r="VA9" s="5">
        <v>13.1134</v>
      </c>
      <c r="VB9" s="5">
        <v>13.0939</v>
      </c>
      <c r="VC9" s="5">
        <v>13.2163</v>
      </c>
      <c r="VD9" s="5">
        <v>13.2425</v>
      </c>
      <c r="VE9" s="5">
        <v>13.1959</v>
      </c>
      <c r="VF9" s="5">
        <v>13.6922</v>
      </c>
      <c r="VG9" s="5">
        <v>13.475199999999999</v>
      </c>
      <c r="VH9" s="5">
        <v>13.498699999999999</v>
      </c>
      <c r="VI9" s="5">
        <v>13.5487</v>
      </c>
      <c r="VJ9" s="5">
        <v>13.5463</v>
      </c>
      <c r="VK9" s="5">
        <v>13.5192</v>
      </c>
      <c r="VL9" s="5">
        <v>13.534800000000001</v>
      </c>
      <c r="VM9" s="5">
        <v>13.5954</v>
      </c>
      <c r="VN9" s="5">
        <v>13.6068</v>
      </c>
      <c r="VO9" s="5">
        <v>13.6394</v>
      </c>
      <c r="VP9" s="5">
        <v>13.6731</v>
      </c>
      <c r="VQ9" s="5">
        <v>13.624000000000001</v>
      </c>
      <c r="VR9" s="5">
        <v>13.552</v>
      </c>
      <c r="VS9" s="5">
        <v>13.495100000000001</v>
      </c>
      <c r="VT9" s="5">
        <v>13.598000000000001</v>
      </c>
      <c r="VU9" s="5">
        <v>13.799200000000001</v>
      </c>
      <c r="VV9" s="5">
        <v>13.7744</v>
      </c>
      <c r="VW9" s="5">
        <v>13.8224</v>
      </c>
      <c r="VX9" s="5">
        <v>14.2057</v>
      </c>
      <c r="VY9" s="5">
        <v>14.6653</v>
      </c>
      <c r="VZ9" s="5">
        <v>14.7233</v>
      </c>
      <c r="WA9" s="5">
        <v>14.6258</v>
      </c>
      <c r="WB9" s="5">
        <v>14.139900000000001</v>
      </c>
      <c r="WC9" s="5">
        <v>13.853899999999999</v>
      </c>
      <c r="WD9" s="5">
        <v>14.009600000000001</v>
      </c>
      <c r="WE9" s="5">
        <v>14.0761</v>
      </c>
      <c r="WF9" s="5">
        <v>13.989699999999999</v>
      </c>
      <c r="WG9" s="5">
        <v>13.605399999999999</v>
      </c>
      <c r="WH9" s="5">
        <v>13.427199999999999</v>
      </c>
      <c r="WI9" s="5">
        <v>13.6866</v>
      </c>
      <c r="WJ9" s="5">
        <v>13.8184</v>
      </c>
      <c r="WK9" s="5">
        <v>13.914300000000001</v>
      </c>
      <c r="WL9" s="5">
        <v>13.9338</v>
      </c>
      <c r="WM9" s="5">
        <v>13.737</v>
      </c>
      <c r="WN9" s="5">
        <v>13.5101</v>
      </c>
      <c r="WO9" s="5">
        <v>13.3817</v>
      </c>
      <c r="WP9" s="5">
        <v>13.4095</v>
      </c>
      <c r="WQ9" s="5">
        <v>13.298500000000001</v>
      </c>
      <c r="WR9" s="5">
        <v>13.0503</v>
      </c>
      <c r="WS9" s="5">
        <v>13.236499999999999</v>
      </c>
      <c r="WT9" s="5">
        <v>12.335599999999999</v>
      </c>
      <c r="WU9" s="5">
        <v>12.493499999999999</v>
      </c>
      <c r="WV9" s="5">
        <v>12.360799999999999</v>
      </c>
      <c r="WW9" s="5">
        <v>12.042999999999999</v>
      </c>
      <c r="WX9" s="5">
        <v>11.8002</v>
      </c>
      <c r="WY9" s="5">
        <v>11.956300000000001</v>
      </c>
      <c r="WZ9" s="5">
        <v>12.1906</v>
      </c>
      <c r="XA9" s="5">
        <v>12.079800000000001</v>
      </c>
      <c r="XB9" s="5">
        <v>11.845800000000001</v>
      </c>
      <c r="XC9" s="5">
        <v>11.816700000000001</v>
      </c>
      <c r="XD9" s="5">
        <v>11.2232</v>
      </c>
      <c r="XE9" s="5">
        <v>11.4337</v>
      </c>
      <c r="XF9" s="5">
        <v>11.5779</v>
      </c>
      <c r="XG9" s="5">
        <v>11.5572</v>
      </c>
      <c r="XH9" s="5">
        <v>11.522500000000001</v>
      </c>
      <c r="XI9" s="5">
        <v>11.497</v>
      </c>
      <c r="XJ9" s="5">
        <v>11.7136</v>
      </c>
      <c r="XK9" s="5">
        <v>11.5258</v>
      </c>
      <c r="XL9" s="5">
        <v>11.6044</v>
      </c>
      <c r="XM9" s="5">
        <v>11.5664</v>
      </c>
      <c r="XN9" s="5">
        <v>11.447100000000001</v>
      </c>
      <c r="XO9" s="5">
        <v>11.0648</v>
      </c>
      <c r="XP9" s="5">
        <v>11.112299999999999</v>
      </c>
      <c r="XQ9" s="5">
        <v>11.338800000000001</v>
      </c>
      <c r="XR9" s="5">
        <v>11.3979</v>
      </c>
      <c r="XS9" s="5">
        <v>11.3506</v>
      </c>
      <c r="XT9" s="5">
        <v>11.201599999999999</v>
      </c>
      <c r="XU9" s="5">
        <v>11.1713</v>
      </c>
      <c r="XV9" s="5">
        <v>11.3025</v>
      </c>
      <c r="XW9" s="5">
        <v>11.2155</v>
      </c>
      <c r="XX9" s="5">
        <v>11.181900000000001</v>
      </c>
      <c r="XY9" s="5">
        <v>11.178900000000001</v>
      </c>
      <c r="XZ9" s="5">
        <v>11.1128</v>
      </c>
      <c r="YA9" s="5">
        <v>11.117900000000001</v>
      </c>
      <c r="YB9" s="5">
        <v>11.0876</v>
      </c>
      <c r="YC9" s="5">
        <v>11.077199999999999</v>
      </c>
      <c r="YD9" s="5">
        <v>11.0802</v>
      </c>
      <c r="YE9" s="5">
        <v>10.9452</v>
      </c>
      <c r="YF9" s="5">
        <v>10.912800000000001</v>
      </c>
      <c r="YG9" s="5">
        <v>11.020799999999999</v>
      </c>
      <c r="YH9" s="5">
        <v>11.010999999999999</v>
      </c>
      <c r="YI9" s="5">
        <v>10.931699999999999</v>
      </c>
      <c r="YJ9" s="5">
        <v>10.8979</v>
      </c>
      <c r="YK9" s="5">
        <v>10.920999999999999</v>
      </c>
      <c r="YL9" s="5">
        <v>10.8691</v>
      </c>
      <c r="YM9" s="5">
        <v>10.943300000000001</v>
      </c>
      <c r="YN9" s="5">
        <v>10.9384</v>
      </c>
      <c r="YO9" s="5">
        <v>10.985200000000001</v>
      </c>
      <c r="YP9" s="5">
        <v>10.9947</v>
      </c>
      <c r="YQ9" s="5">
        <v>10.9808</v>
      </c>
      <c r="YR9" s="5">
        <v>10.8597</v>
      </c>
      <c r="YS9" s="5">
        <v>10.849399999999999</v>
      </c>
      <c r="YT9" s="5">
        <v>10.8185</v>
      </c>
      <c r="YU9" s="5">
        <v>10.8932</v>
      </c>
      <c r="YV9" s="5">
        <v>10.8787</v>
      </c>
      <c r="YW9" s="5">
        <v>10.895899999999999</v>
      </c>
      <c r="YX9" s="5">
        <v>10.882899999999999</v>
      </c>
      <c r="YY9" s="5">
        <v>11.065200000000001</v>
      </c>
      <c r="YZ9" s="5">
        <v>11.427</v>
      </c>
      <c r="ZA9" s="5">
        <v>11.0928</v>
      </c>
      <c r="ZB9" s="5">
        <v>11.1036</v>
      </c>
      <c r="ZC9" s="5">
        <v>11.1165</v>
      </c>
      <c r="ZD9" s="5">
        <v>11.0665</v>
      </c>
    </row>
    <row r="10" spans="1:683">
      <c r="A10" s="87"/>
      <c r="B10" s="87"/>
      <c r="C10" s="87"/>
    </row>
    <row r="11" spans="1:683" ht="13.2" customHeight="1">
      <c r="A11" s="119" t="s">
        <v>16</v>
      </c>
      <c r="B11" s="122" t="s">
        <v>13</v>
      </c>
      <c r="C11" s="414" t="s">
        <v>5</v>
      </c>
      <c r="D11" s="15">
        <f>(225+729)/D7</f>
        <v>10.97560975609756</v>
      </c>
      <c r="E11" s="15">
        <f>(225+729)/E7</f>
        <v>9.8320107183345353</v>
      </c>
      <c r="F11" s="15">
        <f>(225+729)/F7</f>
        <v>9.6053161498187691</v>
      </c>
      <c r="G11" s="15">
        <f>(251+729)/G7</f>
        <v>9.4924447888415351</v>
      </c>
      <c r="H11" s="15">
        <f>(252.45+729)/H7</f>
        <v>8.7820473816264659</v>
      </c>
      <c r="I11" s="15">
        <f>(260+583)/I7</f>
        <v>7.9671108590870423</v>
      </c>
      <c r="J11" s="15">
        <f>(304+530+1243)/J7</f>
        <v>17.892108090041152</v>
      </c>
      <c r="K11" s="15">
        <f>(264+618+1278+62)/K7</f>
        <v>18.458445652670534</v>
      </c>
      <c r="L11" s="15">
        <f>(224+525+1087+117)/L7</f>
        <v>16.727807817787664</v>
      </c>
      <c r="M11" s="15">
        <f>(224+557+1158+113)/M7</f>
        <v>17.813072121240005</v>
      </c>
      <c r="N11" s="15">
        <f>(224+525+1087+132)/N7</f>
        <v>17.653026534257009</v>
      </c>
      <c r="O11" s="15">
        <f>(224+1162+680+109)/O7</f>
        <v>20.129178424112073</v>
      </c>
      <c r="P11" s="15">
        <f>(224+588+1162+116)/P7</f>
        <v>19.942519742140359</v>
      </c>
      <c r="Q11" s="15">
        <f>(224+592+1121+83)/Q7</f>
        <v>19.431970786629265</v>
      </c>
      <c r="R11" s="15">
        <f>(257.95+622+1407+195)/R7</f>
        <v>23.709447382976425</v>
      </c>
      <c r="S11" s="15">
        <f>(259.697+615+1455+192)/S7</f>
        <v>24.229822789723862</v>
      </c>
      <c r="T11" s="15">
        <f>(253.06+615+1455+47)/T7</f>
        <v>22.974201690935985</v>
      </c>
      <c r="U11" s="15">
        <f>(265.27+564+1207+47)/U7</f>
        <v>21.690381047375315</v>
      </c>
      <c r="V11" s="15">
        <f>(271.27+575+1216+399)/V7</f>
        <v>25.728869831008826</v>
      </c>
      <c r="W11" s="15">
        <f>(392.13+575+1216+428)/W7</f>
        <v>27.863198612778444</v>
      </c>
      <c r="X11" s="15">
        <f>(392.13+636+1330+340.36)/X7</f>
        <v>31.274403338730224</v>
      </c>
      <c r="Y11" s="15">
        <f>(392.13+636+1330+299)/Y7</f>
        <v>31.60048569841744</v>
      </c>
      <c r="Z11" s="15">
        <f>SUMIF(Table!$1:$1,Daily!Z$3,Table!$4:$4)</f>
        <v>25.900644826912664</v>
      </c>
      <c r="AA11" s="15">
        <f>SUMIF(Table!$1:$1,Daily!AA$3,Table!$4:$4)</f>
        <v>27.025670046612142</v>
      </c>
      <c r="AB11" s="15">
        <f>SUMIF(Table!$1:$1,Daily!AB$3,Table!$4:$4)</f>
        <v>26.236977631598506</v>
      </c>
      <c r="AC11" s="15">
        <f>SUMIF(Table!$1:$1,Daily!AC$3,Table!$4:$4)</f>
        <v>28.02160895477245</v>
      </c>
      <c r="AD11" s="15">
        <f>SUMIF(Table!$1:$1,Daily!AD$3,Table!$4:$4)</f>
        <v>25.321070669608083</v>
      </c>
      <c r="AE11" s="15">
        <f>SUMIF(Table!$1:$1,Daily!AE$3,Table!$4:$4)</f>
        <v>26.765618314594349</v>
      </c>
      <c r="AF11" s="15">
        <f>SUMIF(Table!$1:$1,Daily!AF$3,Table!$4:$4)</f>
        <v>29.318683995518452</v>
      </c>
      <c r="AG11" s="15">
        <f>SUMIF(Table!$1:$1,Daily!AG$3,Table!$4:$4)</f>
        <v>29.391333785487358</v>
      </c>
      <c r="AH11" s="15">
        <f>SUMIF(Table!$1:$1,Daily!AH$3,Table!$4:$4)</f>
        <v>35.085077667861917</v>
      </c>
      <c r="AI11" s="15">
        <f>SUMIF(Table!$1:$1,Daily!AI$3,Table!$4:$4)</f>
        <v>34.137418285470673</v>
      </c>
      <c r="AJ11" s="15">
        <f>SUMIF(Table!$1:$1,Daily!AJ$3,Table!$4:$4)</f>
        <v>28.878882839727449</v>
      </c>
      <c r="AK11" s="15">
        <f>SUMIF(Table!$1:$1,Daily!AK$3,Table!$4:$4)</f>
        <v>27.566419524488822</v>
      </c>
      <c r="AL11" s="15">
        <f>SUMIF(Table!$1:$1,Daily!AL$3,Table!$4:$4)</f>
        <v>29.012030957470685</v>
      </c>
      <c r="AM11" s="15">
        <f>SUMIF(Table!$1:$1,Daily!AM$3,Table!$4:$4)</f>
        <v>31.162821773428369</v>
      </c>
      <c r="AN11" s="15">
        <f>SUMIF(Table!$1:$1,Daily!AN$3,Table!$4:$4)</f>
        <v>32.663006691151764</v>
      </c>
      <c r="AO11" s="15">
        <f>SUMIF(Table!$1:$1,Daily!AO$3,Table!$4:$4)</f>
        <v>30.193244596727958</v>
      </c>
      <c r="AP11" s="15">
        <f>SUMIF(Table!$1:$1,Daily!AP$3,Table!$4:$4)</f>
        <v>35.433414202163121</v>
      </c>
      <c r="AQ11" s="15">
        <f>SUMIF(Table!$1:$1,Daily!AQ$3,Table!$4:$4)</f>
        <v>31.763164569642495</v>
      </c>
      <c r="AR11" s="15">
        <f>SUMIF(Table!$1:$1,Daily!AR$3,Table!$4:$4)</f>
        <v>34.41260827862888</v>
      </c>
      <c r="AS11" s="15">
        <f>SUMIF(Table!$1:$1,Daily!AS$3,Table!$4:$4)</f>
        <v>32.930589772683611</v>
      </c>
      <c r="AT11" s="15">
        <f>SUMIF(Table!$1:$1,Daily!AT$3,Table!$4:$4)</f>
        <v>30.79556725513277</v>
      </c>
      <c r="AU11" s="15">
        <f>SUMIF(Table!$1:$1,Daily!AU$3,Table!$4:$4)</f>
        <v>38.339853844139348</v>
      </c>
      <c r="AV11" s="15">
        <f>SUMIF(Table!$1:$1,Daily!AV$3,Table!$4:$4)</f>
        <v>41.389711782298029</v>
      </c>
      <c r="AW11" s="15">
        <f>SUMIF(Table!$1:$1,Daily!AW$3,Table!$4:$4)</f>
        <v>44.250636166207222</v>
      </c>
      <c r="AX11" s="15">
        <f>SUMIF(Table!$1:$1,Daily!AX$3,Table!$4:$4)</f>
        <v>48.108767094857406</v>
      </c>
      <c r="AY11" s="15">
        <f>SUMIF(Table!$1:$1,Daily!AY$3,Table!$4:$4)</f>
        <v>45.286464535604146</v>
      </c>
      <c r="AZ11" s="15">
        <f>SUMIF(Table!$1:$1,Daily!AZ$3,Table!$4:$4)</f>
        <v>46.314784300579412</v>
      </c>
      <c r="BA11" s="15">
        <v>44.036487201924118</v>
      </c>
      <c r="BB11" s="15">
        <f>SUMIF(Table!$1:$1,Daily!BB$3,Table!$4:$4)</f>
        <v>43.730277662996798</v>
      </c>
      <c r="BC11" s="15">
        <f>SUMIF(Table!$1:$1,Daily!BC$3,Table!$4:$4)</f>
        <v>46.458377572439353</v>
      </c>
      <c r="BD11" s="15">
        <f>SUMIF(Table!$1:$1,Daily!BD$3,Table!$4:$4)</f>
        <v>48.450195421958554</v>
      </c>
      <c r="BE11" s="15">
        <f>SUMIF(Table!$1:$1,Daily!BE$3,Table!$4:$4)</f>
        <v>48.264009687499488</v>
      </c>
      <c r="BF11" s="15">
        <f>SUMIF(Table!$1:$1,Daily!BF$3,Table!$4:$4)</f>
        <v>57.579748497101185</v>
      </c>
      <c r="BG11" s="15">
        <f>SUMIF(Table!$1:$1,Daily!BG$3,Table!$4:$4)</f>
        <v>58.693953264718154</v>
      </c>
      <c r="BH11" s="15">
        <f>SUMIF(Table!$1:$1,Daily!BH$3,Table!$4:$4)</f>
        <v>56.716727988730703</v>
      </c>
      <c r="BI11" s="15">
        <f>SUMIF(Table!$1:$1,Daily!BI$3,Table!$4:$4)</f>
        <v>58.036625536593512</v>
      </c>
      <c r="BJ11" s="15">
        <f>SUMIF(Table!$1:$1,Daily!BJ$3,Table!$4:$4)</f>
        <v>52.559932389785573</v>
      </c>
      <c r="BK11" s="15">
        <f>SUMIF(Table!$1:$1,Daily!BK$3,Table!$4:$4)</f>
        <v>50.540302044639617</v>
      </c>
      <c r="BL11" s="15">
        <f>SUMIF(Table!$1:$1,Daily!BL$3,Table!$4:$4)</f>
        <v>50.715367039106134</v>
      </c>
      <c r="BM11" s="15">
        <f>SUMIF(Table!$1:$1,Daily!BM$3,Table!$4:$4)</f>
        <v>52.102462700444264</v>
      </c>
      <c r="BN11" s="15">
        <f>SUMIF(Table!$1:$1,Daily!BN$3,Table!$4:$4)</f>
        <v>52.557584021680952</v>
      </c>
      <c r="BO11" s="15">
        <f>SUMIF(Table!$1:$1,Daily!BO$3,Table!$4:$4)</f>
        <v>61.042694593422645</v>
      </c>
      <c r="BP11" s="15">
        <f>SUMIF(Table!$1:$1,Daily!BP$3,Table!$4:$4)</f>
        <v>62.854829309830087</v>
      </c>
      <c r="BQ11" s="15">
        <f>SUMIF(Table!$1:$1,Daily!BQ$3,Table!$4:$4)</f>
        <v>65.610305968312559</v>
      </c>
      <c r="BR11" s="15">
        <f>SUMIF(Table!$1:$1,Daily!BR$3,Table!$4:$4)</f>
        <v>65.774689034278552</v>
      </c>
      <c r="BS11" s="15">
        <f>SUMIF(Table!$1:$1,Daily!BS$3,Table!$4:$4)</f>
        <v>65.099709308928368</v>
      </c>
      <c r="BT11" s="15">
        <f>SUMIF(Table!$1:$1,Daily!BT$3,Table!$4:$4)</f>
        <v>64.024277570282337</v>
      </c>
      <c r="BU11" s="15">
        <f>SUMIF(Table!$1:$1,Daily!BU$3,Table!$4:$4)</f>
        <v>70.969849571722804</v>
      </c>
      <c r="BV11" s="15">
        <f>SUMIF(Table!$1:$1,Daily!BV$3,Table!$4:$4)</f>
        <v>72.768886198911943</v>
      </c>
      <c r="BW11" s="15">
        <f>SUMIF(Table!$1:$1,Daily!BW$3,Table!$4:$4)</f>
        <v>73.065326955617849</v>
      </c>
      <c r="BX11" s="15">
        <f>SUMIF(Table!$1:$1,Daily!BX$3,Table!$4:$4)</f>
        <v>73.312596116168535</v>
      </c>
      <c r="BY11" s="15">
        <f>SUMIF(Table!$1:$1,Daily!BY$3,Table!$4:$4)</f>
        <v>81.449372024383678</v>
      </c>
      <c r="BZ11" s="15">
        <f>SUMIF(Table!$1:$1,Daily!BZ$3,Table!$4:$4)</f>
        <v>76.447570191961574</v>
      </c>
      <c r="CA11" s="15">
        <f>SUMIF(Table!$1:$1,Daily!CA$3,Table!$4:$4)</f>
        <v>63.372076490483131</v>
      </c>
      <c r="CB11" s="15">
        <f>SUMIF(Table!$1:$1,Daily!CB$3,Table!$4:$4)</f>
        <v>64.535579310907906</v>
      </c>
      <c r="CC11" s="15">
        <f>SUMIF(Table!$1:$1,Daily!CC$3,Table!$4:$4)</f>
        <v>66.479252179812534</v>
      </c>
      <c r="CD11" s="15">
        <f>SUMIF(Table!$1:$1,Daily!CD$3,Table!$4:$4)</f>
        <v>43.262434194743769</v>
      </c>
      <c r="CE11" s="15">
        <f>SUMIF(Table!$1:$1,Daily!CE$3,Table!$4:$4)</f>
        <v>45.702259741099347</v>
      </c>
      <c r="CF11" s="15">
        <f>SUMIF(Table!$1:$1,Daily!CF$3,Table!$4:$4)</f>
        <v>49.444598575983711</v>
      </c>
      <c r="CG11" s="15">
        <v>34.441884078540987</v>
      </c>
      <c r="CH11" s="15">
        <f>SUMIF(Table!$1:$1,Daily!CH$3,Table!$4:$4)</f>
        <v>26.483316031863009</v>
      </c>
      <c r="CI11" s="15">
        <f>SUMIF(Table!$1:$1,Daily!CI$3,Table!$4:$4)</f>
        <v>27.407029783177972</v>
      </c>
      <c r="CJ11" s="15">
        <f>SUMIF(Table!$1:$1,Daily!CJ$3,Table!$4:$4)</f>
        <v>36.444221327274903</v>
      </c>
      <c r="CK11" s="15">
        <f>SUMIF(Table!$1:$1,Daily!CK$3,Table!$4:$4)</f>
        <v>24.037102459845702</v>
      </c>
      <c r="CL11" s="15">
        <f>SUMIF(Table!$1:$1,Daily!CL$3,Table!$4:$4)</f>
        <v>21.845007599148001</v>
      </c>
      <c r="CM11" s="15">
        <f>SUMIF(Table!$1:$1,Daily!CM$3,Table!$4:$4)</f>
        <v>21.210121061975496</v>
      </c>
      <c r="CN11" s="15">
        <f>SUMIF(Table!$1:$1,Daily!CN$3,Table!$4:$4)</f>
        <v>22.4879576979062</v>
      </c>
      <c r="CO11" s="15">
        <f>SUMIF(Table!$1:$1,Daily!CO$3,Table!$4:$4)</f>
        <v>25.1306872915202</v>
      </c>
      <c r="CP11" s="15">
        <f>SUMIF(Table!$1:$1,Daily!CP$3,Table!$4:$4)</f>
        <v>65.825547539763591</v>
      </c>
      <c r="CQ11" s="15">
        <f>SUMIF(Table!$1:$1,Daily!CQ$3,Table!$4:$4)</f>
        <v>28.359035891697225</v>
      </c>
      <c r="CR11" s="15">
        <f>SUMIF(Table!$1:$1,Daily!CR$3,Table!$4:$4)</f>
        <v>63.806845039377379</v>
      </c>
      <c r="CS11" s="15">
        <f>SUMIF(Table!$1:$1,Daily!CS$3,Table!$4:$4)</f>
        <v>24.976005429007667</v>
      </c>
      <c r="CT11" s="15">
        <f>SUMIF(Table!$1:$1,Daily!CT$3,Table!$4:$4)</f>
        <v>29.530266288966359</v>
      </c>
      <c r="CU11" s="15">
        <f>SUMIF(Table!$1:$1,Daily!CU$3,Table!$4:$4)</f>
        <v>26.811452284214514</v>
      </c>
      <c r="CV11" s="15">
        <f>SUMIF(Table!$1:$1,Daily!CV$3,Table!$4:$4)</f>
        <v>27.842243500987259</v>
      </c>
      <c r="CW11" s="15">
        <f>SUMIF(Table!$1:$1,Daily!CW$3,Table!$4:$4)</f>
        <v>28.128292761467684</v>
      </c>
      <c r="CX11" s="15">
        <f>SUMIF(Table!$1:$1,Daily!CX$3,Table!$4:$4)</f>
        <v>31.291488267118766</v>
      </c>
      <c r="CY11" s="15">
        <f>SUMIF(Table!$1:$1,Daily!CY$3,Table!$4:$4)</f>
        <v>29.346827569264534</v>
      </c>
      <c r="CZ11" s="15">
        <f>SUMIF(Table!$1:$1,Daily!CZ$3,Table!$4:$4)</f>
        <v>29.141677215161828</v>
      </c>
      <c r="DA11" s="15">
        <f>SUMIF(Table!$1:$1,Daily!DA$3,Table!$4:$4)</f>
        <v>38.819019116303949</v>
      </c>
      <c r="DB11" s="15">
        <f>SUMIF(Table!$1:$1,Daily!DB$3,Table!$4:$4)</f>
        <v>37.696986687064289</v>
      </c>
      <c r="DC11" s="15">
        <f>SUMIF(Table!$1:$1,Daily!DC$3,Table!$4:$4)</f>
        <v>31.371317415890697</v>
      </c>
      <c r="DD11" s="15">
        <f>SUMIF(Table!$1:$1,Daily!DD$3,Table!$4:$4)</f>
        <v>33.527949939726618</v>
      </c>
      <c r="DE11" s="15">
        <f>SUMIF(Table!$1:$1,Daily!DE$3,Table!$4:$4)</f>
        <v>33.049424141324316</v>
      </c>
      <c r="DF11" s="15">
        <f>SUMIF(Table!$1:$1,Daily!DF$3,Table!$4:$4)</f>
        <v>32.964523470949942</v>
      </c>
      <c r="DG11" s="15">
        <f>SUMIF(Table!$1:$1,Daily!DG$3,Table!$4:$4)</f>
        <v>34.901145731853028</v>
      </c>
      <c r="DH11" s="15">
        <f>SUMIF(Table!$1:$1,Daily!DH$3,Table!$4:$4)</f>
        <v>35.397564038854</v>
      </c>
      <c r="DI11" s="15">
        <f>SUMIF(Table!$1:$1,Daily!DI$3,Table!$4:$4)</f>
        <v>38.385974819783669</v>
      </c>
      <c r="DJ11" s="15">
        <f>SUMIF(Table!$1:$1,Daily!DJ$3,Table!$4:$4)</f>
        <v>39.634730819093292</v>
      </c>
      <c r="DK11" s="15">
        <f>SUMIF(Table!$1:$1,Daily!DK$3,Table!$4:$4)</f>
        <v>38.684500152677572</v>
      </c>
      <c r="DL11" s="15">
        <f>SUMIF(Table!$1:$1,Daily!DL$3,Table!$4:$4)</f>
        <v>40.342175810131153</v>
      </c>
      <c r="DM11" s="15">
        <f>SUMIF(Table!$1:$1,Daily!DM$3,Table!$4:$4)</f>
        <v>39.489825624760876</v>
      </c>
      <c r="DN11" s="15">
        <f>SUMIF(Table!$1:$1,Daily!DN$3,Table!$4:$4)</f>
        <v>40.569182190381383</v>
      </c>
      <c r="DO11" s="15">
        <f>SUMIF(Table!$1:$1,Daily!DO$3,Table!$4:$4)</f>
        <v>41.025439997916152</v>
      </c>
      <c r="DP11" s="15">
        <f>SUMIF(Table!$1:$1,Daily!DP$3,Table!$4:$4)</f>
        <v>41.950865266182987</v>
      </c>
      <c r="DQ11" s="15">
        <f>SUMIF(Table!$1:$1,Daily!DQ$3,Table!$4:$4)</f>
        <v>41.205000527878319</v>
      </c>
      <c r="DR11" s="15">
        <f>SUMIF(Table!$1:$1,Daily!DR$3,Table!$4:$4)</f>
        <v>41.970823900723971</v>
      </c>
      <c r="DS11" s="15">
        <f>SUMIF(Table!$1:$1,Daily!DS$3,Table!$4:$4)</f>
        <v>46.93339372651355</v>
      </c>
      <c r="DT11" s="15">
        <f>SUMIF(Table!$1:$1,Daily!DT$3,Table!$4:$4)</f>
        <v>47.585987068650326</v>
      </c>
      <c r="DU11" s="15">
        <f>SUMIF(Table!$1:$1,Daily!DU$3,Table!$4:$4)</f>
        <v>45.386789857393822</v>
      </c>
      <c r="DV11" s="15">
        <f>SUMIF(Table!$1:$1,Daily!DV$3,Table!$4:$4)</f>
        <v>48.571154794804741</v>
      </c>
      <c r="DW11" s="15">
        <f>SUMIF(Table!$1:$1,Daily!DW$3,Table!$4:$4)</f>
        <v>51.231645677822812</v>
      </c>
      <c r="DX11" s="15">
        <f>SUMIF(Table!$1:$1,Daily!DX$3,Table!$4:$4)</f>
        <v>50.891080947127072</v>
      </c>
      <c r="DY11" s="15">
        <f>SUMIF(Table!$1:$1,Daily!DY$3,Table!$4:$4)</f>
        <v>50.517335075711024</v>
      </c>
      <c r="DZ11" s="15">
        <f>SUMIF(Table!$1:$1,Daily!DZ$3,Table!$4:$4)</f>
        <v>58.428085211641708</v>
      </c>
      <c r="EA11" s="15">
        <f>SUMIF(Table!$1:$1,Daily!EA$3,Table!$4:$4)</f>
        <v>49.480849078805385</v>
      </c>
      <c r="EB11" s="15">
        <f>SUMIF(Table!$1:$1,Daily!EB$3,Table!$4:$4)</f>
        <v>54.930534851328368</v>
      </c>
      <c r="EC11" s="15">
        <f>SUMIF(Table!$1:$1,Daily!EC$3,Table!$4:$4)</f>
        <v>53.91321161496996</v>
      </c>
      <c r="ED11" s="15">
        <f>SUMIF(Table!$1:$1,Daily!ED$3,Table!$4:$4)</f>
        <v>53.357753433276805</v>
      </c>
      <c r="EE11" s="15">
        <f>SUMIF(Table!$1:$1,Daily!EE$3,Table!$4:$4)</f>
        <v>51.317221792407508</v>
      </c>
      <c r="EF11" s="15">
        <f>SUMIF(Table!$1:$1,Daily!EF$3,Table!$4:$4)</f>
        <v>49.200738050525487</v>
      </c>
      <c r="EG11" s="15">
        <f>SUMIF(Table!$1:$1,Daily!EG$3,Table!$4:$4)</f>
        <v>51.073733114159836</v>
      </c>
      <c r="EH11" s="15">
        <f>SUMIF(Table!$1:$1,Daily!EH$3,Table!$4:$4)</f>
        <v>54.831025209240316</v>
      </c>
      <c r="EI11" s="15">
        <f>SUMIF(Table!$1:$1,Daily!EI$3,Table!$4:$4)</f>
        <v>54.673890359861225</v>
      </c>
      <c r="EJ11" s="15">
        <f>SUMIF(Table!$1:$1,Daily!EJ$3,Table!$4:$4)</f>
        <v>53.670026944975334</v>
      </c>
      <c r="EK11" s="15">
        <f>SUMIF(Table!$1:$1,Daily!EK$3,Table!$4:$4)</f>
        <v>52.069484827427765</v>
      </c>
      <c r="EL11" s="15">
        <f>SUMIF(Table!$1:$1,Daily!EL$3,Table!$4:$4)</f>
        <v>54.226242308384265</v>
      </c>
      <c r="EM11" s="15">
        <f>SUMIF(Table!$1:$1,Daily!EM$3,Table!$4:$4)</f>
        <v>51.556155990240363</v>
      </c>
      <c r="EN11" s="15">
        <f>SUMIF(Table!$1:$1,Daily!EN$3,Table!$4:$4)</f>
        <v>52.997847343199624</v>
      </c>
      <c r="EO11" s="15">
        <f>SUMIF(Table!$1:$1,Daily!EO$3,Table!$4:$4)</f>
        <v>50.291638114952733</v>
      </c>
      <c r="EP11" s="15">
        <f>SUMIF(Table!$1:$1,Daily!EP$3,Table!$4:$4)</f>
        <v>53.274040005816303</v>
      </c>
      <c r="EQ11" s="15">
        <f>SUMIF(Table!$1:$1,Daily!EQ$3,Table!$4:$4)</f>
        <v>36.231256079971629</v>
      </c>
      <c r="ER11" s="15">
        <f>SUMIF(Table!$1:$1,Daily!ER$3,Table!$4:$4)</f>
        <v>44.483796772702966</v>
      </c>
      <c r="ES11" s="15">
        <f>SUMIF(Table!$1:$1,Daily!ES$3,Table!$4:$4)</f>
        <v>46.937027184420963</v>
      </c>
      <c r="ET11" s="15">
        <f>SUMIF(Table!$1:$1,Daily!ET$3,Table!$4:$4)</f>
        <v>54.969691554787538</v>
      </c>
      <c r="EU11" s="15">
        <f>SUMIF(Table!$1:$1,Daily!EU$3,Table!$4:$4)</f>
        <v>52.161319288662838</v>
      </c>
      <c r="EV11" s="15">
        <f>SUMIF(Table!$1:$1,Daily!EV$3,Table!$4:$4)</f>
        <v>51.366701240535491</v>
      </c>
      <c r="EW11" s="15">
        <f>SUMIF(Table!$1:$1,Daily!EW$3,Table!$4:$4)</f>
        <v>54.597008743468407</v>
      </c>
      <c r="EX11" s="15">
        <f>SUMIF(Table!$1:$1,Daily!EX$3,Table!$4:$4)</f>
        <v>55.529837466427843</v>
      </c>
      <c r="EY11" s="15">
        <f>SUMIF(Table!$1:$1,Daily!EY$3,Table!$4:$4)</f>
        <v>52.350616099002927</v>
      </c>
      <c r="EZ11" s="15">
        <f>SUMIF(Table!$1:$1,Daily!EZ$3,Table!$4:$4)</f>
        <v>48.758130137884329</v>
      </c>
      <c r="FA11" s="15">
        <f>SUMIF(Table!$1:$1,Daily!FA$3,Table!$4:$4)</f>
        <v>46.883515594758968</v>
      </c>
      <c r="FB11" s="15">
        <f>SUMIF(Table!$1:$1,Daily!FB$3,Table!$4:$4)</f>
        <v>44.518221321209509</v>
      </c>
      <c r="FC11" s="15">
        <f>SUMIF(Table!$1:$1,Daily!FC$3,Table!$4:$4)</f>
        <v>47.487428045348913</v>
      </c>
      <c r="FD11" s="15">
        <f>SUMIF(Table!$1:$1,Daily!FD$3,Table!$4:$4)</f>
        <v>45.990182628901806</v>
      </c>
      <c r="FE11" s="15">
        <f>SUMIF(Table!$1:$1,Daily!FE$3,Table!$4:$4)</f>
        <v>44.991066328984736</v>
      </c>
      <c r="FF11" s="15">
        <f>SUMIF(Table!$1:$1,Daily!FF$3,Table!$4:$4)</f>
        <v>44.792788696519594</v>
      </c>
      <c r="FG11" s="15">
        <f>SUMIF(Table!$1:$1,Daily!FG$3,Table!$4:$4)</f>
        <v>48.475154054019043</v>
      </c>
      <c r="FH11" s="15">
        <f>SUMIF(Table!$1:$1,Daily!FH$3,Table!$4:$4)</f>
        <v>50.077230891428648</v>
      </c>
      <c r="FI11" s="15">
        <f>SUMIF(Table!$1:$1,Daily!FI$3,Table!$4:$4)</f>
        <v>58.072065883050143</v>
      </c>
      <c r="FJ11" s="15">
        <f>SUMIF(Table!$1:$1,Daily!FJ$3,Table!$4:$4)</f>
        <v>47.155712626947512</v>
      </c>
      <c r="FK11" s="15">
        <f>SUMIF(Table!$1:$1,Daily!FK$3,Table!$4:$4)</f>
        <v>49.470264275489498</v>
      </c>
      <c r="FL11" s="15">
        <f>SUMIF(Table!$1:$1,Daily!FL$3,Table!$4:$4)</f>
        <v>49.468331457958989</v>
      </c>
      <c r="FM11" s="15">
        <f>SUMIF(Table!$1:$1,Daily!FM$3,Table!$4:$4)</f>
        <v>46.100646248161659</v>
      </c>
      <c r="FN11" s="15">
        <f>SUMIF(Table!$1:$1,Daily!FN$3,Table!$4:$4)</f>
        <v>46.42613182977712</v>
      </c>
      <c r="FO11" s="15">
        <f>SUMIF(Table!$1:$1,Daily!FO$3,Table!$4:$4)</f>
        <v>49.263185267173952</v>
      </c>
      <c r="FP11" s="15">
        <f>SUMIF(Table!$1:$1,Daily!FP$3,Table!$4:$4)</f>
        <v>49.354709364533278</v>
      </c>
      <c r="FQ11" s="15">
        <f>SUMIF(Table!$1:$1,Daily!FQ$3,Table!$4:$4)</f>
        <v>54.957421988741196</v>
      </c>
      <c r="FR11" s="15">
        <f>SUMIF(Table!$1:$1,Daily!FR$3,Table!$4:$4)</f>
        <v>57.060891609783894</v>
      </c>
      <c r="FS11" s="15">
        <f>SUMIF(Table!$1:$1,Daily!FS$3,Table!$4:$4)</f>
        <v>51.964272179007587</v>
      </c>
      <c r="FT11" s="15">
        <f>SUMIF(Table!$1:$1,Daily!FT$3,Table!$4:$4)</f>
        <v>58.975609521784989</v>
      </c>
      <c r="FU11" s="15">
        <f>SUMIF(Table!$1:$1,Daily!FU$3,Table!$4:$4)</f>
        <v>61.773601194871702</v>
      </c>
      <c r="FV11" s="15">
        <f>SUMIF(Table!$1:$1,Daily!FV$3,Table!$4:$4)</f>
        <v>63.855302726091949</v>
      </c>
      <c r="FW11" s="15">
        <f>SUMIF(Table!$1:$1,Daily!FW$3,Table!$4:$4)</f>
        <v>64.277860571951692</v>
      </c>
      <c r="FX11" s="15">
        <f>SUMIF(Table!$1:$1,Daily!FX$3,Table!$4:$4)</f>
        <v>64.711661853032325</v>
      </c>
      <c r="FY11" s="15">
        <f>SUMIF(Table!$1:$1,Daily!FY$3,Table!$4:$4)</f>
        <v>62.941998155145768</v>
      </c>
      <c r="FZ11" s="15">
        <f>SUMIF(Table!$1:$1,Daily!FZ$3,Table!$4:$4)</f>
        <v>68.562387799801982</v>
      </c>
      <c r="GA11" s="15">
        <f>SUMIF(Table!$1:$1,Daily!GA$3,Table!$4:$4)</f>
        <v>67.952540754017463</v>
      </c>
      <c r="GB11" s="15">
        <f>SUMIF(Table!$1:$1,Daily!GB$3,Table!$4:$4)</f>
        <v>66.505978145568065</v>
      </c>
      <c r="GC11" s="15">
        <f>SUMIF(Table!$1:$1,Daily!GC$3,Table!$4:$4)</f>
        <v>68.064688272279568</v>
      </c>
      <c r="GD11" s="15">
        <f>SUMIF(Table!$1:$1,Daily!GD$3,Table!$4:$4)</f>
        <v>73.403389708003942</v>
      </c>
      <c r="GE11" s="15">
        <f>SUMIF(Table!$1:$1,Daily!GE$3,Table!$4:$4)</f>
        <v>69.023270433123301</v>
      </c>
      <c r="GF11" s="15">
        <f>SUMIF(Table!$1:$1,Daily!GF$3,Table!$4:$4)</f>
        <v>78.65196417850656</v>
      </c>
      <c r="GG11" s="15">
        <f>SUMIF(Table!$1:$1,Daily!GG$3,Table!$4:$4)</f>
        <v>72.884519431511492</v>
      </c>
      <c r="GH11" s="15">
        <f>SUMIF(Table!$1:$1,Daily!GH$3,Table!$4:$4)</f>
        <v>63.759012793897988</v>
      </c>
      <c r="GI11" s="15">
        <f>SUMIF(Table!$1:$1,Daily!GI$3,Table!$4:$4)</f>
        <v>64.943475792373306</v>
      </c>
      <c r="GJ11" s="15">
        <f>SUMIF(Table!$1:$1,Daily!GJ$3,Table!$4:$4)</f>
        <v>67.714460685574124</v>
      </c>
      <c r="GK11" s="15">
        <f>SUMIF(Table!$1:$1,Daily!GK$3,Table!$4:$4)</f>
        <v>67.18282022179578</v>
      </c>
      <c r="GL11" s="15">
        <f>SUMIF(Table!$1:$1,Daily!GL$3,Table!$4:$4)</f>
        <v>66.694949972322746</v>
      </c>
      <c r="GM11" s="15">
        <f>SUMIF(Table!$1:$1,Daily!GM$3,Table!$4:$4)</f>
        <v>62.371743523816853</v>
      </c>
      <c r="GN11" s="15">
        <f>SUMIF(Table!$1:$1,Daily!GN$3,Table!$4:$4)</f>
        <v>62.397310393056081</v>
      </c>
      <c r="GO11" s="15">
        <f>SUMIF(Table!$1:$1,Daily!GO$3,Table!$4:$4)</f>
        <v>64.163659590833149</v>
      </c>
      <c r="GP11" s="15">
        <f>SUMIF(Table!$1:$1,Daily!GP$3,Table!$4:$4)</f>
        <v>63.199946627976665</v>
      </c>
      <c r="GQ11" s="15">
        <f>SUMIF(Table!$1:$1,Daily!GQ$3,Table!$4:$4)</f>
        <v>67.192602328511597</v>
      </c>
      <c r="GR11" s="15">
        <f>SUMIF(Table!$1:$1,Daily!GR$3,Table!$4:$4)</f>
        <v>59.774601781621868</v>
      </c>
      <c r="GS11" s="15">
        <f>SUMIF(Table!$1:$1,Daily!GS$3,Table!$4:$4)</f>
        <v>63.710080396368788</v>
      </c>
      <c r="GT11" s="15">
        <f>SUMIF(Table!$1:$1,Daily!GT$3,Table!$4:$4)</f>
        <v>63.059842479216904</v>
      </c>
      <c r="GU11" s="15">
        <f>SUMIF(Table!$1:$1,Daily!GU$3,Table!$4:$4)</f>
        <v>63.554097639846859</v>
      </c>
      <c r="GV11" s="15">
        <f>SUMIF(Table!$1:$1,Daily!GV$3,Table!$4:$4)</f>
        <v>62.395411683896519</v>
      </c>
      <c r="GW11" s="15">
        <f>SUMIF(Table!$1:$1,Daily!GW$3,Table!$4:$4)</f>
        <v>57.203184610623389</v>
      </c>
      <c r="GX11" s="15">
        <f>SUMIF(Table!$1:$1,Daily!GX$3,Table!$4:$4)</f>
        <v>61.046371834360556</v>
      </c>
      <c r="GY11" s="15">
        <f>SUMIF(Table!$1:$1,Daily!GY$3,Table!$4:$4)</f>
        <v>60.118993080091094</v>
      </c>
      <c r="GZ11" s="15">
        <f>SUMIF(Table!$1:$1,Daily!GZ$3,Table!$4:$4)</f>
        <v>88.480536340939054</v>
      </c>
      <c r="HA11" s="15">
        <f>SUMIF(Table!$1:$1,Daily!HA$3,Table!$4:$4)</f>
        <v>83.043239913875254</v>
      </c>
      <c r="HB11" s="15">
        <f>SUMIF(Table!$1:$1,Daily!HB$3,Table!$4:$4)</f>
        <v>70.493652891283318</v>
      </c>
      <c r="HC11" s="15">
        <f>SUMIF(Table!$1:$1,Daily!HC$3,Table!$4:$4)</f>
        <v>55.302738165297924</v>
      </c>
      <c r="HD11" s="15">
        <f>SUMIF(Table!$1:$1,Daily!HD$3,Table!$4:$4)</f>
        <v>55.411581942535065</v>
      </c>
      <c r="HE11" s="15">
        <f>SUMIF(Table!$1:$1,Daily!HE$3,Table!$4:$4)</f>
        <v>51.316232614417032</v>
      </c>
      <c r="HF11" s="15">
        <f>SUMIF(Table!$1:$1,Daily!HF$3,Table!$4:$4)</f>
        <v>43.555900954503166</v>
      </c>
      <c r="HG11" s="15">
        <f>SUMIF(Table!$1:$1,Daily!HG$3,Table!$4:$4)</f>
        <v>45.619082062463768</v>
      </c>
      <c r="HH11" s="15">
        <v>44.496835337525695</v>
      </c>
      <c r="HI11" s="15">
        <v>44.558677206386264</v>
      </c>
      <c r="HJ11" s="15">
        <v>46.50679749204842</v>
      </c>
      <c r="HK11" s="15">
        <v>46.47032640990372</v>
      </c>
      <c r="HL11" s="15">
        <v>42.101942780740885</v>
      </c>
      <c r="HM11" s="15">
        <v>38.593117708784995</v>
      </c>
      <c r="HN11" s="15">
        <v>38.091403775842188</v>
      </c>
      <c r="HO11" s="15">
        <v>43.19013577862966</v>
      </c>
      <c r="HP11" s="15">
        <v>39.946560300677561</v>
      </c>
      <c r="HQ11" s="15">
        <v>41.952227542710453</v>
      </c>
      <c r="HR11" s="15">
        <v>40.328764963266167</v>
      </c>
      <c r="HS11" s="15">
        <v>41.119132183979666</v>
      </c>
      <c r="HT11" s="15">
        <v>37.102368507313173</v>
      </c>
      <c r="HU11" s="15">
        <v>39.49487802226335</v>
      </c>
      <c r="HV11" s="15">
        <v>43.493294799125408</v>
      </c>
      <c r="HW11" s="15">
        <v>47.491794414865304</v>
      </c>
      <c r="HX11" s="15">
        <v>48.818440477107714</v>
      </c>
      <c r="HY11" s="15">
        <v>34.622344018268862</v>
      </c>
      <c r="HZ11" s="15">
        <v>38.529157456628212</v>
      </c>
      <c r="IA11" s="15">
        <v>35.212574147281735</v>
      </c>
      <c r="IB11" s="15">
        <v>32.784218029941307</v>
      </c>
      <c r="IC11" s="15">
        <v>43.777202497055235</v>
      </c>
      <c r="ID11" s="15">
        <f>SUMIF(Table!$1:$1,Daily!ID$3,Table!$4:$4)</f>
        <v>30.53674674062275</v>
      </c>
      <c r="IE11" s="15">
        <v>37.354686193834077</v>
      </c>
      <c r="IF11" s="15">
        <v>36.574698274767201</v>
      </c>
      <c r="IG11" s="15">
        <v>37.839944446185569</v>
      </c>
      <c r="IH11" s="15">
        <v>39.974069353274984</v>
      </c>
      <c r="II11" s="15">
        <v>38.099265753171466</v>
      </c>
      <c r="IJ11" s="15">
        <f>SUMIF(Table!$1:$1,Daily!IJ$3,Table!$4:$4)</f>
        <v>39.431464932894471</v>
      </c>
      <c r="IK11" s="15">
        <f>SUMIF(Table!$1:$1,Daily!IK$3,Table!$4:$4)</f>
        <v>51.989460358946381</v>
      </c>
      <c r="IL11" s="15">
        <v>49.140824481570895</v>
      </c>
      <c r="IM11" s="15">
        <v>38.510104291702589</v>
      </c>
      <c r="IN11" s="15">
        <v>42.244824535993793</v>
      </c>
      <c r="IO11" s="15">
        <v>42.70111576284544</v>
      </c>
      <c r="IP11" s="15">
        <v>34.047994404483966</v>
      </c>
      <c r="IQ11" s="15">
        <v>35.383023654369289</v>
      </c>
      <c r="IR11" s="15">
        <v>34.860063735999461</v>
      </c>
      <c r="IS11" s="15">
        <v>34.04909941203843</v>
      </c>
      <c r="IT11" s="15">
        <v>38.516303437506629</v>
      </c>
      <c r="IU11" s="15">
        <v>35.538134580159372</v>
      </c>
      <c r="IV11" s="15">
        <v>31.30456213210655</v>
      </c>
      <c r="IW11" s="15">
        <v>32.019769833271937</v>
      </c>
      <c r="IX11" s="15">
        <v>32.317277035380016</v>
      </c>
      <c r="IY11" s="15">
        <v>30.814802166605958</v>
      </c>
      <c r="IZ11" s="15">
        <v>30.977025722260347</v>
      </c>
      <c r="JA11" s="15">
        <v>31.958210514470718</v>
      </c>
      <c r="JB11" s="15">
        <v>30.951868634711058</v>
      </c>
      <c r="JC11" s="15">
        <v>33.997476168415552</v>
      </c>
      <c r="JD11" s="15">
        <v>33.83497612468944</v>
      </c>
      <c r="JE11" s="15">
        <v>33.425378370285273</v>
      </c>
      <c r="JF11" s="15">
        <v>34.203446915144639</v>
      </c>
      <c r="JG11" s="15">
        <v>41.382426148417686</v>
      </c>
      <c r="JH11" s="15">
        <v>35.817804821288448</v>
      </c>
      <c r="JI11" s="15">
        <v>38.053382118283501</v>
      </c>
      <c r="JJ11" s="15">
        <v>34.664244001374634</v>
      </c>
      <c r="JK11" s="15">
        <v>31.906057685409984</v>
      </c>
      <c r="JL11" s="15">
        <v>35.350165237529175</v>
      </c>
      <c r="JM11" s="15">
        <v>33.785933014483426</v>
      </c>
      <c r="JN11" s="15">
        <v>34.469338352780611</v>
      </c>
      <c r="JO11" s="15">
        <v>36.514500985166833</v>
      </c>
      <c r="JP11" s="15">
        <v>38.702604203265622</v>
      </c>
      <c r="JQ11" s="15">
        <v>42.006210760941464</v>
      </c>
      <c r="JR11" s="15">
        <v>41.69004266738979</v>
      </c>
      <c r="JS11" s="15">
        <v>41.087967359865701</v>
      </c>
      <c r="JT11" s="15">
        <v>37.853468362205597</v>
      </c>
      <c r="JU11" s="15">
        <f>SUMIF(Table!$1:$1,Daily!JU$3,Table!$4:$4)</f>
        <v>37.090491790524702</v>
      </c>
      <c r="JV11" s="15">
        <v>36.066582137269791</v>
      </c>
      <c r="JW11" s="15">
        <v>43.580569247356785</v>
      </c>
      <c r="JX11" s="15">
        <v>42.000112155158035</v>
      </c>
      <c r="JY11" s="15">
        <v>57.597571966567187</v>
      </c>
      <c r="JZ11" s="15">
        <v>43.799356320400165</v>
      </c>
      <c r="KA11" s="15">
        <v>41.663723547402647</v>
      </c>
      <c r="KB11" s="15">
        <v>43.87403275073008</v>
      </c>
      <c r="KC11" s="15">
        <v>42.203401521167287</v>
      </c>
      <c r="KD11" s="15">
        <v>40.611822505772999</v>
      </c>
      <c r="KE11" s="15">
        <v>38.199597415466869</v>
      </c>
      <c r="KF11" s="15">
        <v>39.009345229002001</v>
      </c>
      <c r="KG11" s="15">
        <v>41.463994611697565</v>
      </c>
      <c r="KH11" s="15">
        <v>42.460827784636393</v>
      </c>
      <c r="KI11" s="15">
        <v>45.236776028708938</v>
      </c>
      <c r="KJ11" s="15">
        <v>58.547939370520645</v>
      </c>
      <c r="KK11" s="15">
        <v>58.166465923255423</v>
      </c>
      <c r="KL11" s="15">
        <v>61.027180176930145</v>
      </c>
      <c r="KM11" s="15">
        <v>49.425928102746965</v>
      </c>
      <c r="KN11" s="15">
        <v>49.155095262701849</v>
      </c>
      <c r="KO11" s="15">
        <v>43.589428222924752</v>
      </c>
      <c r="KP11" s="15">
        <v>55.092344046223751</v>
      </c>
      <c r="KQ11" s="15">
        <v>54.921187394034369</v>
      </c>
      <c r="KR11" s="15">
        <v>57.698943838299769</v>
      </c>
      <c r="KS11" s="15">
        <v>72.389180043465274</v>
      </c>
      <c r="KT11" s="15">
        <v>57.417266660341184</v>
      </c>
      <c r="KU11" s="15">
        <v>53.910705741220575</v>
      </c>
      <c r="KV11" s="15">
        <v>57.423613104628032</v>
      </c>
      <c r="KW11" s="15">
        <v>61.924373670905723</v>
      </c>
      <c r="KX11" s="15">
        <v>58.070711791280452</v>
      </c>
      <c r="KY11" s="15">
        <v>53.801415515642724</v>
      </c>
      <c r="KZ11" s="15">
        <v>52.570421297762962</v>
      </c>
      <c r="LA11" s="15">
        <v>52.556205666690921</v>
      </c>
      <c r="LB11" s="15">
        <v>39.594259388551095</v>
      </c>
      <c r="LC11" s="15">
        <v>53.669210625761039</v>
      </c>
      <c r="LD11" s="15">
        <v>54.305021957232142</v>
      </c>
      <c r="LE11" s="15">
        <v>47.717336966818962</v>
      </c>
      <c r="LF11" s="15">
        <v>48.148011575080531</v>
      </c>
      <c r="LG11" s="15">
        <v>51.0732560334569</v>
      </c>
      <c r="LH11" s="15">
        <v>51.9278397244478</v>
      </c>
      <c r="LI11" s="15">
        <v>50.819739626307303</v>
      </c>
      <c r="LJ11" s="15">
        <v>51.091402674019911</v>
      </c>
      <c r="LK11" s="15">
        <v>52.171589182795728</v>
      </c>
      <c r="LL11" s="15">
        <v>60.960102239592636</v>
      </c>
      <c r="LM11" s="15">
        <v>53.258242833146568</v>
      </c>
      <c r="LN11" s="15">
        <v>53.022714322460637</v>
      </c>
      <c r="LO11" s="15">
        <v>52.454282453316161</v>
      </c>
      <c r="LP11" s="15">
        <v>47.969429681729274</v>
      </c>
      <c r="LQ11" s="15">
        <v>50.615241656260928</v>
      </c>
      <c r="LR11" s="15">
        <f>SUMIF(Table!$1:$1,Daily!LR$3,Table!$4:$4)</f>
        <v>49.071704397202417</v>
      </c>
      <c r="LS11" s="15">
        <v>46.405242390323252</v>
      </c>
      <c r="LT11" s="15">
        <v>38.953126652925164</v>
      </c>
      <c r="LU11" s="15">
        <v>48.151943806720141</v>
      </c>
      <c r="LV11" s="15">
        <v>48.582109978999</v>
      </c>
      <c r="LW11" s="15">
        <v>41.370653738049761</v>
      </c>
      <c r="LX11" s="15">
        <v>46.118428341712878</v>
      </c>
      <c r="LY11" s="15">
        <v>47.640420139104478</v>
      </c>
      <c r="LZ11" s="15">
        <v>60.026376723356684</v>
      </c>
      <c r="MA11" s="15">
        <v>56.300689584411707</v>
      </c>
      <c r="MB11" s="15">
        <v>50.967092147334732</v>
      </c>
      <c r="MC11" s="15">
        <v>45.755975928007487</v>
      </c>
      <c r="MD11" s="15">
        <v>50.704136739380878</v>
      </c>
      <c r="ME11" s="15">
        <v>52.629670342391762</v>
      </c>
      <c r="MF11" s="15">
        <v>46.651893059875256</v>
      </c>
      <c r="MG11" s="15">
        <v>55.917394191577642</v>
      </c>
      <c r="MH11" s="15">
        <v>48.326477819955286</v>
      </c>
      <c r="MI11" s="15">
        <v>48.947849401752315</v>
      </c>
      <c r="MJ11" s="15">
        <v>45.636812779413738</v>
      </c>
      <c r="MK11" s="15">
        <v>42.802669051666619</v>
      </c>
      <c r="ML11" s="15">
        <v>41.034636900435714</v>
      </c>
      <c r="MM11" s="15">
        <v>43.349167763527547</v>
      </c>
      <c r="MN11" s="15">
        <v>47.353384052840944</v>
      </c>
      <c r="MO11" s="15">
        <v>49.639099083776294</v>
      </c>
      <c r="MP11" s="15">
        <v>52.150159135747401</v>
      </c>
      <c r="MQ11" s="15">
        <v>48.293581511980413</v>
      </c>
      <c r="MR11" s="15">
        <v>41.263563365115246</v>
      </c>
      <c r="MS11" s="15">
        <v>36.230135077564178</v>
      </c>
      <c r="MT11" s="15">
        <v>34.17855071437981</v>
      </c>
      <c r="MU11" s="15">
        <v>40.179621793151469</v>
      </c>
      <c r="MV11" s="15">
        <v>38.488027523269992</v>
      </c>
      <c r="MW11" s="15">
        <v>42.467232221497525</v>
      </c>
      <c r="MX11" s="15">
        <v>37.094058144214543</v>
      </c>
      <c r="MY11" s="15">
        <v>41.075556289828199</v>
      </c>
      <c r="MZ11" s="15">
        <v>34.369798860598138</v>
      </c>
      <c r="NA11" s="15">
        <v>36.409303352503954</v>
      </c>
      <c r="NB11" s="15">
        <v>35.703903689198199</v>
      </c>
      <c r="NC11" s="15">
        <v>36.476645670623952</v>
      </c>
      <c r="ND11" s="15">
        <v>43.49294634102408</v>
      </c>
      <c r="NE11" s="15">
        <v>43.212583868008522</v>
      </c>
      <c r="NF11" s="15">
        <v>38.025414577536068</v>
      </c>
      <c r="NG11" s="15">
        <v>34.198012510777204</v>
      </c>
      <c r="NH11" s="15">
        <v>36.903147732310117</v>
      </c>
      <c r="NI11" s="15">
        <v>36.777332791662857</v>
      </c>
      <c r="NJ11" s="15">
        <v>34.698510087887207</v>
      </c>
      <c r="NK11" s="15">
        <v>31.098353301224865</v>
      </c>
      <c r="NL11" s="15">
        <v>30.92109449341665</v>
      </c>
      <c r="NM11" s="15">
        <v>26.55547113824564</v>
      </c>
      <c r="NN11" s="15">
        <v>26.325766168048713</v>
      </c>
      <c r="NO11" s="15">
        <v>27.920578097529788</v>
      </c>
      <c r="NP11" s="15">
        <v>31.621729334796957</v>
      </c>
      <c r="NQ11" s="15">
        <v>29.50492941234717</v>
      </c>
      <c r="NR11" s="15">
        <v>30.267664772750702</v>
      </c>
      <c r="NS11" s="15">
        <v>32.82700267440844</v>
      </c>
      <c r="NT11" s="15">
        <v>34.424736579689878</v>
      </c>
      <c r="NU11" s="15">
        <v>35.077852363841068</v>
      </c>
      <c r="NV11" s="15">
        <v>33.755610896208779</v>
      </c>
      <c r="NW11" s="15">
        <v>33.287252769984605</v>
      </c>
      <c r="NX11" s="15">
        <v>37.8869389008741</v>
      </c>
      <c r="NY11" s="15">
        <v>34.783056312078905</v>
      </c>
      <c r="NZ11" s="15">
        <v>35.275411607807328</v>
      </c>
      <c r="OA11" s="15">
        <v>40.575776169797969</v>
      </c>
      <c r="OB11" s="15">
        <v>36.997337842448182</v>
      </c>
      <c r="OC11" s="15">
        <v>34.879418064545888</v>
      </c>
      <c r="OD11" s="15">
        <v>37.348495104205654</v>
      </c>
      <c r="OE11" s="15">
        <v>38.108908986162099</v>
      </c>
      <c r="OF11" s="15">
        <v>40.084312125737434</v>
      </c>
      <c r="OG11" s="15">
        <v>39.274271286424181</v>
      </c>
      <c r="OH11" s="15">
        <v>37.697105507061316</v>
      </c>
      <c r="OI11" s="15">
        <v>45.413149915544118</v>
      </c>
      <c r="OJ11" s="15">
        <v>41.680083509820797</v>
      </c>
      <c r="OK11" s="15">
        <v>41.602276781366882</v>
      </c>
      <c r="OL11" s="15">
        <v>41.692940848419674</v>
      </c>
      <c r="OM11" s="15">
        <v>39.478025048063088</v>
      </c>
      <c r="ON11" s="15">
        <v>44.371554412373847</v>
      </c>
      <c r="OO11" s="15">
        <v>47.000591574787748</v>
      </c>
      <c r="OP11" s="15">
        <v>49.43085911333317</v>
      </c>
      <c r="OQ11" s="15">
        <v>55.396978469924385</v>
      </c>
      <c r="OR11" s="15">
        <v>24.869299522178554</v>
      </c>
      <c r="OS11" s="15">
        <v>54.841233485110415</v>
      </c>
      <c r="OT11" s="15">
        <v>49.713639388168531</v>
      </c>
      <c r="OU11" s="15">
        <v>51.046549838062845</v>
      </c>
      <c r="OV11" s="15">
        <v>54.781942318886934</v>
      </c>
      <c r="OW11" s="15">
        <v>52.949043810066016</v>
      </c>
      <c r="OX11" s="15">
        <v>58.637619903351982</v>
      </c>
      <c r="OY11" s="15">
        <v>54.03339487377383</v>
      </c>
      <c r="OZ11" s="15">
        <v>57.182425276043986</v>
      </c>
      <c r="PA11" s="15">
        <v>58.441718111024841</v>
      </c>
      <c r="PB11" s="15">
        <v>58.075922196292609</v>
      </c>
      <c r="PC11" s="15">
        <v>54.708172050931239</v>
      </c>
      <c r="PD11" s="15">
        <v>47.299958372582786</v>
      </c>
      <c r="PE11" s="15">
        <v>48.922622403403437</v>
      </c>
      <c r="PF11" s="15">
        <v>53.601973118347622</v>
      </c>
      <c r="PG11" s="15">
        <v>55.957205285290044</v>
      </c>
      <c r="PH11" s="15">
        <v>55.145556743164725</v>
      </c>
      <c r="PI11" s="15">
        <v>55.933234156982891</v>
      </c>
      <c r="PJ11" s="15">
        <v>58.787873479633468</v>
      </c>
      <c r="PK11" s="15">
        <v>54.233130507622363</v>
      </c>
      <c r="PL11" s="15">
        <v>50.161349082244122</v>
      </c>
      <c r="PM11" s="15">
        <v>50.189499568750215</v>
      </c>
      <c r="PN11" s="15">
        <v>54.616023205642129</v>
      </c>
      <c r="PO11" s="15">
        <v>46.921767483986912</v>
      </c>
      <c r="PP11" s="15">
        <v>64.894939195813734</v>
      </c>
      <c r="PQ11" s="15">
        <v>54.628897531994483</v>
      </c>
      <c r="PR11" s="15">
        <v>60.705375465422996</v>
      </c>
      <c r="PS11" s="15">
        <v>62.96305125189329</v>
      </c>
      <c r="PT11" s="15">
        <v>57.709820094990143</v>
      </c>
      <c r="PU11" s="15">
        <v>41.466764288987534</v>
      </c>
      <c r="PV11" s="15">
        <v>42.042054210875627</v>
      </c>
      <c r="PW11" s="15">
        <v>39.16567476259565</v>
      </c>
      <c r="PX11" s="15">
        <v>31.602115142968486</v>
      </c>
      <c r="PY11" s="15">
        <v>32.283181719889612</v>
      </c>
      <c r="PZ11" s="15">
        <v>37.480792128284207</v>
      </c>
      <c r="QA11" s="15">
        <v>43.256572543889774</v>
      </c>
      <c r="QB11" s="15">
        <v>43.251199942164483</v>
      </c>
      <c r="QC11" s="15">
        <v>37.663504263430369</v>
      </c>
      <c r="QD11" s="15">
        <v>45.675371951673782</v>
      </c>
      <c r="QE11" s="15">
        <v>50.386293951739404</v>
      </c>
      <c r="QF11" s="15">
        <v>56.475292118280386</v>
      </c>
      <c r="QG11" s="15">
        <v>49.053661947217407</v>
      </c>
      <c r="QH11" s="15">
        <v>42.43997825871174</v>
      </c>
      <c r="QI11" s="15">
        <v>41.373369277748417</v>
      </c>
      <c r="QJ11" s="15">
        <v>45.993154453905305</v>
      </c>
      <c r="QK11" s="15">
        <v>49.423248306560623</v>
      </c>
      <c r="QL11" s="15">
        <v>50.484327156125168</v>
      </c>
      <c r="QM11" s="15">
        <v>40.997252741164516</v>
      </c>
      <c r="QN11" s="15">
        <v>41.395906772472884</v>
      </c>
      <c r="QO11" s="15">
        <v>47.094318368013475</v>
      </c>
      <c r="QP11" s="15">
        <v>47.380909408584962</v>
      </c>
      <c r="QQ11" s="15">
        <v>41.834659336225229</v>
      </c>
      <c r="QR11" s="15">
        <v>38.035943019699502</v>
      </c>
      <c r="QS11" s="15">
        <v>39.00712868629256</v>
      </c>
      <c r="QT11" s="15">
        <v>46.441339010362796</v>
      </c>
      <c r="QU11" s="15">
        <v>47.719128337592934</v>
      </c>
      <c r="QV11" s="15">
        <v>47.185562723062922</v>
      </c>
      <c r="QW11" s="15">
        <v>47.206750176479488</v>
      </c>
      <c r="QX11" s="15">
        <v>36.754412295730276</v>
      </c>
      <c r="QY11" s="15">
        <v>37.613588629393732</v>
      </c>
      <c r="QZ11" s="15">
        <v>34.812308270257397</v>
      </c>
      <c r="RA11" s="15">
        <v>33.657240290917123</v>
      </c>
      <c r="RB11" s="15">
        <v>37.687998643262297</v>
      </c>
      <c r="RC11" s="15">
        <v>36.252628360471171</v>
      </c>
      <c r="RD11" s="15">
        <v>34.814102483092057</v>
      </c>
      <c r="RE11" s="15">
        <v>45.548523238038428</v>
      </c>
      <c r="RF11" s="15">
        <v>42.900281653590902</v>
      </c>
      <c r="RG11" s="15">
        <f>SUMIF(Table!$1:$1,Daily!RG$3,Table!$4:$4)</f>
        <v>41.974399996496366</v>
      </c>
      <c r="RH11" s="15">
        <v>32.760888964285954</v>
      </c>
      <c r="RI11" s="15">
        <v>32.086499796073738</v>
      </c>
      <c r="RJ11" s="15">
        <v>33.434681746866325</v>
      </c>
      <c r="RK11" s="15">
        <v>42.056726132432971</v>
      </c>
      <c r="RL11" s="15">
        <v>36.06257912964606</v>
      </c>
      <c r="RM11" s="15">
        <v>38.427260709404969</v>
      </c>
      <c r="RN11" s="15">
        <v>39.916830340849131</v>
      </c>
      <c r="RO11" s="15">
        <v>39.262480479484566</v>
      </c>
      <c r="RP11" s="15">
        <v>40.244137951779692</v>
      </c>
      <c r="RQ11" s="15">
        <v>38.339880810020126</v>
      </c>
      <c r="RR11" s="15">
        <v>42.910408162431985</v>
      </c>
      <c r="RS11" s="15">
        <v>38.589392689410822</v>
      </c>
      <c r="RT11" s="15">
        <v>39.271970434769372</v>
      </c>
      <c r="RU11" s="15">
        <v>37.993755246631643</v>
      </c>
      <c r="RV11" s="15">
        <v>39.111806193728775</v>
      </c>
      <c r="RW11" s="15">
        <v>32.32895732896209</v>
      </c>
      <c r="RX11" s="15">
        <v>31.456402250844842</v>
      </c>
      <c r="RY11" s="15">
        <v>30.842540335758294</v>
      </c>
      <c r="RZ11" s="15">
        <v>33.319910244137461</v>
      </c>
      <c r="SA11" s="15">
        <v>28.284569464435471</v>
      </c>
      <c r="SB11" s="15">
        <v>26.638334670587749</v>
      </c>
      <c r="SC11" s="15">
        <v>25.214242574997936</v>
      </c>
      <c r="SD11" s="15">
        <v>25.542241857933078</v>
      </c>
      <c r="SE11" s="15">
        <v>25.589024988448912</v>
      </c>
      <c r="SF11" s="15">
        <f>SUMIF(Table!$1:$1,Daily!SF$3,Table!$4:$4)</f>
        <v>23.149172899082966</v>
      </c>
      <c r="SG11" s="15">
        <v>26.507240198045629</v>
      </c>
      <c r="SH11" s="15">
        <v>26.154342459434574</v>
      </c>
      <c r="SI11" s="15">
        <v>24.921156161891428</v>
      </c>
      <c r="SJ11" s="15">
        <v>25.036519565205758</v>
      </c>
      <c r="SK11" s="15">
        <v>23.993431477704135</v>
      </c>
      <c r="SL11" s="15">
        <v>25.150900886427944</v>
      </c>
      <c r="SM11" s="15">
        <v>22.676614962332039</v>
      </c>
      <c r="SN11" s="15">
        <v>23.312526885650453</v>
      </c>
      <c r="SO11" s="15">
        <v>48.334672940115084</v>
      </c>
      <c r="SP11" s="15">
        <v>53.003409050110506</v>
      </c>
      <c r="SQ11" s="15">
        <v>42.978774582439186</v>
      </c>
      <c r="SR11" s="15">
        <v>43.680434194504564</v>
      </c>
      <c r="SS11" s="15">
        <v>33.609937914218172</v>
      </c>
      <c r="ST11" s="15">
        <v>29.814858257058212</v>
      </c>
      <c r="SU11" s="15">
        <v>42.320909598272372</v>
      </c>
      <c r="SV11" s="15">
        <v>38.035642615414034</v>
      </c>
      <c r="SW11" s="15">
        <v>40.660319610586775</v>
      </c>
      <c r="SX11" s="15">
        <v>34.708277789916814</v>
      </c>
      <c r="SY11" s="15">
        <v>36.668063887027557</v>
      </c>
      <c r="SZ11" s="15">
        <v>38.673096486143585</v>
      </c>
      <c r="TA11" s="15">
        <v>40.787696774742727</v>
      </c>
      <c r="TB11" s="15">
        <v>48.450894792308596</v>
      </c>
      <c r="TC11" s="15">
        <v>46.405924784428208</v>
      </c>
      <c r="TD11" s="15">
        <v>41.280171416316286</v>
      </c>
      <c r="TE11" s="15">
        <f>SUMIF(Table!$1:$1,Daily!TE$3,Table!$4:$4)</f>
        <v>46.141900147383211</v>
      </c>
      <c r="TF11" s="15">
        <v>47.084305933458879</v>
      </c>
      <c r="TG11" s="15">
        <v>52.448671612641341</v>
      </c>
      <c r="TH11" s="15">
        <v>51.972893371342529</v>
      </c>
      <c r="TI11" s="15">
        <v>46.072882654467776</v>
      </c>
      <c r="TJ11" s="15">
        <v>46.007923808228526</v>
      </c>
      <c r="TK11" s="15">
        <v>50.564352219761588</v>
      </c>
      <c r="TL11" s="15">
        <v>50.885170513752648</v>
      </c>
      <c r="TM11" s="15">
        <v>47.373936484765103</v>
      </c>
      <c r="TN11" s="15">
        <v>48.071679215342094</v>
      </c>
      <c r="TO11" s="15">
        <v>47.794504000443503</v>
      </c>
      <c r="TP11" s="15">
        <v>48.622434468014163</v>
      </c>
      <c r="TQ11" s="15">
        <v>52.119036859349201</v>
      </c>
      <c r="TR11" s="15">
        <v>49.105885085910423</v>
      </c>
      <c r="TS11" s="15">
        <v>49.472948359065541</v>
      </c>
      <c r="TT11" s="15">
        <v>50.31245577283164</v>
      </c>
      <c r="TU11" s="15">
        <v>48.188201784494304</v>
      </c>
      <c r="TV11" s="15">
        <v>50.446903638107578</v>
      </c>
      <c r="TW11" s="15">
        <v>53.715877931253395</v>
      </c>
      <c r="TX11" s="15">
        <v>53.263002119331993</v>
      </c>
      <c r="TY11" s="15">
        <v>56.524441860013319</v>
      </c>
      <c r="TZ11" s="15">
        <v>60.801306922930209</v>
      </c>
      <c r="UA11" s="15">
        <v>63.055934994590224</v>
      </c>
      <c r="UB11" s="15">
        <v>53.932037560686091</v>
      </c>
      <c r="UC11" s="15">
        <v>39.070337066160199</v>
      </c>
      <c r="UD11" s="15">
        <v>35.771945348241097</v>
      </c>
      <c r="UE11" s="15">
        <v>37.859391472908861</v>
      </c>
      <c r="UF11" s="15">
        <v>38.322000169461226</v>
      </c>
      <c r="UG11" s="15">
        <v>39.738923851933095</v>
      </c>
      <c r="UH11" s="15">
        <v>41.386565703189561</v>
      </c>
      <c r="UI11" s="15">
        <v>41.520975808099102</v>
      </c>
      <c r="UJ11" s="15">
        <v>31.916400105293643</v>
      </c>
      <c r="UK11" s="15">
        <v>39.743424086840037</v>
      </c>
      <c r="UL11" s="15">
        <v>44.243277038796421</v>
      </c>
      <c r="UM11" s="15">
        <v>38.834195524166873</v>
      </c>
      <c r="UN11" s="15">
        <v>38.710512002064071</v>
      </c>
      <c r="UO11" s="15">
        <v>18.707583065663098</v>
      </c>
      <c r="UP11" s="15">
        <v>40.768475852931545</v>
      </c>
      <c r="UQ11" s="15">
        <v>40.034661277152154</v>
      </c>
      <c r="UR11" s="15">
        <v>41.783088718822654</v>
      </c>
      <c r="US11" s="15">
        <v>38.288786454289436</v>
      </c>
      <c r="UT11" s="15">
        <v>39.383152168108545</v>
      </c>
      <c r="UU11" s="15">
        <v>38.238627202323663</v>
      </c>
      <c r="UV11" s="15">
        <v>18.579228522533079</v>
      </c>
      <c r="UW11" s="15">
        <v>41.071079380987292</v>
      </c>
      <c r="UX11" s="15">
        <v>44.644961602132049</v>
      </c>
      <c r="UY11" s="15">
        <v>42.661974653721124</v>
      </c>
      <c r="UZ11" s="15">
        <v>45.743752917595316</v>
      </c>
      <c r="VA11" s="15">
        <v>49.567476304347814</v>
      </c>
      <c r="VB11" s="15">
        <v>38.608995757782388</v>
      </c>
      <c r="VC11" s="15">
        <v>45.765202490384262</v>
      </c>
      <c r="VD11" s="15">
        <v>38.552699482847949</v>
      </c>
      <c r="VE11" s="15">
        <v>31.779284303236683</v>
      </c>
      <c r="VF11" s="15">
        <v>30.475989252916008</v>
      </c>
      <c r="VG11" s="15">
        <v>31.838889400074532</v>
      </c>
      <c r="VH11" s="15">
        <v>30.719512728754104</v>
      </c>
      <c r="VI11" s="15">
        <v>31.204140714202929</v>
      </c>
      <c r="VJ11" s="15">
        <f>SUMIF(Table!$1:$1,Daily!VJ$3,Table!$4:$4)</f>
        <v>32.691853894128691</v>
      </c>
      <c r="VK11" s="15">
        <v>31.230476508397842</v>
      </c>
      <c r="VL11" s="15">
        <v>31.842931558198142</v>
      </c>
      <c r="VM11" s="15">
        <v>28.960740227977897</v>
      </c>
      <c r="VN11" s="15">
        <v>24.615593638867644</v>
      </c>
      <c r="VO11" s="15">
        <v>23.677532077378739</v>
      </c>
      <c r="VP11" s="15">
        <v>25.972544568476241</v>
      </c>
      <c r="VQ11" s="15">
        <v>28.414836703523719</v>
      </c>
      <c r="VR11" s="15">
        <v>26.46089304670512</v>
      </c>
      <c r="VS11" s="15">
        <v>27.149638750396864</v>
      </c>
      <c r="VT11" s="15">
        <v>25.527069794247382</v>
      </c>
      <c r="VU11" s="15">
        <v>26.812192776383295</v>
      </c>
      <c r="VV11" s="15">
        <v>24.220772583740857</v>
      </c>
      <c r="VW11" s="15">
        <v>24.909693953354246</v>
      </c>
      <c r="VX11" s="15">
        <v>27.662184412105887</v>
      </c>
      <c r="VY11" s="15">
        <v>24.504085562821803</v>
      </c>
      <c r="VZ11" s="15">
        <v>25.159887531568792</v>
      </c>
      <c r="WA11" s="15">
        <v>25.974394751986921</v>
      </c>
      <c r="WB11" s="15">
        <v>25.857271291238366</v>
      </c>
      <c r="WC11" s="15">
        <v>31.129059010704871</v>
      </c>
      <c r="WD11" s="15">
        <v>32.343972006903194</v>
      </c>
      <c r="WE11" s="15">
        <v>37.680050479050124</v>
      </c>
      <c r="WF11" s="15">
        <v>40.914702827332967</v>
      </c>
      <c r="WG11" s="15">
        <v>35.272460038750161</v>
      </c>
      <c r="WH11" s="15">
        <v>24.543854404369799</v>
      </c>
      <c r="WI11" s="15">
        <v>31.798899010544122</v>
      </c>
      <c r="WJ11" s="15">
        <v>33.198801755363021</v>
      </c>
      <c r="WK11" s="15">
        <v>25.975580734194086</v>
      </c>
      <c r="WL11" s="15">
        <v>28.632179967230943</v>
      </c>
      <c r="WM11" s="15">
        <v>30.352354906622953</v>
      </c>
      <c r="WN11" s="15">
        <v>28.638742551463618</v>
      </c>
      <c r="WO11" s="15">
        <v>23.865482879038002</v>
      </c>
      <c r="WP11" s="15">
        <v>26.460942244352552</v>
      </c>
      <c r="WQ11" s="15">
        <v>25.619401104496333</v>
      </c>
      <c r="WR11" s="15">
        <f>SUMIF(Table!$1:$1,Daily!WR$3,Table!$4:$4)</f>
        <v>22.983039858776767</v>
      </c>
      <c r="WS11" s="15">
        <v>24.835749788334656</v>
      </c>
      <c r="WT11" s="15">
        <v>34.092629858850749</v>
      </c>
      <c r="WU11" s="15">
        <v>35.676683751026687</v>
      </c>
      <c r="WV11" s="15">
        <v>33.764974325178727</v>
      </c>
      <c r="WW11" s="15">
        <v>39.082616703867068</v>
      </c>
      <c r="WX11" s="15">
        <v>34.496075238767645</v>
      </c>
      <c r="WY11" s="15">
        <v>33.310617190529022</v>
      </c>
      <c r="WZ11" s="15">
        <v>28.949981637432707</v>
      </c>
      <c r="XA11" s="15">
        <v>31.566622278994384</v>
      </c>
      <c r="XB11" s="15">
        <v>34.521905331770952</v>
      </c>
      <c r="XC11" s="15">
        <v>23.226847910034465</v>
      </c>
      <c r="XD11" s="15">
        <v>25.266342391001221</v>
      </c>
      <c r="XE11" s="15">
        <v>26.957457667687041</v>
      </c>
      <c r="XF11" s="15">
        <v>33.056016397906554</v>
      </c>
      <c r="XG11" s="15">
        <v>0</v>
      </c>
      <c r="XH11" s="15">
        <v>25.362289474088239</v>
      </c>
      <c r="XI11" s="15">
        <v>24.1165739600644</v>
      </c>
      <c r="XJ11" s="15">
        <v>27.981703707409689</v>
      </c>
      <c r="XK11" s="15">
        <v>22.399153427343393</v>
      </c>
      <c r="XL11" s="15">
        <v>21.267877177267266</v>
      </c>
      <c r="XM11" s="15">
        <v>27.307709266429299</v>
      </c>
      <c r="XN11" s="15">
        <v>26.15124531045824</v>
      </c>
      <c r="XO11" s="15">
        <v>26.674109947284773</v>
      </c>
      <c r="XP11" s="15">
        <v>29.759281616837303</v>
      </c>
      <c r="XQ11" s="15">
        <v>27.29930455066977</v>
      </c>
      <c r="XR11" s="15">
        <v>23.995847235018864</v>
      </c>
      <c r="XS11" s="15">
        <v>22.963534572783949</v>
      </c>
      <c r="XT11" s="15">
        <f>SUMIF(Table!$1:$1,Daily!XT$3,Table!$4:$4)</f>
        <v>23.480011630491799</v>
      </c>
      <c r="XU11" s="15">
        <v>25.028697735151233</v>
      </c>
      <c r="XV11" s="15">
        <v>25.105673360255977</v>
      </c>
      <c r="XW11" s="15">
        <v>12.443452614050129</v>
      </c>
      <c r="XX11" s="15">
        <v>27.631527928845973</v>
      </c>
      <c r="XY11" s="15">
        <v>21.479024570302503</v>
      </c>
      <c r="XZ11" s="15">
        <v>24.633799811527016</v>
      </c>
      <c r="YA11" s="15">
        <v>25.884437799031755</v>
      </c>
      <c r="YB11" s="15">
        <v>28.440856079896683</v>
      </c>
      <c r="YC11" s="15">
        <v>25.522891161047188</v>
      </c>
      <c r="YD11" s="15">
        <v>13.929807241510039</v>
      </c>
      <c r="YE11" s="15">
        <v>24.950422436543089</v>
      </c>
      <c r="YF11" s="15">
        <v>35.475014253774972</v>
      </c>
      <c r="YG11" s="15">
        <v>22.066122144218422</v>
      </c>
      <c r="YH11" s="15">
        <v>23.394378978606881</v>
      </c>
      <c r="YI11" s="15">
        <v>31.234363698248671</v>
      </c>
      <c r="YJ11" s="15">
        <v>26.863677939335115</v>
      </c>
      <c r="YK11" s="15">
        <v>29.827751489134652</v>
      </c>
      <c r="YL11" s="15">
        <v>39.300949078006397</v>
      </c>
      <c r="YM11" s="15">
        <f>SUMIF(Table!$1:$1,Daily!YM$3,Table!$4:$4)</f>
        <v>41.005053951547431</v>
      </c>
      <c r="YN11" s="15">
        <v>46.835610409714086</v>
      </c>
      <c r="YO11" s="15">
        <v>48.295755822505079</v>
      </c>
      <c r="YP11" s="15">
        <v>25.62803101540111</v>
      </c>
      <c r="YQ11" s="15">
        <v>29.170070989665707</v>
      </c>
      <c r="YR11" s="15">
        <v>28.795216925936639</v>
      </c>
      <c r="YS11" s="15">
        <v>31.397329133700126</v>
      </c>
      <c r="YT11" s="15">
        <v>24.075496457513136</v>
      </c>
      <c r="YU11" s="15">
        <v>26.305110447326985</v>
      </c>
      <c r="YV11" s="15">
        <v>24.873264227683872</v>
      </c>
      <c r="YW11" s="15">
        <v>25.984028487899185</v>
      </c>
      <c r="YX11" s="15">
        <v>28.156638457923219</v>
      </c>
      <c r="YY11" s="15">
        <v>21.361773524992294</v>
      </c>
      <c r="YZ11" s="15">
        <v>23.39794027629631</v>
      </c>
      <c r="ZA11" s="15">
        <v>20.870192354104958</v>
      </c>
      <c r="ZB11" s="15">
        <v>33.142232402028753</v>
      </c>
      <c r="ZC11" s="15">
        <v>27.904031693298776</v>
      </c>
      <c r="ZD11" s="15">
        <f>SUMIF(Table!$1:$1,Daily!ZD$3,Table!$4:$4)</f>
        <v>31.954234588389387</v>
      </c>
      <c r="ZE11" s="475"/>
    </row>
    <row r="12" spans="1:683" ht="26.4">
      <c r="A12" s="120"/>
      <c r="B12" s="123" t="s">
        <v>120</v>
      </c>
      <c r="C12" s="415" t="s">
        <v>0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</row>
    <row r="13" spans="1:683" s="87" customFormat="1">
      <c r="A13" s="120"/>
      <c r="B13" s="123"/>
      <c r="C13" s="414" t="s">
        <v>6</v>
      </c>
      <c r="D13" s="668">
        <f>2723/D7</f>
        <v>31.327657616198803</v>
      </c>
      <c r="E13" s="668">
        <f>(2723-550)/E7</f>
        <v>22.395135525095331</v>
      </c>
      <c r="F13" s="668">
        <f t="shared" ref="F13:L13" si="1">2173/F7</f>
        <v>21.878775674587196</v>
      </c>
      <c r="G13" s="668">
        <f t="shared" si="1"/>
        <v>21.048043394033321</v>
      </c>
      <c r="H13" s="668">
        <f t="shared" si="1"/>
        <v>19.44407658084906</v>
      </c>
      <c r="I13" s="668">
        <f t="shared" si="1"/>
        <v>20.536811265475851</v>
      </c>
      <c r="J13" s="668">
        <f t="shared" si="1"/>
        <v>18.719090457226493</v>
      </c>
      <c r="K13" s="668">
        <f t="shared" si="1"/>
        <v>18.051396221085991</v>
      </c>
      <c r="L13" s="668">
        <f t="shared" si="1"/>
        <v>18.612148688198971</v>
      </c>
      <c r="M13" s="668">
        <f>2000/M7</f>
        <v>17.361668734152051</v>
      </c>
      <c r="N13" s="668">
        <f t="shared" ref="N13:S13" si="2">2000/N7</f>
        <v>17.940067616114845</v>
      </c>
      <c r="O13" s="668">
        <f t="shared" si="2"/>
        <v>18.509589355505355</v>
      </c>
      <c r="P13" s="668">
        <f t="shared" si="2"/>
        <v>19.083750949416611</v>
      </c>
      <c r="Q13" s="668">
        <f t="shared" si="2"/>
        <v>19.239575036266601</v>
      </c>
      <c r="R13" s="668">
        <f t="shared" si="2"/>
        <v>19.10549961359127</v>
      </c>
      <c r="S13" s="668">
        <f t="shared" si="2"/>
        <v>19.217077063361586</v>
      </c>
      <c r="T13" s="668">
        <f>1985/T7</f>
        <v>19.241618506074921</v>
      </c>
      <c r="U13" s="668">
        <f>1985/U7</f>
        <v>20.667223345528903</v>
      </c>
      <c r="V13" s="668">
        <f>1579/V7</f>
        <v>16.506066162250761</v>
      </c>
      <c r="W13" s="668">
        <f>1579/W7</f>
        <v>16.849406429238361</v>
      </c>
      <c r="X13" s="668">
        <f>1579/X7</f>
        <v>18.299968823992312</v>
      </c>
      <c r="Y13" s="668">
        <f>1577/Y7</f>
        <v>18.754809116002718</v>
      </c>
      <c r="Z13" s="668">
        <f>1787/Z7</f>
        <v>21.424366710346639</v>
      </c>
      <c r="AA13" s="668">
        <f>1784/AA7</f>
        <v>21.383579951695165</v>
      </c>
      <c r="AB13" s="668">
        <f>1784/AB7</f>
        <v>21.341448825981061</v>
      </c>
      <c r="AC13" s="668">
        <f>843/AC7</f>
        <v>10.113734523466743</v>
      </c>
      <c r="AD13" s="668">
        <f>844/AD7</f>
        <v>10.218387770865972</v>
      </c>
      <c r="AE13" s="668">
        <f>822/AE7</f>
        <v>10.779663417468038</v>
      </c>
      <c r="AF13" s="668">
        <f>823/AF7</f>
        <v>10.995309291503952</v>
      </c>
      <c r="AG13" s="668">
        <f>833/AG7</f>
        <v>10.523044583348073</v>
      </c>
      <c r="AH13" s="668">
        <f>768/AH7</f>
        <v>9.6449212205848749</v>
      </c>
      <c r="AI13" s="668">
        <f>768/AI7</f>
        <v>9.6183831347663222</v>
      </c>
      <c r="AJ13" s="668">
        <f>1061/AJ7</f>
        <v>13.052357051471313</v>
      </c>
      <c r="AK13" s="668">
        <f>1046/AK7</f>
        <v>13.067861680556996</v>
      </c>
      <c r="AL13" s="668">
        <f>1088.58/AL7</f>
        <v>13.70094735371522</v>
      </c>
      <c r="AM13" s="668">
        <f>1068.58/AM7</f>
        <v>13.521416902973222</v>
      </c>
      <c r="AN13" s="668">
        <f>1050.58/AN7</f>
        <v>13.62957619851351</v>
      </c>
      <c r="AO13" s="668">
        <f>1050.58/AO7</f>
        <v>14.007920105601407</v>
      </c>
      <c r="AP13" s="668">
        <f>1050.58/AP7</f>
        <v>14.292633154207197</v>
      </c>
      <c r="AQ13" s="668">
        <f>1350.58/AQ7</f>
        <v>18.410029293453888</v>
      </c>
      <c r="AR13" s="668">
        <f>1350.58/AR7</f>
        <v>18.575167551702748</v>
      </c>
      <c r="AS13" s="668">
        <f>1350.58/AS7</f>
        <v>18.532474161731368</v>
      </c>
      <c r="AT13" s="668">
        <f>1487.58/AT7</f>
        <v>20.576441345426328</v>
      </c>
      <c r="AU13" s="668">
        <f>1450.58/AU7</f>
        <v>20.423886674448106</v>
      </c>
      <c r="AV13" s="668">
        <f>1426/AV7</f>
        <v>20.542814336752336</v>
      </c>
      <c r="AW13" s="668">
        <f>1426/AW7</f>
        <v>21.528492794144736</v>
      </c>
      <c r="AX13" s="668">
        <f>1426/AX7</f>
        <v>21.162199503445166</v>
      </c>
      <c r="AY13" s="668">
        <f>1725/AY7</f>
        <v>25.058506164392519</v>
      </c>
      <c r="AZ13" s="668">
        <f>1741/AZ7</f>
        <v>26.4623447370181</v>
      </c>
      <c r="BA13" s="668">
        <f>2014/BA7</f>
        <v>31.57734646808791</v>
      </c>
      <c r="BB13" s="668">
        <f>2161/BB7</f>
        <v>34.061266146001621</v>
      </c>
      <c r="BC13" s="668">
        <f>2140/BC7</f>
        <v>33.678087840007052</v>
      </c>
      <c r="BD13" s="668">
        <f>2261/BD7</f>
        <v>35.570280802274233</v>
      </c>
      <c r="BE13" s="668">
        <f>2261/BE7</f>
        <v>36.2321743631326</v>
      </c>
      <c r="BF13" s="668">
        <f>2090/BF7</f>
        <v>35.492186624370397</v>
      </c>
      <c r="BG13" s="668">
        <f>2090/BG7</f>
        <v>35.905285635995995</v>
      </c>
      <c r="BH13" s="668">
        <f>2240/BH7</f>
        <v>39.319629974196495</v>
      </c>
      <c r="BI13" s="668">
        <f>2240/BI7</f>
        <v>39.787138807380515</v>
      </c>
      <c r="BJ13" s="668">
        <f>2240/BJ7</f>
        <v>36.100210315957419</v>
      </c>
      <c r="BK13" s="668">
        <f>2240/BK7</f>
        <v>33.733466460049186</v>
      </c>
      <c r="BL13" s="668">
        <f t="shared" ref="BL13:BQ13" si="3">2440/BL7</f>
        <v>38.670311819010266</v>
      </c>
      <c r="BM13" s="668">
        <f t="shared" si="3"/>
        <v>39.605953229264905</v>
      </c>
      <c r="BN13" s="668">
        <f t="shared" si="3"/>
        <v>39.692028897098417</v>
      </c>
      <c r="BO13" s="668">
        <f t="shared" si="3"/>
        <v>39.626471782379213</v>
      </c>
      <c r="BP13" s="668">
        <f t="shared" si="3"/>
        <v>39.376495782357715</v>
      </c>
      <c r="BQ13" s="668">
        <f t="shared" si="3"/>
        <v>39.928390722212946</v>
      </c>
      <c r="BR13" s="668">
        <f t="shared" ref="BR13:BU13" si="4">2440/BR7</f>
        <v>40.02854494598607</v>
      </c>
      <c r="BS13" s="668">
        <f t="shared" si="4"/>
        <v>40.51258380625687</v>
      </c>
      <c r="BT13" s="668">
        <f t="shared" si="4"/>
        <v>41.788335231505663</v>
      </c>
      <c r="BU13" s="668">
        <f t="shared" si="4"/>
        <v>42.230606805358441</v>
      </c>
      <c r="BV13" s="668">
        <f t="shared" ref="BV13:BX13" si="5">2440/BV7</f>
        <v>42.737587708389533</v>
      </c>
      <c r="BW13" s="668">
        <f t="shared" si="5"/>
        <v>43.062065849663973</v>
      </c>
      <c r="BX13" s="668">
        <f t="shared" si="5"/>
        <v>42.905549762524814</v>
      </c>
      <c r="BY13" s="668">
        <f t="shared" ref="BY13" si="6">2440/BY7</f>
        <v>43.025845484314083</v>
      </c>
      <c r="BZ13" s="668">
        <f>2680/BZ7</f>
        <v>47.710008598482894</v>
      </c>
      <c r="CA13" s="668">
        <f>2723/CA7</f>
        <v>49.773251127346775</v>
      </c>
      <c r="CB13" s="668">
        <f>2752/CB7</f>
        <v>51.652815003340919</v>
      </c>
      <c r="CC13" s="668">
        <f>2662/CC7</f>
        <v>49.889613139972042</v>
      </c>
      <c r="CD13" s="668">
        <f>2821/CD7</f>
        <v>52.9036032961139</v>
      </c>
      <c r="CE13" s="668">
        <f>2825/CE7</f>
        <v>52.93821126937398</v>
      </c>
      <c r="CF13" s="668">
        <f>2825/CF7</f>
        <v>53.332175443034629</v>
      </c>
      <c r="CG13" s="668">
        <f>2825/CG7</f>
        <v>55.221079792016887</v>
      </c>
      <c r="CH13" s="668">
        <f>3175/CH7</f>
        <v>60.4620250874557</v>
      </c>
      <c r="CI13" s="668">
        <f>3233.5/CI7</f>
        <v>60.138447689686721</v>
      </c>
      <c r="CJ13" s="668">
        <f>2883.5/CJ7</f>
        <v>52.345613570103367</v>
      </c>
      <c r="CK13" s="668">
        <f>3465.8/CK7</f>
        <v>59.232496692974756</v>
      </c>
      <c r="CL13" s="668">
        <f>3465.8/CL7</f>
        <v>55.090524709510262</v>
      </c>
      <c r="CM13" s="668">
        <f>3366.8/CM7</f>
        <v>53.320494689013934</v>
      </c>
      <c r="CN13" s="668">
        <f>3366.8/CN7</f>
        <v>54.95344919890838</v>
      </c>
      <c r="CO13" s="668">
        <f>3366.8/CO7</f>
        <v>54.91929629961912</v>
      </c>
      <c r="CP13" s="668">
        <f>610/CP7</f>
        <v>10.364613510358666</v>
      </c>
      <c r="CQ13" s="668">
        <f>2670/CQ7</f>
        <v>45.615917392477982</v>
      </c>
      <c r="CR13" s="668">
        <f>1210/CR7</f>
        <v>20.770107523928537</v>
      </c>
      <c r="CS13" s="668">
        <f>3410/CS7</f>
        <v>58.963589551167779</v>
      </c>
      <c r="CT13" s="668">
        <f>3410/CT7</f>
        <v>60.288252100364915</v>
      </c>
      <c r="CU13" s="668">
        <f>3410/CU7</f>
        <v>61.511265039594498</v>
      </c>
      <c r="CV13" s="668">
        <f>3410.18/CV7</f>
        <v>62.173855177204366</v>
      </c>
      <c r="CW13" s="668">
        <f>3410.18/CW7</f>
        <v>60.380358473962566</v>
      </c>
      <c r="CX13" s="668">
        <f>3580.3/CX7</f>
        <v>62.383585082860414</v>
      </c>
      <c r="CY13" s="668">
        <f>3580.3/CY7</f>
        <v>61.962095527853783</v>
      </c>
      <c r="CZ13" s="668">
        <f>3580.3/CZ7</f>
        <v>61.034256441728253</v>
      </c>
      <c r="DA13" s="668">
        <f>3249.3/DA7</f>
        <v>53.957336291385893</v>
      </c>
      <c r="DB13" s="668">
        <f>3450.1/DB7</f>
        <v>57.307680169293604</v>
      </c>
      <c r="DC13" s="668">
        <f>3750.8/DC7</f>
        <v>61.177522137461857</v>
      </c>
      <c r="DD13" s="668">
        <f>3750.8/DD7</f>
        <v>60.447441281792599</v>
      </c>
      <c r="DE13" s="668">
        <f>3640.3/DE7</f>
        <v>60.510808766695206</v>
      </c>
      <c r="DF13" s="668">
        <f>3370/DF7</f>
        <v>55.945309724523305</v>
      </c>
      <c r="DG13" s="668">
        <f>3370/DG7</f>
        <v>55.926184075143546</v>
      </c>
      <c r="DH13" s="668">
        <f>3255/DH7</f>
        <v>53.917865945774032</v>
      </c>
      <c r="DI13" s="668">
        <f>3255/DI7</f>
        <v>53.965422339529546</v>
      </c>
      <c r="DJ13" s="668">
        <f>3070/DJ7</f>
        <v>50.843471665115416</v>
      </c>
      <c r="DK13" s="668">
        <f>3149/DK7</f>
        <v>52.089019456051027</v>
      </c>
      <c r="DL13" s="668">
        <f>3149/DL7</f>
        <v>51.944067340889333</v>
      </c>
      <c r="DM13" s="668">
        <f>3070/DM7</f>
        <v>50.411088468997185</v>
      </c>
      <c r="DN13" s="668">
        <f>3070/DN7</f>
        <v>50.020611098710056</v>
      </c>
      <c r="DO13" s="668">
        <f>3070/DO7</f>
        <v>49.979894081696777</v>
      </c>
      <c r="DP13" s="668">
        <f>3070/DP7</f>
        <v>50.530654166227748</v>
      </c>
      <c r="DQ13" s="668">
        <f>3099/DQ7</f>
        <v>51.687042380372603</v>
      </c>
      <c r="DR13" s="668">
        <f>3014.5/DR7</f>
        <v>50.979079045053361</v>
      </c>
      <c r="DS13" s="668">
        <f>3014.5/DS7</f>
        <v>50.458723274619658</v>
      </c>
      <c r="DT13" s="668">
        <f>2792/DT7</f>
        <v>46.61389768650151</v>
      </c>
      <c r="DU13" s="668">
        <f>2792/DU7</f>
        <v>46.535349865160825</v>
      </c>
      <c r="DV13" s="668">
        <f>2592/DV7</f>
        <v>43.366309798075619</v>
      </c>
      <c r="DW13" s="668">
        <f>2592/DW7</f>
        <v>43.1335742955848</v>
      </c>
      <c r="DX13" s="668">
        <f>2592/DX7</f>
        <v>42.939784903484885</v>
      </c>
      <c r="DY13" s="668">
        <f>2712/DY7</f>
        <v>44.924686545950898</v>
      </c>
      <c r="DZ13" s="668">
        <f>2212/DZ7</f>
        <v>36.720640917949623</v>
      </c>
      <c r="EA13" s="668">
        <f>2617/EA7</f>
        <v>43.445058684861465</v>
      </c>
      <c r="EB13" s="668">
        <f>2433/EB7</f>
        <v>40.300606413974855</v>
      </c>
      <c r="EC13" s="668">
        <f>2433/EC7</f>
        <v>39.948574215190305</v>
      </c>
      <c r="ED13" s="668">
        <f>2435/ED7</f>
        <v>40.013540516380083</v>
      </c>
      <c r="EE13" s="668">
        <f>2431/EE7</f>
        <v>39.734298332499748</v>
      </c>
      <c r="EF13" s="668">
        <f>2431/EF7</f>
        <v>39.982895018174041</v>
      </c>
      <c r="EG13" s="668">
        <f>2431.1/EG7</f>
        <v>40.203672589201844</v>
      </c>
      <c r="EH13" s="668">
        <f>2431.1/EH7</f>
        <v>40.212184568154449</v>
      </c>
      <c r="EI13" s="668">
        <f>2431.1/EI7</f>
        <v>40.472734052966992</v>
      </c>
      <c r="EJ13" s="668">
        <f>2431.1/EJ7</f>
        <v>40.472734052966992</v>
      </c>
      <c r="EK13" s="668">
        <f>2431.1/EK7</f>
        <v>40.472734052966992</v>
      </c>
      <c r="EL13" s="668">
        <f>2438.2/EL7</f>
        <v>40.615275954663879</v>
      </c>
      <c r="EM13" s="668">
        <f>2438.2/EM7</f>
        <v>40.524414039776481</v>
      </c>
      <c r="EN13" s="668">
        <f>2588.2/EN7</f>
        <v>43.125310334945127</v>
      </c>
      <c r="EO13" s="668">
        <f>2738.2/EO7</f>
        <v>44.985501531991098</v>
      </c>
      <c r="EP13" s="668">
        <f>2739.2/EP7</f>
        <v>45.781674627873471</v>
      </c>
      <c r="EQ13" s="668">
        <f>2789.2/EQ7</f>
        <v>48.006388918530959</v>
      </c>
      <c r="ER13" s="668">
        <f>2789.2/ER7</f>
        <v>48.090484318695147</v>
      </c>
      <c r="ES13" s="668">
        <f>2789.2/ES7</f>
        <v>47.944499068337926</v>
      </c>
      <c r="ET13" s="668">
        <f>2789.2/ET7</f>
        <v>47.720642959186286</v>
      </c>
      <c r="EU13" s="668">
        <f>2789.2/EU7</f>
        <v>48.581331754132336</v>
      </c>
      <c r="EV13" s="668">
        <f>2810.2/EV7</f>
        <v>50.818554504897946</v>
      </c>
      <c r="EW13" s="668">
        <f>2861.2/EW7</f>
        <v>49.702604296950994</v>
      </c>
      <c r="EX13" s="668">
        <f>2861.2/EX7</f>
        <v>48.667064684740765</v>
      </c>
      <c r="EY13" s="668">
        <f>2788.2/EY7</f>
        <v>46.93599621576216</v>
      </c>
      <c r="EZ13" s="668">
        <f>2888.2/EZ7</f>
        <v>47.934224458702744</v>
      </c>
      <c r="FA13" s="668">
        <f>2888.2/FA7</f>
        <v>47.156210457569692</v>
      </c>
      <c r="FB13" s="668">
        <f>2888.2/FB7</f>
        <v>46.350176368824279</v>
      </c>
      <c r="FC13" s="668">
        <f>2888.2/FC7</f>
        <v>45.352050750580993</v>
      </c>
      <c r="FD13" s="668">
        <f>2889.1/FD7</f>
        <v>45.31502182543106</v>
      </c>
      <c r="FE13" s="668">
        <f>2889.1/FE7</f>
        <v>45.50358550802703</v>
      </c>
      <c r="FF13" s="668">
        <f>2958.1/FF7</f>
        <v>46.912417255827378</v>
      </c>
      <c r="FG13" s="668">
        <f>2958.1/FG7</f>
        <v>47.894060236321188</v>
      </c>
      <c r="FH13" s="668">
        <f>2958.1/FH7</f>
        <v>47.940787511830827</v>
      </c>
      <c r="FI13" s="668">
        <f>2451/FI7</f>
        <v>39.795098270025413</v>
      </c>
      <c r="FJ13" s="668">
        <f>2987/FJ7</f>
        <v>48.567684197860871</v>
      </c>
      <c r="FK13" s="668">
        <f>3024/FK7</f>
        <v>49.415155942074456</v>
      </c>
      <c r="FL13" s="668">
        <f>3042/FL7</f>
        <v>49.73603279112011</v>
      </c>
      <c r="FM13" s="668">
        <f>2941/FM7</f>
        <v>47.951660291590443</v>
      </c>
      <c r="FN13" s="668">
        <f>2941/FN7</f>
        <v>47.877423377401399</v>
      </c>
      <c r="FO13" s="668">
        <f>2895/FO7</f>
        <v>47.181419484377983</v>
      </c>
      <c r="FP13" s="668">
        <f>3055.8/FP7</f>
        <v>49.66010826482141</v>
      </c>
      <c r="FQ13" s="668">
        <f>3055.8/FQ7</f>
        <v>49.588708093906654</v>
      </c>
      <c r="FR13" s="668">
        <f>3055.8/FR7</f>
        <v>49.746449065972079</v>
      </c>
      <c r="FS13" s="668">
        <f>3256.3/FS7</f>
        <v>52.846999634844003</v>
      </c>
      <c r="FT13" s="668">
        <f>3018.3/FT7</f>
        <v>48.607387008720444</v>
      </c>
      <c r="FU13" s="668">
        <f>3330/FU7</f>
        <v>54.379154983857717</v>
      </c>
      <c r="FV13" s="668">
        <f>3330/FV7</f>
        <v>54.610396638754686</v>
      </c>
      <c r="FW13" s="668">
        <f>3330/FW7</f>
        <v>54.535538992910375</v>
      </c>
      <c r="FX13" s="668">
        <f>3330/FX7</f>
        <v>54.373205929128687</v>
      </c>
      <c r="FY13" s="668">
        <f>3710/FY7</f>
        <v>59.604713110145013</v>
      </c>
      <c r="FZ13" s="668">
        <f>3710/FZ7</f>
        <v>61.425671625975603</v>
      </c>
      <c r="GA13" s="668">
        <f>3710/GA7</f>
        <v>61.513871295074246</v>
      </c>
      <c r="GB13" s="668">
        <f>3777/GB7</f>
        <v>62.586580588714867</v>
      </c>
      <c r="GC13" s="668">
        <f>3844/GC7</f>
        <v>63.653555094105918</v>
      </c>
      <c r="GD13" s="668">
        <f>3777/GD7</f>
        <v>62.559938781696125</v>
      </c>
      <c r="GE13" s="668">
        <f>4149/GE7</f>
        <v>68.309902054565597</v>
      </c>
      <c r="GF13" s="668">
        <f>3777/GF7</f>
        <v>62.268574235944648</v>
      </c>
      <c r="GG13" s="668">
        <f>4169.4/GG7</f>
        <v>68.91080468660904</v>
      </c>
      <c r="GH13" s="668">
        <f>4169.4/GH7</f>
        <v>69.045119281429976</v>
      </c>
      <c r="GI13" s="668">
        <f>4169.9/GI7</f>
        <v>68.947101258769464</v>
      </c>
      <c r="GJ13" s="668">
        <f>4169.9/GJ7</f>
        <v>68.638069528575187</v>
      </c>
      <c r="GK13" s="668">
        <f>4168.6/GK7</f>
        <v>68.254680372399477</v>
      </c>
      <c r="GL13" s="668">
        <f>4241.2/GL7</f>
        <v>69.664571298104647</v>
      </c>
      <c r="GM13" s="668">
        <f>4561.2/GM7</f>
        <v>74.592913248042862</v>
      </c>
      <c r="GN13" s="668">
        <f>4561.2/GN7</f>
        <v>73.835813574769034</v>
      </c>
      <c r="GO13" s="668">
        <f>4561.2/GO7</f>
        <v>73.348996299744798</v>
      </c>
      <c r="GP13" s="668">
        <f>4561.2/GP7</f>
        <v>72.503230790506478</v>
      </c>
      <c r="GQ13" s="668">
        <f>4271.2/GQ7</f>
        <v>67.864474428477905</v>
      </c>
      <c r="GR13" s="668">
        <f>4545.2/GR7</f>
        <v>72.639287095547218</v>
      </c>
      <c r="GS13" s="668">
        <f>4545.2/GS7</f>
        <v>72.861578710286565</v>
      </c>
      <c r="GT13" s="668">
        <f>4545.2/GT7</f>
        <v>72.413386566912123</v>
      </c>
      <c r="GU13" s="668">
        <f>4545.2/GU7</f>
        <v>71.904068847687142</v>
      </c>
      <c r="GV13" s="668">
        <f>4545.8/GV7</f>
        <v>71.746713174134698</v>
      </c>
      <c r="GW13" s="668">
        <f>4545.8/GW7</f>
        <v>70.695084873603264</v>
      </c>
      <c r="GX13" s="668">
        <f>4545.8/GX7</f>
        <v>70.35992558174091</v>
      </c>
      <c r="GY13" s="668">
        <f>4566.2/GY7</f>
        <v>69.598431893768733</v>
      </c>
      <c r="GZ13" s="668">
        <f>2932.5/GZ7</f>
        <v>44.026375289380525</v>
      </c>
      <c r="HA13" s="668">
        <f>2932.5/HA7</f>
        <v>41.580645893122501</v>
      </c>
      <c r="HB13" s="668">
        <f>2932.5/HB7</f>
        <v>40.655422247977974</v>
      </c>
      <c r="HC13" s="668">
        <f>3132.5/HC7</f>
        <v>45.612732249985434</v>
      </c>
      <c r="HD13" s="668">
        <f>3132.5/HD7</f>
        <v>45.764200050548801</v>
      </c>
      <c r="HE13" s="668">
        <v>116.54747778317298</v>
      </c>
      <c r="HF13" s="668">
        <v>122.03383936876449</v>
      </c>
      <c r="HG13" s="668">
        <v>127.49600229611711</v>
      </c>
      <c r="HH13" s="668">
        <v>126.79933124006035</v>
      </c>
      <c r="HI13" s="668">
        <v>126.43598053222753</v>
      </c>
      <c r="HJ13" s="668">
        <v>125.929140646845</v>
      </c>
      <c r="HK13" s="668">
        <v>125.99666612267737</v>
      </c>
      <c r="HL13" s="668">
        <v>128.22731841129612</v>
      </c>
      <c r="HM13" s="668">
        <v>127.84723299781169</v>
      </c>
      <c r="HN13" s="668">
        <v>128.24785935309714</v>
      </c>
      <c r="HO13" s="668">
        <v>127.85777331648812</v>
      </c>
      <c r="HP13" s="668">
        <v>125.71790792059832</v>
      </c>
      <c r="HQ13" s="668">
        <v>126.57228439180255</v>
      </c>
      <c r="HR13" s="668">
        <v>125.95493054598514</v>
      </c>
      <c r="HS13" s="668">
        <v>125.57242231133256</v>
      </c>
      <c r="HT13" s="668">
        <v>123.85803680827311</v>
      </c>
      <c r="HU13" s="668">
        <v>123.20396525456675</v>
      </c>
      <c r="HV13" s="668">
        <v>118.5237834142247</v>
      </c>
      <c r="HW13" s="668">
        <v>119.94307868320944</v>
      </c>
      <c r="HX13" s="668">
        <v>119.05889340117821</v>
      </c>
      <c r="HY13" s="668">
        <v>119.57451014966684</v>
      </c>
      <c r="HZ13" s="668">
        <v>114.04695838637267</v>
      </c>
      <c r="IA13" s="668">
        <v>111.38862264573663</v>
      </c>
      <c r="IB13" s="668">
        <v>114.19327789438827</v>
      </c>
      <c r="IC13" s="668">
        <v>100.06638144287552</v>
      </c>
      <c r="ID13" s="668" t="e">
        <f>#REF!/ID$7</f>
        <v>#REF!</v>
      </c>
      <c r="IE13" s="668">
        <v>107.4254565883338</v>
      </c>
      <c r="IF13" s="668">
        <v>106.81687632076815</v>
      </c>
      <c r="IG13" s="668">
        <v>108.46372032878327</v>
      </c>
      <c r="IH13" s="668">
        <v>109.54254867826263</v>
      </c>
      <c r="II13" s="668">
        <v>108.74280652235043</v>
      </c>
      <c r="IJ13" s="668">
        <v>103.87190074532619</v>
      </c>
      <c r="IK13" s="668">
        <v>102.76506883542935</v>
      </c>
      <c r="IL13" s="668">
        <v>103.30659718652269</v>
      </c>
      <c r="IM13" s="668">
        <v>108.13920573681121</v>
      </c>
      <c r="IN13" s="668">
        <v>107.77340393019374</v>
      </c>
      <c r="IO13" s="668">
        <v>107.73442793747282</v>
      </c>
      <c r="IP13" s="668">
        <v>107.19672218462134</v>
      </c>
      <c r="IQ13" s="668">
        <v>103.64876767986011</v>
      </c>
      <c r="IR13" s="668">
        <v>96.956544793096</v>
      </c>
      <c r="IS13" s="668">
        <v>98.677374247924988</v>
      </c>
      <c r="IT13" s="668">
        <v>94.472650564605445</v>
      </c>
      <c r="IU13" s="668">
        <v>94.306513149701686</v>
      </c>
      <c r="IV13" s="668">
        <v>92.93267866019265</v>
      </c>
      <c r="IW13" s="668">
        <v>90.984334723321226</v>
      </c>
      <c r="IX13" s="668">
        <v>91.713041063514055</v>
      </c>
      <c r="IY13" s="668">
        <v>91.226686817579477</v>
      </c>
      <c r="IZ13" s="668">
        <v>91.529891562537301</v>
      </c>
      <c r="JA13" s="668">
        <v>90.773521655129187</v>
      </c>
      <c r="JB13" s="668">
        <v>92.939653638756155</v>
      </c>
      <c r="JC13" s="668">
        <v>92.639893957825691</v>
      </c>
      <c r="JD13" s="668">
        <v>91.786066164396317</v>
      </c>
      <c r="JE13" s="668">
        <v>91.727501962527668</v>
      </c>
      <c r="JF13" s="668">
        <v>92.226300803246332</v>
      </c>
      <c r="JG13" s="668">
        <v>85.852468451752017</v>
      </c>
      <c r="JH13" s="668">
        <v>87.232772886944858</v>
      </c>
      <c r="JI13" s="668">
        <v>86.226960425457307</v>
      </c>
      <c r="JJ13" s="668">
        <v>86.145093436762664</v>
      </c>
      <c r="JK13" s="668">
        <v>86.234568128288217</v>
      </c>
      <c r="JL13" s="668">
        <v>85.496955010166531</v>
      </c>
      <c r="JM13" s="668">
        <v>88.58454569670927</v>
      </c>
      <c r="JN13" s="668">
        <v>89.314828054486924</v>
      </c>
      <c r="JO13" s="668">
        <v>90.102386473638887</v>
      </c>
      <c r="JP13" s="668">
        <v>92.227745907027654</v>
      </c>
      <c r="JQ13" s="668">
        <v>92.381432961851758</v>
      </c>
      <c r="JR13" s="668">
        <v>93.365452278854988</v>
      </c>
      <c r="JS13" s="668">
        <v>93.734011535656791</v>
      </c>
      <c r="JT13" s="668">
        <v>91.486895135802101</v>
      </c>
      <c r="JU13" s="668" t="e">
        <f>#REF!/JU$7</f>
        <v>#REF!</v>
      </c>
      <c r="JV13" s="668">
        <v>90.416759332605324</v>
      </c>
      <c r="JW13" s="668">
        <v>119.09940394922741</v>
      </c>
      <c r="JX13" s="668">
        <v>119.05679283543849</v>
      </c>
      <c r="JY13" s="668">
        <v>81.249649167669816</v>
      </c>
      <c r="JZ13" s="668">
        <v>83.328227053943579</v>
      </c>
      <c r="KA13" s="668">
        <v>83.310307923699838</v>
      </c>
      <c r="KB13" s="668">
        <v>83.328435461260753</v>
      </c>
      <c r="KC13" s="668">
        <v>85.359531824796548</v>
      </c>
      <c r="KD13" s="668">
        <v>84.691252144082327</v>
      </c>
      <c r="KE13" s="668">
        <v>87.456879628417823</v>
      </c>
      <c r="KF13" s="668">
        <v>87.4876645295477</v>
      </c>
      <c r="KG13" s="668">
        <v>87.585130744006833</v>
      </c>
      <c r="KH13" s="668">
        <v>87.096425154987003</v>
      </c>
      <c r="KI13" s="668">
        <v>88.535166682666613</v>
      </c>
      <c r="KJ13" s="668">
        <v>68.765414366404315</v>
      </c>
      <c r="KK13" s="668">
        <v>68.599027931735961</v>
      </c>
      <c r="KL13" s="668">
        <v>68.143564326484082</v>
      </c>
      <c r="KM13" s="668">
        <v>79.285752715490702</v>
      </c>
      <c r="KN13" s="668">
        <v>79.994165424447587</v>
      </c>
      <c r="KO13" s="668">
        <v>80.352687137257604</v>
      </c>
      <c r="KP13" s="668">
        <v>80.651717039371277</v>
      </c>
      <c r="KQ13" s="668">
        <v>82.114289660493469</v>
      </c>
      <c r="KR13" s="668">
        <v>77.837110131823891</v>
      </c>
      <c r="KS13" s="668">
        <v>74.247418593250543</v>
      </c>
      <c r="KT13" s="668">
        <v>77.207003661146047</v>
      </c>
      <c r="KU13" s="668">
        <v>80.294436323803836</v>
      </c>
      <c r="KV13" s="668">
        <v>76.601700921332395</v>
      </c>
      <c r="KW13" s="668">
        <v>76.250082304139667</v>
      </c>
      <c r="KX13" s="668">
        <v>56.221034534310064</v>
      </c>
      <c r="KY13" s="668">
        <v>57.087968968484773</v>
      </c>
      <c r="KZ13" s="668">
        <v>58.478645552835118</v>
      </c>
      <c r="LA13" s="668">
        <v>58.343921948379801</v>
      </c>
      <c r="LB13" s="668">
        <v>58.200904573119665</v>
      </c>
      <c r="LC13" s="668">
        <v>58.624277712590498</v>
      </c>
      <c r="LD13" s="668">
        <v>56.346852905114531</v>
      </c>
      <c r="LE13" s="668">
        <v>59.069953614380964</v>
      </c>
      <c r="LF13" s="668">
        <v>59.195720770200161</v>
      </c>
      <c r="LG13" s="668">
        <v>59.842328282019132</v>
      </c>
      <c r="LH13" s="668">
        <v>59.762560786005679</v>
      </c>
      <c r="LI13" s="668">
        <v>62.278418687074229</v>
      </c>
      <c r="LJ13" s="668">
        <v>62.317602281427888</v>
      </c>
      <c r="LK13" s="668">
        <v>62.108984900748382</v>
      </c>
      <c r="LL13" s="668">
        <v>53.732139824855054</v>
      </c>
      <c r="LM13" s="668">
        <v>59.953116399830712</v>
      </c>
      <c r="LN13" s="668">
        <v>60.184140576416134</v>
      </c>
      <c r="LO13" s="668">
        <v>60.497031573962815</v>
      </c>
      <c r="LP13" s="668">
        <v>63.190000994596026</v>
      </c>
      <c r="LQ13" s="668">
        <v>63.690902330330928</v>
      </c>
      <c r="LR13" s="668">
        <v>63.072183146970204</v>
      </c>
      <c r="LS13" s="668">
        <v>58.898546978166976</v>
      </c>
      <c r="LT13" s="668">
        <v>50.362980277076367</v>
      </c>
      <c r="LU13" s="668">
        <v>49.81668136309748</v>
      </c>
      <c r="LV13" s="668">
        <v>48.909148900036037</v>
      </c>
      <c r="LW13" s="668">
        <v>56.946880318083167</v>
      </c>
      <c r="LX13" s="668">
        <v>50.7515921474252</v>
      </c>
      <c r="LY13" s="668">
        <v>50.814458148384965</v>
      </c>
      <c r="LZ13" s="668">
        <v>40.152087537904784</v>
      </c>
      <c r="MA13" s="668">
        <v>39.323079298376186</v>
      </c>
      <c r="MB13" s="668">
        <v>51.048175098566333</v>
      </c>
      <c r="MC13" s="668">
        <v>55.563081345749161</v>
      </c>
      <c r="MD13" s="668">
        <v>57.316578840697204</v>
      </c>
      <c r="ME13" s="668">
        <v>55.06361028941798</v>
      </c>
      <c r="MF13" s="668">
        <v>61.35227060283146</v>
      </c>
      <c r="MG13" s="668">
        <v>52.793552808427677</v>
      </c>
      <c r="MH13" s="668">
        <v>62.110541802861228</v>
      </c>
      <c r="MI13" s="668">
        <v>62.137780757981673</v>
      </c>
      <c r="MJ13" s="668">
        <v>61.933742082551582</v>
      </c>
      <c r="MK13" s="668">
        <v>62.592894019903284</v>
      </c>
      <c r="ML13" s="668">
        <v>62.439006551244951</v>
      </c>
      <c r="MM13" s="668">
        <v>60.221540463033342</v>
      </c>
      <c r="MN13" s="668">
        <v>52.176065870550914</v>
      </c>
      <c r="MO13" s="668">
        <v>54.040798786810619</v>
      </c>
      <c r="MP13" s="668">
        <v>50.779911798708135</v>
      </c>
      <c r="MQ13" s="668">
        <v>50.30177889095873</v>
      </c>
      <c r="MR13" s="668">
        <v>56.103139797166712</v>
      </c>
      <c r="MS13" s="668">
        <v>60.743247440580632</v>
      </c>
      <c r="MT13" s="668">
        <v>60.57497592523189</v>
      </c>
      <c r="MU13" s="668">
        <v>57.215286146372897</v>
      </c>
      <c r="MV13" s="668">
        <v>58.305659241738688</v>
      </c>
      <c r="MW13" s="668">
        <v>53.363013313273477</v>
      </c>
      <c r="MX13" s="668">
        <v>59.345846388708928</v>
      </c>
      <c r="MY13" s="668">
        <v>55.950919864478067</v>
      </c>
      <c r="MZ13" s="668">
        <v>59.202439387793959</v>
      </c>
      <c r="NA13" s="668">
        <v>56.345324847542599</v>
      </c>
      <c r="NB13" s="668">
        <v>56.115784767101509</v>
      </c>
      <c r="NC13" s="668">
        <v>56.431769782734953</v>
      </c>
      <c r="ND13" s="668">
        <v>53.359523291396776</v>
      </c>
      <c r="NE13" s="668">
        <v>53.301971177048145</v>
      </c>
      <c r="NF13" s="668">
        <v>53.250905569329312</v>
      </c>
      <c r="NG13" s="668">
        <v>55.178756476683937</v>
      </c>
      <c r="NH13" s="668">
        <v>54.893311258141601</v>
      </c>
      <c r="NI13" s="668">
        <v>56.354431107420133</v>
      </c>
      <c r="NJ13" s="668">
        <v>56.623019237701627</v>
      </c>
      <c r="NK13" s="668">
        <v>56.172853808439193</v>
      </c>
      <c r="NL13" s="668">
        <v>53.553096611047145</v>
      </c>
      <c r="NM13" s="668">
        <v>53.434520978929775</v>
      </c>
      <c r="NN13" s="668">
        <v>53.799291678566561</v>
      </c>
      <c r="NO13" s="668">
        <v>53.338207060392776</v>
      </c>
      <c r="NP13" s="668">
        <v>51.09676399335968</v>
      </c>
      <c r="NQ13" s="668">
        <v>54.073882185379595</v>
      </c>
      <c r="NR13" s="668">
        <v>56.769538160808622</v>
      </c>
      <c r="NS13" s="668">
        <v>56.58710787965984</v>
      </c>
      <c r="NT13" s="668">
        <v>57.627214464494045</v>
      </c>
      <c r="NU13" s="668">
        <v>57.592109777720253</v>
      </c>
      <c r="NV13" s="668">
        <v>57.576376878869169</v>
      </c>
      <c r="NW13" s="668">
        <v>57.614837103858498</v>
      </c>
      <c r="NX13" s="668">
        <v>56.899358012539452</v>
      </c>
      <c r="NY13" s="668">
        <v>61.842123324192961</v>
      </c>
      <c r="NZ13" s="668">
        <v>63.695435532022273</v>
      </c>
      <c r="OA13" s="668">
        <v>60.729012235012725</v>
      </c>
      <c r="OB13" s="668">
        <v>60.462305048224913</v>
      </c>
      <c r="OC13" s="668">
        <v>63.582013658394246</v>
      </c>
      <c r="OD13" s="668">
        <v>63.564216272447943</v>
      </c>
      <c r="OE13" s="668">
        <v>64.407547711105749</v>
      </c>
      <c r="OF13" s="668">
        <v>59.626329731636218</v>
      </c>
      <c r="OG13" s="668">
        <v>63.987957884794945</v>
      </c>
      <c r="OH13" s="668">
        <v>66.877447329018835</v>
      </c>
      <c r="OI13" s="668">
        <v>62.997821784535212</v>
      </c>
      <c r="OJ13" s="668">
        <v>63.309337692101614</v>
      </c>
      <c r="OK13" s="668">
        <v>57.971250976322423</v>
      </c>
      <c r="OL13" s="668">
        <v>63.463094830723435</v>
      </c>
      <c r="OM13" s="668">
        <v>63.418314453665658</v>
      </c>
      <c r="ON13" s="668">
        <v>64.017006914538058</v>
      </c>
      <c r="OO13" s="668">
        <v>65.30548367083442</v>
      </c>
      <c r="OP13" s="668">
        <v>61.182777081979523</v>
      </c>
      <c r="OQ13" s="668">
        <v>61.061199209637842</v>
      </c>
      <c r="OR13" s="668">
        <v>68.368977370575195</v>
      </c>
      <c r="OS13" s="668">
        <v>65.441373117818245</v>
      </c>
      <c r="OT13" s="668">
        <v>68.625347077291622</v>
      </c>
      <c r="OU13" s="668">
        <v>68.659768544472016</v>
      </c>
      <c r="OV13" s="668">
        <v>73.754043594821951</v>
      </c>
      <c r="OW13" s="668">
        <v>73.844506197543538</v>
      </c>
      <c r="OX13" s="668">
        <v>69.408939377182307</v>
      </c>
      <c r="OY13" s="668">
        <v>66.15738922934473</v>
      </c>
      <c r="OZ13" s="668">
        <v>62.996390910558475</v>
      </c>
      <c r="PA13" s="668">
        <v>57.712013671724868</v>
      </c>
      <c r="PB13" s="668">
        <v>58.124818027015827</v>
      </c>
      <c r="PC13" s="668">
        <v>63.007153128934299</v>
      </c>
      <c r="PD13" s="668">
        <v>66.503202109016129</v>
      </c>
      <c r="PE13" s="668">
        <v>62.337979417795424</v>
      </c>
      <c r="PF13" s="668">
        <v>63.131027649437698</v>
      </c>
      <c r="PG13" s="668">
        <v>63.585925530254571</v>
      </c>
      <c r="PH13" s="668">
        <v>66.344697935394905</v>
      </c>
      <c r="PI13" s="668">
        <v>66.583233770076731</v>
      </c>
      <c r="PJ13" s="668">
        <v>64.515172162307735</v>
      </c>
      <c r="PK13" s="668">
        <v>64.498988813399833</v>
      </c>
      <c r="PL13" s="668">
        <v>68.299043755433203</v>
      </c>
      <c r="PM13" s="668">
        <v>68.548625217844972</v>
      </c>
      <c r="PN13" s="668">
        <v>63.882547098852278</v>
      </c>
      <c r="PO13" s="668">
        <v>62.976549022857782</v>
      </c>
      <c r="PP13" s="668">
        <v>58.575205924804408</v>
      </c>
      <c r="PQ13" s="668">
        <v>62.905326794898286</v>
      </c>
      <c r="PR13" s="668">
        <v>63.085111371118202</v>
      </c>
      <c r="PS13" s="668">
        <v>49.542937088558872</v>
      </c>
      <c r="PT13" s="668">
        <v>58.085291808456091</v>
      </c>
      <c r="PU13" s="668">
        <v>57.904319738472019</v>
      </c>
      <c r="PV13" s="668">
        <v>55.418012477324019</v>
      </c>
      <c r="PW13" s="668">
        <v>61.637427162256039</v>
      </c>
      <c r="PX13" s="668">
        <v>67.694167047750781</v>
      </c>
      <c r="PY13" s="668">
        <v>68.215661890519257</v>
      </c>
      <c r="PZ13" s="668">
        <v>64.007632543010047</v>
      </c>
      <c r="QA13" s="668">
        <v>64.030636985043188</v>
      </c>
      <c r="QB13" s="668">
        <v>63.630509088439688</v>
      </c>
      <c r="QC13" s="668">
        <v>62.911990615941619</v>
      </c>
      <c r="QD13" s="668">
        <v>62.962695395396295</v>
      </c>
      <c r="QE13" s="668">
        <v>63.404431389845001</v>
      </c>
      <c r="QF13" s="668">
        <v>63.442292359295223</v>
      </c>
      <c r="QG13" s="668">
        <v>69.977764663371957</v>
      </c>
      <c r="QH13" s="668">
        <v>69.683112968974541</v>
      </c>
      <c r="QI13" s="668">
        <v>73.515878184769406</v>
      </c>
      <c r="QJ13" s="668">
        <v>68.975660926915822</v>
      </c>
      <c r="QK13" s="668">
        <v>64.743242985954552</v>
      </c>
      <c r="QL13" s="668">
        <v>64.469519716107683</v>
      </c>
      <c r="QM13" s="668">
        <v>69.055157990865553</v>
      </c>
      <c r="QN13" s="668">
        <v>63.210629300284793</v>
      </c>
      <c r="QO13" s="668">
        <v>62.808268872049929</v>
      </c>
      <c r="QP13" s="668">
        <v>63.195573209004436</v>
      </c>
      <c r="QQ13" s="668">
        <v>62.871661872445188</v>
      </c>
      <c r="QR13" s="668">
        <v>67.182796547299304</v>
      </c>
      <c r="QS13" s="668">
        <v>67.453331000846077</v>
      </c>
      <c r="QT13" s="668">
        <v>62.923850243423608</v>
      </c>
      <c r="QU13" s="668">
        <v>62.834230755314643</v>
      </c>
      <c r="QV13" s="668">
        <v>61.563398212434215</v>
      </c>
      <c r="QW13" s="668">
        <v>61.300513919608989</v>
      </c>
      <c r="QX13" s="668">
        <v>60.819974672930726</v>
      </c>
      <c r="QY13" s="668">
        <v>59.243135498029439</v>
      </c>
      <c r="QZ13" s="668">
        <v>59.282396127732838</v>
      </c>
      <c r="RA13" s="668">
        <v>59.22487010310617</v>
      </c>
      <c r="RB13" s="668">
        <v>55.682632916414647</v>
      </c>
      <c r="RC13" s="668">
        <v>57.373955680590207</v>
      </c>
      <c r="RD13" s="668">
        <v>57.741478121519947</v>
      </c>
      <c r="RE13" s="668">
        <v>50.775123762915101</v>
      </c>
      <c r="RF13" s="668">
        <v>51.34909618096416</v>
      </c>
      <c r="RG13" s="668">
        <f>$D48/RG$7</f>
        <v>46.456068741405133</v>
      </c>
      <c r="RH13" s="668">
        <v>55.440410537538838</v>
      </c>
      <c r="RI13" s="668">
        <v>55.557786056226171</v>
      </c>
      <c r="RJ13" s="668">
        <v>56.061575449518052</v>
      </c>
      <c r="RK13" s="668">
        <v>50.299781926692546</v>
      </c>
      <c r="RL13" s="668">
        <v>55.334167538388876</v>
      </c>
      <c r="RM13" s="668">
        <v>55.177934415911658</v>
      </c>
      <c r="RN13" s="668">
        <v>56.070955345409743</v>
      </c>
      <c r="RO13" s="668">
        <v>56.015273489974994</v>
      </c>
      <c r="RP13" s="668">
        <v>58.049526504843797</v>
      </c>
      <c r="RQ13" s="668">
        <v>56.650094745871243</v>
      </c>
      <c r="RR13" s="668">
        <v>56.501811344732353</v>
      </c>
      <c r="RS13" s="668">
        <v>56.220296247225853</v>
      </c>
      <c r="RT13" s="668">
        <v>56.670425960223994</v>
      </c>
      <c r="RU13" s="668">
        <v>56.265400305360657</v>
      </c>
      <c r="RV13" s="668">
        <v>56.165758207124469</v>
      </c>
      <c r="RW13" s="668">
        <v>56.288070689012635</v>
      </c>
      <c r="RX13" s="668">
        <v>56.277492955647311</v>
      </c>
      <c r="RY13" s="668">
        <v>55.573210438009689</v>
      </c>
      <c r="RZ13" s="668">
        <v>55.511118809951718</v>
      </c>
      <c r="SA13" s="668">
        <v>55.55598896538573</v>
      </c>
      <c r="SB13" s="668">
        <v>57.577054516921841</v>
      </c>
      <c r="SC13" s="668">
        <v>57.661934511826061</v>
      </c>
      <c r="SD13" s="668">
        <v>57.714033137679323</v>
      </c>
      <c r="SE13" s="668">
        <v>57.645524830791373</v>
      </c>
      <c r="SF13" s="668">
        <f>$D48/SF$7</f>
        <v>45.830137933269242</v>
      </c>
      <c r="SG13" s="668">
        <v>59.973713237077916</v>
      </c>
      <c r="SH13" s="668">
        <v>60.806180661190005</v>
      </c>
      <c r="SI13" s="668">
        <v>60.481905599255654</v>
      </c>
      <c r="SJ13" s="668">
        <v>60.661651785762061</v>
      </c>
      <c r="SK13" s="668">
        <v>60.566241154151498</v>
      </c>
      <c r="SL13" s="668">
        <v>60.253927219152537</v>
      </c>
      <c r="SM13" s="668">
        <v>60.094228204426855</v>
      </c>
      <c r="SN13" s="668">
        <v>60.24240053904574</v>
      </c>
      <c r="SO13" s="668">
        <v>35.983600329192036</v>
      </c>
      <c r="SP13" s="668">
        <v>30.694709705646748</v>
      </c>
      <c r="SQ13" s="668">
        <v>30.681581875363111</v>
      </c>
      <c r="SR13" s="668">
        <v>49.254641330597657</v>
      </c>
      <c r="SS13" s="668">
        <v>49.454800426347589</v>
      </c>
      <c r="ST13" s="668">
        <v>49.518222345875706</v>
      </c>
      <c r="SU13" s="668">
        <v>49.644635870258043</v>
      </c>
      <c r="SV13" s="668">
        <v>55.43866738798399</v>
      </c>
      <c r="SW13" s="668">
        <v>50.782512721966413</v>
      </c>
      <c r="SX13" s="668">
        <v>64.496607251589054</v>
      </c>
      <c r="SY13" s="668">
        <v>64.630593120734488</v>
      </c>
      <c r="SZ13" s="668">
        <v>65.315348182771601</v>
      </c>
      <c r="TA13" s="668">
        <v>65.451420339833902</v>
      </c>
      <c r="TB13" s="668">
        <v>60.220383081707247</v>
      </c>
      <c r="TC13" s="668">
        <v>60.287560556799292</v>
      </c>
      <c r="TD13" s="668">
        <v>67.107548180401409</v>
      </c>
      <c r="TE13" s="668">
        <f>$D48/TE$7</f>
        <v>46.632881731846091</v>
      </c>
      <c r="TF13" s="668">
        <v>66.158468986924973</v>
      </c>
      <c r="TG13" s="668">
        <v>66.338119772321548</v>
      </c>
      <c r="TH13" s="668">
        <v>66.499572562859882</v>
      </c>
      <c r="TI13" s="668">
        <v>68.505328614515903</v>
      </c>
      <c r="TJ13" s="668">
        <v>70.260059351679885</v>
      </c>
      <c r="TK13" s="668">
        <v>65.349235272627226</v>
      </c>
      <c r="TL13" s="668">
        <v>69.195872791519434</v>
      </c>
      <c r="TM13" s="668">
        <v>71.998534599911054</v>
      </c>
      <c r="TN13" s="668">
        <v>71.575140694243814</v>
      </c>
      <c r="TO13" s="668">
        <v>71.254053874256442</v>
      </c>
      <c r="TP13" s="668">
        <v>71.904604729484035</v>
      </c>
      <c r="TQ13" s="668">
        <v>72.405343103786279</v>
      </c>
      <c r="TR13" s="668">
        <v>72.416602436682766</v>
      </c>
      <c r="TS13" s="668">
        <v>72.402895886003222</v>
      </c>
      <c r="TT13" s="668">
        <v>71.073314060517845</v>
      </c>
      <c r="TU13" s="668">
        <v>73.819363915032866</v>
      </c>
      <c r="TV13" s="668">
        <v>72.68488251139614</v>
      </c>
      <c r="TW13" s="668">
        <v>72.221453836386729</v>
      </c>
      <c r="TX13" s="668">
        <v>71.525883111138057</v>
      </c>
      <c r="TY13" s="668">
        <v>71.53865417030228</v>
      </c>
      <c r="TZ13" s="668">
        <v>72.032069709566457</v>
      </c>
      <c r="UA13" s="668">
        <v>75.874096252853136</v>
      </c>
      <c r="UB13" s="668">
        <v>75.900179887026368</v>
      </c>
      <c r="UC13" s="668">
        <v>75.195309815205988</v>
      </c>
      <c r="UD13" s="668">
        <v>75.699567193837268</v>
      </c>
      <c r="UE13" s="668">
        <v>77.241069627444787</v>
      </c>
      <c r="UF13" s="668">
        <v>75.543944323789376</v>
      </c>
      <c r="UG13" s="668">
        <v>77.0071020534198</v>
      </c>
      <c r="UH13" s="668">
        <v>75.200142585982988</v>
      </c>
      <c r="UI13" s="668">
        <v>71.60836790743879</v>
      </c>
      <c r="UJ13" s="668">
        <v>81.028263639522763</v>
      </c>
      <c r="UK13" s="668">
        <v>82.905146180270336</v>
      </c>
      <c r="UL13" s="668">
        <v>75.693288402199116</v>
      </c>
      <c r="UM13" s="668">
        <v>80.882403624336419</v>
      </c>
      <c r="UN13" s="668">
        <v>70.037400324606594</v>
      </c>
      <c r="UO13" s="668">
        <v>69.279782562697548</v>
      </c>
      <c r="UP13" s="668">
        <v>66.295606984919175</v>
      </c>
      <c r="UQ13" s="668">
        <v>66.053206500716428</v>
      </c>
      <c r="UR13" s="668">
        <v>63.040619496790036</v>
      </c>
      <c r="US13" s="668">
        <v>65.568700733000824</v>
      </c>
      <c r="UT13" s="668">
        <v>67.47408358706177</v>
      </c>
      <c r="UU13" s="668">
        <v>64.984571927204684</v>
      </c>
      <c r="UV13" s="668">
        <v>60.628210995832632</v>
      </c>
      <c r="UW13" s="668">
        <v>66.118169764766833</v>
      </c>
      <c r="UX13" s="668">
        <v>66.160279036188456</v>
      </c>
      <c r="UY13" s="668">
        <v>65.952671575382922</v>
      </c>
      <c r="UZ13" s="668">
        <v>61.329374882681272</v>
      </c>
      <c r="VA13" s="668">
        <v>57.953077916487302</v>
      </c>
      <c r="VB13" s="668">
        <v>60.321686799151401</v>
      </c>
      <c r="VC13" s="668">
        <v>53.617307679862286</v>
      </c>
      <c r="VD13" s="668">
        <v>57.36837080477698</v>
      </c>
      <c r="VE13" s="668">
        <v>60.840998263675033</v>
      </c>
      <c r="VF13" s="668">
        <v>50.956710962840162</v>
      </c>
      <c r="VG13" s="668">
        <v>51.577726749426972</v>
      </c>
      <c r="VH13" s="668">
        <v>49.478627418131346</v>
      </c>
      <c r="VI13" s="668">
        <v>52.908419026443916</v>
      </c>
      <c r="VJ13" s="668">
        <f>$D48/VJ$7</f>
        <v>43.927124248642222</v>
      </c>
      <c r="VK13" s="668">
        <v>45.706705133286214</v>
      </c>
      <c r="VL13" s="668">
        <v>45.658371597329754</v>
      </c>
      <c r="VM13" s="668">
        <v>45.455432818123818</v>
      </c>
      <c r="VN13" s="668">
        <v>45.60793052340383</v>
      </c>
      <c r="VO13" s="668">
        <v>45.41246836521271</v>
      </c>
      <c r="VP13" s="668">
        <v>43.721213450756998</v>
      </c>
      <c r="VQ13" s="668">
        <v>40.42923303756605</v>
      </c>
      <c r="VR13" s="668">
        <v>40.477770404777708</v>
      </c>
      <c r="VS13" s="668">
        <v>40.477398502795644</v>
      </c>
      <c r="VT13" s="668">
        <v>40.308766165441817</v>
      </c>
      <c r="VU13" s="668">
        <v>39.691190735722074</v>
      </c>
      <c r="VV13" s="668">
        <v>39.67619268494564</v>
      </c>
      <c r="VW13" s="668">
        <v>36.60975142487667</v>
      </c>
      <c r="VX13" s="668">
        <v>32.844914963561315</v>
      </c>
      <c r="VY13" s="668">
        <v>28.527572090069011</v>
      </c>
      <c r="VZ13" s="668">
        <v>29.106866565993045</v>
      </c>
      <c r="WA13" s="668">
        <v>29.139040716281102</v>
      </c>
      <c r="WB13" s="668">
        <v>35.992134156544985</v>
      </c>
      <c r="WC13" s="668">
        <v>42.044839436548799</v>
      </c>
      <c r="WD13" s="668">
        <v>33.384736610574251</v>
      </c>
      <c r="WE13" s="668">
        <v>30.678278941740459</v>
      </c>
      <c r="WF13" s="668">
        <v>20.909913448591901</v>
      </c>
      <c r="WG13" s="668">
        <v>21.48324758438951</v>
      </c>
      <c r="WH13" s="668">
        <v>27.527618590534789</v>
      </c>
      <c r="WI13" s="668">
        <v>21.086282043985847</v>
      </c>
      <c r="WJ13" s="668">
        <v>20.923374105839752</v>
      </c>
      <c r="WK13" s="668">
        <v>28.112002594352987</v>
      </c>
      <c r="WL13" s="668">
        <v>28.131002004614615</v>
      </c>
      <c r="WM13" s="668">
        <v>28.830700442918015</v>
      </c>
      <c r="WN13" s="668">
        <v>23.284308736907665</v>
      </c>
      <c r="WO13" s="668">
        <v>26.914906858914055</v>
      </c>
      <c r="WP13" s="668">
        <v>26.394965945691208</v>
      </c>
      <c r="WQ13" s="668">
        <v>26.772593308272505</v>
      </c>
      <c r="WR13" s="668">
        <f>$D48/WR$7</f>
        <v>43.782710627548745</v>
      </c>
      <c r="WS13" s="668">
        <v>27.118658006788916</v>
      </c>
      <c r="WT13" s="668">
        <v>17.323711734315559</v>
      </c>
      <c r="WU13" s="668">
        <v>23.80934153007556</v>
      </c>
      <c r="WV13" s="668">
        <v>23.654491809950148</v>
      </c>
      <c r="WW13" s="668">
        <v>24.260612742095738</v>
      </c>
      <c r="WX13" s="668">
        <v>26.3067372489086</v>
      </c>
      <c r="WY13" s="668">
        <v>26.000978372048202</v>
      </c>
      <c r="WZ13" s="668">
        <v>25.681048083473772</v>
      </c>
      <c r="XA13" s="668">
        <v>25.218583686325619</v>
      </c>
      <c r="XB13" s="668">
        <v>25.945251591543649</v>
      </c>
      <c r="XC13" s="668">
        <v>28.275294673095754</v>
      </c>
      <c r="XD13" s="668">
        <v>30.652083757659337</v>
      </c>
      <c r="XE13" s="668">
        <v>26.79583385134589</v>
      </c>
      <c r="XF13" s="668">
        <v>22.707939508506616</v>
      </c>
      <c r="XG13" s="668">
        <v>22.828501181808466</v>
      </c>
      <c r="XH13" s="668">
        <v>22.824841312725262</v>
      </c>
      <c r="XI13" s="668">
        <v>26.504538096993251</v>
      </c>
      <c r="XJ13" s="668">
        <v>22.622031596688977</v>
      </c>
      <c r="XK13" s="668">
        <v>23.857451373234522</v>
      </c>
      <c r="XL13" s="668">
        <v>23.505708529214239</v>
      </c>
      <c r="XM13" s="668">
        <v>18.968198342929956</v>
      </c>
      <c r="XN13" s="668">
        <v>23.498881005666394</v>
      </c>
      <c r="XO13" s="668">
        <v>30.01497033792845</v>
      </c>
      <c r="XP13" s="668">
        <v>29.756205347278485</v>
      </c>
      <c r="XQ13" s="668">
        <v>29.430440837407744</v>
      </c>
      <c r="XR13" s="668">
        <v>26.841781937073883</v>
      </c>
      <c r="XS13" s="668">
        <v>24.487356466464785</v>
      </c>
      <c r="XT13" s="668">
        <f>$D48/XT$7</f>
        <v>52.022029974890145</v>
      </c>
      <c r="XU13" s="668">
        <v>27.720070238903073</v>
      </c>
      <c r="XV13" s="668">
        <v>27.57780444541023</v>
      </c>
      <c r="XW13" s="668">
        <v>27.901151617254005</v>
      </c>
      <c r="XX13" s="668">
        <v>27.936760770307639</v>
      </c>
      <c r="XY13" s="668">
        <v>32.884854793585724</v>
      </c>
      <c r="XZ13" s="668">
        <v>33.157283944769439</v>
      </c>
      <c r="YA13" s="668">
        <v>33.68828943326821</v>
      </c>
      <c r="YB13" s="668">
        <v>33.967374268052609</v>
      </c>
      <c r="YC13" s="668">
        <v>33.922630308565459</v>
      </c>
      <c r="YD13" s="668">
        <v>32.752188082170456</v>
      </c>
      <c r="YE13" s="668">
        <v>38.987216995140813</v>
      </c>
      <c r="YF13" s="668">
        <v>32.020838273842209</v>
      </c>
      <c r="YG13" s="668">
        <v>38.229584769838944</v>
      </c>
      <c r="YH13" s="668">
        <v>38.360344725231556</v>
      </c>
      <c r="YI13" s="668">
        <v>38.694831069278557</v>
      </c>
      <c r="YJ13" s="668">
        <v>45.308234838555187</v>
      </c>
      <c r="YK13" s="668">
        <v>45.189198803254847</v>
      </c>
      <c r="YL13" s="668">
        <v>38.317944421098886</v>
      </c>
      <c r="YM13" s="668">
        <f>$D48/YM$7</f>
        <v>54.072653357716788</v>
      </c>
      <c r="YN13" s="668">
        <v>28.756116253773047</v>
      </c>
      <c r="YO13" s="668">
        <v>28.622889934516412</v>
      </c>
      <c r="YP13" s="668">
        <v>50.865474139789988</v>
      </c>
      <c r="YQ13" s="668">
        <v>50.941011325164986</v>
      </c>
      <c r="YR13" s="668">
        <v>54.497864860646658</v>
      </c>
      <c r="YS13" s="668">
        <v>48.098632898697367</v>
      </c>
      <c r="YT13" s="668">
        <v>55.325283140935703</v>
      </c>
      <c r="YU13" s="668">
        <v>55.24918274592266</v>
      </c>
      <c r="YV13" s="668">
        <v>58.578561781197564</v>
      </c>
      <c r="YW13" s="668">
        <v>55.674097115545457</v>
      </c>
      <c r="YX13" s="668">
        <v>53.913395365753082</v>
      </c>
      <c r="YY13" s="668">
        <v>55.983657590509026</v>
      </c>
      <c r="YZ13" s="668">
        <v>24.021007130894422</v>
      </c>
      <c r="ZA13" s="668">
        <v>57.385611637986315</v>
      </c>
      <c r="ZB13" s="668">
        <v>54.878886681907325</v>
      </c>
      <c r="ZC13" s="668">
        <v>54.781435415767774</v>
      </c>
      <c r="ZD13" s="668">
        <f>$D48/ZD$7</f>
        <v>53.18402198055643</v>
      </c>
    </row>
    <row r="14" spans="1:683">
      <c r="A14" s="120"/>
      <c r="B14" s="124"/>
      <c r="C14" s="415" t="s">
        <v>7</v>
      </c>
      <c r="D14" s="14">
        <v>8.6800000000000002E-2</v>
      </c>
      <c r="E14" s="8">
        <v>8.7834468476760227E-2</v>
      </c>
      <c r="F14" s="8">
        <v>8.7834468476760227E-2</v>
      </c>
      <c r="G14" s="8">
        <v>8.7834468476760227E-2</v>
      </c>
      <c r="H14" s="8">
        <v>8.7834468476760227E-2</v>
      </c>
      <c r="I14" s="8">
        <v>8.7834468476760227E-2</v>
      </c>
      <c r="J14" s="8">
        <v>8.7834468476760227E-2</v>
      </c>
      <c r="K14" s="8">
        <v>8.7834468476760227E-2</v>
      </c>
      <c r="L14" s="8">
        <v>8.7834468476760227E-2</v>
      </c>
      <c r="M14" s="8">
        <v>9.6810331549732467E-2</v>
      </c>
      <c r="N14" s="8">
        <v>9.6810331549732467E-2</v>
      </c>
      <c r="O14" s="8">
        <v>9.6810331549732467E-2</v>
      </c>
      <c r="P14" s="8">
        <v>9.6810331549732467E-2</v>
      </c>
      <c r="Q14" s="8">
        <v>9.6810331549732467E-2</v>
      </c>
      <c r="R14" s="8">
        <v>9.6813011301130111E-2</v>
      </c>
      <c r="S14" s="8">
        <v>9.6813011301130111E-2</v>
      </c>
      <c r="T14" s="8">
        <v>9.6813011301130111E-2</v>
      </c>
      <c r="U14" s="8">
        <v>9.6813011301130111E-2</v>
      </c>
      <c r="V14" s="8">
        <v>9.8276440785307159E-2</v>
      </c>
      <c r="W14" s="8">
        <v>9.8276440785307159E-2</v>
      </c>
      <c r="X14" s="8">
        <v>9.8276440785307159E-2</v>
      </c>
      <c r="Y14" s="8">
        <v>9.8075142675967023E-2</v>
      </c>
      <c r="Z14" s="8">
        <v>0.10609261331841074</v>
      </c>
      <c r="AA14" s="8">
        <v>0.10597673766816143</v>
      </c>
      <c r="AB14" s="8">
        <v>0.10597673766816143</v>
      </c>
      <c r="AC14" s="8">
        <v>0.10300889679715303</v>
      </c>
      <c r="AD14" s="8">
        <v>0.10309300947867299</v>
      </c>
      <c r="AE14" s="8">
        <v>9.8071167883211685E-2</v>
      </c>
      <c r="AF14" s="8">
        <v>0.14510121506682869</v>
      </c>
      <c r="AG14" s="8">
        <v>0.15905942376950782</v>
      </c>
      <c r="AH14" s="8">
        <v>0.16087109375</v>
      </c>
      <c r="AI14" s="8">
        <v>0.16087109375</v>
      </c>
      <c r="AJ14" s="8">
        <v>0.15928275212064091</v>
      </c>
      <c r="AK14" s="8">
        <v>0.15928202676864245</v>
      </c>
      <c r="AL14" s="8" t="e">
        <f>#REF!</f>
        <v>#REF!</v>
      </c>
      <c r="AM14" s="8">
        <v>0.15626503397031577</v>
      </c>
      <c r="AN14" s="8">
        <v>0.15950373148535965</v>
      </c>
      <c r="AO14" s="8">
        <v>0.15950350282700984</v>
      </c>
      <c r="AP14" s="8">
        <v>0.15950350282701001</v>
      </c>
      <c r="AQ14" s="8">
        <v>0.15950350282701001</v>
      </c>
      <c r="AR14" s="8">
        <v>0.15754800900353921</v>
      </c>
      <c r="AS14" s="8">
        <v>0.15754800900353921</v>
      </c>
      <c r="AT14" s="8">
        <v>0.1546479449844714</v>
      </c>
      <c r="AU14" s="8">
        <v>0.15578678183898853</v>
      </c>
      <c r="AV14" s="8">
        <v>0.15579172510518932</v>
      </c>
      <c r="AW14" s="8">
        <v>0.15579172510518932</v>
      </c>
      <c r="AX14" s="8">
        <v>0.15579172510518899</v>
      </c>
      <c r="AY14" s="8">
        <v>0.14177913043478257</v>
      </c>
      <c r="AZ14" s="8">
        <v>0.14222257323377369</v>
      </c>
      <c r="BA14" s="8">
        <v>0.13820630585898708</v>
      </c>
      <c r="BB14" s="8">
        <v>0.13805761221656643</v>
      </c>
      <c r="BC14" s="8">
        <v>0.13823481308411215</v>
      </c>
      <c r="BD14" s="8">
        <v>0.13948208757187086</v>
      </c>
      <c r="BE14" s="8">
        <v>0.13948208757187</v>
      </c>
      <c r="BF14" s="8">
        <v>0.14066698564593302</v>
      </c>
      <c r="BG14" s="8">
        <v>0.14066698564593</v>
      </c>
      <c r="BH14" s="8">
        <v>0.1403544642857143</v>
      </c>
      <c r="BI14" s="8">
        <v>0.14035446428571</v>
      </c>
      <c r="BJ14" s="8">
        <v>0.14035446428571</v>
      </c>
      <c r="BK14" s="8">
        <v>0.14035446428571</v>
      </c>
      <c r="BL14" s="8">
        <v>0.1376</v>
      </c>
      <c r="BM14" s="8">
        <v>0.1376</v>
      </c>
      <c r="BN14" s="8">
        <v>0.1376</v>
      </c>
      <c r="BO14" s="8">
        <v>0.1376</v>
      </c>
      <c r="BP14" s="8">
        <v>0.1376</v>
      </c>
      <c r="BQ14" s="8">
        <v>0.1376</v>
      </c>
      <c r="BR14" s="8">
        <v>0.1376</v>
      </c>
      <c r="BS14" s="8">
        <v>0.1376</v>
      </c>
      <c r="BT14" s="8">
        <v>0.1376</v>
      </c>
      <c r="BU14" s="8">
        <v>0.1376</v>
      </c>
      <c r="BV14" s="8">
        <v>0.1376</v>
      </c>
      <c r="BW14" s="8">
        <v>0.1376</v>
      </c>
      <c r="BX14" s="8">
        <v>0.1376</v>
      </c>
      <c r="BY14" s="8">
        <v>0.1376</v>
      </c>
      <c r="BZ14" s="8">
        <v>0.1376</v>
      </c>
      <c r="CA14" s="8">
        <v>0.1376</v>
      </c>
      <c r="CB14" s="8">
        <v>0.1376</v>
      </c>
      <c r="CC14" s="8">
        <v>0.1128</v>
      </c>
      <c r="CD14" s="8">
        <v>0.11119999999999999</v>
      </c>
      <c r="CE14" s="8">
        <v>0.1031</v>
      </c>
      <c r="CF14" s="8">
        <v>0.1031</v>
      </c>
      <c r="CG14" s="8">
        <v>0.1031</v>
      </c>
      <c r="CH14" s="8">
        <v>9.8842488188976368E-2</v>
      </c>
      <c r="CI14" s="8">
        <v>9.8842488188980004E-2</v>
      </c>
      <c r="CJ14" s="8">
        <v>8.4371597017513442E-2</v>
      </c>
      <c r="CK14" s="8">
        <v>8.3424000230826939E-2</v>
      </c>
      <c r="CL14" s="8">
        <v>8.3424000230830006E-2</v>
      </c>
      <c r="CM14" s="8">
        <v>8.4415646905073055E-2</v>
      </c>
      <c r="CN14" s="8">
        <v>8.4415646905070002E-2</v>
      </c>
      <c r="CO14" s="8">
        <v>8.4415646905070002E-2</v>
      </c>
      <c r="CP14" s="8">
        <v>9.8139344262295092E-2</v>
      </c>
      <c r="CQ14" s="8">
        <v>7.4654307116104865E-2</v>
      </c>
      <c r="CR14" s="8">
        <v>9.1376033057851233E-2</v>
      </c>
      <c r="CS14" s="8">
        <v>8.9447214076246326E-2</v>
      </c>
      <c r="CT14" s="8">
        <v>8.9447214076250003E-2</v>
      </c>
      <c r="CU14" s="8">
        <v>8.9447214076250003E-2</v>
      </c>
      <c r="CV14" s="8">
        <v>8.9887049950442513E-2</v>
      </c>
      <c r="CW14" s="8">
        <v>8.9887049950442513E-2</v>
      </c>
      <c r="CX14" s="8">
        <v>8.8542245063262845E-2</v>
      </c>
      <c r="CY14" s="8">
        <v>8.854224506326E-2</v>
      </c>
      <c r="CZ14" s="8">
        <v>8.854224506326E-2</v>
      </c>
      <c r="DA14" s="8">
        <v>8.611310128335331E-2</v>
      </c>
      <c r="DB14" s="8">
        <v>8.3915741572708022E-2</v>
      </c>
      <c r="DC14" s="8">
        <v>8.3915741572710006E-2</v>
      </c>
      <c r="DD14" s="8">
        <v>8.3915741572710006E-2</v>
      </c>
      <c r="DE14" s="8">
        <v>8.3605142433315918E-2</v>
      </c>
      <c r="DF14" s="8">
        <v>8.4215133531157269E-2</v>
      </c>
      <c r="DG14" s="8">
        <v>8.4215133531160002E-2</v>
      </c>
      <c r="DH14" s="8">
        <v>8.4523041474654365E-2</v>
      </c>
      <c r="DI14" s="8">
        <v>8.4523041474649993E-2</v>
      </c>
      <c r="DJ14" s="8">
        <v>8.5066775244299661E-2</v>
      </c>
      <c r="DK14" s="8">
        <v>8.4826770403302623E-2</v>
      </c>
      <c r="DL14" s="8">
        <v>8.48267704033E-2</v>
      </c>
      <c r="DM14" s="8">
        <v>8.5066775244299661E-2</v>
      </c>
      <c r="DN14" s="8">
        <v>8.5066775244299994E-2</v>
      </c>
      <c r="DO14" s="8">
        <v>8.5066775244299994E-2</v>
      </c>
      <c r="DP14" s="8">
        <v>7.6451140065146569E-2</v>
      </c>
      <c r="DQ14" s="8">
        <v>7.46731203614069E-2</v>
      </c>
      <c r="DR14" s="8">
        <v>7.5224581190910592E-2</v>
      </c>
      <c r="DS14" s="8">
        <v>7.5224581190909995E-2</v>
      </c>
      <c r="DT14" s="8">
        <v>7.9916547277936956E-2</v>
      </c>
      <c r="DU14" s="8">
        <v>7.9916547277939995E-2</v>
      </c>
      <c r="DV14" s="8">
        <v>8.0180169753086408E-2</v>
      </c>
      <c r="DW14" s="8">
        <v>8.0180169753090003E-2</v>
      </c>
      <c r="DX14" s="8">
        <v>8.0180169753090003E-2</v>
      </c>
      <c r="DY14" s="8">
        <v>8.0017330383480814E-2</v>
      </c>
      <c r="DZ14" s="8">
        <v>7.8551989150090415E-2</v>
      </c>
      <c r="EA14" s="8">
        <v>7.8079671379442106E-2</v>
      </c>
      <c r="EB14" s="8">
        <v>7.8320797369502676E-2</v>
      </c>
      <c r="EC14" s="8">
        <v>7.8320797369499998E-2</v>
      </c>
      <c r="ED14" s="8">
        <v>7.8140657084188908E-2</v>
      </c>
      <c r="EE14" s="8">
        <v>7.8322706705059641E-2</v>
      </c>
      <c r="EF14" s="8">
        <v>7.8322706705060002E-2</v>
      </c>
      <c r="EG14" s="8">
        <v>7.8347311916416432E-2</v>
      </c>
      <c r="EH14" s="8">
        <v>7.8347311916419998E-2</v>
      </c>
      <c r="EI14" s="8">
        <v>7.8347311916419998E-2</v>
      </c>
      <c r="EJ14" s="8">
        <v>7.8347311916419998E-2</v>
      </c>
      <c r="EK14" s="8">
        <v>7.8347311916419998E-2</v>
      </c>
      <c r="EL14" s="8">
        <v>7.5873820851447782E-2</v>
      </c>
      <c r="EM14" s="8">
        <v>7.5873820851450002E-2</v>
      </c>
      <c r="EN14" s="8">
        <v>7.5794200602735479E-2</v>
      </c>
      <c r="EO14" s="8">
        <v>7.5723303630121946E-2</v>
      </c>
      <c r="EP14" s="8">
        <v>7.3330370181074758E-2</v>
      </c>
      <c r="EQ14" s="8">
        <v>7.3351337301018199E-2</v>
      </c>
      <c r="ER14" s="8">
        <v>7.5108113437544796E-2</v>
      </c>
      <c r="ES14" s="8">
        <v>7.5108113437539994E-2</v>
      </c>
      <c r="ET14" s="8">
        <v>7.4839219130933582E-2</v>
      </c>
      <c r="EU14" s="8">
        <v>7.4839219130930001E-2</v>
      </c>
      <c r="EV14" s="8">
        <v>7.4717653547790183E-2</v>
      </c>
      <c r="EW14" s="8">
        <v>7.4683192366839082E-2</v>
      </c>
      <c r="EX14" s="8">
        <v>7.4683192366839998E-2</v>
      </c>
      <c r="EY14" s="8">
        <v>7.4420432537120731E-2</v>
      </c>
      <c r="EZ14" s="8">
        <v>7.444049927290354E-2</v>
      </c>
      <c r="FA14" s="8">
        <v>7.4440499272900001E-2</v>
      </c>
      <c r="FB14" s="8">
        <v>7.4440499272900001E-2</v>
      </c>
      <c r="FC14" s="8">
        <v>7.4440499272900001E-2</v>
      </c>
      <c r="FD14" s="8">
        <v>7.4336436952684229E-2</v>
      </c>
      <c r="FE14" s="8">
        <v>7.4336436952679996E-2</v>
      </c>
      <c r="FF14" s="8">
        <v>7.4990162604374425E-2</v>
      </c>
      <c r="FG14" s="8">
        <v>7.4990162604369998E-2</v>
      </c>
      <c r="FH14" s="8">
        <v>7.4990162604369998E-2</v>
      </c>
      <c r="FI14" s="8">
        <v>7.5195022439820486E-2</v>
      </c>
      <c r="FJ14" s="8">
        <v>7.654178105122196E-2</v>
      </c>
      <c r="FK14" s="8">
        <v>7.7476488095238091E-2</v>
      </c>
      <c r="FL14" s="8">
        <v>7.7889447731755421E-2</v>
      </c>
      <c r="FM14" s="8">
        <v>7.8126045562733767E-2</v>
      </c>
      <c r="FN14" s="8">
        <v>7.8126045562730007E-2</v>
      </c>
      <c r="FO14" s="8">
        <v>7.9707875647668389E-2</v>
      </c>
      <c r="FP14" s="8">
        <v>8.1976340074612214E-2</v>
      </c>
      <c r="FQ14" s="8">
        <v>8.1976340074609994E-2</v>
      </c>
      <c r="FR14" s="8">
        <v>8.1976340074612214E-2</v>
      </c>
      <c r="FS14" s="8">
        <v>8.2031231766114904E-2</v>
      </c>
      <c r="FT14" s="8">
        <v>8.3072226087532702E-2</v>
      </c>
      <c r="FU14" s="8">
        <v>8.3072226087529996E-2</v>
      </c>
      <c r="FV14" s="8">
        <v>8.3072226087529996E-2</v>
      </c>
      <c r="FW14" s="8">
        <v>8.3072226087529996E-2</v>
      </c>
      <c r="FX14" s="8">
        <v>8.3072226087529996E-2</v>
      </c>
      <c r="FY14" s="8">
        <v>8.3247159029649603E-2</v>
      </c>
      <c r="FZ14" s="8">
        <v>8.3247159029650006E-2</v>
      </c>
      <c r="GA14" s="8">
        <v>8.3247159029650006E-2</v>
      </c>
      <c r="GB14" s="8">
        <v>8.3035229017738951E-2</v>
      </c>
      <c r="GC14" s="8">
        <v>8.3035229017740006E-2</v>
      </c>
      <c r="GD14" s="8">
        <v>8.3225035742652914E-2</v>
      </c>
      <c r="GE14" s="8">
        <v>8.3429009399855397E-2</v>
      </c>
      <c r="GF14" s="8">
        <v>8.322503574265E-2</v>
      </c>
      <c r="GG14" s="8">
        <v>8.3510663404806465E-2</v>
      </c>
      <c r="GH14" s="8">
        <v>8.3510663404810004E-2</v>
      </c>
      <c r="GI14" s="8">
        <v>8.356144272044895E-2</v>
      </c>
      <c r="GJ14" s="8">
        <v>8.3561442720450005E-2</v>
      </c>
      <c r="GK14" s="8">
        <v>8.3586158422491993E-2</v>
      </c>
      <c r="GL14" s="8">
        <v>8.3586158422489995E-2</v>
      </c>
      <c r="GM14" s="8">
        <v>8.3736836797334041E-2</v>
      </c>
      <c r="GN14" s="8">
        <v>8.3736836797330003E-2</v>
      </c>
      <c r="GO14" s="8">
        <v>8.3736836797330003E-2</v>
      </c>
      <c r="GP14" s="8">
        <v>8.3736836797330003E-2</v>
      </c>
      <c r="GQ14" s="8">
        <v>8.3990555347443374E-2</v>
      </c>
      <c r="GR14" s="8">
        <v>8.3973039690222684E-2</v>
      </c>
      <c r="GS14" s="8">
        <v>8.3973039690220005E-2</v>
      </c>
      <c r="GT14" s="8">
        <v>8.3973039690220005E-2</v>
      </c>
      <c r="GU14" s="8">
        <v>8.3973039690220005E-2</v>
      </c>
      <c r="GV14" s="8">
        <v>8.3999375247481217E-2</v>
      </c>
      <c r="GW14" s="8">
        <v>8.3999375247479996E-2</v>
      </c>
      <c r="GX14" s="8">
        <v>8.3999375247479996E-2</v>
      </c>
      <c r="GY14" s="8">
        <v>8.3999375247479996E-2</v>
      </c>
      <c r="GZ14" s="8">
        <v>8.4277265132139817E-2</v>
      </c>
      <c r="HA14" s="8">
        <v>8.4277265132139997E-2</v>
      </c>
      <c r="HB14" s="8">
        <v>8.4277265132139997E-2</v>
      </c>
      <c r="HC14" s="8">
        <v>8.4240408619313645E-2</v>
      </c>
      <c r="HD14" s="8">
        <v>8.4240408619309995E-2</v>
      </c>
      <c r="HE14" s="8">
        <v>8.0703355191795667E-2</v>
      </c>
      <c r="HF14" s="8">
        <v>8.0695870731823147E-2</v>
      </c>
      <c r="HG14" s="8">
        <v>8.0921631865481361E-2</v>
      </c>
      <c r="HH14" s="8">
        <v>8.0921631865481361E-2</v>
      </c>
      <c r="HI14" s="8">
        <v>8.0908208543867724E-2</v>
      </c>
      <c r="HJ14" s="8">
        <v>8.0816627732161445E-2</v>
      </c>
      <c r="HK14" s="8">
        <v>8.0816627732161445E-2</v>
      </c>
      <c r="HL14" s="8">
        <v>8.0776052631578943E-2</v>
      </c>
      <c r="HM14" s="8">
        <v>8.0776052631578943E-2</v>
      </c>
      <c r="HN14" s="8">
        <v>8.0564725390003714E-2</v>
      </c>
      <c r="HO14" s="8">
        <v>8.0425982200263951E-2</v>
      </c>
      <c r="HP14" s="8">
        <v>8.0425982200263951E-2</v>
      </c>
      <c r="HQ14" s="8">
        <v>8.04408717133092E-2</v>
      </c>
      <c r="HR14" s="8">
        <v>8.04408717133092E-2</v>
      </c>
      <c r="HS14" s="8">
        <v>8.04408717133092E-2</v>
      </c>
      <c r="HT14" s="8">
        <v>8.04408717133092E-2</v>
      </c>
      <c r="HU14" s="8">
        <v>8.0369006389170758E-2</v>
      </c>
      <c r="HV14" s="8">
        <v>8.0074149885204504E-2</v>
      </c>
      <c r="HW14" s="8">
        <v>8.0074573909917179E-2</v>
      </c>
      <c r="HX14" s="8">
        <v>8.0074573909917179E-2</v>
      </c>
      <c r="HY14" s="8">
        <v>7.9634464267759997E-2</v>
      </c>
      <c r="HZ14" s="8">
        <v>7.9936959966198387E-2</v>
      </c>
      <c r="IA14" s="8">
        <v>7.9857429513347539E-2</v>
      </c>
      <c r="IB14" s="8">
        <v>7.982660570840594E-2</v>
      </c>
      <c r="IC14" s="8">
        <v>8.1418386451809377E-2</v>
      </c>
      <c r="ID14" s="8" t="e">
        <f>#REF!</f>
        <v>#REF!</v>
      </c>
      <c r="IE14" s="8">
        <v>7.9639765901550363E-2</v>
      </c>
      <c r="IF14" s="8">
        <v>7.9639765901550363E-2</v>
      </c>
      <c r="IG14" s="8">
        <v>8.0614993686868683E-2</v>
      </c>
      <c r="IH14" s="8">
        <v>8.0614993686868683E-2</v>
      </c>
      <c r="II14" s="8">
        <v>8.0614993686868683E-2</v>
      </c>
      <c r="IJ14" s="8">
        <v>8.0710056949904241E-2</v>
      </c>
      <c r="IK14" s="8">
        <v>8.0711907581445724E-2</v>
      </c>
      <c r="IL14" s="8">
        <v>8.0711907581445724E-2</v>
      </c>
      <c r="IM14" s="8">
        <v>8.0612518480816311E-2</v>
      </c>
      <c r="IN14" s="8">
        <v>8.0612518480816311E-2</v>
      </c>
      <c r="IO14" s="8">
        <v>8.0612518480816311E-2</v>
      </c>
      <c r="IP14" s="8">
        <v>8.0612518480816311E-2</v>
      </c>
      <c r="IQ14" s="8">
        <v>8.0567922001526932E-2</v>
      </c>
      <c r="IR14" s="8">
        <v>8.063640789649193E-2</v>
      </c>
      <c r="IS14" s="8">
        <v>8.0318597243889761E-2</v>
      </c>
      <c r="IT14" s="8">
        <v>8.063640789649193E-2</v>
      </c>
      <c r="IU14" s="8">
        <v>8.063640789649193E-2</v>
      </c>
      <c r="IV14" s="8">
        <v>8.063640789649193E-2</v>
      </c>
      <c r="IW14" s="8">
        <v>8.063640789649193E-2</v>
      </c>
      <c r="IX14" s="8">
        <v>8.063640789649193E-2</v>
      </c>
      <c r="IY14" s="8">
        <v>8.063640789649193E-2</v>
      </c>
      <c r="IZ14" s="8">
        <v>8.0231534468991228E-2</v>
      </c>
      <c r="JA14" s="8">
        <v>8.0441023738872408E-2</v>
      </c>
      <c r="JB14" s="8">
        <v>7.9982435643564359E-2</v>
      </c>
      <c r="JC14" s="8">
        <v>7.981596799788418E-2</v>
      </c>
      <c r="JD14" s="8">
        <v>7.9946855807743675E-2</v>
      </c>
      <c r="JE14" s="8">
        <v>7.9946855807743675E-2</v>
      </c>
      <c r="JF14" s="8">
        <v>7.8851748279618467E-2</v>
      </c>
      <c r="JG14" s="8">
        <v>7.9731165842362575E-2</v>
      </c>
      <c r="JH14" s="8">
        <v>7.9496133882479059E-2</v>
      </c>
      <c r="JI14" s="8">
        <v>7.9598380215592041E-2</v>
      </c>
      <c r="JJ14" s="8">
        <v>7.9598380215592041E-2</v>
      </c>
      <c r="JK14" s="8">
        <v>7.9576897046905445E-2</v>
      </c>
      <c r="JL14" s="8">
        <v>7.9567676841050081E-2</v>
      </c>
      <c r="JM14" s="8">
        <v>7.942176527889544E-2</v>
      </c>
      <c r="JN14" s="8">
        <v>7.942176527889544E-2</v>
      </c>
      <c r="JO14" s="8">
        <v>7.942176527889544E-2</v>
      </c>
      <c r="JP14" s="8">
        <v>7.9344918842625276E-2</v>
      </c>
      <c r="JQ14" s="8">
        <v>7.9344918842625276E-2</v>
      </c>
      <c r="JR14" s="8">
        <v>7.9344918842625276E-2</v>
      </c>
      <c r="JS14" s="8">
        <v>7.7881042333123762E-2</v>
      </c>
      <c r="JT14" s="8">
        <v>7.7881042333123762E-2</v>
      </c>
      <c r="JU14" s="8" t="e">
        <f>#REF!</f>
        <v>#REF!</v>
      </c>
      <c r="JV14" s="8">
        <v>7.7881042333123762E-2</v>
      </c>
      <c r="JW14" s="8">
        <v>7.6178537886709419E-2</v>
      </c>
      <c r="JX14" s="8">
        <v>7.6178537886709419E-2</v>
      </c>
      <c r="JY14" s="8">
        <v>7.7350157365471683E-2</v>
      </c>
      <c r="JZ14" s="8">
        <v>7.7297253695505358E-2</v>
      </c>
      <c r="KA14" s="8">
        <v>7.7297253695505358E-2</v>
      </c>
      <c r="KB14" s="8">
        <v>7.7297253695505358E-2</v>
      </c>
      <c r="KC14" s="8">
        <v>7.7191812394819634E-2</v>
      </c>
      <c r="KD14" s="8">
        <v>7.7191812394819634E-2</v>
      </c>
      <c r="KE14" s="8">
        <v>7.541049622361827E-2</v>
      </c>
      <c r="KF14" s="8">
        <v>7.541049622361827E-2</v>
      </c>
      <c r="KG14" s="8">
        <v>7.541049622361827E-2</v>
      </c>
      <c r="KH14" s="8">
        <v>7.541049622361827E-2</v>
      </c>
      <c r="KI14" s="8">
        <v>7.5425627302425802E-2</v>
      </c>
      <c r="KJ14" s="8">
        <v>7.6544006069802745E-2</v>
      </c>
      <c r="KK14" s="8">
        <v>7.6522462931723351E-2</v>
      </c>
      <c r="KL14" s="8">
        <v>7.6522462931723351E-2</v>
      </c>
      <c r="KM14" s="8">
        <v>7.7031780140239786E-2</v>
      </c>
      <c r="KN14" s="8">
        <v>7.7679141649988875E-2</v>
      </c>
      <c r="KO14" s="8">
        <v>7.7678373971689016E-2</v>
      </c>
      <c r="KP14" s="8">
        <v>7.7678373971689016E-2</v>
      </c>
      <c r="KQ14" s="8">
        <v>7.6956158921191911E-2</v>
      </c>
      <c r="KR14" s="8">
        <v>7.7109456264775431E-2</v>
      </c>
      <c r="KS14" s="8">
        <v>7.6883127368067669E-2</v>
      </c>
      <c r="KT14" s="8">
        <v>7.6874355161035468E-2</v>
      </c>
      <c r="KU14" s="8">
        <v>7.7054679978077648E-2</v>
      </c>
      <c r="KV14" s="8">
        <v>7.7356347627638739E-2</v>
      </c>
      <c r="KW14" s="8">
        <v>7.7356347627638739E-2</v>
      </c>
      <c r="KX14" s="8">
        <v>7.6398205085590823E-2</v>
      </c>
      <c r="KY14" s="8">
        <v>7.6513685947751875E-2</v>
      </c>
      <c r="KZ14" s="8">
        <v>7.6629241961072625E-2</v>
      </c>
      <c r="LA14" s="8">
        <v>7.6397824084734042E-2</v>
      </c>
      <c r="LB14" s="8">
        <v>7.6397824084734042E-2</v>
      </c>
      <c r="LC14" s="8">
        <v>7.6453058912386712E-2</v>
      </c>
      <c r="LD14" s="8">
        <v>7.6451572085889583E-2</v>
      </c>
      <c r="LE14" s="8">
        <v>7.6508751846381104E-2</v>
      </c>
      <c r="LF14" s="8">
        <v>7.6453360413589369E-2</v>
      </c>
      <c r="LG14" s="8">
        <v>7.6453360413589369E-2</v>
      </c>
      <c r="LH14" s="8">
        <v>7.6453360413589369E-2</v>
      </c>
      <c r="LI14" s="8">
        <v>7.6455021367521372E-2</v>
      </c>
      <c r="LJ14" s="8">
        <v>7.6455021367521372E-2</v>
      </c>
      <c r="LK14" s="8">
        <v>7.6455021367521372E-2</v>
      </c>
      <c r="LL14" s="8">
        <v>7.6981818181818179E-2</v>
      </c>
      <c r="LM14" s="8">
        <v>7.6532946232626201E-2</v>
      </c>
      <c r="LN14" s="8">
        <v>7.6532946232626201E-2</v>
      </c>
      <c r="LO14" s="8">
        <v>7.6532946232626201E-2</v>
      </c>
      <c r="LP14" s="8">
        <v>7.7189078349073112E-2</v>
      </c>
      <c r="LQ14" s="8">
        <v>7.7393583353664919E-2</v>
      </c>
      <c r="LR14" s="8">
        <v>7.7393583353664919E-2</v>
      </c>
      <c r="LS14" s="8">
        <v>7.7510306865147607E-2</v>
      </c>
      <c r="LT14" s="8">
        <v>7.8135168325217039E-2</v>
      </c>
      <c r="LU14" s="8">
        <v>7.8135168325217039E-2</v>
      </c>
      <c r="LV14" s="8">
        <v>7.8135168325217039E-2</v>
      </c>
      <c r="LW14" s="8">
        <v>7.8937198420821766E-2</v>
      </c>
      <c r="LX14" s="8">
        <v>7.940487943032852E-2</v>
      </c>
      <c r="LY14" s="8">
        <v>7.940487943032852E-2</v>
      </c>
      <c r="LZ14" s="8">
        <v>7.9279316291336985E-2</v>
      </c>
      <c r="MA14" s="8">
        <v>7.9324775999194616E-2</v>
      </c>
      <c r="MB14" s="8">
        <v>8.7654467948202364E-2</v>
      </c>
      <c r="MC14" s="8">
        <v>9.1352117918558781E-2</v>
      </c>
      <c r="MD14" s="8">
        <v>9.1352117918558781E-2</v>
      </c>
      <c r="ME14" s="8">
        <v>9.196496344688132E-2</v>
      </c>
      <c r="MF14" s="8">
        <v>0.10038731095856022</v>
      </c>
      <c r="MG14" s="8">
        <v>0.1000134135665194</v>
      </c>
      <c r="MH14" s="8">
        <v>0.10608122437498402</v>
      </c>
      <c r="MI14" s="8">
        <v>0.10608122437498402</v>
      </c>
      <c r="MJ14" s="8">
        <v>0.10608122437498402</v>
      </c>
      <c r="MK14" s="8">
        <v>0.10822385936728668</v>
      </c>
      <c r="ML14" s="8">
        <v>0.10822385936728668</v>
      </c>
      <c r="MM14" s="8">
        <v>0.1096244333082336</v>
      </c>
      <c r="MN14" s="8">
        <v>0.10852301769673817</v>
      </c>
      <c r="MO14" s="8">
        <v>0.11583675127488545</v>
      </c>
      <c r="MP14" s="8">
        <v>0.11561887553884251</v>
      </c>
      <c r="MQ14" s="8">
        <v>0.11561887553884251</v>
      </c>
      <c r="MR14" s="8">
        <v>0.11539383897911411</v>
      </c>
      <c r="MS14" s="8">
        <v>0.11613436774382833</v>
      </c>
      <c r="MT14" s="8">
        <v>0.1171318700214945</v>
      </c>
      <c r="MU14" s="8">
        <v>0.11697088241952279</v>
      </c>
      <c r="MV14" s="8">
        <v>0.11697088241952279</v>
      </c>
      <c r="MW14" s="8">
        <v>0.11657030702396638</v>
      </c>
      <c r="MX14" s="8">
        <v>0.11631707539317475</v>
      </c>
      <c r="MY14" s="8">
        <v>0.11627918250335229</v>
      </c>
      <c r="MZ14" s="8">
        <v>0.11848717088303404</v>
      </c>
      <c r="NA14" s="8">
        <v>0.11856392677640984</v>
      </c>
      <c r="NB14" s="8">
        <v>0.11856392677640984</v>
      </c>
      <c r="NC14" s="8">
        <v>0.11856392677640984</v>
      </c>
      <c r="ND14" s="8">
        <v>0.11949247670618077</v>
      </c>
      <c r="NE14" s="8">
        <v>0.11949247670618077</v>
      </c>
      <c r="NF14" s="8">
        <v>0.11949247670618077</v>
      </c>
      <c r="NG14" s="8">
        <v>0.11959417249636134</v>
      </c>
      <c r="NH14" s="8">
        <v>0.11959417249636134</v>
      </c>
      <c r="NI14" s="8">
        <v>0.12032407122364407</v>
      </c>
      <c r="NJ14" s="8">
        <v>0.12213191359629853</v>
      </c>
      <c r="NK14" s="8">
        <v>0.12213191359629853</v>
      </c>
      <c r="NL14" s="8">
        <v>0.1238025346638754</v>
      </c>
      <c r="NM14" s="8">
        <v>0.1238025346638754</v>
      </c>
      <c r="NN14" s="8">
        <v>0.12681953073700369</v>
      </c>
      <c r="NO14" s="8">
        <v>0.12681953073700369</v>
      </c>
      <c r="NP14" s="8">
        <v>0.12694992900995819</v>
      </c>
      <c r="NQ14" s="8">
        <v>0.1273133944343226</v>
      </c>
      <c r="NR14" s="8">
        <v>0.12785434452949776</v>
      </c>
      <c r="NS14" s="8">
        <v>0.12891924232931073</v>
      </c>
      <c r="NT14" s="8">
        <v>0.12934698511509274</v>
      </c>
      <c r="NU14" s="8">
        <v>0.12934698511509274</v>
      </c>
      <c r="NV14" s="8">
        <v>0.12934698511509274</v>
      </c>
      <c r="NW14" s="8">
        <v>0.12978220589153369</v>
      </c>
      <c r="NX14" s="8">
        <v>0.1303686473213059</v>
      </c>
      <c r="NY14" s="8">
        <v>0.13068494523600171</v>
      </c>
      <c r="NZ14" s="8">
        <v>0.13074731028462552</v>
      </c>
      <c r="OA14" s="8">
        <v>0.13122180503628281</v>
      </c>
      <c r="OB14" s="8">
        <v>0.13122180503628281</v>
      </c>
      <c r="OC14" s="8">
        <v>0.1319906849222619</v>
      </c>
      <c r="OD14" s="8">
        <v>0.1319906849222619</v>
      </c>
      <c r="OE14" s="8">
        <v>0.1319906849222619</v>
      </c>
      <c r="OF14" s="8">
        <v>0.13199007362525733</v>
      </c>
      <c r="OG14" s="8">
        <v>0.13327219953203231</v>
      </c>
      <c r="OH14" s="8">
        <v>0.13798201367738411</v>
      </c>
      <c r="OI14" s="8">
        <v>0.13841362258349868</v>
      </c>
      <c r="OJ14" s="8">
        <v>0.13924004659967965</v>
      </c>
      <c r="OK14" s="8">
        <v>0.14068704284025443</v>
      </c>
      <c r="OL14" s="8">
        <v>0.14209910989387195</v>
      </c>
      <c r="OM14" s="8">
        <v>0.14209910989387195</v>
      </c>
      <c r="ON14" s="8">
        <v>0.14209910989387195</v>
      </c>
      <c r="OO14" s="8">
        <v>0.14209910989387195</v>
      </c>
      <c r="OP14" s="8">
        <v>0.14260621095185594</v>
      </c>
      <c r="OQ14" s="8">
        <v>0.14260621095185594</v>
      </c>
      <c r="OR14" s="8">
        <v>0.14353867071933146</v>
      </c>
      <c r="OS14" s="8">
        <v>0.14406239648438179</v>
      </c>
      <c r="OT14" s="8">
        <v>0.1445551425209162</v>
      </c>
      <c r="OU14" s="8">
        <v>0.1445551425209162</v>
      </c>
      <c r="OV14" s="8">
        <v>0.14694164898310622</v>
      </c>
      <c r="OW14" s="8">
        <v>0.14694164898310622</v>
      </c>
      <c r="OX14" s="8">
        <v>0.14624195751779576</v>
      </c>
      <c r="OY14" s="8">
        <v>0.14768716791886183</v>
      </c>
      <c r="OZ14" s="8">
        <v>0.14837460817799633</v>
      </c>
      <c r="PA14" s="8">
        <v>0.14941505017045215</v>
      </c>
      <c r="PB14" s="8">
        <v>0.14945919257581106</v>
      </c>
      <c r="PC14" s="8">
        <v>0.15025124360089701</v>
      </c>
      <c r="PD14" s="8">
        <v>0.15079246216578018</v>
      </c>
      <c r="PE14" s="8">
        <v>0.15189412772904196</v>
      </c>
      <c r="PF14" s="8">
        <v>0.15265563666093954</v>
      </c>
      <c r="PG14" s="8">
        <v>0.15265563666093954</v>
      </c>
      <c r="PH14" s="8">
        <v>0.15346074926403511</v>
      </c>
      <c r="PI14" s="8">
        <v>0.15346074926403511</v>
      </c>
      <c r="PJ14" s="8">
        <v>0.15355273173227504</v>
      </c>
      <c r="PK14" s="8">
        <v>0.15355273173227504</v>
      </c>
      <c r="PL14" s="8">
        <v>0.15428830817412484</v>
      </c>
      <c r="PM14" s="8">
        <v>0.15428830817412484</v>
      </c>
      <c r="PN14" s="8">
        <v>0.15444679637908762</v>
      </c>
      <c r="PO14" s="8">
        <v>0.15444679637908762</v>
      </c>
      <c r="PP14" s="8">
        <v>0.15450886313584658</v>
      </c>
      <c r="PQ14" s="8">
        <v>0.15564560786401491</v>
      </c>
      <c r="PR14" s="8">
        <v>0.15564560786401491</v>
      </c>
      <c r="PS14" s="8">
        <v>0.15855935523205397</v>
      </c>
      <c r="PT14" s="8">
        <v>0.15936996667518219</v>
      </c>
      <c r="PU14" s="8">
        <v>0.15943575059595561</v>
      </c>
      <c r="PV14" s="8">
        <v>0.1597560897084038</v>
      </c>
      <c r="PW14" s="8">
        <v>0.16138439077243052</v>
      </c>
      <c r="PX14" s="8">
        <v>0.16160199517138907</v>
      </c>
      <c r="PY14" s="8">
        <v>0.16178353113185109</v>
      </c>
      <c r="PZ14" s="8">
        <v>0.16201043957512548</v>
      </c>
      <c r="QA14" s="8">
        <v>0.16201043957512548</v>
      </c>
      <c r="QB14" s="8">
        <v>0.1615038406192803</v>
      </c>
      <c r="QC14" s="8">
        <v>0.16171049832910231</v>
      </c>
      <c r="QD14" s="8">
        <v>0.16171049832910231</v>
      </c>
      <c r="QE14" s="8">
        <v>0.16171049832910231</v>
      </c>
      <c r="QF14" s="8">
        <v>0.16203320389254622</v>
      </c>
      <c r="QG14" s="8">
        <v>0.16236019158799839</v>
      </c>
      <c r="QH14" s="8">
        <v>0.16236019158799839</v>
      </c>
      <c r="QI14" s="8">
        <v>0.16217303353371301</v>
      </c>
      <c r="QJ14" s="8">
        <v>0.1624042664103908</v>
      </c>
      <c r="QK14" s="8">
        <v>0.16270901564478515</v>
      </c>
      <c r="QL14" s="8">
        <v>0.16270901564478515</v>
      </c>
      <c r="QM14" s="8">
        <v>0.16270194484210795</v>
      </c>
      <c r="QN14" s="8">
        <v>0.16305982822762455</v>
      </c>
      <c r="QO14" s="8">
        <v>0.16305982822762455</v>
      </c>
      <c r="QP14" s="8">
        <v>0.16305982822762455</v>
      </c>
      <c r="QQ14" s="8">
        <v>0.16305982822762455</v>
      </c>
      <c r="QR14" s="8">
        <v>0.16278190035949394</v>
      </c>
      <c r="QS14" s="8">
        <v>0.16278190035949394</v>
      </c>
      <c r="QT14" s="8">
        <v>0.16305982822762455</v>
      </c>
      <c r="QU14" s="8">
        <v>0.16305982822762455</v>
      </c>
      <c r="QV14" s="8">
        <v>0.16307359704663837</v>
      </c>
      <c r="QW14" s="8">
        <v>0.16307359704663837</v>
      </c>
      <c r="QX14" s="8">
        <v>0.16349959833195427</v>
      </c>
      <c r="QY14" s="8">
        <v>0.16349959833195427</v>
      </c>
      <c r="QZ14" s="8">
        <v>0.16349959833195427</v>
      </c>
      <c r="RA14" s="8">
        <v>0.16349959833195427</v>
      </c>
      <c r="RB14" s="8">
        <v>0.1633803023232849</v>
      </c>
      <c r="RC14" s="8">
        <v>0.16342601629075745</v>
      </c>
      <c r="RD14" s="8">
        <v>0.16342601629075745</v>
      </c>
      <c r="RE14" s="8">
        <v>0.1631370163377045</v>
      </c>
      <c r="RF14" s="8">
        <v>0.1631370163377045</v>
      </c>
      <c r="RG14" s="8">
        <f>$C$48</f>
        <v>0.17905020032995522</v>
      </c>
      <c r="RH14" s="8">
        <v>0.16328612644061705</v>
      </c>
      <c r="RI14" s="8">
        <v>0.16328612644061705</v>
      </c>
      <c r="RJ14" s="8">
        <v>0.16328612644061705</v>
      </c>
      <c r="RK14" s="8">
        <v>0.16320793091285896</v>
      </c>
      <c r="RL14" s="8">
        <v>0.16318927187631488</v>
      </c>
      <c r="RM14" s="8">
        <v>0.16318927187631488</v>
      </c>
      <c r="RN14" s="8">
        <v>0.16316752295436784</v>
      </c>
      <c r="RO14" s="8">
        <v>0.16316752295436784</v>
      </c>
      <c r="RP14" s="8">
        <v>0.16314248932591532</v>
      </c>
      <c r="RQ14" s="8">
        <v>0.16313789734476589</v>
      </c>
      <c r="RR14" s="8">
        <v>0.16313789734476589</v>
      </c>
      <c r="RS14" s="8">
        <v>0.16313789734476589</v>
      </c>
      <c r="RT14" s="8">
        <v>0.16313789734476589</v>
      </c>
      <c r="RU14" s="8">
        <v>0.16313789734476589</v>
      </c>
      <c r="RV14" s="8">
        <v>0.16313789734476589</v>
      </c>
      <c r="RW14" s="8">
        <v>0.16313789734476589</v>
      </c>
      <c r="RX14" s="8">
        <v>0.16313789734476589</v>
      </c>
      <c r="RY14" s="8">
        <v>0.16314482382677956</v>
      </c>
      <c r="RZ14" s="8">
        <v>0.16315081133687251</v>
      </c>
      <c r="SA14" s="8">
        <v>0.16315081133687251</v>
      </c>
      <c r="SB14" s="8">
        <v>0.16320521705016008</v>
      </c>
      <c r="SC14" s="8">
        <v>0.16320521705016008</v>
      </c>
      <c r="SD14" s="8">
        <v>0.16320521705016008</v>
      </c>
      <c r="SE14" s="8">
        <v>0.16320521705016008</v>
      </c>
      <c r="SF14" s="8">
        <f>$C$48</f>
        <v>0.17905020032995522</v>
      </c>
      <c r="SG14" s="8">
        <v>0.16328104376934882</v>
      </c>
      <c r="SH14" s="8">
        <v>0.16314979006199345</v>
      </c>
      <c r="SI14" s="8">
        <v>0.16314979006199345</v>
      </c>
      <c r="SJ14" s="8">
        <v>0.16314979006199345</v>
      </c>
      <c r="SK14" s="8">
        <v>0.16314979006199345</v>
      </c>
      <c r="SL14" s="8">
        <v>0.16314979006199345</v>
      </c>
      <c r="SM14" s="8">
        <v>0.16314979006199345</v>
      </c>
      <c r="SN14" s="8">
        <v>0.16315349485034417</v>
      </c>
      <c r="SO14" s="8">
        <v>0.16298788373573164</v>
      </c>
      <c r="SP14" s="8">
        <v>0.16270627563462059</v>
      </c>
      <c r="SQ14" s="8">
        <v>0.16270627563462059</v>
      </c>
      <c r="SR14" s="8">
        <v>0.16159695742635535</v>
      </c>
      <c r="SS14" s="8">
        <v>0.16159695742635535</v>
      </c>
      <c r="ST14" s="8">
        <v>0.16159695742635535</v>
      </c>
      <c r="SU14" s="8">
        <v>0.16159695742635535</v>
      </c>
      <c r="SV14" s="8">
        <v>0.16243426481480755</v>
      </c>
      <c r="SW14" s="8">
        <v>0.16221768191326233</v>
      </c>
      <c r="SX14" s="8">
        <v>0.1637638226015139</v>
      </c>
      <c r="SY14" s="8">
        <v>0.1637638226015139</v>
      </c>
      <c r="SZ14" s="8">
        <v>0.16351194762493099</v>
      </c>
      <c r="TA14" s="8">
        <v>0.16351194762493099</v>
      </c>
      <c r="TB14" s="8">
        <v>0.16332474916752701</v>
      </c>
      <c r="TC14" s="8">
        <v>0.16332474916752701</v>
      </c>
      <c r="TD14" s="8">
        <v>0.163417371281352</v>
      </c>
      <c r="TE14" s="8">
        <f>$C$48</f>
        <v>0.17905020032995522</v>
      </c>
      <c r="TF14" s="8">
        <v>0.16340551478863724</v>
      </c>
      <c r="TG14" s="8">
        <v>0.16340551478863724</v>
      </c>
      <c r="TH14" s="8">
        <v>0.16340551478863724</v>
      </c>
      <c r="TI14" s="8">
        <v>0.16344902135216924</v>
      </c>
      <c r="TJ14" s="8">
        <v>0.1634271439474114</v>
      </c>
      <c r="TK14" s="8">
        <v>0.16456182613782044</v>
      </c>
      <c r="TL14" s="8">
        <v>0.16426506517678699</v>
      </c>
      <c r="TM14" s="8">
        <v>0.16301036005545777</v>
      </c>
      <c r="TN14" s="8">
        <v>0.16301036005545777</v>
      </c>
      <c r="TO14" s="8">
        <v>0.16301036005545777</v>
      </c>
      <c r="TP14" s="8">
        <v>0.16301036005545777</v>
      </c>
      <c r="TQ14" s="8">
        <v>0.16301036005545777</v>
      </c>
      <c r="TR14" s="8">
        <v>0.16301036005545777</v>
      </c>
      <c r="TS14" s="8">
        <v>0.16301036005545777</v>
      </c>
      <c r="TT14" s="8">
        <v>0.16292907659653386</v>
      </c>
      <c r="TU14" s="8">
        <v>0.16285243633086788</v>
      </c>
      <c r="TV14" s="8">
        <v>0.16291902941190106</v>
      </c>
      <c r="TW14" s="8">
        <v>0.16309042902373591</v>
      </c>
      <c r="TX14" s="8">
        <v>0.16309042902373591</v>
      </c>
      <c r="TY14" s="8">
        <v>0.16309042902373591</v>
      </c>
      <c r="TZ14" s="8">
        <v>0.16307399582731194</v>
      </c>
      <c r="UA14" s="8">
        <v>0.16307399582731194</v>
      </c>
      <c r="UB14" s="8">
        <v>0.15022648671414812</v>
      </c>
      <c r="UC14" s="8">
        <v>0.15066119746996648</v>
      </c>
      <c r="UD14" s="8">
        <v>0.16372140541237032</v>
      </c>
      <c r="UE14" s="8">
        <v>0.16440754411022612</v>
      </c>
      <c r="UF14" s="8">
        <v>0.16512433027705498</v>
      </c>
      <c r="UG14" s="8">
        <v>0.16503460316009513</v>
      </c>
      <c r="UH14" s="8">
        <v>0.16543485674431663</v>
      </c>
      <c r="UI14" s="8">
        <v>0.16769407654757418</v>
      </c>
      <c r="UJ14" s="8">
        <v>0.17024921695970219</v>
      </c>
      <c r="UK14" s="8">
        <v>0.17381670178194189</v>
      </c>
      <c r="UL14" s="8">
        <v>0.17580008836767055</v>
      </c>
      <c r="UM14" s="8">
        <v>0.17684310675901732</v>
      </c>
      <c r="UN14" s="8">
        <v>0.1785126102015113</v>
      </c>
      <c r="UO14" s="8">
        <v>0.1785126102015113</v>
      </c>
      <c r="UP14" s="8">
        <v>0.17908329477858556</v>
      </c>
      <c r="UQ14" s="8">
        <v>0.17939328604420987</v>
      </c>
      <c r="UR14" s="8">
        <v>0.18013977804751174</v>
      </c>
      <c r="US14" s="8">
        <v>0.18085806991135642</v>
      </c>
      <c r="UT14" s="8">
        <v>0.18085806991135642</v>
      </c>
      <c r="UU14" s="8">
        <v>0.18091891330680046</v>
      </c>
      <c r="UV14" s="8">
        <v>0.18273884866039103</v>
      </c>
      <c r="UW14" s="8">
        <v>0.18354903718459495</v>
      </c>
      <c r="UX14" s="8">
        <v>0.18385363184079603</v>
      </c>
      <c r="UY14" s="8">
        <v>0.18385363184079603</v>
      </c>
      <c r="UZ14" s="8">
        <v>0.18403912049252419</v>
      </c>
      <c r="VA14" s="8">
        <v>0.18404129990714949</v>
      </c>
      <c r="VB14" s="8">
        <v>0.18512797416113405</v>
      </c>
      <c r="VC14" s="8">
        <v>0.18810732247032794</v>
      </c>
      <c r="VD14" s="8">
        <v>0.18739575542258791</v>
      </c>
      <c r="VE14" s="8">
        <v>0.18896269366197183</v>
      </c>
      <c r="VF14" s="8">
        <v>0.18276904137235114</v>
      </c>
      <c r="VG14" s="8">
        <v>0.18276904137235114</v>
      </c>
      <c r="VH14" s="8">
        <v>0.1826752050473186</v>
      </c>
      <c r="VI14" s="8">
        <v>0.18543153696498052</v>
      </c>
      <c r="VJ14" s="8">
        <f>$C$48</f>
        <v>0.17905020032995522</v>
      </c>
      <c r="VK14" s="8">
        <v>0.18958021281412724</v>
      </c>
      <c r="VL14" s="8">
        <v>0.18958021281412724</v>
      </c>
      <c r="VM14" s="8">
        <v>0.20528347649186257</v>
      </c>
      <c r="VN14" s="8">
        <v>0.20806522033898306</v>
      </c>
      <c r="VO14" s="8">
        <v>0.20806522033898306</v>
      </c>
      <c r="VP14" s="8">
        <v>0.21737587338804221</v>
      </c>
      <c r="VQ14" s="8">
        <v>0.21786585119798232</v>
      </c>
      <c r="VR14" s="8">
        <v>0.21786585119798232</v>
      </c>
      <c r="VS14" s="8">
        <v>0.21786585119798232</v>
      </c>
      <c r="VT14" s="8">
        <v>0.21786585119798232</v>
      </c>
      <c r="VU14" s="8">
        <v>0.21998974552784076</v>
      </c>
      <c r="VV14" s="8">
        <v>0.21998974552784076</v>
      </c>
      <c r="VW14" s="8">
        <v>0.21981719814663395</v>
      </c>
      <c r="VX14" s="8">
        <v>0.22055567615136401</v>
      </c>
      <c r="VY14" s="8">
        <v>0.21804357005758157</v>
      </c>
      <c r="VZ14" s="8">
        <v>0.22516218112244898</v>
      </c>
      <c r="WA14" s="8">
        <v>0.22545190521934036</v>
      </c>
      <c r="WB14" s="8">
        <v>0.23574485353399624</v>
      </c>
      <c r="WC14" s="8">
        <v>0.23541906955320127</v>
      </c>
      <c r="WD14" s="8">
        <v>0.23127486243845932</v>
      </c>
      <c r="WE14" s="8">
        <v>0.23175772280367901</v>
      </c>
      <c r="WF14" s="8">
        <v>0.23316228971962619</v>
      </c>
      <c r="WG14" s="8">
        <v>0.23316228971962619</v>
      </c>
      <c r="WH14" s="8">
        <v>0.2266135405501965</v>
      </c>
      <c r="WI14" s="8">
        <v>0.23130586319218244</v>
      </c>
      <c r="WJ14" s="8">
        <v>0.23130586319218244</v>
      </c>
      <c r="WK14" s="8">
        <v>0.2228884642112578</v>
      </c>
      <c r="WL14" s="8">
        <v>0.22262325581395345</v>
      </c>
      <c r="WM14" s="8">
        <v>0.22262325581395345</v>
      </c>
      <c r="WN14" s="8">
        <v>0.22157696678321681</v>
      </c>
      <c r="WO14" s="8">
        <v>0.22096971190295678</v>
      </c>
      <c r="WP14" s="8">
        <v>0.22096971190295678</v>
      </c>
      <c r="WQ14" s="8">
        <v>0.22096971190295678</v>
      </c>
      <c r="WR14" s="8">
        <f>$C$48</f>
        <v>0.17905020032995522</v>
      </c>
      <c r="WS14" s="8">
        <v>0.22096971190295678</v>
      </c>
      <c r="WT14" s="8">
        <v>0.22035960684844644</v>
      </c>
      <c r="WU14" s="8">
        <v>0.21655631603123568</v>
      </c>
      <c r="WV14" s="8">
        <v>0.20982636746143057</v>
      </c>
      <c r="WW14" s="8">
        <v>0.20982636746143057</v>
      </c>
      <c r="WX14" s="8">
        <v>0.2099511189118034</v>
      </c>
      <c r="WY14" s="8">
        <v>0.20868511534075956</v>
      </c>
      <c r="WZ14" s="8">
        <v>0.20902986605000215</v>
      </c>
      <c r="XA14" s="8">
        <v>0.20913001345895019</v>
      </c>
      <c r="XB14" s="8">
        <v>0.20909185218165624</v>
      </c>
      <c r="XC14" s="8">
        <v>0.20848007852862158</v>
      </c>
      <c r="XD14" s="8">
        <v>0.20337334881114402</v>
      </c>
      <c r="XE14" s="8">
        <v>0.20201387387387387</v>
      </c>
      <c r="XF14" s="8">
        <v>0.20026555671175858</v>
      </c>
      <c r="XG14" s="8">
        <v>0.20172549427679501</v>
      </c>
      <c r="XH14" s="8">
        <v>0.20214172736732569</v>
      </c>
      <c r="XI14" s="8">
        <v>0.20351323132313229</v>
      </c>
      <c r="XJ14" s="8">
        <v>0.2024070833979629</v>
      </c>
      <c r="XK14" s="8">
        <v>0.20225411461431686</v>
      </c>
      <c r="XL14" s="8">
        <v>0.20234098939929326</v>
      </c>
      <c r="XM14" s="8">
        <v>0.20264773918943929</v>
      </c>
      <c r="XN14" s="8">
        <v>0.20448976697061805</v>
      </c>
      <c r="XO14" s="8">
        <v>0.20599950495049504</v>
      </c>
      <c r="XP14" s="8">
        <v>0.20599950495049504</v>
      </c>
      <c r="XQ14" s="8">
        <v>0.20599950495049504</v>
      </c>
      <c r="XR14" s="8">
        <v>0.20540593525179857</v>
      </c>
      <c r="XS14" s="8">
        <v>0.20475434782608698</v>
      </c>
      <c r="XT14" s="8">
        <f>$C$48</f>
        <v>0.17905020032995522</v>
      </c>
      <c r="XU14" s="8">
        <v>0.20473784860557767</v>
      </c>
      <c r="XV14" s="8">
        <v>0.20473784860557767</v>
      </c>
      <c r="XW14" s="8">
        <v>0.20473784860557767</v>
      </c>
      <c r="XX14" s="8">
        <v>0.20488171757414786</v>
      </c>
      <c r="XY14" s="8">
        <v>0.20396364661654137</v>
      </c>
      <c r="XZ14" s="8">
        <v>0.20396364661654137</v>
      </c>
      <c r="YA14" s="8">
        <v>0.20457283130306386</v>
      </c>
      <c r="YB14" s="8">
        <v>0.20457283130306386</v>
      </c>
      <c r="YC14" s="8">
        <v>0.20658461538461542</v>
      </c>
      <c r="YD14" s="8">
        <v>0.2065961287849751</v>
      </c>
      <c r="YE14" s="8">
        <v>0.20425299837925445</v>
      </c>
      <c r="YF14" s="8">
        <v>0.20545207920792083</v>
      </c>
      <c r="YG14" s="8">
        <v>0.20521206611570247</v>
      </c>
      <c r="YH14" s="8">
        <v>0.20419706947645705</v>
      </c>
      <c r="YI14" s="8">
        <v>0.20244635263330063</v>
      </c>
      <c r="YJ14" s="8">
        <v>0.20115504638740511</v>
      </c>
      <c r="YK14" s="8">
        <v>0.20115504638740511</v>
      </c>
      <c r="YL14" s="8">
        <v>0.2002521666666667</v>
      </c>
      <c r="YM14" s="8">
        <f>$C$48</f>
        <v>0.17905020032995522</v>
      </c>
      <c r="YN14" s="8">
        <v>0.19883924611973391</v>
      </c>
      <c r="YO14" s="8">
        <v>0.19883924611973391</v>
      </c>
      <c r="YP14" s="8">
        <v>0.19597394014962594</v>
      </c>
      <c r="YQ14" s="8">
        <v>0.19597394014962594</v>
      </c>
      <c r="YR14" s="8">
        <v>0.19488861502347418</v>
      </c>
      <c r="YS14" s="8">
        <v>0.19367699468085106</v>
      </c>
      <c r="YT14" s="8">
        <v>0.19346299303944317</v>
      </c>
      <c r="YU14" s="8">
        <v>0.19338695150115473</v>
      </c>
      <c r="YV14" s="8">
        <v>0.19312674672489083</v>
      </c>
      <c r="YW14" s="8">
        <v>0.19248509174311929</v>
      </c>
      <c r="YX14" s="8">
        <v>0.19257719714964372</v>
      </c>
      <c r="YY14" s="8">
        <v>0.19058595696489244</v>
      </c>
      <c r="YZ14" s="8">
        <v>0.18385670886075947</v>
      </c>
      <c r="ZA14" s="8">
        <v>0.18008600564113689</v>
      </c>
      <c r="ZB14" s="8">
        <v>0.18024356931481905</v>
      </c>
      <c r="ZC14" s="8">
        <v>0.18024356931481905</v>
      </c>
      <c r="ZD14" s="8">
        <f>$C$48</f>
        <v>0.17905020032995522</v>
      </c>
    </row>
    <row r="15" spans="1:683" s="87" customFormat="1">
      <c r="A15" s="120"/>
      <c r="B15" s="89" t="s">
        <v>8</v>
      </c>
      <c r="C15" s="416" t="s">
        <v>5</v>
      </c>
      <c r="D15" s="669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>
        <v>0.18939</v>
      </c>
      <c r="S15" s="670">
        <v>0.18327499999999999</v>
      </c>
      <c r="T15" s="670">
        <v>0.185975</v>
      </c>
      <c r="U15" s="670">
        <v>0.185975</v>
      </c>
      <c r="V15" s="670">
        <v>1.9424509999999999</v>
      </c>
      <c r="W15" s="670">
        <v>1.9424509999999999</v>
      </c>
      <c r="X15" s="670">
        <v>1.9424509999999999</v>
      </c>
      <c r="Y15" s="670">
        <v>1.9424509999999999</v>
      </c>
      <c r="Z15" s="670">
        <v>1.921119</v>
      </c>
      <c r="AA15" s="670">
        <v>2.48011151</v>
      </c>
      <c r="AB15" s="670">
        <v>2.48011151</v>
      </c>
      <c r="AC15" s="670">
        <v>1.9571190000000001</v>
      </c>
      <c r="AD15" s="670">
        <v>2.0907580000000001</v>
      </c>
      <c r="AE15" s="670">
        <v>1.7566329999999999</v>
      </c>
      <c r="AF15" s="670">
        <v>1.6497219999999999</v>
      </c>
      <c r="AG15" s="670">
        <f>1.651269+21.46187</f>
        <v>23.113139</v>
      </c>
      <c r="AH15" s="670">
        <f>1.651269+14.46187008+26.1</f>
        <v>42.213139080000005</v>
      </c>
      <c r="AI15" s="670">
        <v>42.182732860000002</v>
      </c>
      <c r="AJ15" s="670">
        <f>1.483879+24.29509121+14.3568</f>
        <v>40.135770209999997</v>
      </c>
      <c r="AK15" s="670">
        <f>1.447113+14.3568+24.21575411</f>
        <v>40.01966711</v>
      </c>
      <c r="AL15" s="670">
        <f>1.452183+14.3568+24.21575411</f>
        <v>40.024737109999997</v>
      </c>
      <c r="AM15" s="670">
        <f>1.483879+14.3568+24.21575411</f>
        <v>40.05643311</v>
      </c>
      <c r="AN15" s="670">
        <f>1.459847+14.3568+24.21575411</f>
        <v>40.032401109999995</v>
      </c>
      <c r="AO15" s="670">
        <f>1.952677+14.3568+24.21575411</f>
        <v>40.52523111</v>
      </c>
      <c r="AP15" s="670">
        <f>1.884412+14.3568+24.21575411</f>
        <v>40.456966109999996</v>
      </c>
      <c r="AQ15" s="670">
        <f>1.468456+14.3568+24.21575411</f>
        <v>40.041010110000002</v>
      </c>
      <c r="AR15" s="670">
        <f>1.718264+14.3568+23.67097145</f>
        <v>39.746035450000001</v>
      </c>
      <c r="AS15" s="670">
        <f>1.718264+14.3568+23.67097145</f>
        <v>39.746035450000001</v>
      </c>
      <c r="AT15" s="670">
        <f>1.556239+14.3568+22.58763812</f>
        <v>38.500677119999999</v>
      </c>
      <c r="AU15" s="670">
        <f>1.556223+14.3568+21.76727037</f>
        <v>37.680293370000001</v>
      </c>
      <c r="AV15" s="670">
        <f>1.657473+14.3568+21.76727037</f>
        <v>37.781543369999994</v>
      </c>
      <c r="AW15" s="670">
        <f>2.09961596+14.3568+21.76727037</f>
        <v>38.22368633</v>
      </c>
      <c r="AX15" s="670">
        <f>2.09961596+14.3568+20.47802928</f>
        <v>36.934445240000002</v>
      </c>
      <c r="AY15" s="670">
        <f>2.09961596+14.3568+20.47802928</f>
        <v>36.934445240000002</v>
      </c>
      <c r="AZ15" s="670">
        <f>2.07183696+14.3568+20.47802928</f>
        <v>36.90666624</v>
      </c>
      <c r="BA15" s="670">
        <f>2.08177296+14.3568+20.16056896</f>
        <v>36.599141919999994</v>
      </c>
      <c r="BB15" s="670">
        <f>1.94628296+13.72443693+20.16056896</f>
        <v>35.83128885</v>
      </c>
      <c r="BC15" s="670">
        <f>1.94628296+13.69+20.16056896</f>
        <v>35.796851919999995</v>
      </c>
      <c r="BD15" s="670">
        <f>1.94628296+13.69+18.30340025</f>
        <v>33.939683209999998</v>
      </c>
      <c r="BE15" s="670">
        <f>2.06264796+13.69+18.30340025</f>
        <v>34.05604821</v>
      </c>
      <c r="BF15" s="670">
        <f>1.91165796+13.69+18.30340025</f>
        <v>33.90505821</v>
      </c>
      <c r="BG15" s="670">
        <f>1.83065796+13.69+18.30340025</f>
        <v>33.824058209999997</v>
      </c>
      <c r="BH15" s="670">
        <f>1.83065796+13.69+18.30340025</f>
        <v>33.824058209999997</v>
      </c>
      <c r="BI15" s="670">
        <f>1.83065796+13.5+16.35055217</f>
        <v>31.68121013</v>
      </c>
      <c r="BJ15" s="670">
        <f>1.83065796+13.5+16.35055217</f>
        <v>31.68121013</v>
      </c>
      <c r="BK15" s="670">
        <f>1.83065796+13.5+16.35055217</f>
        <v>31.68121013</v>
      </c>
      <c r="BL15" s="670">
        <f>2.35038596+13.34+16.35055217</f>
        <v>32.040938130000001</v>
      </c>
      <c r="BM15" s="670">
        <f>2.35038596+13.34+16.35055217</f>
        <v>32.040938130000001</v>
      </c>
      <c r="BN15" s="670">
        <f>2.27396796+13.34+14.35169458</f>
        <v>29.96566254</v>
      </c>
      <c r="BO15" s="670">
        <f>2.09142796+13.34+14.36757268</f>
        <v>29.799000640000003</v>
      </c>
      <c r="BP15" s="670">
        <f>2.13866696+13.34+14.36757268</f>
        <v>29.84623964</v>
      </c>
      <c r="BQ15" s="670">
        <f>1.99402896+12.6+14.12366721</f>
        <v>28.71769617</v>
      </c>
      <c r="BR15" s="670">
        <f>1.99402896+11.9+14.12366721</f>
        <v>28.017696170000001</v>
      </c>
      <c r="BS15" s="670">
        <f>1.99402896+11.9+12.95635546</f>
        <v>26.850384419999997</v>
      </c>
      <c r="BT15" s="670">
        <f>2.34631196+11.9+12.95635546</f>
        <v>27.202667419999997</v>
      </c>
      <c r="BU15" s="670">
        <f>2.34631196+11.9+12.75659448</f>
        <v>27.00290644</v>
      </c>
      <c r="BV15" s="670">
        <f>2.44620096+11.9+12.75659448</f>
        <v>27.102795440000001</v>
      </c>
      <c r="BW15" s="670">
        <f>2.36724196+11.5+12.75659448</f>
        <v>26.623836439999998</v>
      </c>
      <c r="BX15" s="670">
        <f>1.88724196+11.3+11.92372098</f>
        <v>25.11096294</v>
      </c>
      <c r="BY15" s="670">
        <f>1.88724196+11.3+11.92372098</f>
        <v>25.11096294</v>
      </c>
      <c r="BZ15" s="670">
        <f>2.04662296+11.3+11.92372098</f>
        <v>25.270343940000004</v>
      </c>
      <c r="CA15" s="670">
        <f>2.59783396+9.3+11.92372098</f>
        <v>23.821554939999999</v>
      </c>
      <c r="CB15" s="670">
        <f>2.59783396+9.3+10.85935901</f>
        <v>22.757192969999998</v>
      </c>
      <c r="CC15" s="670">
        <f>2.59783396+9.3+10.85935901</f>
        <v>22.757192969999998</v>
      </c>
      <c r="CD15" s="670">
        <f>2.59783396+9.3+10.85935901</f>
        <v>22.757192969999998</v>
      </c>
      <c r="CE15" s="670">
        <f>2.19379296+9.3+10.85935901</f>
        <v>22.353151969999999</v>
      </c>
      <c r="CF15" s="670">
        <f>2.19379296+9.1+10.85935901</f>
        <v>22.15315197</v>
      </c>
      <c r="CG15" s="670">
        <f>2.19379296+9.1+5.85935901</f>
        <v>17.15315197</v>
      </c>
      <c r="CH15" s="670">
        <f>2.19379296+9.93+5.85935901</f>
        <v>17.983151970000002</v>
      </c>
      <c r="CI15" s="670">
        <f>2.19379296+9.03+5.85935901</f>
        <v>17.083151969999999</v>
      </c>
      <c r="CJ15" s="670">
        <f>2.19379296+9.03+5.85935901</f>
        <v>17.083151969999999</v>
      </c>
      <c r="CK15" s="670">
        <f>2.29369296+7.08+5.85935901</f>
        <v>15.23305197</v>
      </c>
      <c r="CL15" s="670">
        <f>2.29369296+7.08+5.85935901</f>
        <v>15.23305197</v>
      </c>
      <c r="CM15" s="670">
        <f>2.29369296+7.08+5.85935901</f>
        <v>15.23305197</v>
      </c>
      <c r="CN15" s="670">
        <f>2.62145696+7.08+5.85935901</f>
        <v>15.56081597</v>
      </c>
      <c r="CO15" s="670">
        <f t="shared" ref="CO15:CT15" si="7">2.57479896+7.08+5.85935901</f>
        <v>15.514157970000001</v>
      </c>
      <c r="CP15" s="670">
        <f t="shared" si="7"/>
        <v>15.514157970000001</v>
      </c>
      <c r="CQ15" s="670">
        <f t="shared" si="7"/>
        <v>15.514157970000001</v>
      </c>
      <c r="CR15" s="670">
        <f t="shared" si="7"/>
        <v>15.514157970000001</v>
      </c>
      <c r="CS15" s="670">
        <f t="shared" si="7"/>
        <v>15.514157970000001</v>
      </c>
      <c r="CT15" s="670">
        <f t="shared" si="7"/>
        <v>15.514157970000001</v>
      </c>
      <c r="CU15" s="670">
        <f>2.67603796+6.874377+5.85935901</f>
        <v>15.40977397</v>
      </c>
      <c r="CV15" s="670">
        <f>2.67603796+6.63+5.85935901</f>
        <v>15.16539697</v>
      </c>
      <c r="CW15" s="670">
        <f>2.67603796+6.63+5.85935901</f>
        <v>15.16539697</v>
      </c>
      <c r="CX15" s="670">
        <f>2.67603796+6.63+5.85935901</f>
        <v>15.16539697</v>
      </c>
      <c r="CY15" s="670">
        <f>2.39628696+6.63+5.85935901</f>
        <v>14.885645970000001</v>
      </c>
      <c r="CZ15" s="670">
        <f>2.39628696+6.63+5.85935901</f>
        <v>14.885645970000001</v>
      </c>
      <c r="DA15" s="670">
        <f>2.39628696+4.93+5.85935901</f>
        <v>13.185645969999999</v>
      </c>
      <c r="DB15" s="670">
        <f>2.39628696+4.93+5.85935901</f>
        <v>13.185645969999999</v>
      </c>
      <c r="DC15" s="670">
        <f>2.39628696+4.93+5.85935901</f>
        <v>13.185645969999999</v>
      </c>
      <c r="DD15" s="670">
        <f>2.39628696+4.93+5.85935901</f>
        <v>13.185645969999999</v>
      </c>
      <c r="DE15" s="670">
        <f>2.39628696+4.53+5.85935901</f>
        <v>12.785645970000001</v>
      </c>
      <c r="DF15" s="670">
        <f>2.39628696+4.53+5.85935901</f>
        <v>12.785645970000001</v>
      </c>
      <c r="DG15" s="670">
        <f>2.50535696+4.53+5.85935901</f>
        <v>12.89471597</v>
      </c>
      <c r="DH15" s="670">
        <f>2.50535696+4.185+5.85935901</f>
        <v>12.549715969999999</v>
      </c>
      <c r="DI15" s="670">
        <f>2.50535696+3.73+5.85935901</f>
        <v>12.094715969999999</v>
      </c>
      <c r="DJ15" s="670">
        <f>2.50535696+3.73+5.85935901</f>
        <v>12.094715969999999</v>
      </c>
      <c r="DK15" s="670">
        <f>2.32088196+3.73+5.85935901</f>
        <v>11.91024097</v>
      </c>
      <c r="DL15" s="670">
        <f>2.32088196+3.73+5.85935901</f>
        <v>11.91024097</v>
      </c>
      <c r="DM15" s="670">
        <f>2.32088196+3.73+5.85935901</f>
        <v>11.91024097</v>
      </c>
      <c r="DN15" s="670">
        <f>2.35068596+3.73+5.85935901</f>
        <v>11.940044970000001</v>
      </c>
      <c r="DO15" s="670">
        <f>2.35068596+3.7+5.85935901</f>
        <v>11.910044970000001</v>
      </c>
      <c r="DP15" s="670">
        <f>2.35068596+3.7+5.85935901</f>
        <v>11.910044970000001</v>
      </c>
      <c r="DQ15" s="670">
        <f>1.88290696+3.7+5.85935901</f>
        <v>11.442265970000001</v>
      </c>
      <c r="DR15" s="670">
        <f>1.88290696+3.3+5.85935901</f>
        <v>11.042265969999999</v>
      </c>
      <c r="DS15" s="670">
        <f>1.49791496+3.3+5.85935901</f>
        <v>10.65727397</v>
      </c>
      <c r="DT15" s="670">
        <f>1.49791496+3.3+5.85935901</f>
        <v>10.65727397</v>
      </c>
      <c r="DU15" s="670">
        <f>1.49791496+3.3+5.85935901</f>
        <v>10.65727397</v>
      </c>
      <c r="DV15" s="670">
        <f>1.49791496+3.3+5.85935901</f>
        <v>10.65727397</v>
      </c>
      <c r="DW15" s="670">
        <f>1.60490496+3.09+5.85935901</f>
        <v>10.554263970000001</v>
      </c>
      <c r="DX15" s="670">
        <f>1.60490496+3.09+5.85935901</f>
        <v>10.554263970000001</v>
      </c>
      <c r="DY15" s="670">
        <f>1.715604966+3.09+5.85935901</f>
        <v>10.664963975999999</v>
      </c>
      <c r="DZ15" s="670">
        <f>1.49790396+3.07524169+5.85935901</f>
        <v>10.432504659999999</v>
      </c>
      <c r="EA15" s="670">
        <f>1.49790396+3.03+5.85935901</f>
        <v>10.38726297</v>
      </c>
      <c r="EB15" s="670">
        <f>1.71139696+3.03+5.85935901</f>
        <v>10.60075597</v>
      </c>
      <c r="EC15" s="670">
        <f>1.71139696+3.03+5.85935901</f>
        <v>10.60075597</v>
      </c>
      <c r="ED15" s="670">
        <f>1.71139696+3.03+5.85935901</f>
        <v>10.60075597</v>
      </c>
      <c r="EE15" s="670">
        <f>1.71139696+3.03+5.85935901</f>
        <v>10.60075597</v>
      </c>
      <c r="EF15" s="670">
        <f>0.83216981+3.03+5.85935901</f>
        <v>9.7215288199999996</v>
      </c>
      <c r="EG15" s="670">
        <f t="shared" ref="EG15:EQ15" si="8">1.69992381+3.03+5.85935901</f>
        <v>10.589282820000001</v>
      </c>
      <c r="EH15" s="670">
        <f t="shared" si="8"/>
        <v>10.589282820000001</v>
      </c>
      <c r="EI15" s="670">
        <f t="shared" si="8"/>
        <v>10.589282820000001</v>
      </c>
      <c r="EJ15" s="670">
        <f t="shared" si="8"/>
        <v>10.589282820000001</v>
      </c>
      <c r="EK15" s="670">
        <f t="shared" si="8"/>
        <v>10.589282820000001</v>
      </c>
      <c r="EL15" s="670">
        <f t="shared" si="8"/>
        <v>10.589282820000001</v>
      </c>
      <c r="EM15" s="670">
        <f t="shared" si="8"/>
        <v>10.589282820000001</v>
      </c>
      <c r="EN15" s="670">
        <f t="shared" si="8"/>
        <v>10.589282820000001</v>
      </c>
      <c r="EO15" s="670">
        <f t="shared" si="8"/>
        <v>10.589282820000001</v>
      </c>
      <c r="EP15" s="670">
        <f t="shared" si="8"/>
        <v>10.589282820000001</v>
      </c>
      <c r="EQ15" s="670">
        <f t="shared" si="8"/>
        <v>10.589282820000001</v>
      </c>
      <c r="ER15" s="670">
        <f>1.64577981+3.03+5.85935901</f>
        <v>10.53513882</v>
      </c>
      <c r="ES15" s="670">
        <f>1.64577981+3.03+5.85935901</f>
        <v>10.53513882</v>
      </c>
      <c r="ET15" s="670">
        <f>1.64577981+2.905+5.85935901</f>
        <v>10.41013882</v>
      </c>
      <c r="EU15" s="670">
        <f>1.64577981+1.905+5.85935901</f>
        <v>9.4101388200000002</v>
      </c>
      <c r="EV15" s="670">
        <f>1.64577981+1.905+5.85935901</f>
        <v>9.4101388200000002</v>
      </c>
      <c r="EW15" s="670">
        <f t="shared" ref="EW15:FB15" si="9">1.64577981+0.905+5.85935901</f>
        <v>8.4101388200000002</v>
      </c>
      <c r="EX15" s="670">
        <f t="shared" si="9"/>
        <v>8.4101388200000002</v>
      </c>
      <c r="EY15" s="670">
        <f t="shared" si="9"/>
        <v>8.4101388200000002</v>
      </c>
      <c r="EZ15" s="670">
        <f t="shared" si="9"/>
        <v>8.4101388200000002</v>
      </c>
      <c r="FA15" s="670">
        <f t="shared" si="9"/>
        <v>8.4101388200000002</v>
      </c>
      <c r="FB15" s="670">
        <f t="shared" si="9"/>
        <v>8.4101388200000002</v>
      </c>
      <c r="FC15" s="670">
        <f>1.75777981+0.526793+5.85935901</f>
        <v>8.1439318200000006</v>
      </c>
      <c r="FD15" s="670">
        <f>1.46067281+0.526793+5.85935901</f>
        <v>7.8468248200000001</v>
      </c>
      <c r="FE15" s="670">
        <f>1.43767281+0.526793+5.85935901</f>
        <v>7.8238248200000005</v>
      </c>
      <c r="FF15" s="670">
        <f t="shared" ref="FF15:FO15" si="10">1.41387281+0.526793+5.85935901</f>
        <v>7.8000248200000009</v>
      </c>
      <c r="FG15" s="670">
        <f t="shared" si="10"/>
        <v>7.8000248200000009</v>
      </c>
      <c r="FH15" s="670">
        <f t="shared" si="10"/>
        <v>7.8000248200000009</v>
      </c>
      <c r="FI15" s="670">
        <f t="shared" si="10"/>
        <v>7.8000248200000009</v>
      </c>
      <c r="FJ15" s="670">
        <f t="shared" si="10"/>
        <v>7.8000248200000009</v>
      </c>
      <c r="FK15" s="670">
        <f t="shared" si="10"/>
        <v>7.8000248200000009</v>
      </c>
      <c r="FL15" s="670">
        <f t="shared" si="10"/>
        <v>7.8000248200000009</v>
      </c>
      <c r="FM15" s="670">
        <f t="shared" si="10"/>
        <v>7.8000248200000009</v>
      </c>
      <c r="FN15" s="670">
        <f t="shared" si="10"/>
        <v>7.8000248200000009</v>
      </c>
      <c r="FO15" s="670">
        <f t="shared" si="10"/>
        <v>7.8000248200000009</v>
      </c>
      <c r="FP15" s="670">
        <f>1.32592281+0.526793+5.85935901</f>
        <v>7.7120748199999998</v>
      </c>
      <c r="FQ15" s="670">
        <f t="shared" ref="FQ15:FW15" si="11">1.41383181+0.526793+5.85935901</f>
        <v>7.7999838200000005</v>
      </c>
      <c r="FR15" s="670">
        <f t="shared" si="11"/>
        <v>7.7999838200000005</v>
      </c>
      <c r="FS15" s="670">
        <f t="shared" si="11"/>
        <v>7.7999838200000005</v>
      </c>
      <c r="FT15" s="670">
        <f t="shared" si="11"/>
        <v>7.7999838200000005</v>
      </c>
      <c r="FU15" s="670">
        <f t="shared" si="11"/>
        <v>7.7999838200000005</v>
      </c>
      <c r="FV15" s="670">
        <f t="shared" si="11"/>
        <v>7.7999838200000005</v>
      </c>
      <c r="FW15" s="670">
        <f t="shared" si="11"/>
        <v>7.7999838200000005</v>
      </c>
      <c r="FX15" s="670">
        <f t="shared" ref="FX15:GN15" si="12">1.41383181+0.32047794+5.85935901</f>
        <v>7.5936687599999999</v>
      </c>
      <c r="FY15" s="670">
        <f t="shared" si="12"/>
        <v>7.5936687599999999</v>
      </c>
      <c r="FZ15" s="670">
        <f t="shared" si="12"/>
        <v>7.5936687599999999</v>
      </c>
      <c r="GA15" s="670">
        <f t="shared" si="12"/>
        <v>7.5936687599999999</v>
      </c>
      <c r="GB15" s="670">
        <f t="shared" si="12"/>
        <v>7.5936687599999999</v>
      </c>
      <c r="GC15" s="670">
        <f t="shared" si="12"/>
        <v>7.5936687599999999</v>
      </c>
      <c r="GD15" s="670">
        <f t="shared" si="12"/>
        <v>7.5936687599999999</v>
      </c>
      <c r="GE15" s="670">
        <f t="shared" si="12"/>
        <v>7.5936687599999999</v>
      </c>
      <c r="GF15" s="670">
        <f t="shared" si="12"/>
        <v>7.5936687599999999</v>
      </c>
      <c r="GG15" s="670">
        <f t="shared" si="12"/>
        <v>7.5936687599999999</v>
      </c>
      <c r="GH15" s="670">
        <f t="shared" si="12"/>
        <v>7.5936687599999999</v>
      </c>
      <c r="GI15" s="670">
        <f t="shared" si="12"/>
        <v>7.5936687599999999</v>
      </c>
      <c r="GJ15" s="670">
        <f t="shared" si="12"/>
        <v>7.5936687599999999</v>
      </c>
      <c r="GK15" s="670">
        <f t="shared" si="12"/>
        <v>7.5936687599999999</v>
      </c>
      <c r="GL15" s="670">
        <f t="shared" si="12"/>
        <v>7.5936687599999999</v>
      </c>
      <c r="GM15" s="670">
        <f t="shared" si="12"/>
        <v>7.5936687599999999</v>
      </c>
      <c r="GN15" s="670">
        <f t="shared" si="12"/>
        <v>7.5936687599999999</v>
      </c>
      <c r="GO15" s="670">
        <f t="shared" ref="GO15:GY15" si="13">1.41383181+0.25506116+5.85935901</f>
        <v>7.5282519800000003</v>
      </c>
      <c r="GP15" s="670">
        <f t="shared" si="13"/>
        <v>7.5282519800000003</v>
      </c>
      <c r="GQ15" s="670">
        <f t="shared" si="13"/>
        <v>7.5282519800000003</v>
      </c>
      <c r="GR15" s="670">
        <f t="shared" si="13"/>
        <v>7.5282519800000003</v>
      </c>
      <c r="GS15" s="670">
        <f t="shared" si="13"/>
        <v>7.5282519800000003</v>
      </c>
      <c r="GT15" s="670">
        <f t="shared" si="13"/>
        <v>7.5282519800000003</v>
      </c>
      <c r="GU15" s="670">
        <f t="shared" si="13"/>
        <v>7.5282519800000003</v>
      </c>
      <c r="GV15" s="670">
        <f t="shared" si="13"/>
        <v>7.5282519800000003</v>
      </c>
      <c r="GW15" s="670">
        <f t="shared" si="13"/>
        <v>7.5282519800000003</v>
      </c>
      <c r="GX15" s="670">
        <f t="shared" si="13"/>
        <v>7.5282519800000003</v>
      </c>
      <c r="GY15" s="670">
        <f t="shared" si="13"/>
        <v>7.5282519800000003</v>
      </c>
      <c r="GZ15" s="670">
        <f>1.41383181+0.12610705+5.85935901</f>
        <v>7.3992978699999998</v>
      </c>
      <c r="HA15" s="670">
        <f>1.41383181+0.12610705+5.85935901</f>
        <v>7.3992978699999998</v>
      </c>
      <c r="HB15" s="670">
        <f>1.41383181+0.12610705+5.85935901</f>
        <v>7.3992978699999998</v>
      </c>
      <c r="HC15" s="670">
        <f>0.60884581+0.12610705+5.85935901</f>
        <v>6.5943118700000003</v>
      </c>
      <c r="HD15" s="670">
        <f>1.38994581+0.12610705+5.85935901</f>
        <v>7.3754118700000006</v>
      </c>
      <c r="HE15" s="670">
        <v>1.5403294500000002</v>
      </c>
      <c r="HF15" s="670">
        <v>1.5403294500000002</v>
      </c>
      <c r="HG15" s="670">
        <v>1.6287748900000003</v>
      </c>
      <c r="HH15" s="670">
        <v>1.6287748900000003</v>
      </c>
      <c r="HI15" s="670">
        <v>1.5366428900000002</v>
      </c>
      <c r="HJ15" s="670">
        <v>1.5336428900000003</v>
      </c>
      <c r="HK15" s="670">
        <v>1.5294783699999999</v>
      </c>
      <c r="HL15" s="670">
        <v>1.5294783700000001</v>
      </c>
      <c r="HM15" s="670">
        <v>1.4007778799999999</v>
      </c>
      <c r="HN15" s="670">
        <v>1.4007778799999999</v>
      </c>
      <c r="HO15" s="670">
        <v>1.4007778799999999</v>
      </c>
      <c r="HP15" s="670">
        <v>0.88279058999999993</v>
      </c>
      <c r="HQ15" s="670">
        <v>0.88279058999999993</v>
      </c>
      <c r="HR15" s="670">
        <v>0.88279058999999993</v>
      </c>
      <c r="HS15" s="670">
        <v>0.88279058999999993</v>
      </c>
      <c r="HT15" s="670">
        <v>0.88279058999999993</v>
      </c>
      <c r="HU15" s="670">
        <v>0.88279058999999993</v>
      </c>
      <c r="HV15" s="670">
        <v>0.88279059000000004</v>
      </c>
      <c r="HW15" s="670">
        <v>0.88279058999999982</v>
      </c>
      <c r="HX15" s="670">
        <v>0.88279058999999993</v>
      </c>
      <c r="HY15" s="670">
        <v>0.88279058999999993</v>
      </c>
      <c r="HZ15" s="670">
        <v>1.8827905899999999</v>
      </c>
      <c r="IA15" s="670">
        <v>2.8827905899999999</v>
      </c>
      <c r="IB15" s="670">
        <v>3.8827905899999999</v>
      </c>
      <c r="IC15" s="670">
        <v>1.3827905900000002</v>
      </c>
      <c r="ID15" s="670">
        <v>1.3827905900000002</v>
      </c>
      <c r="IE15" s="670">
        <v>1.28120959</v>
      </c>
      <c r="IF15" s="670">
        <v>1.28120959</v>
      </c>
      <c r="IG15" s="670">
        <v>1.28120959</v>
      </c>
      <c r="IH15" s="670">
        <v>1.28120959</v>
      </c>
      <c r="II15" s="670">
        <v>1.2812095900000002</v>
      </c>
      <c r="IJ15" s="670">
        <v>1.28120959</v>
      </c>
      <c r="IK15" s="670">
        <v>1.28120959</v>
      </c>
      <c r="IL15" s="670">
        <v>1.2812095900000002</v>
      </c>
      <c r="IM15" s="670">
        <v>1.2812095900000002</v>
      </c>
      <c r="IN15" s="670">
        <v>1.2812095900000002</v>
      </c>
      <c r="IO15" s="670">
        <v>1.2812095900000002</v>
      </c>
      <c r="IP15" s="670">
        <v>1.28120959</v>
      </c>
      <c r="IQ15" s="670">
        <v>1.28120959</v>
      </c>
      <c r="IR15" s="670">
        <v>1.28120959</v>
      </c>
      <c r="IS15" s="670">
        <v>1.4562465900000001</v>
      </c>
      <c r="IT15" s="670">
        <v>1.4562465899999999</v>
      </c>
      <c r="IU15" s="670">
        <v>1.4562465899999999</v>
      </c>
      <c r="IV15" s="670">
        <v>1.4562465899999999</v>
      </c>
      <c r="IW15" s="670">
        <v>1.4562465899999999</v>
      </c>
      <c r="IX15" s="670">
        <v>3.2562465899999999</v>
      </c>
      <c r="IY15" s="670">
        <v>3.2562465899999999</v>
      </c>
      <c r="IZ15" s="670">
        <v>3.2562465899999999</v>
      </c>
      <c r="JA15" s="670">
        <v>3.25622159</v>
      </c>
      <c r="JB15" s="670">
        <v>3.7562215899999996</v>
      </c>
      <c r="JC15" s="670">
        <v>3.75622159</v>
      </c>
      <c r="JD15" s="670">
        <v>4.2456245900000003</v>
      </c>
      <c r="JE15" s="670">
        <v>4.2456245900000003</v>
      </c>
      <c r="JF15" s="670">
        <v>4.2456245899999994</v>
      </c>
      <c r="JG15" s="670">
        <v>4.2456245900000003</v>
      </c>
      <c r="JH15" s="670">
        <v>4.2456245900000003</v>
      </c>
      <c r="JI15" s="670">
        <v>4.2456245900000003</v>
      </c>
      <c r="JJ15" s="670">
        <v>4.2456245900000003</v>
      </c>
      <c r="JK15" s="670">
        <v>4.2456245899999994</v>
      </c>
      <c r="JL15" s="670">
        <v>4.2456245900000003</v>
      </c>
      <c r="JM15" s="670">
        <v>4.2456245900000003</v>
      </c>
      <c r="JN15" s="670">
        <v>4.2560105899999989</v>
      </c>
      <c r="JO15" s="670">
        <v>4.2560105899999989</v>
      </c>
      <c r="JP15" s="670">
        <v>4.2560105899999998</v>
      </c>
      <c r="JQ15" s="670">
        <v>4.7560105899999998</v>
      </c>
      <c r="JR15" s="670">
        <v>4.7560105899999998</v>
      </c>
      <c r="JS15" s="670">
        <v>4.7560105899999998</v>
      </c>
      <c r="JT15" s="670">
        <v>4.7560105899999989</v>
      </c>
      <c r="JU15" s="670">
        <f>'Cash in bank report'!$D$13-'Cash in bank report'!$D$56</f>
        <v>2.933246</v>
      </c>
      <c r="JV15" s="670">
        <v>5.5060105899999998</v>
      </c>
      <c r="JW15" s="670">
        <v>5.5060105899999998</v>
      </c>
      <c r="JX15" s="670">
        <v>5.5060105899999989</v>
      </c>
      <c r="JY15" s="670">
        <v>5.5060105899999998</v>
      </c>
      <c r="JZ15" s="670">
        <v>5.5060105899999998</v>
      </c>
      <c r="KA15" s="670">
        <v>5.5983775900000001</v>
      </c>
      <c r="KB15" s="670">
        <v>5.5983775900000001</v>
      </c>
      <c r="KC15" s="670">
        <v>5.5983775900000001</v>
      </c>
      <c r="KD15" s="670">
        <v>5.5983775900000001</v>
      </c>
      <c r="KE15" s="670">
        <v>5.5983775900000001</v>
      </c>
      <c r="KF15" s="670">
        <v>5.5983775900000001</v>
      </c>
      <c r="KG15" s="670">
        <v>5.598377590000001</v>
      </c>
      <c r="KH15" s="670">
        <v>5.5983775900000001</v>
      </c>
      <c r="KI15" s="670">
        <v>5.5983775900000001</v>
      </c>
      <c r="KJ15" s="670">
        <v>6.5983775900000001</v>
      </c>
      <c r="KK15" s="670">
        <v>6.5983775900000001</v>
      </c>
      <c r="KL15" s="670">
        <v>6.5983775900000001</v>
      </c>
      <c r="KM15" s="670">
        <v>6.5983775900000001</v>
      </c>
      <c r="KN15" s="670">
        <v>6.5983775900000001</v>
      </c>
      <c r="KO15" s="670">
        <v>6.5983775900000001</v>
      </c>
      <c r="KP15" s="670">
        <v>6.5983775900000001</v>
      </c>
      <c r="KQ15" s="670">
        <v>6.5983775900000001</v>
      </c>
      <c r="KR15" s="670">
        <v>6.5983775900000001</v>
      </c>
      <c r="KS15" s="670">
        <v>6.5983775900000001</v>
      </c>
      <c r="KT15" s="670">
        <v>6.5983775899999992</v>
      </c>
      <c r="KU15" s="670">
        <v>6.5983775900000001</v>
      </c>
      <c r="KV15" s="670">
        <v>6.5983775899999992</v>
      </c>
      <c r="KW15" s="670">
        <v>6.5983775900000001</v>
      </c>
      <c r="KX15" s="670">
        <v>6.5983775899999992</v>
      </c>
      <c r="KY15" s="670">
        <v>6.5973505900000005</v>
      </c>
      <c r="KZ15" s="670">
        <v>6.5973505900000005</v>
      </c>
      <c r="LA15" s="670">
        <v>6.5973545900000001</v>
      </c>
      <c r="LB15" s="670">
        <v>6.5973545899999992</v>
      </c>
      <c r="LC15" s="670">
        <v>6.5973545899999992</v>
      </c>
      <c r="LD15" s="670">
        <v>6.5973545899999992</v>
      </c>
      <c r="LE15" s="670">
        <v>6.5973545899999992</v>
      </c>
      <c r="LF15" s="670">
        <v>6.5973545900000001</v>
      </c>
      <c r="LG15" s="670">
        <v>6.5973545899999992</v>
      </c>
      <c r="LH15" s="670">
        <v>6.5973545900000001</v>
      </c>
      <c r="LI15" s="670">
        <v>6.5973545900000001</v>
      </c>
      <c r="LJ15" s="670">
        <v>6.5973545899999992</v>
      </c>
      <c r="LK15" s="670">
        <v>6.5973545900000001</v>
      </c>
      <c r="LL15" s="670">
        <v>6.5973545900000001</v>
      </c>
      <c r="LM15" s="670">
        <v>6.6712115900000004</v>
      </c>
      <c r="LN15" s="670">
        <v>6.6712115900000004</v>
      </c>
      <c r="LO15" s="670">
        <v>6.6712115900000004</v>
      </c>
      <c r="LP15" s="670">
        <v>6.6712115900000004</v>
      </c>
      <c r="LQ15" s="670">
        <v>6.65148107</v>
      </c>
      <c r="LR15" s="670">
        <v>6.65148107</v>
      </c>
      <c r="LS15" s="670">
        <v>6.65148107</v>
      </c>
      <c r="LT15" s="670">
        <v>6.65148107</v>
      </c>
      <c r="LU15" s="670">
        <v>6.65148107</v>
      </c>
      <c r="LV15" s="670">
        <v>6.65148107</v>
      </c>
      <c r="LW15" s="670">
        <v>6.65148107</v>
      </c>
      <c r="LX15" s="670">
        <v>6.65148107</v>
      </c>
      <c r="LY15" s="670">
        <v>6.65148107</v>
      </c>
      <c r="LZ15" s="670">
        <v>6.65148107</v>
      </c>
      <c r="MA15" s="670">
        <v>6.65148107</v>
      </c>
      <c r="MB15" s="670">
        <v>6.65148107</v>
      </c>
      <c r="MC15" s="670">
        <v>6.65148107</v>
      </c>
      <c r="MD15" s="670">
        <v>6.65148107</v>
      </c>
      <c r="ME15" s="670">
        <v>6.65148107</v>
      </c>
      <c r="MF15" s="670">
        <v>6.65148107</v>
      </c>
      <c r="MG15" s="670">
        <v>6.65148107</v>
      </c>
      <c r="MH15" s="670">
        <v>6.65148107</v>
      </c>
      <c r="MI15" s="670">
        <v>6.65148107</v>
      </c>
      <c r="MJ15" s="670">
        <v>6.65148107</v>
      </c>
      <c r="MK15" s="670">
        <v>6.65148107</v>
      </c>
      <c r="ML15" s="670">
        <v>6.65148107</v>
      </c>
      <c r="MM15" s="670">
        <v>6.65148107</v>
      </c>
      <c r="MN15" s="670">
        <v>5.0601830000000003</v>
      </c>
      <c r="MO15" s="670">
        <v>5.0601830000000003</v>
      </c>
      <c r="MP15" s="670">
        <v>5.0601830000000003</v>
      </c>
      <c r="MQ15" s="670">
        <v>5.0601830000000003</v>
      </c>
      <c r="MR15" s="670">
        <v>5.0601830000000003</v>
      </c>
      <c r="MS15" s="670">
        <v>6.7001830000000009</v>
      </c>
      <c r="MT15" s="670">
        <v>6.700183</v>
      </c>
      <c r="MU15" s="670">
        <v>6.7489030000000003</v>
      </c>
      <c r="MV15" s="670">
        <v>6.6987240000000003</v>
      </c>
      <c r="MW15" s="670">
        <v>6.6987240000000003</v>
      </c>
      <c r="MX15" s="670">
        <v>6.6500050000000002</v>
      </c>
      <c r="MY15" s="670">
        <v>6.6500050000000002</v>
      </c>
      <c r="MZ15" s="670">
        <v>6.6500049999999993</v>
      </c>
      <c r="NA15" s="670">
        <v>6.6500050000000002</v>
      </c>
      <c r="NB15" s="670">
        <v>6.6500050000000002</v>
      </c>
      <c r="NC15" s="670">
        <v>6.6500050000000002</v>
      </c>
      <c r="ND15" s="670">
        <v>6.6500050000000002</v>
      </c>
      <c r="NE15" s="670">
        <v>6.6500049999999993</v>
      </c>
      <c r="NF15" s="670">
        <v>6.6500050000000002</v>
      </c>
      <c r="NG15" s="670">
        <v>6.6500050000000002</v>
      </c>
      <c r="NH15" s="670">
        <v>6.6500050000000002</v>
      </c>
      <c r="NI15" s="670">
        <v>6.6500050000000002</v>
      </c>
      <c r="NJ15" s="670">
        <v>6.6500049999999993</v>
      </c>
      <c r="NK15" s="670">
        <v>6.6500050000000011</v>
      </c>
      <c r="NL15" s="670">
        <v>6.6500050000000011</v>
      </c>
      <c r="NM15" s="670">
        <v>6.6987059999999987</v>
      </c>
      <c r="NN15" s="670">
        <v>6.6987059999999996</v>
      </c>
      <c r="NO15" s="670">
        <v>6.6987060000000005</v>
      </c>
      <c r="NP15" s="670">
        <v>6.6987059999999996</v>
      </c>
      <c r="NQ15" s="670">
        <v>6.6987059999999996</v>
      </c>
      <c r="NR15" s="670">
        <v>6.6987059999999996</v>
      </c>
      <c r="NS15" s="670">
        <v>6.6987059999999996</v>
      </c>
      <c r="NT15" s="670">
        <v>6.6987059999999996</v>
      </c>
      <c r="NU15" s="670">
        <v>6.6987060000000005</v>
      </c>
      <c r="NV15" s="670">
        <v>6.6987059999999996</v>
      </c>
      <c r="NW15" s="670">
        <v>6.6823670000000002</v>
      </c>
      <c r="NX15" s="670">
        <v>6.6823670000000002</v>
      </c>
      <c r="NY15" s="670">
        <v>6.6823670000000002</v>
      </c>
      <c r="NZ15" s="670">
        <v>6.6823669999999993</v>
      </c>
      <c r="OA15" s="670">
        <v>6.6823670000000002</v>
      </c>
      <c r="OB15" s="670">
        <v>6.6823670000000002</v>
      </c>
      <c r="OC15" s="670">
        <v>6.6823669999999993</v>
      </c>
      <c r="OD15" s="670">
        <v>6.6823670000000002</v>
      </c>
      <c r="OE15" s="670">
        <v>6.6823670000000011</v>
      </c>
      <c r="OF15" s="670">
        <v>6.6823670000000002</v>
      </c>
      <c r="OG15" s="670">
        <v>6.6823670000000002</v>
      </c>
      <c r="OH15" s="670">
        <v>6.6823669999999993</v>
      </c>
      <c r="OI15" s="670">
        <v>6.6823670000000002</v>
      </c>
      <c r="OJ15" s="670">
        <v>6.6823670000000002</v>
      </c>
      <c r="OK15" s="670">
        <v>6.6823670000000002</v>
      </c>
      <c r="OL15" s="670">
        <v>6.6823670000000002</v>
      </c>
      <c r="OM15" s="670">
        <v>6.6823670000000002</v>
      </c>
      <c r="ON15" s="670">
        <v>6.6823670000000002</v>
      </c>
      <c r="OO15" s="670">
        <v>6.6823670000000002</v>
      </c>
      <c r="OP15" s="670">
        <v>6.6823670000000011</v>
      </c>
      <c r="OQ15" s="670">
        <v>6.6823670000000011</v>
      </c>
      <c r="OR15" s="670">
        <v>6.6823670000000002</v>
      </c>
      <c r="OS15" s="670">
        <v>6.6823670000000002</v>
      </c>
      <c r="OT15" s="670">
        <v>6.6823670000000002</v>
      </c>
      <c r="OU15" s="670">
        <v>6.6823670000000002</v>
      </c>
      <c r="OV15" s="670">
        <v>6.6823670000000002</v>
      </c>
      <c r="OW15" s="670">
        <v>6.6823670000000002</v>
      </c>
      <c r="OX15" s="670">
        <v>6.6823670000000002</v>
      </c>
      <c r="OY15" s="670">
        <v>6.6823670000000002</v>
      </c>
      <c r="OZ15" s="670">
        <v>6.6823670000000002</v>
      </c>
      <c r="PA15" s="670">
        <v>6.6823670000000002</v>
      </c>
      <c r="PB15" s="670">
        <v>5.6823670000000011</v>
      </c>
      <c r="PC15" s="670">
        <v>5.6823670000000011</v>
      </c>
      <c r="PD15" s="670">
        <v>5.6823670000000002</v>
      </c>
      <c r="PE15" s="670">
        <v>5.6823670000000011</v>
      </c>
      <c r="PF15" s="670">
        <v>5.6823680000000003</v>
      </c>
      <c r="PG15" s="670">
        <v>5.6823680000000003</v>
      </c>
      <c r="PH15" s="670">
        <v>5.6823680000000003</v>
      </c>
      <c r="PI15" s="670">
        <v>5.6823680000000003</v>
      </c>
      <c r="PJ15" s="670">
        <v>5.6823680000000003</v>
      </c>
      <c r="PK15" s="670">
        <v>5.6823680000000003</v>
      </c>
      <c r="PL15" s="670">
        <v>5.6823680000000003</v>
      </c>
      <c r="PM15" s="670">
        <v>5.6923680000000001</v>
      </c>
      <c r="PN15" s="670">
        <v>5.6923680000000001</v>
      </c>
      <c r="PO15" s="670">
        <v>5.692368000000001</v>
      </c>
      <c r="PP15" s="670">
        <v>5.6923680000000001</v>
      </c>
      <c r="PQ15" s="670">
        <v>5.6836544800000004</v>
      </c>
      <c r="PR15" s="670">
        <v>5.6836544800000004</v>
      </c>
      <c r="PS15" s="670">
        <v>5.6836544800000004</v>
      </c>
      <c r="PT15" s="670">
        <v>5.6179084799999996</v>
      </c>
      <c r="PU15" s="670">
        <v>5.6179084799999996</v>
      </c>
      <c r="PV15" s="670">
        <v>5.6179084799999996</v>
      </c>
      <c r="PW15" s="670">
        <v>5.6179084799999996</v>
      </c>
      <c r="PX15" s="670">
        <v>5.6179084799999996</v>
      </c>
      <c r="PY15" s="670">
        <v>5.6179084799999996</v>
      </c>
      <c r="PZ15" s="670">
        <v>5.6179084799999996</v>
      </c>
      <c r="QA15" s="670">
        <v>5.6179084799999996</v>
      </c>
      <c r="QB15" s="670">
        <v>5.6179084799999996</v>
      </c>
      <c r="QC15" s="670">
        <v>5.6179084799999996</v>
      </c>
      <c r="QD15" s="670">
        <v>5.6179084799999996</v>
      </c>
      <c r="QE15" s="670">
        <v>5.6179084799999996</v>
      </c>
      <c r="QF15" s="670">
        <v>5.6179084799999996</v>
      </c>
      <c r="QG15" s="670">
        <v>5.6179084799999996</v>
      </c>
      <c r="QH15" s="670">
        <v>5.6179084799999996</v>
      </c>
      <c r="QI15" s="670">
        <v>5.6179084799999996</v>
      </c>
      <c r="QJ15" s="670">
        <v>5.6179084799999996</v>
      </c>
      <c r="QK15" s="670">
        <v>5.6179084799999996</v>
      </c>
      <c r="QL15" s="670">
        <v>5.6179084799999996</v>
      </c>
      <c r="QM15" s="670">
        <v>5.6179084799999996</v>
      </c>
      <c r="QN15" s="670">
        <v>5.6179084799999996</v>
      </c>
      <c r="QO15" s="670">
        <v>5.6179084799999996</v>
      </c>
      <c r="QP15" s="670">
        <v>5.6179084799999996</v>
      </c>
      <c r="QQ15" s="670">
        <v>5.6179084799999988</v>
      </c>
      <c r="QR15" s="670">
        <v>5.6179084799999988</v>
      </c>
      <c r="QS15" s="670">
        <v>5.6179084799999996</v>
      </c>
      <c r="QT15" s="670">
        <v>5.6179084799999996</v>
      </c>
      <c r="QU15" s="670">
        <v>5.6179084799999996</v>
      </c>
      <c r="QV15" s="670">
        <v>5.6179084800000005</v>
      </c>
      <c r="QW15" s="670">
        <v>5.6179084799999988</v>
      </c>
      <c r="QX15" s="670">
        <v>5.6179084799999988</v>
      </c>
      <c r="QY15" s="670">
        <v>5.6179084799999996</v>
      </c>
      <c r="QZ15" s="670">
        <v>5.6179084799999988</v>
      </c>
      <c r="RA15" s="670">
        <v>5.6179084799999996</v>
      </c>
      <c r="RB15" s="670">
        <v>5.6179084799999996</v>
      </c>
      <c r="RC15" s="670">
        <v>5.6179084799999996</v>
      </c>
      <c r="RD15" s="670">
        <v>5.6179084799999996</v>
      </c>
      <c r="RE15" s="670">
        <v>2.9010531800000008</v>
      </c>
      <c r="RF15" s="670">
        <v>2.8997666999999998</v>
      </c>
      <c r="RG15" s="670">
        <f>'Cash in bank report'!$D$13-'Cash in bank report'!$D$56</f>
        <v>2.933246</v>
      </c>
      <c r="RH15" s="670">
        <v>2.8997666999999998</v>
      </c>
      <c r="RI15" s="670">
        <v>2.8997666999999998</v>
      </c>
      <c r="RJ15" s="670">
        <v>2.8997666999999998</v>
      </c>
      <c r="RK15" s="670">
        <v>2.8997666999999998</v>
      </c>
      <c r="RL15" s="670">
        <v>2.8997666999999998</v>
      </c>
      <c r="RM15" s="670">
        <v>2.8997666999999998</v>
      </c>
      <c r="RN15" s="670">
        <v>2.8997666999999998</v>
      </c>
      <c r="RO15" s="670">
        <v>2.8997666999999998</v>
      </c>
      <c r="RP15" s="670">
        <v>2.8997667000000007</v>
      </c>
      <c r="RQ15" s="670">
        <v>2.8997666999999998</v>
      </c>
      <c r="RR15" s="670">
        <v>2.8997667000000007</v>
      </c>
      <c r="RS15" s="670">
        <v>2.8997666999999998</v>
      </c>
      <c r="RT15" s="670">
        <v>2.8997666999999998</v>
      </c>
      <c r="RU15" s="670">
        <v>3.0307659999999998</v>
      </c>
      <c r="RV15" s="670">
        <v>3.030765999999999</v>
      </c>
      <c r="RW15" s="670">
        <v>3.017653000000001</v>
      </c>
      <c r="RX15" s="670">
        <v>3.0176529999999993</v>
      </c>
      <c r="RY15" s="670">
        <v>3.017653000000001</v>
      </c>
      <c r="RZ15" s="670">
        <v>3.0176530000000001</v>
      </c>
      <c r="SA15" s="670">
        <v>3.0176530000000001</v>
      </c>
      <c r="SB15" s="670">
        <v>3.0176529999999993</v>
      </c>
      <c r="SC15" s="670">
        <v>3.0176529999999993</v>
      </c>
      <c r="SD15" s="670">
        <v>3.0176530000000001</v>
      </c>
      <c r="SE15" s="670">
        <v>3.0176530000000001</v>
      </c>
      <c r="SF15" s="670">
        <f>'Cash in bank report'!$D$13-'Cash in bank report'!$D$56</f>
        <v>2.933246</v>
      </c>
      <c r="SG15" s="670">
        <v>3.0176530000000001</v>
      </c>
      <c r="SH15" s="670">
        <v>3.0176530000000001</v>
      </c>
      <c r="SI15" s="670">
        <v>3.0176530000000001</v>
      </c>
      <c r="SJ15" s="670">
        <v>3.0176529999999993</v>
      </c>
      <c r="SK15" s="670">
        <v>3.0176530000000001</v>
      </c>
      <c r="SL15" s="670">
        <v>3.0176530000000001</v>
      </c>
      <c r="SM15" s="670">
        <v>3.0176530000000001</v>
      </c>
      <c r="SN15" s="670">
        <v>3.0176530000000001</v>
      </c>
      <c r="SO15" s="670">
        <v>3.017653000000001</v>
      </c>
      <c r="SP15" s="670">
        <v>3.0176530000000001</v>
      </c>
      <c r="SQ15" s="670">
        <v>3.0176529999999993</v>
      </c>
      <c r="SR15" s="670">
        <v>3.0176530000000001</v>
      </c>
      <c r="SS15" s="670">
        <v>3.0176530000000001</v>
      </c>
      <c r="ST15" s="670">
        <v>3.0176530000000001</v>
      </c>
      <c r="SU15" s="670">
        <v>3.0176530000000001</v>
      </c>
      <c r="SV15" s="670">
        <v>3.0176530000000001</v>
      </c>
      <c r="SW15" s="670">
        <v>3.0176530000000001</v>
      </c>
      <c r="SX15" s="670">
        <v>3.0176530000000001</v>
      </c>
      <c r="SY15" s="670">
        <v>3.0176530000000001</v>
      </c>
      <c r="SZ15" s="670">
        <v>3.0176529999999993</v>
      </c>
      <c r="TA15" s="670">
        <v>3.0176529999999993</v>
      </c>
      <c r="TB15" s="670">
        <v>3.0176529999999993</v>
      </c>
      <c r="TC15" s="670">
        <v>3.0176530000000001</v>
      </c>
      <c r="TD15" s="670">
        <v>3.0176529999999993</v>
      </c>
      <c r="TE15" s="670">
        <f>'Cash in bank report'!$D$13-'Cash in bank report'!$D$56</f>
        <v>2.933246</v>
      </c>
      <c r="TF15" s="670">
        <v>3.0176530000000001</v>
      </c>
      <c r="TG15" s="670">
        <v>3.017653000000001</v>
      </c>
      <c r="TH15" s="670">
        <v>3.0176530000000001</v>
      </c>
      <c r="TI15" s="670">
        <v>3.0176529999999993</v>
      </c>
      <c r="TJ15" s="670">
        <v>3.0176530000000001</v>
      </c>
      <c r="TK15" s="670">
        <v>3.0176530000000001</v>
      </c>
      <c r="TL15" s="670">
        <v>3.0176530000000001</v>
      </c>
      <c r="TM15" s="670">
        <v>3.0176530000000001</v>
      </c>
      <c r="TN15" s="670">
        <v>3.0176530000000001</v>
      </c>
      <c r="TO15" s="670">
        <v>3.0176530000000001</v>
      </c>
      <c r="TP15" s="670">
        <v>3.0176530000000001</v>
      </c>
      <c r="TQ15" s="670">
        <v>3.0176530000000001</v>
      </c>
      <c r="TR15" s="670">
        <v>3.0176530000000001</v>
      </c>
      <c r="TS15" s="670">
        <v>3.0176530000000001</v>
      </c>
      <c r="TT15" s="670">
        <v>3.0176530000000001</v>
      </c>
      <c r="TU15" s="670">
        <v>3.0176530000000001</v>
      </c>
      <c r="TV15" s="670">
        <v>3.0176530000000001</v>
      </c>
      <c r="TW15" s="670">
        <v>3.0176530000000001</v>
      </c>
      <c r="TX15" s="670">
        <v>3.0176530000000001</v>
      </c>
      <c r="TY15" s="670">
        <v>3.0176530000000001</v>
      </c>
      <c r="TZ15" s="670">
        <v>3.0176530000000001</v>
      </c>
      <c r="UA15" s="670">
        <v>3.0176530000000001</v>
      </c>
      <c r="UB15" s="670">
        <v>3.0176530000000001</v>
      </c>
      <c r="UC15" s="670">
        <v>3.0176530000000001</v>
      </c>
      <c r="UD15" s="670">
        <v>3.0176530000000001</v>
      </c>
      <c r="UE15" s="670">
        <v>3.0176530000000001</v>
      </c>
      <c r="UF15" s="670">
        <v>3.0176530000000001</v>
      </c>
      <c r="UG15" s="670">
        <v>3.0176530000000001</v>
      </c>
      <c r="UH15" s="670">
        <v>3.0170810000000001</v>
      </c>
      <c r="UI15" s="670">
        <v>3.0176530000000001</v>
      </c>
      <c r="UJ15" s="670">
        <v>3.0176530000000001</v>
      </c>
      <c r="UK15" s="670">
        <v>3.0176530000000001</v>
      </c>
      <c r="UL15" s="670">
        <v>3.0176530000000001</v>
      </c>
      <c r="UM15" s="670">
        <v>3.0176540300000001</v>
      </c>
      <c r="UN15" s="670">
        <v>3.0176530000000001</v>
      </c>
      <c r="UO15" s="670">
        <v>3.017653000000001</v>
      </c>
      <c r="UP15" s="670">
        <v>3.0176530000000001</v>
      </c>
      <c r="UQ15" s="670">
        <v>3.0176530000000001</v>
      </c>
      <c r="UR15" s="670">
        <v>3.017653000000001</v>
      </c>
      <c r="US15" s="670">
        <v>5.7414129999999997</v>
      </c>
      <c r="UT15" s="670">
        <v>5.7414129999999997</v>
      </c>
      <c r="UU15" s="670">
        <v>5.7414129999999997</v>
      </c>
      <c r="UV15" s="670">
        <v>2.8997659999999996</v>
      </c>
      <c r="UW15" s="670">
        <v>2.8997660000000001</v>
      </c>
      <c r="UX15" s="670">
        <v>3.8997660000000001</v>
      </c>
      <c r="UY15" s="670">
        <v>3.8997660000000001</v>
      </c>
      <c r="UZ15" s="670">
        <v>3.8997660000000001</v>
      </c>
      <c r="VA15" s="670">
        <v>3.8997660000000001</v>
      </c>
      <c r="VB15" s="670">
        <v>2.8997660000000005</v>
      </c>
      <c r="VC15" s="670">
        <v>2.8997659999999996</v>
      </c>
      <c r="VD15" s="670">
        <v>2.8997660000000001</v>
      </c>
      <c r="VE15" s="670">
        <v>2.8997659999999996</v>
      </c>
      <c r="VF15" s="670">
        <v>2.8997660000000001</v>
      </c>
      <c r="VG15" s="670">
        <v>2.8997660000000001</v>
      </c>
      <c r="VH15" s="670">
        <v>2.8997660000000001</v>
      </c>
      <c r="VI15" s="670">
        <v>2.8997660000000001</v>
      </c>
      <c r="VJ15" s="670">
        <f>'Cash in bank report'!$D$13-'Cash in bank report'!$D$56</f>
        <v>2.933246</v>
      </c>
      <c r="VK15" s="670">
        <v>2.8997660000000001</v>
      </c>
      <c r="VL15" s="670">
        <v>2.8997660000000005</v>
      </c>
      <c r="VM15" s="670">
        <v>2.8997660000000001</v>
      </c>
      <c r="VN15" s="670">
        <v>2.8997660000000001</v>
      </c>
      <c r="VO15" s="670">
        <v>2.8997660000000001</v>
      </c>
      <c r="VP15" s="670">
        <v>2.8997660000000001</v>
      </c>
      <c r="VQ15" s="670">
        <v>2.8997659999999996</v>
      </c>
      <c r="VR15" s="670">
        <v>2.8997659999999996</v>
      </c>
      <c r="VS15" s="670">
        <v>2.8997660000000001</v>
      </c>
      <c r="VT15" s="670">
        <v>2.8997660000000001</v>
      </c>
      <c r="VU15" s="670">
        <v>2.8997660000000001</v>
      </c>
      <c r="VV15" s="670">
        <v>2.8997660000000001</v>
      </c>
      <c r="VW15" s="670">
        <v>2.8997660000000001</v>
      </c>
      <c r="VX15" s="670">
        <v>2.8997660000000001</v>
      </c>
      <c r="VY15" s="670">
        <v>2.8997660000000001</v>
      </c>
      <c r="VZ15" s="670">
        <v>2.8997659999999996</v>
      </c>
      <c r="WA15" s="670">
        <v>2.8997660000000001</v>
      </c>
      <c r="WB15" s="670">
        <v>2.8997660000000001</v>
      </c>
      <c r="WC15" s="670">
        <v>2.8997660000000005</v>
      </c>
      <c r="WD15" s="670">
        <v>2.8997660000000001</v>
      </c>
      <c r="WE15" s="670">
        <v>2.8997660000000001</v>
      </c>
      <c r="WF15" s="670">
        <v>2.8997660000000001</v>
      </c>
      <c r="WG15" s="670">
        <v>2.8997660000000001</v>
      </c>
      <c r="WH15" s="670">
        <v>2.8997659999999996</v>
      </c>
      <c r="WI15" s="670">
        <v>2.8997659999999996</v>
      </c>
      <c r="WJ15" s="670">
        <v>2.8997660000000001</v>
      </c>
      <c r="WK15" s="670">
        <v>2.8997660000000001</v>
      </c>
      <c r="WL15" s="670">
        <v>2.8997660000000005</v>
      </c>
      <c r="WM15" s="670">
        <v>2.8997660000000001</v>
      </c>
      <c r="WN15" s="670">
        <v>2.8997659999999996</v>
      </c>
      <c r="WO15" s="670">
        <v>2.8997660000000001</v>
      </c>
      <c r="WP15" s="670">
        <v>2.8997660000000001</v>
      </c>
      <c r="WQ15" s="670">
        <v>2.8997659999999996</v>
      </c>
      <c r="WR15" s="670">
        <f>'Cash in bank report'!$D$13-'Cash in bank report'!$D$56</f>
        <v>2.933246</v>
      </c>
      <c r="WS15" s="670">
        <v>2.8997659999999996</v>
      </c>
      <c r="WT15" s="670">
        <v>2.8997659999999996</v>
      </c>
      <c r="WU15" s="670">
        <v>2.8997660000000001</v>
      </c>
      <c r="WV15" s="670">
        <v>2.8997659999999996</v>
      </c>
      <c r="WW15" s="670">
        <v>2.8997660000000001</v>
      </c>
      <c r="WX15" s="670">
        <v>2.8997660000000001</v>
      </c>
      <c r="WY15" s="670">
        <v>2.8997660000000001</v>
      </c>
      <c r="WZ15" s="670">
        <v>2.8997660000000001</v>
      </c>
      <c r="XA15" s="670">
        <v>2.8997660000000001</v>
      </c>
      <c r="XB15" s="670">
        <v>2.8997660000000001</v>
      </c>
      <c r="XC15" s="670">
        <v>2.8997660000000001</v>
      </c>
      <c r="XD15" s="670">
        <v>2.8997660000000001</v>
      </c>
      <c r="XE15" s="670">
        <v>2.9443557159520908</v>
      </c>
      <c r="XF15" s="670">
        <v>2.9434120302457467</v>
      </c>
      <c r="XG15" s="670">
        <v>2.9644566037319016</v>
      </c>
      <c r="XH15" s="670">
        <v>2.9438661585388299</v>
      </c>
      <c r="XI15" s="670">
        <v>2.9215299731519289</v>
      </c>
      <c r="XJ15" s="670">
        <v>2.9211069955752471</v>
      </c>
      <c r="XK15" s="670">
        <v>2.943685850695783</v>
      </c>
      <c r="XL15" s="670">
        <v>2.8997660000000001</v>
      </c>
      <c r="XM15" s="670">
        <v>2.8997660000000001</v>
      </c>
      <c r="XN15" s="670">
        <v>2.8997660000000001</v>
      </c>
      <c r="XO15" s="670">
        <v>2.916506</v>
      </c>
      <c r="XP15" s="670">
        <v>2.916506</v>
      </c>
      <c r="XQ15" s="670">
        <v>2.916506</v>
      </c>
      <c r="XR15" s="670">
        <v>2.916506</v>
      </c>
      <c r="XS15" s="670">
        <v>2.916506</v>
      </c>
      <c r="XT15" s="670">
        <f>'Cash in bank report'!$D$13-'Cash in bank report'!$D$56</f>
        <v>2.933246</v>
      </c>
      <c r="XU15" s="670">
        <v>2.916506</v>
      </c>
      <c r="XV15" s="670">
        <v>2.916506</v>
      </c>
      <c r="XW15" s="670">
        <v>2.916506</v>
      </c>
      <c r="XX15" s="670">
        <v>2.916506</v>
      </c>
      <c r="XY15" s="670">
        <v>2.933246</v>
      </c>
      <c r="XZ15" s="670">
        <v>3.6537273540138391</v>
      </c>
      <c r="YA15" s="670">
        <v>3.4168236073728733</v>
      </c>
      <c r="YB15" s="670">
        <v>3.6063537431569976</v>
      </c>
      <c r="YC15" s="670">
        <v>3.1390288231055266</v>
      </c>
      <c r="YD15" s="670">
        <v>3.0350165766186534</v>
      </c>
      <c r="YE15" s="670">
        <v>3.0864898720534955</v>
      </c>
      <c r="YF15" s="670">
        <v>3.0326911597353492</v>
      </c>
      <c r="YG15" s="670">
        <v>3.0376638055506828</v>
      </c>
      <c r="YH15" s="670">
        <v>2.9528378385484642</v>
      </c>
      <c r="YI15" s="670">
        <v>2.9528065730202626</v>
      </c>
      <c r="YJ15" s="670">
        <v>2.9334998645661137</v>
      </c>
      <c r="YK15" s="670">
        <v>2.9857846765667806</v>
      </c>
      <c r="YL15" s="670">
        <v>2.9335008924726864</v>
      </c>
      <c r="YM15" s="670">
        <f>'Cash in bank report'!$D$13-'Cash in bank report'!$D$56</f>
        <v>2.933246</v>
      </c>
      <c r="YN15" s="670">
        <v>2.9334998013465845</v>
      </c>
      <c r="YO15" s="670">
        <v>2.9335008531061013</v>
      </c>
      <c r="YP15" s="670">
        <v>2.9335004289020175</v>
      </c>
      <c r="YQ15" s="670">
        <v>2.9334991857068125</v>
      </c>
      <c r="YR15" s="670">
        <v>2.9334996457147215</v>
      </c>
      <c r="YS15" s="670">
        <v>2.9334984722295609</v>
      </c>
      <c r="YT15" s="670">
        <v>2.9334993466130248</v>
      </c>
      <c r="YU15" s="670">
        <v>2.933246</v>
      </c>
      <c r="YV15" s="670">
        <v>2.933246</v>
      </c>
      <c r="YW15" s="670">
        <v>2.933246</v>
      </c>
      <c r="YX15" s="670">
        <v>2.933246</v>
      </c>
      <c r="YY15" s="670">
        <v>2.933246</v>
      </c>
      <c r="YZ15" s="670">
        <v>2.933246</v>
      </c>
      <c r="ZA15" s="670">
        <v>2.933246</v>
      </c>
      <c r="ZB15" s="670">
        <v>2.933246</v>
      </c>
      <c r="ZC15" s="670">
        <v>2.933246</v>
      </c>
      <c r="ZD15" s="670">
        <f>'Cash in bank report'!$D$13-'Cash in bank report'!$D$56</f>
        <v>2.933246</v>
      </c>
    </row>
    <row r="16" spans="1:683" s="87" customFormat="1">
      <c r="A16" s="120"/>
      <c r="B16" s="90" t="s">
        <v>120</v>
      </c>
      <c r="C16" s="417" t="s">
        <v>0</v>
      </c>
      <c r="D16" s="671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672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672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672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672"/>
      <c r="BV16" s="672"/>
      <c r="BW16" s="672"/>
      <c r="BX16" s="672"/>
      <c r="BY16" s="672"/>
      <c r="BZ16" s="672"/>
      <c r="CA16" s="672"/>
      <c r="CB16" s="672"/>
      <c r="CC16" s="672"/>
      <c r="CD16" s="672"/>
      <c r="CE16" s="672"/>
      <c r="CF16" s="672"/>
      <c r="CG16" s="672"/>
      <c r="CH16" s="672"/>
      <c r="CI16" s="672"/>
      <c r="CJ16" s="672"/>
      <c r="CK16" s="672"/>
      <c r="CL16" s="672"/>
      <c r="CM16" s="672"/>
      <c r="CN16" s="672"/>
      <c r="CO16" s="672"/>
      <c r="CP16" s="672"/>
      <c r="CQ16" s="672"/>
      <c r="CR16" s="672"/>
      <c r="CS16" s="672"/>
      <c r="CT16" s="672"/>
      <c r="CU16" s="672"/>
      <c r="CV16" s="672"/>
      <c r="CW16" s="672"/>
      <c r="CX16" s="672"/>
      <c r="CY16" s="672"/>
      <c r="CZ16" s="672"/>
      <c r="DA16" s="672"/>
      <c r="DB16" s="672"/>
      <c r="DC16" s="672"/>
      <c r="DD16" s="672"/>
      <c r="DE16" s="672"/>
      <c r="DF16" s="672"/>
      <c r="DG16" s="672"/>
      <c r="DH16" s="672"/>
      <c r="DI16" s="672"/>
      <c r="DJ16" s="672"/>
      <c r="DK16" s="672"/>
      <c r="DL16" s="672"/>
      <c r="DM16" s="672"/>
      <c r="DN16" s="672"/>
      <c r="DO16" s="672"/>
      <c r="DP16" s="672"/>
      <c r="DQ16" s="672"/>
      <c r="DR16" s="672"/>
      <c r="DS16" s="672"/>
      <c r="DT16" s="672"/>
      <c r="DU16" s="672"/>
      <c r="DV16" s="672"/>
      <c r="DW16" s="672"/>
      <c r="DX16" s="672"/>
      <c r="DY16" s="672"/>
      <c r="DZ16" s="672"/>
      <c r="EA16" s="672"/>
      <c r="EB16" s="672"/>
      <c r="EC16" s="672"/>
      <c r="ED16" s="672"/>
      <c r="EE16" s="672"/>
      <c r="EF16" s="672"/>
      <c r="EG16" s="672"/>
      <c r="EH16" s="672"/>
      <c r="EI16" s="672"/>
      <c r="EJ16" s="672"/>
      <c r="EK16" s="672"/>
      <c r="EL16" s="672"/>
      <c r="EM16" s="672"/>
      <c r="EN16" s="672"/>
      <c r="EO16" s="672"/>
      <c r="EP16" s="672"/>
      <c r="EQ16" s="672"/>
      <c r="ER16" s="672"/>
      <c r="ES16" s="672"/>
      <c r="ET16" s="672"/>
      <c r="EU16" s="672"/>
      <c r="EV16" s="672"/>
      <c r="EW16" s="672"/>
      <c r="EX16" s="672"/>
      <c r="EY16" s="672"/>
      <c r="EZ16" s="672"/>
      <c r="FA16" s="672"/>
      <c r="FB16" s="672"/>
      <c r="FC16" s="672"/>
      <c r="FD16" s="672"/>
      <c r="FE16" s="672"/>
      <c r="FF16" s="672"/>
      <c r="FG16" s="672"/>
      <c r="FH16" s="672"/>
      <c r="FI16" s="672"/>
      <c r="FJ16" s="672"/>
      <c r="FK16" s="672"/>
      <c r="FL16" s="672"/>
      <c r="FM16" s="672"/>
      <c r="FN16" s="672"/>
      <c r="FO16" s="672"/>
      <c r="FP16" s="672"/>
      <c r="FQ16" s="672"/>
      <c r="FR16" s="672"/>
      <c r="FS16" s="672"/>
      <c r="FT16" s="672"/>
      <c r="FU16" s="672"/>
      <c r="FV16" s="672"/>
      <c r="FW16" s="672"/>
      <c r="FX16" s="672"/>
      <c r="FY16" s="672"/>
      <c r="FZ16" s="672"/>
      <c r="GA16" s="672"/>
      <c r="GB16" s="672"/>
      <c r="GC16" s="672"/>
      <c r="GD16" s="672"/>
      <c r="GE16" s="672"/>
      <c r="GF16" s="672"/>
      <c r="GG16" s="672"/>
      <c r="GH16" s="672"/>
      <c r="GI16" s="672"/>
      <c r="GJ16" s="672"/>
      <c r="GK16" s="672"/>
      <c r="GL16" s="672"/>
      <c r="GM16" s="672"/>
      <c r="GN16" s="672"/>
      <c r="GO16" s="672"/>
      <c r="GP16" s="672"/>
      <c r="GQ16" s="672"/>
      <c r="GR16" s="672"/>
      <c r="GS16" s="672"/>
      <c r="GT16" s="672"/>
      <c r="GU16" s="672"/>
      <c r="GV16" s="672"/>
      <c r="GW16" s="672"/>
      <c r="GX16" s="672"/>
      <c r="GY16" s="672"/>
      <c r="GZ16" s="672"/>
      <c r="HA16" s="672"/>
      <c r="HB16" s="672"/>
      <c r="HC16" s="672"/>
      <c r="HD16" s="672"/>
      <c r="HE16" s="672"/>
      <c r="HF16" s="672"/>
      <c r="HG16" s="672"/>
      <c r="HH16" s="672"/>
      <c r="HI16" s="672"/>
      <c r="HJ16" s="672"/>
      <c r="HK16" s="672"/>
      <c r="HL16" s="672"/>
      <c r="HM16" s="672"/>
      <c r="HN16" s="672"/>
      <c r="HO16" s="672"/>
      <c r="HP16" s="672"/>
      <c r="HQ16" s="672"/>
      <c r="HR16" s="672"/>
      <c r="HS16" s="672"/>
      <c r="HT16" s="672"/>
      <c r="HU16" s="672"/>
      <c r="HV16" s="672"/>
      <c r="HW16" s="672"/>
      <c r="HX16" s="672"/>
      <c r="HY16" s="672"/>
      <c r="HZ16" s="672"/>
      <c r="IA16" s="672"/>
      <c r="IB16" s="672"/>
      <c r="IC16" s="672"/>
      <c r="ID16" s="672"/>
      <c r="IE16" s="672"/>
      <c r="IF16" s="672"/>
      <c r="IG16" s="672"/>
      <c r="IH16" s="672"/>
      <c r="II16" s="672"/>
      <c r="IJ16" s="672"/>
      <c r="IK16" s="672"/>
      <c r="IL16" s="672"/>
      <c r="IM16" s="672"/>
      <c r="IN16" s="672"/>
      <c r="IO16" s="672"/>
      <c r="IP16" s="672"/>
      <c r="IQ16" s="672"/>
      <c r="IR16" s="672"/>
      <c r="IS16" s="672"/>
      <c r="IT16" s="672"/>
      <c r="IU16" s="672"/>
      <c r="IV16" s="672"/>
      <c r="IW16" s="672"/>
      <c r="IX16" s="672"/>
      <c r="IY16" s="672"/>
      <c r="IZ16" s="672"/>
      <c r="JA16" s="672"/>
      <c r="JB16" s="672"/>
      <c r="JC16" s="672"/>
      <c r="JD16" s="672"/>
      <c r="JE16" s="672"/>
      <c r="JF16" s="672"/>
      <c r="JG16" s="672"/>
      <c r="JH16" s="672"/>
      <c r="JI16" s="672"/>
      <c r="JJ16" s="672"/>
      <c r="JK16" s="672"/>
      <c r="JL16" s="672"/>
      <c r="JM16" s="672"/>
      <c r="JN16" s="672"/>
      <c r="JO16" s="672"/>
      <c r="JP16" s="672"/>
      <c r="JQ16" s="672"/>
      <c r="JR16" s="672"/>
      <c r="JS16" s="672"/>
      <c r="JT16" s="672"/>
      <c r="JU16" s="672"/>
      <c r="JV16" s="672"/>
      <c r="JW16" s="672"/>
      <c r="JX16" s="672"/>
      <c r="JY16" s="672"/>
      <c r="JZ16" s="672"/>
      <c r="KA16" s="672"/>
      <c r="KB16" s="672"/>
      <c r="KC16" s="672"/>
      <c r="KD16" s="672"/>
      <c r="KE16" s="672"/>
      <c r="KF16" s="672"/>
      <c r="KG16" s="672"/>
      <c r="KH16" s="672"/>
      <c r="KI16" s="672"/>
      <c r="KJ16" s="672"/>
      <c r="KK16" s="672"/>
      <c r="KL16" s="672"/>
      <c r="KM16" s="672"/>
      <c r="KN16" s="672"/>
      <c r="KO16" s="672"/>
      <c r="KP16" s="672"/>
      <c r="KQ16" s="672"/>
      <c r="KR16" s="672"/>
      <c r="KS16" s="672"/>
      <c r="KT16" s="672"/>
      <c r="KU16" s="672"/>
      <c r="KV16" s="672"/>
      <c r="KW16" s="672"/>
      <c r="KX16" s="672"/>
      <c r="KY16" s="672"/>
      <c r="KZ16" s="672"/>
      <c r="LA16" s="672"/>
      <c r="LB16" s="672"/>
      <c r="LC16" s="672"/>
      <c r="LD16" s="672"/>
      <c r="LE16" s="672"/>
      <c r="LF16" s="672"/>
      <c r="LG16" s="672"/>
      <c r="LH16" s="672"/>
      <c r="LI16" s="672"/>
      <c r="LJ16" s="672"/>
      <c r="LK16" s="672"/>
      <c r="LL16" s="672"/>
      <c r="LM16" s="672"/>
      <c r="LN16" s="672"/>
      <c r="LO16" s="672"/>
      <c r="LP16" s="672"/>
      <c r="LQ16" s="672"/>
      <c r="LR16" s="672"/>
      <c r="LS16" s="672"/>
      <c r="LT16" s="672"/>
      <c r="LU16" s="672"/>
      <c r="LV16" s="672"/>
      <c r="LW16" s="672"/>
      <c r="LX16" s="672"/>
      <c r="LY16" s="672"/>
      <c r="LZ16" s="672"/>
      <c r="MA16" s="672"/>
      <c r="MB16" s="672"/>
      <c r="MC16" s="672"/>
      <c r="MD16" s="672"/>
      <c r="ME16" s="672"/>
      <c r="MF16" s="672"/>
      <c r="MG16" s="672"/>
      <c r="MH16" s="672"/>
      <c r="MI16" s="672"/>
      <c r="MJ16" s="672"/>
      <c r="MK16" s="672"/>
      <c r="ML16" s="672"/>
      <c r="MM16" s="672"/>
      <c r="MN16" s="672"/>
      <c r="MO16" s="672"/>
      <c r="MP16" s="672"/>
      <c r="MQ16" s="672"/>
      <c r="MR16" s="672"/>
      <c r="MS16" s="672"/>
      <c r="MT16" s="672"/>
      <c r="MU16" s="672"/>
      <c r="MV16" s="672"/>
      <c r="MW16" s="672"/>
      <c r="MX16" s="672"/>
      <c r="MY16" s="672"/>
      <c r="MZ16" s="672"/>
      <c r="NA16" s="672"/>
      <c r="NB16" s="672"/>
      <c r="NC16" s="672"/>
      <c r="ND16" s="672"/>
      <c r="NE16" s="672"/>
      <c r="NF16" s="672"/>
      <c r="NG16" s="672"/>
      <c r="NH16" s="672"/>
      <c r="NI16" s="672"/>
      <c r="NJ16" s="672"/>
      <c r="NK16" s="672"/>
      <c r="NL16" s="672"/>
      <c r="NM16" s="672"/>
      <c r="NN16" s="672"/>
      <c r="NO16" s="672"/>
      <c r="NP16" s="672"/>
      <c r="NQ16" s="672"/>
      <c r="NR16" s="672"/>
      <c r="NS16" s="672"/>
      <c r="NT16" s="672"/>
      <c r="NU16" s="672"/>
      <c r="NV16" s="672"/>
      <c r="NW16" s="672"/>
      <c r="NX16" s="672"/>
      <c r="NY16" s="672"/>
      <c r="NZ16" s="672"/>
      <c r="OA16" s="672"/>
      <c r="OB16" s="672"/>
      <c r="OC16" s="672"/>
      <c r="OD16" s="672"/>
      <c r="OE16" s="672"/>
      <c r="OF16" s="672"/>
      <c r="OG16" s="672"/>
      <c r="OH16" s="672"/>
      <c r="OI16" s="672"/>
      <c r="OJ16" s="672"/>
      <c r="OK16" s="672"/>
      <c r="OL16" s="672"/>
      <c r="OM16" s="672"/>
      <c r="ON16" s="672"/>
      <c r="OO16" s="672"/>
      <c r="OP16" s="672"/>
      <c r="OQ16" s="672"/>
      <c r="OR16" s="672"/>
      <c r="OS16" s="672"/>
      <c r="OT16" s="672"/>
      <c r="OU16" s="672"/>
      <c r="OV16" s="672"/>
      <c r="OW16" s="672"/>
      <c r="OX16" s="672"/>
      <c r="OY16" s="672"/>
      <c r="OZ16" s="672"/>
      <c r="PA16" s="672"/>
      <c r="PB16" s="672"/>
      <c r="PC16" s="672"/>
      <c r="PD16" s="672"/>
      <c r="PE16" s="672"/>
      <c r="PF16" s="672"/>
      <c r="PG16" s="672"/>
      <c r="PH16" s="672"/>
      <c r="PI16" s="672"/>
      <c r="PJ16" s="672"/>
      <c r="PK16" s="672"/>
      <c r="PL16" s="672"/>
      <c r="PM16" s="672"/>
      <c r="PN16" s="672"/>
      <c r="PO16" s="672"/>
      <c r="PP16" s="672"/>
      <c r="PQ16" s="672"/>
      <c r="PR16" s="672"/>
      <c r="PS16" s="672"/>
      <c r="PT16" s="672"/>
      <c r="PU16" s="672"/>
      <c r="PV16" s="672"/>
      <c r="PW16" s="672"/>
      <c r="PX16" s="672"/>
      <c r="PY16" s="672"/>
      <c r="PZ16" s="672"/>
      <c r="QA16" s="672"/>
      <c r="QB16" s="672"/>
      <c r="QC16" s="672"/>
      <c r="QD16" s="672"/>
      <c r="QE16" s="672"/>
      <c r="QF16" s="672"/>
      <c r="QG16" s="672"/>
      <c r="QH16" s="672"/>
      <c r="QI16" s="672"/>
      <c r="QJ16" s="672"/>
      <c r="QK16" s="672"/>
      <c r="QL16" s="672"/>
      <c r="QM16" s="672"/>
      <c r="QN16" s="672"/>
      <c r="QO16" s="672"/>
      <c r="QP16" s="672"/>
      <c r="QQ16" s="672"/>
      <c r="QR16" s="672"/>
      <c r="QS16" s="672"/>
      <c r="QT16" s="672"/>
      <c r="QU16" s="672"/>
      <c r="QV16" s="672"/>
      <c r="QW16" s="672"/>
      <c r="QX16" s="672"/>
      <c r="QY16" s="672"/>
      <c r="QZ16" s="672"/>
      <c r="RA16" s="672"/>
      <c r="RB16" s="672"/>
      <c r="RC16" s="672"/>
      <c r="RD16" s="672"/>
      <c r="RE16" s="672"/>
      <c r="RF16" s="672"/>
      <c r="RG16" s="672"/>
      <c r="RH16" s="672"/>
      <c r="RI16" s="672"/>
      <c r="RJ16" s="672"/>
      <c r="RK16" s="672"/>
      <c r="RL16" s="672"/>
      <c r="RM16" s="672"/>
      <c r="RN16" s="672"/>
      <c r="RO16" s="672"/>
      <c r="RP16" s="672"/>
      <c r="RQ16" s="672"/>
      <c r="RR16" s="672"/>
      <c r="RS16" s="672"/>
      <c r="RT16" s="672"/>
      <c r="RU16" s="672"/>
      <c r="RV16" s="672"/>
      <c r="RW16" s="672"/>
      <c r="RX16" s="672"/>
      <c r="RY16" s="672"/>
      <c r="RZ16" s="672"/>
      <c r="SA16" s="672"/>
      <c r="SB16" s="672"/>
      <c r="SC16" s="672"/>
      <c r="SD16" s="672"/>
      <c r="SE16" s="672"/>
      <c r="SF16" s="672"/>
      <c r="SG16" s="672"/>
      <c r="SH16" s="672"/>
      <c r="SI16" s="672"/>
      <c r="SJ16" s="672"/>
      <c r="SK16" s="672"/>
      <c r="SL16" s="672"/>
      <c r="SM16" s="672"/>
      <c r="SN16" s="672"/>
      <c r="SO16" s="672"/>
      <c r="SP16" s="672"/>
      <c r="SQ16" s="672"/>
      <c r="SR16" s="672"/>
      <c r="SS16" s="672"/>
      <c r="ST16" s="672"/>
      <c r="SU16" s="672"/>
      <c r="SV16" s="672"/>
      <c r="SW16" s="672"/>
      <c r="SX16" s="672"/>
      <c r="SY16" s="672"/>
      <c r="SZ16" s="672"/>
      <c r="TA16" s="672"/>
      <c r="TB16" s="672"/>
      <c r="TC16" s="672"/>
      <c r="TD16" s="672"/>
      <c r="TE16" s="672"/>
      <c r="TF16" s="672"/>
      <c r="TG16" s="672"/>
      <c r="TH16" s="672"/>
      <c r="TI16" s="672"/>
      <c r="TJ16" s="672"/>
      <c r="TK16" s="672"/>
      <c r="TL16" s="672"/>
      <c r="TM16" s="672"/>
      <c r="TN16" s="672"/>
      <c r="TO16" s="672"/>
      <c r="TP16" s="672"/>
      <c r="TQ16" s="672"/>
      <c r="TR16" s="672"/>
      <c r="TS16" s="672"/>
      <c r="TT16" s="672"/>
      <c r="TU16" s="672"/>
      <c r="TV16" s="672"/>
      <c r="TW16" s="672"/>
      <c r="TX16" s="672"/>
      <c r="TY16" s="672"/>
      <c r="TZ16" s="672"/>
      <c r="UA16" s="672"/>
      <c r="UB16" s="672"/>
      <c r="UC16" s="672"/>
      <c r="UD16" s="672"/>
      <c r="UE16" s="672"/>
      <c r="UF16" s="672"/>
      <c r="UG16" s="672"/>
      <c r="UH16" s="672"/>
      <c r="UI16" s="672"/>
      <c r="UJ16" s="672"/>
      <c r="UK16" s="672"/>
      <c r="UL16" s="672"/>
      <c r="UM16" s="672"/>
      <c r="UN16" s="672"/>
      <c r="UO16" s="672"/>
      <c r="UP16" s="672"/>
      <c r="UQ16" s="672"/>
      <c r="UR16" s="672"/>
      <c r="US16" s="672"/>
      <c r="UT16" s="672"/>
      <c r="UU16" s="672"/>
      <c r="UV16" s="672"/>
      <c r="UW16" s="672"/>
      <c r="UX16" s="672"/>
      <c r="UY16" s="672"/>
      <c r="UZ16" s="672"/>
      <c r="VA16" s="672"/>
      <c r="VB16" s="672"/>
      <c r="VC16" s="672"/>
      <c r="VD16" s="672"/>
      <c r="VE16" s="672"/>
      <c r="VF16" s="672"/>
      <c r="VG16" s="672"/>
      <c r="VH16" s="672"/>
      <c r="VI16" s="672"/>
      <c r="VJ16" s="672"/>
      <c r="VK16" s="672"/>
      <c r="VL16" s="672"/>
      <c r="VM16" s="672"/>
      <c r="VN16" s="672"/>
      <c r="VO16" s="672"/>
      <c r="VP16" s="672"/>
      <c r="VQ16" s="672"/>
      <c r="VR16" s="672"/>
      <c r="VS16" s="672"/>
      <c r="VT16" s="672"/>
      <c r="VU16" s="672"/>
      <c r="VV16" s="672"/>
      <c r="VW16" s="672"/>
      <c r="VX16" s="672"/>
      <c r="VY16" s="672"/>
      <c r="VZ16" s="672"/>
      <c r="WA16" s="672"/>
      <c r="WB16" s="672"/>
      <c r="WC16" s="672"/>
      <c r="WD16" s="672"/>
      <c r="WE16" s="672"/>
      <c r="WF16" s="672"/>
      <c r="WG16" s="672"/>
      <c r="WH16" s="672"/>
      <c r="WI16" s="672"/>
      <c r="WJ16" s="672"/>
      <c r="WK16" s="672"/>
      <c r="WL16" s="672"/>
      <c r="WM16" s="672"/>
      <c r="WN16" s="672"/>
      <c r="WO16" s="672"/>
      <c r="WP16" s="672"/>
      <c r="WQ16" s="672"/>
      <c r="WR16" s="672"/>
      <c r="WS16" s="672"/>
      <c r="WT16" s="672"/>
      <c r="WU16" s="672"/>
      <c r="WV16" s="672"/>
      <c r="WW16" s="672"/>
      <c r="WX16" s="672"/>
      <c r="WY16" s="672"/>
      <c r="WZ16" s="672"/>
      <c r="XA16" s="672"/>
      <c r="XB16" s="672"/>
      <c r="XC16" s="672"/>
      <c r="XD16" s="672"/>
      <c r="XE16" s="672"/>
      <c r="XF16" s="672"/>
      <c r="XG16" s="672"/>
      <c r="XH16" s="672"/>
      <c r="XI16" s="672"/>
      <c r="XJ16" s="672"/>
      <c r="XK16" s="672"/>
      <c r="XL16" s="672"/>
      <c r="XM16" s="672"/>
      <c r="XN16" s="672"/>
      <c r="XO16" s="672"/>
      <c r="XP16" s="672"/>
      <c r="XQ16" s="672"/>
      <c r="XR16" s="672"/>
      <c r="XS16" s="672"/>
      <c r="XT16" s="672"/>
      <c r="XU16" s="672"/>
      <c r="XV16" s="672"/>
      <c r="XW16" s="672"/>
      <c r="XX16" s="672"/>
      <c r="XY16" s="672"/>
      <c r="XZ16" s="672"/>
      <c r="YA16" s="672"/>
      <c r="YB16" s="672"/>
      <c r="YC16" s="672"/>
      <c r="YD16" s="672"/>
      <c r="YE16" s="672"/>
      <c r="YF16" s="672"/>
      <c r="YG16" s="672"/>
      <c r="YH16" s="672"/>
      <c r="YI16" s="672"/>
      <c r="YJ16" s="672"/>
      <c r="YK16" s="672"/>
      <c r="YL16" s="672"/>
      <c r="YM16" s="672"/>
      <c r="YN16" s="672"/>
      <c r="YO16" s="672"/>
      <c r="YP16" s="672"/>
      <c r="YQ16" s="672"/>
      <c r="YR16" s="672"/>
      <c r="YS16" s="672"/>
      <c r="YT16" s="672"/>
      <c r="YU16" s="672"/>
      <c r="YV16" s="672"/>
      <c r="YW16" s="672"/>
      <c r="YX16" s="672"/>
      <c r="YY16" s="672"/>
      <c r="YZ16" s="672"/>
      <c r="ZA16" s="672"/>
      <c r="ZB16" s="672"/>
      <c r="ZC16" s="672"/>
      <c r="ZD16" s="672"/>
    </row>
    <row r="17" spans="1:680" s="87" customFormat="1">
      <c r="A17" s="120"/>
      <c r="B17" s="90"/>
      <c r="C17" s="416" t="s">
        <v>6</v>
      </c>
      <c r="D17" s="670">
        <v>0.51200000000000001</v>
      </c>
      <c r="E17" s="670">
        <v>0.51200000000000001</v>
      </c>
      <c r="F17" s="670">
        <v>1.964</v>
      </c>
      <c r="G17" s="670">
        <f>(1.964-0.110863-0.76082+0.78025)</f>
        <v>1.8725670000000001</v>
      </c>
      <c r="H17" s="670">
        <f>(1.964-0.110863-0.76082+0.78025)</f>
        <v>1.8725670000000001</v>
      </c>
      <c r="I17" s="670">
        <f>H17</f>
        <v>1.8725670000000001</v>
      </c>
      <c r="J17" s="670">
        <f>I17</f>
        <v>1.8725670000000001</v>
      </c>
      <c r="K17" s="670">
        <f>J17</f>
        <v>1.8725670000000001</v>
      </c>
      <c r="L17" s="670">
        <f>K17</f>
        <v>1.8725670000000001</v>
      </c>
      <c r="M17" s="670">
        <v>2.27920547</v>
      </c>
      <c r="N17" s="670">
        <v>2.27920547</v>
      </c>
      <c r="O17" s="670">
        <v>2.27920547</v>
      </c>
      <c r="P17" s="670">
        <v>2.27920547</v>
      </c>
      <c r="Q17" s="670">
        <v>2.27920547</v>
      </c>
      <c r="R17" s="670">
        <v>2.2826609600000003</v>
      </c>
      <c r="S17" s="670">
        <v>2.2826609600000003</v>
      </c>
      <c r="T17" s="670">
        <v>2.2826609600000003</v>
      </c>
      <c r="U17" s="670">
        <v>2.2826609600000003</v>
      </c>
      <c r="V17" s="670">
        <v>0.52166434000000006</v>
      </c>
      <c r="W17" s="670">
        <v>0.52166434000000006</v>
      </c>
      <c r="X17" s="670">
        <v>0.52166434000000006</v>
      </c>
      <c r="Y17" s="670">
        <v>0.52166434000000006</v>
      </c>
      <c r="Z17" s="670">
        <v>0.52166434000000006</v>
      </c>
      <c r="AA17" s="670">
        <v>0.52166434000000006</v>
      </c>
      <c r="AB17" s="670">
        <v>0.52166434000000006</v>
      </c>
      <c r="AC17" s="670">
        <v>0.52299251000000002</v>
      </c>
      <c r="AD17" s="670">
        <v>0.52299251000000002</v>
      </c>
      <c r="AE17" s="670">
        <v>0.52299251000000002</v>
      </c>
      <c r="AF17" s="670">
        <v>0.52299251000000002</v>
      </c>
      <c r="AG17" s="670">
        <v>0.52299251000000002</v>
      </c>
      <c r="AH17" s="670">
        <v>0.52299251000000002</v>
      </c>
      <c r="AI17" s="670">
        <v>0.52299251000000002</v>
      </c>
      <c r="AJ17" s="670">
        <v>0.52299251000000002</v>
      </c>
      <c r="AK17" s="670">
        <v>0.52299251000000002</v>
      </c>
      <c r="AL17" s="670">
        <v>0.52299251000000002</v>
      </c>
      <c r="AM17" s="670">
        <v>0.52299251000000002</v>
      </c>
      <c r="AN17" s="670">
        <v>0.52299251000000002</v>
      </c>
      <c r="AO17" s="670">
        <v>0.52299251000000002</v>
      </c>
      <c r="AP17" s="670">
        <v>0.52299251000000002</v>
      </c>
      <c r="AQ17" s="670">
        <v>0.52299251000000002</v>
      </c>
      <c r="AR17" s="416">
        <v>0.52299251000000002</v>
      </c>
      <c r="AS17" s="416">
        <v>0.52299251000000002</v>
      </c>
      <c r="AT17" s="416">
        <v>0.52299251000000002</v>
      </c>
      <c r="AU17" s="416">
        <v>0.52299251000000002</v>
      </c>
      <c r="AV17" s="416">
        <v>0.52299251000000002</v>
      </c>
      <c r="AW17" s="416"/>
      <c r="AX17" s="416"/>
      <c r="AY17" s="416"/>
      <c r="AZ17" s="416"/>
      <c r="BA17" s="416"/>
      <c r="BB17" s="416"/>
      <c r="BC17" s="416"/>
      <c r="BD17" s="416"/>
      <c r="BE17" s="416"/>
      <c r="BF17" s="416"/>
      <c r="BG17" s="416"/>
      <c r="BH17" s="416"/>
      <c r="BI17" s="416"/>
      <c r="BJ17" s="416"/>
      <c r="BK17" s="416"/>
      <c r="BL17" s="416"/>
      <c r="BM17" s="416"/>
      <c r="BN17" s="416"/>
      <c r="BO17" s="416"/>
      <c r="BP17" s="416"/>
      <c r="BQ17" s="416"/>
      <c r="BR17" s="416"/>
      <c r="BS17" s="416"/>
      <c r="BT17" s="416"/>
      <c r="BU17" s="416"/>
      <c r="BV17" s="416"/>
      <c r="BW17" s="416"/>
      <c r="BX17" s="416"/>
      <c r="BY17" s="416"/>
      <c r="BZ17" s="416"/>
      <c r="CA17" s="416"/>
      <c r="CB17" s="416"/>
      <c r="CC17" s="416"/>
      <c r="CD17" s="416"/>
      <c r="CE17" s="416"/>
      <c r="CF17" s="416"/>
      <c r="CG17" s="416"/>
      <c r="CH17" s="416"/>
      <c r="CI17" s="416"/>
      <c r="CJ17" s="416"/>
      <c r="CK17" s="416"/>
      <c r="CL17" s="416"/>
      <c r="CM17" s="416"/>
      <c r="CN17" s="416"/>
      <c r="CO17" s="416"/>
      <c r="CP17" s="416"/>
      <c r="CQ17" s="416"/>
      <c r="CR17" s="416"/>
      <c r="CS17" s="416"/>
      <c r="CT17" s="416"/>
      <c r="CU17" s="416"/>
      <c r="CV17" s="416"/>
      <c r="CW17" s="416"/>
      <c r="CX17" s="416"/>
      <c r="CY17" s="416"/>
      <c r="CZ17" s="416"/>
      <c r="DA17" s="416"/>
      <c r="DB17" s="416"/>
      <c r="DC17" s="416"/>
      <c r="DD17" s="416"/>
      <c r="DE17" s="416"/>
      <c r="DF17" s="416"/>
      <c r="DG17" s="416"/>
      <c r="DH17" s="416"/>
      <c r="DI17" s="416"/>
      <c r="DJ17" s="416"/>
      <c r="DK17" s="416"/>
      <c r="DL17" s="416"/>
      <c r="DM17" s="416"/>
      <c r="DN17" s="416"/>
      <c r="DO17" s="416"/>
      <c r="DP17" s="416"/>
      <c r="DQ17" s="416"/>
      <c r="DR17" s="416"/>
      <c r="DS17" s="416"/>
      <c r="DT17" s="416"/>
      <c r="DU17" s="416"/>
      <c r="DV17" s="416"/>
      <c r="DW17" s="416"/>
      <c r="DX17" s="416"/>
      <c r="DY17" s="416"/>
      <c r="DZ17" s="416"/>
      <c r="EA17" s="416"/>
      <c r="EB17" s="416"/>
      <c r="EC17" s="416"/>
      <c r="ED17" s="416"/>
      <c r="EE17" s="416"/>
      <c r="EF17" s="416"/>
      <c r="EG17" s="416"/>
      <c r="EH17" s="416"/>
      <c r="EI17" s="416"/>
      <c r="EJ17" s="416"/>
      <c r="EK17" s="416"/>
      <c r="EL17" s="416"/>
      <c r="EM17" s="416"/>
      <c r="EN17" s="416"/>
      <c r="EO17" s="416"/>
      <c r="EP17" s="416"/>
      <c r="EQ17" s="416"/>
      <c r="ER17" s="416"/>
      <c r="ES17" s="416"/>
      <c r="ET17" s="416"/>
      <c r="EU17" s="416"/>
      <c r="EV17" s="416"/>
      <c r="EW17" s="416"/>
      <c r="EX17" s="416"/>
      <c r="EY17" s="416"/>
      <c r="EZ17" s="416"/>
      <c r="FA17" s="416"/>
      <c r="FB17" s="416"/>
      <c r="FC17" s="416"/>
      <c r="FD17" s="416"/>
      <c r="FE17" s="416"/>
      <c r="FF17" s="416"/>
      <c r="FG17" s="416"/>
      <c r="FH17" s="416"/>
      <c r="FI17" s="416"/>
      <c r="FJ17" s="416"/>
      <c r="FK17" s="416"/>
      <c r="FL17" s="416"/>
      <c r="FM17" s="416"/>
      <c r="FN17" s="416"/>
      <c r="FO17" s="416"/>
      <c r="FP17" s="416"/>
      <c r="FQ17" s="416"/>
      <c r="FR17" s="416"/>
      <c r="FS17" s="416"/>
      <c r="FT17" s="416"/>
      <c r="FU17" s="416"/>
      <c r="FV17" s="416"/>
      <c r="FW17" s="416"/>
      <c r="FX17" s="416"/>
      <c r="FY17" s="416"/>
      <c r="FZ17" s="416"/>
      <c r="GA17" s="416"/>
      <c r="GB17" s="416"/>
      <c r="GC17" s="416"/>
      <c r="GD17" s="416"/>
      <c r="GE17" s="416"/>
      <c r="GF17" s="416"/>
      <c r="GG17" s="416"/>
      <c r="GH17" s="416"/>
      <c r="GI17" s="416"/>
      <c r="GJ17" s="416"/>
      <c r="GK17" s="416"/>
      <c r="GL17" s="416"/>
      <c r="GM17" s="416"/>
      <c r="GN17" s="416"/>
      <c r="GO17" s="416"/>
      <c r="GP17" s="416"/>
      <c r="GQ17" s="416"/>
      <c r="GR17" s="416"/>
      <c r="GS17" s="416"/>
      <c r="GT17" s="416"/>
      <c r="GU17" s="416"/>
      <c r="GV17" s="416"/>
      <c r="GW17" s="416"/>
      <c r="GX17" s="416"/>
      <c r="GY17" s="416"/>
      <c r="GZ17" s="416"/>
      <c r="HA17" s="416"/>
      <c r="HB17" s="416"/>
      <c r="HC17" s="416"/>
      <c r="HD17" s="416"/>
      <c r="HE17" s="416"/>
      <c r="HF17" s="416"/>
      <c r="HG17" s="416"/>
      <c r="HH17" s="416"/>
      <c r="HI17" s="416"/>
      <c r="HJ17" s="416"/>
      <c r="HK17" s="416"/>
      <c r="HL17" s="416"/>
      <c r="HM17" s="416"/>
      <c r="HN17" s="416"/>
      <c r="HO17" s="416"/>
      <c r="HP17" s="416"/>
      <c r="HQ17" s="416"/>
      <c r="HR17" s="416"/>
      <c r="HS17" s="416"/>
      <c r="HT17" s="416"/>
      <c r="HU17" s="416"/>
      <c r="HV17" s="416"/>
      <c r="HW17" s="416"/>
      <c r="HX17" s="416"/>
      <c r="HY17" s="416"/>
      <c r="HZ17" s="416"/>
      <c r="IA17" s="416"/>
      <c r="IB17" s="416"/>
      <c r="IC17" s="416"/>
      <c r="ID17" s="416"/>
      <c r="IE17" s="416"/>
      <c r="IF17" s="416"/>
      <c r="IG17" s="416"/>
      <c r="IH17" s="416"/>
      <c r="II17" s="416"/>
      <c r="IJ17" s="416"/>
      <c r="IK17" s="416"/>
      <c r="IL17" s="416"/>
      <c r="IM17" s="416"/>
      <c r="IN17" s="416"/>
      <c r="IO17" s="416"/>
      <c r="IP17" s="416"/>
      <c r="IQ17" s="416"/>
      <c r="IR17" s="416"/>
      <c r="IS17" s="416"/>
      <c r="IT17" s="416"/>
      <c r="IU17" s="416"/>
      <c r="IV17" s="416"/>
      <c r="IW17" s="416"/>
      <c r="IX17" s="416"/>
      <c r="IY17" s="416"/>
      <c r="IZ17" s="416"/>
      <c r="JA17" s="416"/>
      <c r="JB17" s="416"/>
      <c r="JC17" s="416"/>
      <c r="JD17" s="416"/>
      <c r="JE17" s="416"/>
      <c r="JF17" s="416"/>
      <c r="JG17" s="416"/>
      <c r="JH17" s="416"/>
      <c r="JI17" s="416"/>
      <c r="JJ17" s="416"/>
      <c r="JK17" s="416"/>
      <c r="JL17" s="416"/>
      <c r="JM17" s="416"/>
      <c r="JN17" s="416"/>
      <c r="JO17" s="416"/>
      <c r="JP17" s="416"/>
      <c r="JQ17" s="416"/>
      <c r="JR17" s="416"/>
      <c r="JS17" s="416"/>
      <c r="JT17" s="416"/>
      <c r="JU17" s="416"/>
      <c r="JV17" s="416"/>
      <c r="JW17" s="416"/>
      <c r="JX17" s="416"/>
      <c r="JY17" s="416"/>
      <c r="JZ17" s="416"/>
      <c r="KA17" s="416"/>
      <c r="KB17" s="416"/>
      <c r="KC17" s="416"/>
      <c r="KD17" s="416"/>
      <c r="KE17" s="416"/>
      <c r="KF17" s="416"/>
      <c r="KG17" s="416"/>
      <c r="KH17" s="416"/>
      <c r="KI17" s="416"/>
      <c r="KJ17" s="416"/>
      <c r="KK17" s="416"/>
      <c r="KL17" s="416"/>
      <c r="KM17" s="416"/>
      <c r="KN17" s="416"/>
      <c r="KO17" s="416"/>
      <c r="KP17" s="416"/>
      <c r="KQ17" s="416"/>
      <c r="KR17" s="416"/>
      <c r="KS17" s="416"/>
      <c r="KT17" s="416"/>
      <c r="KU17" s="416"/>
      <c r="KV17" s="416"/>
      <c r="KW17" s="416"/>
      <c r="KX17" s="416"/>
      <c r="KY17" s="416"/>
      <c r="KZ17" s="416"/>
      <c r="LA17" s="416"/>
      <c r="LB17" s="416"/>
      <c r="LC17" s="416"/>
      <c r="LD17" s="416"/>
      <c r="LE17" s="416"/>
      <c r="LF17" s="416"/>
      <c r="LG17" s="416"/>
      <c r="LH17" s="416"/>
      <c r="LI17" s="416"/>
      <c r="LJ17" s="416"/>
      <c r="LK17" s="416"/>
      <c r="LL17" s="416"/>
      <c r="LM17" s="416"/>
      <c r="LN17" s="416"/>
      <c r="LO17" s="416"/>
      <c r="LP17" s="416"/>
      <c r="LQ17" s="416"/>
      <c r="LR17" s="416"/>
      <c r="LS17" s="416"/>
      <c r="LT17" s="416"/>
      <c r="LU17" s="416"/>
      <c r="LV17" s="416"/>
      <c r="LW17" s="416"/>
      <c r="LX17" s="416"/>
      <c r="LY17" s="416"/>
      <c r="LZ17" s="416"/>
      <c r="MA17" s="416"/>
      <c r="MB17" s="416"/>
      <c r="MC17" s="416"/>
      <c r="MD17" s="416"/>
      <c r="ME17" s="416"/>
      <c r="MF17" s="416"/>
      <c r="MG17" s="416"/>
      <c r="MH17" s="416"/>
      <c r="MI17" s="416"/>
      <c r="MJ17" s="416"/>
      <c r="MK17" s="416"/>
      <c r="ML17" s="416"/>
      <c r="MM17" s="416"/>
      <c r="MN17" s="416"/>
      <c r="MO17" s="416"/>
      <c r="MP17" s="416"/>
      <c r="MQ17" s="416"/>
      <c r="MR17" s="416"/>
      <c r="MS17" s="416"/>
      <c r="MT17" s="416"/>
      <c r="MU17" s="416"/>
      <c r="MV17" s="416"/>
      <c r="MW17" s="416"/>
      <c r="MX17" s="416"/>
      <c r="MY17" s="416"/>
      <c r="MZ17" s="416"/>
      <c r="NA17" s="416"/>
      <c r="NB17" s="416"/>
      <c r="NC17" s="416"/>
      <c r="ND17" s="416"/>
      <c r="NE17" s="416"/>
      <c r="NF17" s="416"/>
      <c r="NG17" s="416"/>
      <c r="NH17" s="416"/>
      <c r="NI17" s="416"/>
      <c r="NJ17" s="416"/>
      <c r="NK17" s="416"/>
      <c r="NL17" s="416"/>
      <c r="NM17" s="416"/>
      <c r="NN17" s="416"/>
      <c r="NO17" s="416"/>
      <c r="NP17" s="416"/>
      <c r="NQ17" s="416"/>
      <c r="NR17" s="416"/>
      <c r="NS17" s="416"/>
      <c r="NT17" s="416"/>
      <c r="NU17" s="416"/>
      <c r="NV17" s="416"/>
      <c r="NW17" s="416"/>
      <c r="NX17" s="416"/>
      <c r="NY17" s="416"/>
      <c r="NZ17" s="416"/>
      <c r="OA17" s="416"/>
      <c r="OB17" s="416"/>
      <c r="OC17" s="416"/>
      <c r="OD17" s="416"/>
      <c r="OE17" s="416"/>
      <c r="OF17" s="416"/>
      <c r="OG17" s="416"/>
      <c r="OH17" s="416"/>
      <c r="OI17" s="416"/>
      <c r="OJ17" s="416"/>
      <c r="OK17" s="416"/>
      <c r="OL17" s="416"/>
      <c r="OM17" s="416"/>
      <c r="ON17" s="416"/>
      <c r="OO17" s="416"/>
      <c r="OP17" s="416"/>
      <c r="OQ17" s="416"/>
      <c r="OR17" s="416"/>
      <c r="OS17" s="416"/>
      <c r="OT17" s="416"/>
      <c r="OU17" s="416"/>
      <c r="OV17" s="416"/>
      <c r="OW17" s="416"/>
      <c r="OX17" s="416"/>
      <c r="OY17" s="416"/>
      <c r="OZ17" s="416"/>
      <c r="PA17" s="416"/>
      <c r="PB17" s="416"/>
      <c r="PC17" s="416"/>
      <c r="PD17" s="416"/>
      <c r="PE17" s="416"/>
      <c r="PF17" s="416"/>
      <c r="PG17" s="416"/>
      <c r="PH17" s="416"/>
      <c r="PI17" s="416"/>
      <c r="PJ17" s="416"/>
      <c r="PK17" s="416"/>
      <c r="PL17" s="416"/>
      <c r="PM17" s="416"/>
      <c r="PN17" s="416"/>
      <c r="PO17" s="416"/>
      <c r="PP17" s="416"/>
      <c r="PQ17" s="416"/>
      <c r="PR17" s="416"/>
      <c r="PS17" s="416"/>
      <c r="PT17" s="416"/>
      <c r="PU17" s="416"/>
      <c r="PV17" s="416"/>
      <c r="PW17" s="416"/>
      <c r="PX17" s="416"/>
      <c r="PY17" s="416"/>
      <c r="PZ17" s="416"/>
      <c r="QA17" s="416"/>
      <c r="QB17" s="416"/>
      <c r="QC17" s="416"/>
      <c r="QD17" s="416"/>
      <c r="QE17" s="416"/>
      <c r="QF17" s="416"/>
      <c r="QG17" s="416"/>
      <c r="QH17" s="416"/>
      <c r="QI17" s="416"/>
      <c r="QJ17" s="416"/>
      <c r="QK17" s="416"/>
      <c r="QL17" s="416"/>
      <c r="QM17" s="416"/>
      <c r="QN17" s="416"/>
      <c r="QO17" s="416"/>
      <c r="QP17" s="416"/>
      <c r="QQ17" s="416"/>
      <c r="QR17" s="416"/>
      <c r="QS17" s="416"/>
      <c r="QT17" s="416"/>
      <c r="QU17" s="416"/>
      <c r="QV17" s="416"/>
      <c r="QW17" s="416"/>
      <c r="QX17" s="416"/>
      <c r="QY17" s="416"/>
      <c r="QZ17" s="416"/>
      <c r="RA17" s="416"/>
      <c r="RB17" s="416"/>
      <c r="RC17" s="416"/>
      <c r="RD17" s="416"/>
      <c r="RE17" s="670">
        <v>2.71685629</v>
      </c>
      <c r="RF17" s="670">
        <v>2.71685629</v>
      </c>
      <c r="RG17" s="670">
        <f>$D$61</f>
        <v>0</v>
      </c>
      <c r="RH17" s="670">
        <v>2.71685629</v>
      </c>
      <c r="RI17" s="670">
        <v>2.71685629</v>
      </c>
      <c r="RJ17" s="670">
        <v>2.71685629</v>
      </c>
      <c r="RK17" s="670">
        <v>2.71685629</v>
      </c>
      <c r="RL17" s="670">
        <v>2.71685629</v>
      </c>
      <c r="RM17" s="670">
        <v>2.71685629</v>
      </c>
      <c r="RN17" s="670">
        <v>2.71685629</v>
      </c>
      <c r="RO17" s="670">
        <v>2.71685629</v>
      </c>
      <c r="RP17" s="670">
        <v>2.71685629</v>
      </c>
      <c r="RQ17" s="670">
        <v>2.71685629</v>
      </c>
      <c r="RR17" s="670">
        <v>2.71685629</v>
      </c>
      <c r="RS17" s="670">
        <v>2.71685629</v>
      </c>
      <c r="RT17" s="670">
        <v>2.71685629</v>
      </c>
      <c r="RU17" s="670">
        <v>2.71685629</v>
      </c>
      <c r="RV17" s="670">
        <v>2.71685629</v>
      </c>
      <c r="RW17" s="670">
        <v>2.71685629</v>
      </c>
      <c r="RX17" s="670">
        <v>2.71685629</v>
      </c>
      <c r="RY17" s="670">
        <v>2.71685629</v>
      </c>
      <c r="RZ17" s="670">
        <v>2.71685629</v>
      </c>
      <c r="SA17" s="670">
        <v>2.71685629</v>
      </c>
      <c r="SB17" s="670">
        <v>2.71685629</v>
      </c>
      <c r="SC17" s="670">
        <v>2.71685629</v>
      </c>
      <c r="SD17" s="670">
        <v>2.71685629</v>
      </c>
      <c r="SE17" s="670">
        <v>2.71685629</v>
      </c>
      <c r="SF17" s="670">
        <f>$D$61</f>
        <v>0</v>
      </c>
      <c r="SG17" s="670">
        <v>2.71685629</v>
      </c>
      <c r="SH17" s="670">
        <v>2.71685629</v>
      </c>
      <c r="SI17" s="670">
        <v>2.71685629</v>
      </c>
      <c r="SJ17" s="670">
        <v>2.71685629</v>
      </c>
      <c r="SK17" s="670">
        <v>2.71685629</v>
      </c>
      <c r="SL17" s="670">
        <v>2.71685629</v>
      </c>
      <c r="SM17" s="670">
        <v>2.71685629</v>
      </c>
      <c r="SN17" s="670">
        <v>2.71685629</v>
      </c>
      <c r="SO17" s="670">
        <v>2.71685629</v>
      </c>
      <c r="SP17" s="670">
        <v>2.71685629</v>
      </c>
      <c r="SQ17" s="670">
        <v>2.71685629</v>
      </c>
      <c r="SR17" s="670">
        <v>2.71685629</v>
      </c>
      <c r="SS17" s="670">
        <v>2.71685629</v>
      </c>
      <c r="ST17" s="670">
        <v>2.71685629</v>
      </c>
      <c r="SU17" s="670">
        <v>2.71685629</v>
      </c>
      <c r="SV17" s="670">
        <v>2.71685629</v>
      </c>
      <c r="SW17" s="670">
        <v>2.71685629</v>
      </c>
      <c r="SX17" s="670">
        <v>2.71685629</v>
      </c>
      <c r="SY17" s="670">
        <v>2.71685629</v>
      </c>
      <c r="SZ17" s="670">
        <v>2.71685629</v>
      </c>
      <c r="TA17" s="670">
        <v>2.71685629</v>
      </c>
      <c r="TB17" s="670">
        <v>2.71685629</v>
      </c>
      <c r="TC17" s="670">
        <v>2.71685629</v>
      </c>
      <c r="TD17" s="670">
        <v>2.71685629</v>
      </c>
      <c r="TE17" s="670">
        <f>$D$61</f>
        <v>0</v>
      </c>
      <c r="TF17" s="670">
        <v>2.71685629</v>
      </c>
      <c r="TG17" s="670">
        <v>2.71685629</v>
      </c>
      <c r="TH17" s="670">
        <v>2.71685629</v>
      </c>
      <c r="TI17" s="670">
        <v>2.71685629</v>
      </c>
      <c r="TJ17" s="670">
        <v>2.71685629</v>
      </c>
      <c r="TK17" s="670">
        <v>2.71685629</v>
      </c>
      <c r="TL17" s="670">
        <v>2.71685629</v>
      </c>
      <c r="TM17" s="670">
        <v>2.71685629</v>
      </c>
      <c r="TN17" s="670">
        <v>2.71685629</v>
      </c>
      <c r="TO17" s="670">
        <v>2.71685629</v>
      </c>
      <c r="TP17" s="670">
        <v>2.71685629</v>
      </c>
      <c r="TQ17" s="670">
        <v>2.71685629</v>
      </c>
      <c r="TR17" s="670">
        <v>2.71685629</v>
      </c>
      <c r="TS17" s="670">
        <v>2.71685629</v>
      </c>
      <c r="TT17" s="670">
        <v>2.71685629</v>
      </c>
      <c r="TU17" s="670">
        <v>2.71685629</v>
      </c>
      <c r="TV17" s="670">
        <v>2.71685629</v>
      </c>
      <c r="TW17" s="670">
        <v>2.71685629</v>
      </c>
      <c r="TX17" s="670">
        <v>2.71685629</v>
      </c>
      <c r="TY17" s="670">
        <v>2.71685629</v>
      </c>
      <c r="TZ17" s="670">
        <v>2.71685629</v>
      </c>
      <c r="UA17" s="670">
        <v>2.71685629</v>
      </c>
      <c r="UB17" s="670">
        <v>2.71685629</v>
      </c>
      <c r="UC17" s="670">
        <v>2.71685629</v>
      </c>
      <c r="UD17" s="670">
        <v>2.71685629</v>
      </c>
      <c r="UE17" s="670">
        <v>2.71685629</v>
      </c>
      <c r="UF17" s="670">
        <v>2.71685629</v>
      </c>
      <c r="UG17" s="670">
        <v>2.71685629</v>
      </c>
      <c r="UH17" s="670">
        <v>2.71685629</v>
      </c>
      <c r="UI17" s="670">
        <v>2.71685629</v>
      </c>
      <c r="UJ17" s="670">
        <v>2.71685629</v>
      </c>
      <c r="UK17" s="670">
        <v>2.71685629</v>
      </c>
      <c r="UL17" s="670">
        <v>2.71685629</v>
      </c>
      <c r="UM17" s="670">
        <v>2.71685629</v>
      </c>
      <c r="UN17" s="670">
        <v>2.71685629</v>
      </c>
      <c r="UO17" s="670">
        <v>2.71685629</v>
      </c>
      <c r="UP17" s="670">
        <v>2.71685629</v>
      </c>
      <c r="UQ17" s="670">
        <v>2.71685629</v>
      </c>
      <c r="UR17" s="670">
        <v>2.71685629</v>
      </c>
      <c r="US17" s="670">
        <v>0</v>
      </c>
      <c r="UT17" s="670">
        <v>0</v>
      </c>
      <c r="UU17" s="670">
        <v>0</v>
      </c>
      <c r="UV17" s="670">
        <v>0</v>
      </c>
      <c r="UW17" s="670">
        <v>0</v>
      </c>
      <c r="UX17" s="670">
        <v>0</v>
      </c>
      <c r="UY17" s="670">
        <v>0</v>
      </c>
      <c r="UZ17" s="670">
        <v>0</v>
      </c>
      <c r="VA17" s="670">
        <v>0</v>
      </c>
      <c r="VB17" s="670">
        <v>0</v>
      </c>
      <c r="VC17" s="670">
        <v>0</v>
      </c>
      <c r="VD17" s="670">
        <v>0</v>
      </c>
      <c r="VE17" s="670">
        <v>0</v>
      </c>
      <c r="VF17" s="670">
        <v>0</v>
      </c>
      <c r="VG17" s="670">
        <v>0</v>
      </c>
      <c r="VH17" s="670">
        <v>0</v>
      </c>
      <c r="VI17" s="670">
        <v>0</v>
      </c>
      <c r="VJ17" s="670">
        <f>$D$61</f>
        <v>0</v>
      </c>
      <c r="VK17" s="670">
        <v>0</v>
      </c>
      <c r="VL17" s="670">
        <v>0</v>
      </c>
      <c r="VM17" s="670">
        <v>0</v>
      </c>
      <c r="VN17" s="670">
        <v>0</v>
      </c>
      <c r="VO17" s="670">
        <v>0</v>
      </c>
      <c r="VP17" s="670">
        <v>0</v>
      </c>
      <c r="VQ17" s="670">
        <v>0</v>
      </c>
      <c r="VR17" s="670">
        <v>0</v>
      </c>
      <c r="VS17" s="670">
        <v>0</v>
      </c>
      <c r="VT17" s="670">
        <v>0</v>
      </c>
      <c r="VU17" s="670">
        <v>0</v>
      </c>
      <c r="VV17" s="670">
        <v>0</v>
      </c>
      <c r="VW17" s="670">
        <v>0</v>
      </c>
      <c r="VX17" s="670">
        <v>0</v>
      </c>
      <c r="VY17" s="670">
        <v>0</v>
      </c>
      <c r="VZ17" s="670">
        <v>0</v>
      </c>
      <c r="WA17" s="670">
        <v>0</v>
      </c>
      <c r="WB17" s="670">
        <v>0</v>
      </c>
      <c r="WC17" s="670">
        <v>0</v>
      </c>
      <c r="WD17" s="670">
        <v>0</v>
      </c>
      <c r="WE17" s="670">
        <v>0</v>
      </c>
      <c r="WF17" s="670">
        <v>0</v>
      </c>
      <c r="WG17" s="670">
        <v>0</v>
      </c>
      <c r="WH17" s="670">
        <v>0</v>
      </c>
      <c r="WI17" s="670">
        <v>0</v>
      </c>
      <c r="WJ17" s="670">
        <v>0</v>
      </c>
      <c r="WK17" s="670">
        <v>0</v>
      </c>
      <c r="WL17" s="670">
        <v>0</v>
      </c>
      <c r="WM17" s="670">
        <v>0</v>
      </c>
      <c r="WN17" s="670">
        <v>0</v>
      </c>
      <c r="WO17" s="670">
        <v>0</v>
      </c>
      <c r="WP17" s="670">
        <v>0</v>
      </c>
      <c r="WQ17" s="670">
        <v>0</v>
      </c>
      <c r="WR17" s="670">
        <f>$D$61</f>
        <v>0</v>
      </c>
      <c r="WS17" s="670">
        <v>0</v>
      </c>
      <c r="WT17" s="670">
        <v>0</v>
      </c>
      <c r="WU17" s="670">
        <v>0</v>
      </c>
      <c r="WV17" s="670">
        <v>0</v>
      </c>
      <c r="WW17" s="670">
        <v>0</v>
      </c>
      <c r="WX17" s="670">
        <v>0</v>
      </c>
      <c r="WY17" s="670">
        <v>0</v>
      </c>
      <c r="WZ17" s="670">
        <v>0</v>
      </c>
      <c r="XA17" s="670">
        <v>0</v>
      </c>
      <c r="XB17" s="670">
        <v>0</v>
      </c>
      <c r="XC17" s="670">
        <v>0</v>
      </c>
      <c r="XD17" s="670">
        <v>0</v>
      </c>
      <c r="XE17" s="670">
        <v>0</v>
      </c>
      <c r="XF17" s="670">
        <v>0</v>
      </c>
      <c r="XG17" s="670">
        <v>0</v>
      </c>
      <c r="XH17" s="670">
        <v>0</v>
      </c>
      <c r="XI17" s="670">
        <v>0</v>
      </c>
      <c r="XJ17" s="670">
        <v>0</v>
      </c>
      <c r="XK17" s="670">
        <v>0</v>
      </c>
      <c r="XL17" s="670">
        <v>0</v>
      </c>
      <c r="XM17" s="670">
        <v>0</v>
      </c>
      <c r="XN17" s="670">
        <v>0</v>
      </c>
      <c r="XO17" s="670">
        <v>0</v>
      </c>
      <c r="XP17" s="670">
        <v>0</v>
      </c>
      <c r="XQ17" s="670">
        <v>0</v>
      </c>
      <c r="XR17" s="670">
        <v>0</v>
      </c>
      <c r="XS17" s="670">
        <v>0</v>
      </c>
      <c r="XT17" s="670">
        <f>$D$61</f>
        <v>0</v>
      </c>
      <c r="XU17" s="670">
        <v>0</v>
      </c>
      <c r="XV17" s="670">
        <v>0</v>
      </c>
      <c r="XW17" s="670">
        <v>0</v>
      </c>
      <c r="XX17" s="670">
        <v>0</v>
      </c>
      <c r="XY17" s="670">
        <v>0</v>
      </c>
      <c r="XZ17" s="670">
        <v>0</v>
      </c>
      <c r="YA17" s="670">
        <v>0</v>
      </c>
      <c r="YB17" s="670">
        <v>0</v>
      </c>
      <c r="YC17" s="670">
        <v>0</v>
      </c>
      <c r="YD17" s="670">
        <v>0</v>
      </c>
      <c r="YE17" s="670">
        <v>0</v>
      </c>
      <c r="YF17" s="670">
        <v>0</v>
      </c>
      <c r="YG17" s="670">
        <v>0</v>
      </c>
      <c r="YH17" s="670">
        <v>0</v>
      </c>
      <c r="YI17" s="670">
        <v>0</v>
      </c>
      <c r="YJ17" s="670">
        <v>0</v>
      </c>
      <c r="YK17" s="670">
        <v>0</v>
      </c>
      <c r="YL17" s="670">
        <v>0</v>
      </c>
      <c r="YM17" s="670">
        <f>$D$61</f>
        <v>0</v>
      </c>
      <c r="YN17" s="670">
        <v>0</v>
      </c>
      <c r="YO17" s="670">
        <v>0</v>
      </c>
      <c r="YP17" s="670">
        <v>0</v>
      </c>
      <c r="YQ17" s="670">
        <v>0</v>
      </c>
      <c r="YR17" s="670">
        <v>0</v>
      </c>
      <c r="YS17" s="670">
        <v>0</v>
      </c>
      <c r="YT17" s="670">
        <v>0</v>
      </c>
      <c r="YU17" s="670">
        <v>0</v>
      </c>
      <c r="YV17" s="670">
        <v>0</v>
      </c>
      <c r="YW17" s="670">
        <v>0</v>
      </c>
      <c r="YX17" s="670">
        <v>0</v>
      </c>
      <c r="YY17" s="670">
        <v>0</v>
      </c>
      <c r="YZ17" s="670">
        <v>0</v>
      </c>
      <c r="ZA17" s="670">
        <v>0</v>
      </c>
      <c r="ZB17" s="670">
        <v>0</v>
      </c>
      <c r="ZC17" s="670">
        <v>0</v>
      </c>
      <c r="ZD17" s="670">
        <f>$D$61</f>
        <v>0</v>
      </c>
    </row>
    <row r="18" spans="1:680" s="87" customFormat="1">
      <c r="A18" s="120"/>
      <c r="B18" s="91"/>
      <c r="C18" s="417" t="s">
        <v>7</v>
      </c>
      <c r="D18" s="673">
        <v>2E-3</v>
      </c>
      <c r="E18" s="673">
        <v>2E-3</v>
      </c>
      <c r="F18" s="673">
        <v>2E-3</v>
      </c>
      <c r="G18" s="673">
        <v>2E-3</v>
      </c>
      <c r="H18" s="673">
        <v>2E-3</v>
      </c>
      <c r="I18" s="673">
        <v>2E-3</v>
      </c>
      <c r="J18" s="673">
        <v>2E-3</v>
      </c>
      <c r="K18" s="673">
        <v>0.05</v>
      </c>
      <c r="L18" s="673">
        <v>0.05</v>
      </c>
      <c r="M18" s="673">
        <v>8.5906206615500955E-2</v>
      </c>
      <c r="N18" s="673">
        <v>8.5906206615500955E-2</v>
      </c>
      <c r="O18" s="673">
        <v>8.5906206615500955E-2</v>
      </c>
      <c r="P18" s="673">
        <v>8.5906206615500955E-2</v>
      </c>
      <c r="Q18" s="673">
        <v>8.5906206615500955E-2</v>
      </c>
      <c r="R18" s="673">
        <v>4.2729198395717947E-2</v>
      </c>
      <c r="S18" s="673">
        <v>4.2729198395717947E-2</v>
      </c>
      <c r="T18" s="673">
        <v>4.2729198395717947E-2</v>
      </c>
      <c r="U18" s="673">
        <v>4.2729198395717947E-2</v>
      </c>
      <c r="V18" s="673">
        <v>0.03</v>
      </c>
      <c r="W18" s="673">
        <v>0.03</v>
      </c>
      <c r="X18" s="673">
        <v>0.03</v>
      </c>
      <c r="Y18" s="673">
        <v>0.03</v>
      </c>
      <c r="Z18" s="673">
        <v>0.03</v>
      </c>
      <c r="AA18" s="673">
        <v>0.03</v>
      </c>
      <c r="AB18" s="673">
        <v>0.03</v>
      </c>
      <c r="AC18" s="673">
        <v>3.5000000000000001E-3</v>
      </c>
      <c r="AD18" s="673">
        <v>3.5000000000000001E-3</v>
      </c>
      <c r="AE18" s="673">
        <v>3.5000000000000001E-3</v>
      </c>
      <c r="AF18" s="673">
        <v>3.5000000000000001E-3</v>
      </c>
      <c r="AG18" s="673">
        <v>3.5000000000000001E-3</v>
      </c>
      <c r="AH18" s="673">
        <v>3.5000000000000001E-3</v>
      </c>
      <c r="AI18" s="673">
        <v>3.5000000000000001E-3</v>
      </c>
      <c r="AJ18" s="673">
        <v>3.5000000000000001E-3</v>
      </c>
      <c r="AK18" s="673">
        <v>3.5000000000000001E-3</v>
      </c>
      <c r="AL18" s="673">
        <v>3.5000000000000001E-3</v>
      </c>
      <c r="AM18" s="673">
        <v>3.5000000000000001E-3</v>
      </c>
      <c r="AN18" s="673">
        <v>3.5000000000000001E-3</v>
      </c>
      <c r="AO18" s="673">
        <v>3.5000000000000001E-3</v>
      </c>
      <c r="AP18" s="673">
        <v>3.5000000000000001E-3</v>
      </c>
      <c r="AQ18" s="673">
        <v>3.5000000000000001E-3</v>
      </c>
      <c r="AR18" s="673">
        <v>3.5000000000000001E-3</v>
      </c>
      <c r="AS18" s="673">
        <v>3.5000000000000001E-3</v>
      </c>
      <c r="AT18" s="673">
        <v>3.5000000000000001E-3</v>
      </c>
      <c r="AU18" s="673">
        <v>3.5000000000000001E-3</v>
      </c>
      <c r="AV18" s="673">
        <v>3.5000000000000001E-3</v>
      </c>
      <c r="AW18" s="673"/>
      <c r="AX18" s="673"/>
      <c r="AY18" s="673"/>
      <c r="AZ18" s="673"/>
      <c r="BA18" s="673"/>
      <c r="BB18" s="673"/>
      <c r="BC18" s="673"/>
      <c r="BD18" s="673"/>
      <c r="BE18" s="673"/>
      <c r="BF18" s="673"/>
      <c r="BG18" s="673"/>
      <c r="BH18" s="673"/>
      <c r="BI18" s="673"/>
      <c r="BJ18" s="673"/>
      <c r="BK18" s="673"/>
      <c r="BL18" s="673"/>
      <c r="BM18" s="673"/>
      <c r="BN18" s="673"/>
      <c r="BO18" s="673"/>
      <c r="BP18" s="673"/>
      <c r="BQ18" s="673"/>
      <c r="BR18" s="673"/>
      <c r="BS18" s="673"/>
      <c r="BT18" s="673"/>
      <c r="BU18" s="673"/>
      <c r="BV18" s="673"/>
      <c r="BW18" s="673"/>
      <c r="BX18" s="673"/>
      <c r="BY18" s="673"/>
      <c r="BZ18" s="673"/>
      <c r="CA18" s="673"/>
      <c r="CB18" s="673"/>
      <c r="CC18" s="673"/>
      <c r="CD18" s="673"/>
      <c r="CE18" s="673"/>
      <c r="CF18" s="673"/>
      <c r="CG18" s="673"/>
      <c r="CH18" s="673"/>
      <c r="CI18" s="673"/>
      <c r="CJ18" s="673"/>
      <c r="CK18" s="673"/>
      <c r="CL18" s="673"/>
      <c r="CM18" s="673"/>
      <c r="CN18" s="673"/>
      <c r="CO18" s="673"/>
      <c r="CP18" s="673"/>
      <c r="CQ18" s="673"/>
      <c r="CR18" s="673"/>
      <c r="CS18" s="673"/>
      <c r="CT18" s="673"/>
      <c r="CU18" s="673"/>
      <c r="CV18" s="673"/>
      <c r="CW18" s="673"/>
      <c r="CX18" s="673"/>
      <c r="CY18" s="673"/>
      <c r="CZ18" s="673"/>
      <c r="DA18" s="673"/>
      <c r="DB18" s="673"/>
      <c r="DC18" s="673"/>
      <c r="DD18" s="673"/>
      <c r="DE18" s="673"/>
      <c r="DF18" s="673"/>
      <c r="DG18" s="673"/>
      <c r="DH18" s="673"/>
      <c r="DI18" s="673"/>
      <c r="DJ18" s="673"/>
      <c r="DK18" s="673"/>
      <c r="DL18" s="673"/>
      <c r="DM18" s="673"/>
      <c r="DN18" s="673"/>
      <c r="DO18" s="673"/>
      <c r="DP18" s="673"/>
      <c r="DQ18" s="673"/>
      <c r="DR18" s="673"/>
      <c r="DS18" s="673"/>
      <c r="DT18" s="673"/>
      <c r="DU18" s="673"/>
      <c r="DV18" s="673"/>
      <c r="DW18" s="673"/>
      <c r="DX18" s="673"/>
      <c r="DY18" s="673"/>
      <c r="DZ18" s="673"/>
      <c r="EA18" s="673"/>
      <c r="EB18" s="673"/>
      <c r="EC18" s="673"/>
      <c r="ED18" s="673"/>
      <c r="EE18" s="673"/>
      <c r="EF18" s="673"/>
      <c r="EG18" s="673"/>
      <c r="EH18" s="673"/>
      <c r="EI18" s="673"/>
      <c r="EJ18" s="673"/>
      <c r="EK18" s="673"/>
      <c r="EL18" s="673"/>
      <c r="EM18" s="673"/>
      <c r="EN18" s="673"/>
      <c r="EO18" s="673"/>
      <c r="EP18" s="673"/>
      <c r="EQ18" s="673"/>
      <c r="ER18" s="673"/>
      <c r="ES18" s="673"/>
      <c r="ET18" s="673"/>
      <c r="EU18" s="673"/>
      <c r="EV18" s="673"/>
      <c r="EW18" s="673"/>
      <c r="EX18" s="673"/>
      <c r="EY18" s="673"/>
      <c r="EZ18" s="673"/>
      <c r="FA18" s="673"/>
      <c r="FB18" s="673"/>
      <c r="FC18" s="673"/>
      <c r="FD18" s="673"/>
      <c r="FE18" s="673"/>
      <c r="FF18" s="673"/>
      <c r="FG18" s="673"/>
      <c r="FH18" s="673"/>
      <c r="FI18" s="673"/>
      <c r="FJ18" s="673"/>
      <c r="FK18" s="673"/>
      <c r="FL18" s="673"/>
      <c r="FM18" s="673"/>
      <c r="FN18" s="673"/>
      <c r="FO18" s="673"/>
      <c r="FP18" s="673"/>
      <c r="FQ18" s="673"/>
      <c r="FR18" s="673"/>
      <c r="FS18" s="673"/>
      <c r="FT18" s="673"/>
      <c r="FU18" s="673"/>
      <c r="FV18" s="673"/>
      <c r="FW18" s="673"/>
      <c r="FX18" s="673"/>
      <c r="FY18" s="673"/>
      <c r="FZ18" s="673"/>
      <c r="GA18" s="673"/>
      <c r="GB18" s="673"/>
      <c r="GC18" s="673"/>
      <c r="GD18" s="673"/>
      <c r="GE18" s="673"/>
      <c r="GF18" s="673"/>
      <c r="GG18" s="673"/>
      <c r="GH18" s="673"/>
      <c r="GI18" s="673"/>
      <c r="GJ18" s="673"/>
      <c r="GK18" s="673"/>
      <c r="GL18" s="673"/>
      <c r="GM18" s="673"/>
      <c r="GN18" s="673"/>
      <c r="GO18" s="673"/>
      <c r="GP18" s="673"/>
      <c r="GQ18" s="673"/>
      <c r="GR18" s="673"/>
      <c r="GS18" s="673"/>
      <c r="GT18" s="673"/>
      <c r="GU18" s="673"/>
      <c r="GV18" s="673"/>
      <c r="GW18" s="673"/>
      <c r="GX18" s="673"/>
      <c r="GY18" s="673"/>
      <c r="GZ18" s="673"/>
      <c r="HA18" s="673"/>
      <c r="HB18" s="673"/>
      <c r="HC18" s="673"/>
      <c r="HD18" s="673"/>
      <c r="HE18" s="673"/>
      <c r="HF18" s="673"/>
      <c r="HG18" s="673"/>
      <c r="HH18" s="673"/>
      <c r="HI18" s="673"/>
      <c r="HJ18" s="673"/>
      <c r="HK18" s="673"/>
      <c r="HL18" s="673"/>
      <c r="HM18" s="673"/>
      <c r="HN18" s="673"/>
      <c r="HO18" s="673"/>
      <c r="HP18" s="673"/>
      <c r="HQ18" s="673"/>
      <c r="HR18" s="673"/>
      <c r="HS18" s="673"/>
      <c r="HT18" s="673"/>
      <c r="HU18" s="673"/>
      <c r="HV18" s="673"/>
      <c r="HW18" s="673"/>
      <c r="HX18" s="673"/>
      <c r="HY18" s="673"/>
      <c r="HZ18" s="673"/>
      <c r="IA18" s="673"/>
      <c r="IB18" s="673"/>
      <c r="IC18" s="673"/>
      <c r="ID18" s="673"/>
      <c r="IE18" s="673"/>
      <c r="IF18" s="673"/>
      <c r="IG18" s="673"/>
      <c r="IH18" s="673"/>
      <c r="II18" s="673"/>
      <c r="IJ18" s="673"/>
      <c r="IK18" s="673"/>
      <c r="IL18" s="673"/>
      <c r="IM18" s="673"/>
      <c r="IN18" s="673"/>
      <c r="IO18" s="673"/>
      <c r="IP18" s="673"/>
      <c r="IQ18" s="673"/>
      <c r="IR18" s="673"/>
      <c r="IS18" s="673"/>
      <c r="IT18" s="673"/>
      <c r="IU18" s="673"/>
      <c r="IV18" s="673"/>
      <c r="IW18" s="673"/>
      <c r="IX18" s="673"/>
      <c r="IY18" s="673"/>
      <c r="IZ18" s="673"/>
      <c r="JA18" s="673"/>
      <c r="JB18" s="673"/>
      <c r="JC18" s="673"/>
      <c r="JD18" s="673"/>
      <c r="JE18" s="673"/>
      <c r="JF18" s="673"/>
      <c r="JG18" s="673"/>
      <c r="JH18" s="673"/>
      <c r="JI18" s="673"/>
      <c r="JJ18" s="673"/>
      <c r="JK18" s="673"/>
      <c r="JL18" s="673"/>
      <c r="JM18" s="673"/>
      <c r="JN18" s="673"/>
      <c r="JO18" s="673"/>
      <c r="JP18" s="673"/>
      <c r="JQ18" s="673"/>
      <c r="JR18" s="673"/>
      <c r="JS18" s="673"/>
      <c r="JT18" s="673"/>
      <c r="JU18" s="673"/>
      <c r="JV18" s="673"/>
      <c r="JW18" s="673"/>
      <c r="JX18" s="673"/>
      <c r="JY18" s="673"/>
      <c r="JZ18" s="673"/>
      <c r="KA18" s="673"/>
      <c r="KB18" s="673"/>
      <c r="KC18" s="673"/>
      <c r="KD18" s="673"/>
      <c r="KE18" s="673"/>
      <c r="KF18" s="673"/>
      <c r="KG18" s="673"/>
      <c r="KH18" s="673"/>
      <c r="KI18" s="673"/>
      <c r="KJ18" s="673"/>
      <c r="KK18" s="673"/>
      <c r="KL18" s="673"/>
      <c r="KM18" s="673"/>
      <c r="KN18" s="673"/>
      <c r="KO18" s="673"/>
      <c r="KP18" s="673"/>
      <c r="KQ18" s="673"/>
      <c r="KR18" s="673"/>
      <c r="KS18" s="673"/>
      <c r="KT18" s="673"/>
      <c r="KU18" s="673"/>
      <c r="KV18" s="673"/>
      <c r="KW18" s="673"/>
      <c r="KX18" s="673"/>
      <c r="KY18" s="673"/>
      <c r="KZ18" s="673"/>
      <c r="LA18" s="673"/>
      <c r="LB18" s="673"/>
      <c r="LC18" s="673"/>
      <c r="LD18" s="673"/>
      <c r="LE18" s="673"/>
      <c r="LF18" s="673"/>
      <c r="LG18" s="673"/>
      <c r="LH18" s="673"/>
      <c r="LI18" s="673"/>
      <c r="LJ18" s="673"/>
      <c r="LK18" s="673"/>
      <c r="LL18" s="673"/>
      <c r="LM18" s="673"/>
      <c r="LN18" s="673"/>
      <c r="LO18" s="673"/>
      <c r="LP18" s="673"/>
      <c r="LQ18" s="673"/>
      <c r="LR18" s="673"/>
      <c r="LS18" s="673"/>
      <c r="LT18" s="673"/>
      <c r="LU18" s="673"/>
      <c r="LV18" s="673"/>
      <c r="LW18" s="673"/>
      <c r="LX18" s="673"/>
      <c r="LY18" s="673"/>
      <c r="LZ18" s="673"/>
      <c r="MA18" s="673"/>
      <c r="MB18" s="673"/>
      <c r="MC18" s="673"/>
      <c r="MD18" s="673"/>
      <c r="ME18" s="673"/>
      <c r="MF18" s="673"/>
      <c r="MG18" s="673"/>
      <c r="MH18" s="673"/>
      <c r="MI18" s="673"/>
      <c r="MJ18" s="673"/>
      <c r="MK18" s="673"/>
      <c r="ML18" s="673"/>
      <c r="MM18" s="673"/>
      <c r="MN18" s="673"/>
      <c r="MO18" s="673"/>
      <c r="MP18" s="673"/>
      <c r="MQ18" s="673"/>
      <c r="MR18" s="673"/>
      <c r="MS18" s="673"/>
      <c r="MT18" s="673"/>
      <c r="MU18" s="673"/>
      <c r="MV18" s="673"/>
      <c r="MW18" s="673"/>
      <c r="MX18" s="673"/>
      <c r="MY18" s="673"/>
      <c r="MZ18" s="673"/>
      <c r="NA18" s="673"/>
      <c r="NB18" s="673"/>
      <c r="NC18" s="673"/>
      <c r="ND18" s="673"/>
      <c r="NE18" s="673"/>
      <c r="NF18" s="673"/>
      <c r="NG18" s="673"/>
      <c r="NH18" s="673"/>
      <c r="NI18" s="673"/>
      <c r="NJ18" s="673"/>
      <c r="NK18" s="673"/>
      <c r="NL18" s="673"/>
      <c r="NM18" s="673"/>
      <c r="NN18" s="673"/>
      <c r="NO18" s="673"/>
      <c r="NP18" s="673"/>
      <c r="NQ18" s="673"/>
      <c r="NR18" s="673"/>
      <c r="NS18" s="673"/>
      <c r="NT18" s="673"/>
      <c r="NU18" s="673"/>
      <c r="NV18" s="673"/>
      <c r="NW18" s="673"/>
      <c r="NX18" s="673"/>
      <c r="NY18" s="673"/>
      <c r="NZ18" s="673"/>
      <c r="OA18" s="673"/>
      <c r="OB18" s="673"/>
      <c r="OC18" s="673"/>
      <c r="OD18" s="673"/>
      <c r="OE18" s="673"/>
      <c r="OF18" s="673"/>
      <c r="OG18" s="673"/>
      <c r="OH18" s="673"/>
      <c r="OI18" s="673"/>
      <c r="OJ18" s="673"/>
      <c r="OK18" s="673"/>
      <c r="OL18" s="673"/>
      <c r="OM18" s="673"/>
      <c r="ON18" s="673"/>
      <c r="OO18" s="673"/>
      <c r="OP18" s="673"/>
      <c r="OQ18" s="673"/>
      <c r="OR18" s="673"/>
      <c r="OS18" s="673"/>
      <c r="OT18" s="673"/>
      <c r="OU18" s="673"/>
      <c r="OV18" s="673"/>
      <c r="OW18" s="673"/>
      <c r="OX18" s="673"/>
      <c r="OY18" s="673"/>
      <c r="OZ18" s="673"/>
      <c r="PA18" s="673"/>
      <c r="PB18" s="673"/>
      <c r="PC18" s="673"/>
      <c r="PD18" s="673"/>
      <c r="PE18" s="673"/>
      <c r="PF18" s="673"/>
      <c r="PG18" s="673"/>
      <c r="PH18" s="673"/>
      <c r="PI18" s="673"/>
      <c r="PJ18" s="673"/>
      <c r="PK18" s="673"/>
      <c r="PL18" s="673"/>
      <c r="PM18" s="673"/>
      <c r="PN18" s="673"/>
      <c r="PO18" s="673"/>
      <c r="PP18" s="673"/>
      <c r="PQ18" s="673"/>
      <c r="PR18" s="673"/>
      <c r="PS18" s="673"/>
      <c r="PT18" s="673"/>
      <c r="PU18" s="673"/>
      <c r="PV18" s="673"/>
      <c r="PW18" s="673"/>
      <c r="PX18" s="673"/>
      <c r="PY18" s="673"/>
      <c r="PZ18" s="673"/>
      <c r="QA18" s="673"/>
      <c r="QB18" s="673"/>
      <c r="QC18" s="673"/>
      <c r="QD18" s="673"/>
      <c r="QE18" s="673"/>
      <c r="QF18" s="673"/>
      <c r="QG18" s="673"/>
      <c r="QH18" s="673"/>
      <c r="QI18" s="673"/>
      <c r="QJ18" s="673"/>
      <c r="QK18" s="673"/>
      <c r="QL18" s="673"/>
      <c r="QM18" s="673"/>
      <c r="QN18" s="673"/>
      <c r="QO18" s="673"/>
      <c r="QP18" s="673"/>
      <c r="QQ18" s="673"/>
      <c r="QR18" s="673"/>
      <c r="QS18" s="673"/>
      <c r="QT18" s="673"/>
      <c r="QU18" s="673"/>
      <c r="QV18" s="673"/>
      <c r="QW18" s="673"/>
      <c r="QX18" s="673"/>
      <c r="QY18" s="673"/>
      <c r="QZ18" s="673"/>
      <c r="RA18" s="673"/>
      <c r="RB18" s="673"/>
      <c r="RC18" s="673"/>
      <c r="RD18" s="673"/>
      <c r="RE18" s="673">
        <v>5.0000000000000001E-3</v>
      </c>
      <c r="RF18" s="673">
        <v>2.71685629</v>
      </c>
      <c r="RG18" s="673">
        <f>E61</f>
        <v>0</v>
      </c>
      <c r="RH18" s="673">
        <v>0</v>
      </c>
      <c r="RI18" s="673">
        <v>0</v>
      </c>
      <c r="RJ18" s="673">
        <v>0</v>
      </c>
      <c r="RK18" s="673">
        <v>0</v>
      </c>
      <c r="RL18" s="673">
        <v>0</v>
      </c>
      <c r="RM18" s="673">
        <v>0</v>
      </c>
      <c r="RN18" s="673">
        <v>0</v>
      </c>
      <c r="RO18" s="673">
        <v>0</v>
      </c>
      <c r="RP18" s="673">
        <v>0</v>
      </c>
      <c r="RQ18" s="673">
        <v>0</v>
      </c>
      <c r="RR18" s="673">
        <v>0</v>
      </c>
      <c r="RS18" s="673">
        <v>0</v>
      </c>
      <c r="RT18" s="673">
        <v>0</v>
      </c>
      <c r="RU18" s="673">
        <v>0</v>
      </c>
      <c r="RV18" s="673">
        <v>0</v>
      </c>
      <c r="RW18" s="673">
        <v>0</v>
      </c>
      <c r="RX18" s="673">
        <v>0</v>
      </c>
      <c r="RY18" s="673">
        <v>0</v>
      </c>
      <c r="RZ18" s="673">
        <v>0</v>
      </c>
      <c r="SA18" s="673">
        <v>0</v>
      </c>
      <c r="SB18" s="673">
        <v>0</v>
      </c>
      <c r="SC18" s="673">
        <v>0</v>
      </c>
      <c r="SD18" s="673">
        <v>0</v>
      </c>
      <c r="SE18" s="673">
        <v>0</v>
      </c>
      <c r="SF18" s="673">
        <f>AA61</f>
        <v>0</v>
      </c>
      <c r="SG18" s="673">
        <v>0</v>
      </c>
      <c r="SH18" s="673">
        <v>0</v>
      </c>
      <c r="SI18" s="673">
        <v>0</v>
      </c>
      <c r="SJ18" s="673">
        <v>0</v>
      </c>
      <c r="SK18" s="673">
        <v>0</v>
      </c>
      <c r="SL18" s="673">
        <v>0</v>
      </c>
      <c r="SM18" s="673">
        <v>0</v>
      </c>
      <c r="SN18" s="673">
        <v>0</v>
      </c>
      <c r="SO18" s="673">
        <v>0</v>
      </c>
      <c r="SP18" s="673">
        <v>0</v>
      </c>
      <c r="SQ18" s="673">
        <v>0</v>
      </c>
      <c r="SR18" s="673">
        <v>0</v>
      </c>
      <c r="SS18" s="673">
        <v>0</v>
      </c>
      <c r="ST18" s="673">
        <v>0</v>
      </c>
      <c r="SU18" s="673">
        <v>0</v>
      </c>
      <c r="SV18" s="673">
        <v>0</v>
      </c>
      <c r="SW18" s="673">
        <v>0</v>
      </c>
      <c r="SX18" s="673">
        <v>0</v>
      </c>
      <c r="SY18" s="673">
        <v>0</v>
      </c>
      <c r="SZ18" s="673">
        <v>0</v>
      </c>
      <c r="TA18" s="673">
        <v>0</v>
      </c>
      <c r="TB18" s="673">
        <v>0</v>
      </c>
      <c r="TC18" s="673">
        <v>0</v>
      </c>
      <c r="TD18" s="673">
        <v>0</v>
      </c>
      <c r="TE18" s="673">
        <f>AT61</f>
        <v>0</v>
      </c>
      <c r="TF18" s="673">
        <v>0</v>
      </c>
      <c r="TG18" s="673">
        <v>0</v>
      </c>
      <c r="TH18" s="673">
        <v>0</v>
      </c>
      <c r="TI18" s="673">
        <v>0</v>
      </c>
      <c r="TJ18" s="673">
        <v>0</v>
      </c>
      <c r="TK18" s="673">
        <v>0</v>
      </c>
      <c r="TL18" s="673">
        <v>0</v>
      </c>
      <c r="TM18" s="673">
        <v>0</v>
      </c>
      <c r="TN18" s="673">
        <v>0</v>
      </c>
      <c r="TO18" s="673">
        <v>5.0000000000000001E-3</v>
      </c>
      <c r="TP18" s="673">
        <v>5.0000000000000001E-3</v>
      </c>
      <c r="TQ18" s="673">
        <v>5.0000000000000001E-3</v>
      </c>
      <c r="TR18" s="673">
        <v>5.0000000000000001E-3</v>
      </c>
      <c r="TS18" s="673">
        <v>5.0000000000000001E-3</v>
      </c>
      <c r="TT18" s="673">
        <v>5.0000000000000001E-3</v>
      </c>
      <c r="TU18" s="673">
        <v>5.0000000000000001E-3</v>
      </c>
      <c r="TV18" s="673">
        <v>5.0000000000000001E-3</v>
      </c>
      <c r="TW18" s="673">
        <v>5.0000000000000001E-3</v>
      </c>
      <c r="TX18" s="673">
        <v>5.0000000000000001E-3</v>
      </c>
      <c r="TY18" s="673">
        <v>5.0000000000000001E-3</v>
      </c>
      <c r="TZ18" s="673">
        <v>5.0000000000000001E-3</v>
      </c>
      <c r="UA18" s="673">
        <v>5.0000000000000001E-3</v>
      </c>
      <c r="UB18" s="673">
        <v>5.0000000000000001E-3</v>
      </c>
      <c r="UC18" s="673">
        <v>5.0000000000000001E-3</v>
      </c>
      <c r="UD18" s="673">
        <v>5.0000000000000001E-3</v>
      </c>
      <c r="UE18" s="673">
        <v>5.0000000000000001E-3</v>
      </c>
      <c r="UF18" s="673">
        <v>5.0000000000000001E-3</v>
      </c>
      <c r="UG18" s="673">
        <v>5.0000000000000001E-3</v>
      </c>
      <c r="UH18" s="673">
        <v>5.0000000000000001E-3</v>
      </c>
      <c r="UI18" s="673">
        <v>5.0000000000000001E-3</v>
      </c>
      <c r="UJ18" s="673">
        <v>5.0000000000000001E-3</v>
      </c>
      <c r="UK18" s="673">
        <v>5.0000000000000001E-3</v>
      </c>
      <c r="UL18" s="673">
        <v>5.0000000000000001E-3</v>
      </c>
      <c r="UM18" s="673">
        <v>5.0000000000000001E-3</v>
      </c>
      <c r="UN18" s="673">
        <v>5.0000000000000001E-3</v>
      </c>
      <c r="UO18" s="673">
        <v>5.0000000000000001E-3</v>
      </c>
      <c r="UP18" s="673">
        <v>5.0000000000000001E-3</v>
      </c>
      <c r="UQ18" s="673">
        <v>5.0000000000000001E-3</v>
      </c>
      <c r="UR18" s="673">
        <v>5.0000000000000001E-3</v>
      </c>
      <c r="US18" s="673">
        <v>0</v>
      </c>
      <c r="UT18" s="673">
        <v>0</v>
      </c>
      <c r="UU18" s="673">
        <v>0</v>
      </c>
      <c r="UV18" s="673">
        <v>0</v>
      </c>
      <c r="UW18" s="673">
        <v>0</v>
      </c>
      <c r="UX18" s="673">
        <v>0</v>
      </c>
      <c r="UY18" s="673">
        <v>0</v>
      </c>
      <c r="UZ18" s="673">
        <v>0</v>
      </c>
      <c r="VA18" s="673">
        <v>0</v>
      </c>
      <c r="VB18" s="673">
        <v>0</v>
      </c>
      <c r="VC18" s="673">
        <v>0</v>
      </c>
      <c r="VD18" s="673">
        <v>0</v>
      </c>
      <c r="VE18" s="673">
        <v>0</v>
      </c>
      <c r="VF18" s="673">
        <v>0</v>
      </c>
      <c r="VG18" s="673">
        <v>0</v>
      </c>
      <c r="VH18" s="673">
        <v>0</v>
      </c>
      <c r="VI18" s="673">
        <v>0</v>
      </c>
      <c r="VJ18" s="673">
        <f>$C$63</f>
        <v>0</v>
      </c>
      <c r="VK18" s="673">
        <v>0</v>
      </c>
      <c r="VL18" s="673">
        <v>0</v>
      </c>
      <c r="VM18" s="673">
        <v>0</v>
      </c>
      <c r="VN18" s="673">
        <v>0</v>
      </c>
      <c r="VO18" s="673">
        <v>0</v>
      </c>
      <c r="VP18" s="673">
        <v>0</v>
      </c>
      <c r="VQ18" s="673">
        <v>0</v>
      </c>
      <c r="VR18" s="673">
        <v>0</v>
      </c>
      <c r="VS18" s="673">
        <v>0</v>
      </c>
      <c r="VT18" s="673">
        <v>0</v>
      </c>
      <c r="VU18" s="673">
        <v>0</v>
      </c>
      <c r="VV18" s="673">
        <v>0</v>
      </c>
      <c r="VW18" s="673">
        <v>0</v>
      </c>
      <c r="VX18" s="673">
        <v>0</v>
      </c>
      <c r="VY18" s="673">
        <v>0</v>
      </c>
      <c r="VZ18" s="673">
        <v>0</v>
      </c>
      <c r="WA18" s="673">
        <v>0</v>
      </c>
      <c r="WB18" s="673">
        <v>0</v>
      </c>
      <c r="WC18" s="673">
        <v>0</v>
      </c>
      <c r="WD18" s="673">
        <v>0</v>
      </c>
      <c r="WE18" s="673">
        <v>0</v>
      </c>
      <c r="WF18" s="673">
        <v>0</v>
      </c>
      <c r="WG18" s="673">
        <v>0</v>
      </c>
      <c r="WH18" s="673">
        <v>0</v>
      </c>
      <c r="WI18" s="673">
        <v>0</v>
      </c>
      <c r="WJ18" s="673">
        <v>0</v>
      </c>
      <c r="WK18" s="673">
        <v>0</v>
      </c>
      <c r="WL18" s="673">
        <v>0</v>
      </c>
      <c r="WM18" s="673">
        <v>0</v>
      </c>
      <c r="WN18" s="673">
        <v>0</v>
      </c>
      <c r="WO18" s="673">
        <v>0</v>
      </c>
      <c r="WP18" s="673">
        <v>0</v>
      </c>
      <c r="WQ18" s="673">
        <v>0</v>
      </c>
      <c r="WR18" s="673">
        <f>$C$63</f>
        <v>0</v>
      </c>
      <c r="WS18" s="673">
        <v>0</v>
      </c>
      <c r="WT18" s="673">
        <v>0</v>
      </c>
      <c r="WU18" s="673">
        <v>0</v>
      </c>
      <c r="WV18" s="673">
        <v>0</v>
      </c>
      <c r="WW18" s="673">
        <v>0</v>
      </c>
      <c r="WX18" s="673">
        <v>0</v>
      </c>
      <c r="WY18" s="673">
        <v>0</v>
      </c>
      <c r="WZ18" s="673">
        <v>0</v>
      </c>
      <c r="XA18" s="673">
        <v>0</v>
      </c>
      <c r="XB18" s="673">
        <v>0</v>
      </c>
      <c r="XC18" s="673">
        <v>0</v>
      </c>
      <c r="XD18" s="673">
        <v>0</v>
      </c>
      <c r="XE18" s="673">
        <v>0</v>
      </c>
      <c r="XF18" s="673">
        <v>0</v>
      </c>
      <c r="XG18" s="673">
        <v>0</v>
      </c>
      <c r="XH18" s="673">
        <v>0</v>
      </c>
      <c r="XI18" s="673">
        <v>0</v>
      </c>
      <c r="XJ18" s="673">
        <v>0</v>
      </c>
      <c r="XK18" s="673">
        <v>0</v>
      </c>
      <c r="XL18" s="673">
        <v>0</v>
      </c>
      <c r="XM18" s="673">
        <v>0</v>
      </c>
      <c r="XN18" s="673">
        <v>0</v>
      </c>
      <c r="XO18" s="673">
        <v>0</v>
      </c>
      <c r="XP18" s="673">
        <v>0</v>
      </c>
      <c r="XQ18" s="673">
        <v>0</v>
      </c>
      <c r="XR18" s="673">
        <v>0</v>
      </c>
      <c r="XS18" s="673">
        <v>0</v>
      </c>
      <c r="XT18" s="673">
        <f>$C$63</f>
        <v>0</v>
      </c>
      <c r="XU18" s="673">
        <v>0</v>
      </c>
      <c r="XV18" s="673">
        <v>0</v>
      </c>
      <c r="XW18" s="673">
        <v>0</v>
      </c>
      <c r="XX18" s="673">
        <v>0</v>
      </c>
      <c r="XY18" s="673">
        <v>0</v>
      </c>
      <c r="XZ18" s="673">
        <v>0</v>
      </c>
      <c r="YA18" s="673">
        <v>0</v>
      </c>
      <c r="YB18" s="673">
        <v>0</v>
      </c>
      <c r="YC18" s="673">
        <v>0</v>
      </c>
      <c r="YD18" s="673">
        <v>0</v>
      </c>
      <c r="YE18" s="673">
        <v>0</v>
      </c>
      <c r="YF18" s="673">
        <v>0</v>
      </c>
      <c r="YG18" s="673">
        <v>0</v>
      </c>
      <c r="YH18" s="673">
        <v>0</v>
      </c>
      <c r="YI18" s="673">
        <v>0</v>
      </c>
      <c r="YJ18" s="673">
        <v>0</v>
      </c>
      <c r="YK18" s="673">
        <v>0</v>
      </c>
      <c r="YL18" s="673">
        <v>0</v>
      </c>
      <c r="YM18" s="673">
        <f>$C$63</f>
        <v>0</v>
      </c>
      <c r="YN18" s="673">
        <v>0</v>
      </c>
      <c r="YO18" s="673">
        <v>0</v>
      </c>
      <c r="YP18" s="673">
        <v>0</v>
      </c>
      <c r="YQ18" s="673">
        <v>0</v>
      </c>
      <c r="YR18" s="673">
        <v>0</v>
      </c>
      <c r="YS18" s="673">
        <v>0</v>
      </c>
      <c r="YT18" s="673">
        <v>0</v>
      </c>
      <c r="YU18" s="673">
        <v>0</v>
      </c>
      <c r="YV18" s="673">
        <v>0</v>
      </c>
      <c r="YW18" s="673">
        <v>0</v>
      </c>
      <c r="YX18" s="673">
        <v>0</v>
      </c>
      <c r="YY18" s="673">
        <v>0</v>
      </c>
      <c r="YZ18" s="673">
        <v>0</v>
      </c>
      <c r="ZA18" s="673">
        <v>0</v>
      </c>
      <c r="ZB18" s="673">
        <v>0</v>
      </c>
      <c r="ZC18" s="673">
        <v>0</v>
      </c>
      <c r="ZD18" s="673">
        <f>$C$63</f>
        <v>0</v>
      </c>
    </row>
    <row r="19" spans="1:680" s="676" customFormat="1" ht="13.2" customHeight="1">
      <c r="A19" s="138"/>
      <c r="B19" s="139" t="s">
        <v>119</v>
      </c>
      <c r="C19" s="412" t="s">
        <v>5</v>
      </c>
      <c r="D19" s="674"/>
      <c r="E19" s="674"/>
      <c r="F19" s="674">
        <f>3.276*F8/F7</f>
        <v>3.6615863874345553</v>
      </c>
      <c r="G19" s="674">
        <f>(3.276+0.323159)*G8/G7</f>
        <v>3.9934488904494381</v>
      </c>
      <c r="H19" s="674">
        <f>(3.276+0.323159+0.86913)*H8/H7</f>
        <v>4.9584612196965896</v>
      </c>
      <c r="I19" s="674">
        <f>(3.276+0.323159+0.86913)*I8/I7</f>
        <v>4.9209877815896412</v>
      </c>
      <c r="J19" s="674">
        <f>(3.276+0.323159+0.86913)*J8/J7</f>
        <v>4.8668621016852347</v>
      </c>
      <c r="K19" s="674">
        <f>(0.323159+0.86913)*K8/K7</f>
        <v>1.316883663535432</v>
      </c>
      <c r="L19" s="674">
        <f>(0.323159+0.86913)*L8/L7</f>
        <v>1.3168836840465707</v>
      </c>
      <c r="M19" s="674">
        <v>0.60508420984356015</v>
      </c>
      <c r="N19" s="674">
        <v>0.70987977265834223</v>
      </c>
      <c r="O19" s="674">
        <v>0.58500146091976202</v>
      </c>
      <c r="P19" s="674">
        <v>0.59221906032122296</v>
      </c>
      <c r="Q19" s="674">
        <v>0.75646504133241399</v>
      </c>
      <c r="R19" s="674">
        <v>3.8227468185951206</v>
      </c>
      <c r="S19" s="674">
        <v>3.8004780041884438</v>
      </c>
      <c r="T19" s="674">
        <v>3.5934415715165335</v>
      </c>
      <c r="U19" s="674">
        <v>3.5934415715165335</v>
      </c>
      <c r="V19" s="674">
        <v>0.25486268601316175</v>
      </c>
      <c r="W19" s="674">
        <v>3.3491569308815063</v>
      </c>
      <c r="X19" s="674">
        <v>3.3523134677276754</v>
      </c>
      <c r="Y19" s="674">
        <v>2.3675918129544695</v>
      </c>
      <c r="Z19" s="674">
        <v>2.8553579691284106</v>
      </c>
      <c r="AA19" s="674">
        <v>2.8321239443156601</v>
      </c>
      <c r="AB19" s="674">
        <v>2.6994334572593419</v>
      </c>
      <c r="AC19" s="674">
        <v>2.3021986418954401</v>
      </c>
      <c r="AD19" s="674">
        <v>2.3023015892814591</v>
      </c>
      <c r="AE19" s="674">
        <v>2.2824998646606391</v>
      </c>
      <c r="AF19" s="674">
        <v>2.2988228886204292</v>
      </c>
      <c r="AG19" s="674">
        <v>2.2595699724316951</v>
      </c>
      <c r="AH19" s="674">
        <v>2.2676856876264075</v>
      </c>
      <c r="AI19" s="674">
        <v>2.1254172995044658</v>
      </c>
      <c r="AJ19" s="674">
        <v>2.0154450321061903</v>
      </c>
      <c r="AK19" s="674">
        <v>2.0246960132909271</v>
      </c>
      <c r="AL19" s="674">
        <v>2.0246976992237289</v>
      </c>
      <c r="AM19" s="674">
        <v>2.124093016902695</v>
      </c>
      <c r="AN19" s="674">
        <v>2.1047180874092675</v>
      </c>
      <c r="AO19" s="674">
        <v>2.109977885295844</v>
      </c>
      <c r="AP19" s="674">
        <v>2.121083648283423</v>
      </c>
      <c r="AQ19" s="674">
        <v>1.893617137047114</v>
      </c>
      <c r="AR19" s="674">
        <v>1.8909185367759656</v>
      </c>
      <c r="AS19" s="674">
        <v>3.9518423364195816</v>
      </c>
      <c r="AT19" s="674">
        <v>3.9515636248803041</v>
      </c>
      <c r="AU19" s="674">
        <v>3.6763661667056624</v>
      </c>
      <c r="AV19" s="674">
        <v>0.68301412623537794</v>
      </c>
      <c r="AW19" s="674">
        <v>1.8945907440309613</v>
      </c>
      <c r="AX19" s="674">
        <v>1.6881801310327631</v>
      </c>
      <c r="AY19" s="674">
        <v>0.94184381179504617</v>
      </c>
      <c r="AZ19" s="674">
        <v>1.280374675897759</v>
      </c>
      <c r="BA19" s="674">
        <v>0.84414672639347199</v>
      </c>
      <c r="BB19" s="674">
        <v>0.8489021011810638</v>
      </c>
      <c r="BC19" s="674">
        <v>0.80624260211680954</v>
      </c>
      <c r="BD19" s="674">
        <v>0.7540961480248346</v>
      </c>
      <c r="BE19" s="674">
        <v>0.74878264312455634</v>
      </c>
      <c r="BF19" s="674">
        <v>0.74412857643184649</v>
      </c>
      <c r="BG19" s="674">
        <v>0.74648249487150542</v>
      </c>
      <c r="BH19" s="674">
        <v>0.74359569430365635</v>
      </c>
      <c r="BI19" s="674">
        <v>0.74030124576675493</v>
      </c>
      <c r="BJ19" s="674">
        <v>0.69925950791841995</v>
      </c>
      <c r="BK19" s="674">
        <v>0.70407641395603193</v>
      </c>
      <c r="BL19" s="674">
        <v>0.83488419317865203</v>
      </c>
      <c r="BM19" s="674">
        <v>0.73284468632521682</v>
      </c>
      <c r="BN19" s="674">
        <v>0.74524445271740736</v>
      </c>
      <c r="BO19" s="674">
        <v>0.75853321511459193</v>
      </c>
      <c r="BP19" s="674">
        <v>0.76552145852649611</v>
      </c>
      <c r="BQ19" s="674">
        <v>1.13202160145269</v>
      </c>
      <c r="BR19" s="674">
        <v>0.71324208243862441</v>
      </c>
      <c r="BS19" s="674">
        <v>0.7148024487764868</v>
      </c>
      <c r="BT19" s="674">
        <v>0.71603987966531657</v>
      </c>
      <c r="BU19" s="674">
        <v>0.71047512019647618</v>
      </c>
      <c r="BV19" s="674">
        <v>0.6987488930218102</v>
      </c>
      <c r="BW19" s="674">
        <v>0.43975510446271254</v>
      </c>
      <c r="BX19" s="674">
        <v>0.22689839500072972</v>
      </c>
      <c r="BY19" s="674">
        <v>0.2289368156875583</v>
      </c>
      <c r="BZ19" s="674">
        <v>0.13471998116399958</v>
      </c>
      <c r="CA19" s="674">
        <v>0.13516556423970125</v>
      </c>
      <c r="CB19" s="674">
        <v>0.1351655642397</v>
      </c>
      <c r="CC19" s="674">
        <v>0.13504529689421227</v>
      </c>
      <c r="CD19" s="674">
        <v>0.13507304350960367</v>
      </c>
      <c r="CE19" s="674">
        <v>0.13518587510507998</v>
      </c>
      <c r="CF19" s="674">
        <v>0.13572715099329996</v>
      </c>
      <c r="CG19" s="674">
        <v>0.13951304394229641</v>
      </c>
      <c r="CH19" s="674">
        <v>0.22508173813563678</v>
      </c>
      <c r="CI19" s="674">
        <v>1.22508173813564</v>
      </c>
      <c r="CJ19" s="674">
        <v>1.2463487311357919</v>
      </c>
      <c r="CK19" s="674">
        <v>1.234482980985032</v>
      </c>
      <c r="CL19" s="674">
        <v>1.2276305904531797</v>
      </c>
      <c r="CM19" s="674">
        <v>1.2194921732425126</v>
      </c>
      <c r="CN19" s="674">
        <v>1.149678919992035</v>
      </c>
      <c r="CO19" s="674">
        <v>2.4561617726072313</v>
      </c>
      <c r="CP19" s="675">
        <v>2.4325307556550859</v>
      </c>
      <c r="CQ19" s="675">
        <v>2.4515650265939088</v>
      </c>
      <c r="CR19" s="675">
        <v>2.4398611718048366</v>
      </c>
      <c r="CS19" s="675">
        <v>2.4384722569360031</v>
      </c>
      <c r="CT19" s="675">
        <v>2.4617038316596416</v>
      </c>
      <c r="CU19" s="675">
        <v>2.4806029453686169</v>
      </c>
      <c r="CV19" s="675">
        <v>2.4796392438162158</v>
      </c>
      <c r="CW19" s="675">
        <v>1.425302874994467</v>
      </c>
      <c r="CX19" s="675">
        <v>1.4185205547979935</v>
      </c>
      <c r="CY19" s="675">
        <v>1.4312142045650817</v>
      </c>
      <c r="CZ19" s="675">
        <v>1.4273876066654734</v>
      </c>
      <c r="DA19" s="675">
        <v>1.3264390631652712</v>
      </c>
      <c r="DB19" s="675">
        <v>1.3314592907258929</v>
      </c>
      <c r="DC19" s="675">
        <v>1.3362755784201952</v>
      </c>
      <c r="DD19" s="675">
        <v>1.3346209663919448</v>
      </c>
      <c r="DE19" s="675">
        <v>1.3334534040741695</v>
      </c>
      <c r="DF19" s="675">
        <v>1.328657525220212</v>
      </c>
      <c r="DG19" s="675">
        <v>1.3273971397789506</v>
      </c>
      <c r="DH19" s="675">
        <v>1.3308818481321725</v>
      </c>
      <c r="DI19" s="675">
        <v>0.35175944168584328</v>
      </c>
      <c r="DJ19" s="675">
        <v>0.34985380911340247</v>
      </c>
      <c r="DK19" s="675">
        <v>0.15921281816647975</v>
      </c>
      <c r="DL19" s="675">
        <v>0.15569888385412115</v>
      </c>
      <c r="DM19" s="675">
        <v>0.34483949739159564</v>
      </c>
      <c r="DN19" s="675">
        <v>0.13082396914689604</v>
      </c>
      <c r="DO19" s="675">
        <v>0.13040273832350827</v>
      </c>
      <c r="DP19" s="675">
        <v>0.13073414152862634</v>
      </c>
      <c r="DQ19" s="675">
        <v>0.13046815108994778</v>
      </c>
      <c r="DR19" s="675">
        <v>0.12902464116444368</v>
      </c>
      <c r="DS19" s="675">
        <v>0.12801083361593787</v>
      </c>
      <c r="DT19" s="675">
        <v>0.12724333878386476</v>
      </c>
      <c r="DU19" s="675">
        <v>0.1274096018727478</v>
      </c>
      <c r="DV19" s="675">
        <v>0.12808819862673351</v>
      </c>
      <c r="DW19" s="675">
        <v>0.12793576910224921</v>
      </c>
      <c r="DX19" s="675">
        <v>0.12793576910224921</v>
      </c>
      <c r="DY19" s="675">
        <v>5.154857936280495E-2</v>
      </c>
      <c r="DZ19" s="674">
        <v>0.12833878133123944</v>
      </c>
      <c r="EA19" s="674">
        <v>0.12849360510317578</v>
      </c>
      <c r="EB19" s="674">
        <v>0.1280684621517178</v>
      </c>
      <c r="EC19" s="674">
        <v>0.12678553927948075</v>
      </c>
      <c r="ED19" s="674">
        <v>0.12763029312095758</v>
      </c>
      <c r="EE19" s="674">
        <v>0.12705915358916273</v>
      </c>
      <c r="EF19" s="674">
        <v>0.12477250453117547</v>
      </c>
      <c r="EG19" s="674">
        <v>0.12579095825009592</v>
      </c>
      <c r="EH19" s="674">
        <v>0.12675951047690251</v>
      </c>
      <c r="EI19" s="674">
        <v>0.17338706400788448</v>
      </c>
      <c r="EJ19" s="674">
        <v>0.17338706400788448</v>
      </c>
      <c r="EK19" s="674">
        <v>0.17338706400788448</v>
      </c>
      <c r="EL19" s="674">
        <v>0.17046629958222007</v>
      </c>
      <c r="EM19" s="674">
        <v>0.17056388768112327</v>
      </c>
      <c r="EN19" s="674">
        <v>0.17101438938579508</v>
      </c>
      <c r="EO19" s="674">
        <v>0.16906878048580137</v>
      </c>
      <c r="EP19" s="674">
        <v>0.16836406395929923</v>
      </c>
      <c r="EQ19" s="674">
        <v>0.16613325364109838</v>
      </c>
      <c r="ER19" s="674">
        <v>0.16481146118036516</v>
      </c>
      <c r="ES19" s="674">
        <v>0.16450946272148459</v>
      </c>
      <c r="ET19" s="674">
        <v>0.16294568257525854</v>
      </c>
      <c r="EU19" s="674">
        <v>0.16494147416090435</v>
      </c>
      <c r="EV19" s="674">
        <v>0.16295440506377185</v>
      </c>
      <c r="EW19" s="674">
        <v>0.1614528475794908</v>
      </c>
      <c r="EX19" s="674">
        <v>0.16325589938477289</v>
      </c>
      <c r="EY19" s="674">
        <v>0.16700407457204275</v>
      </c>
      <c r="EZ19" s="674">
        <v>0.16515511799168178</v>
      </c>
      <c r="FA19" s="674">
        <v>0.1673186798677497</v>
      </c>
      <c r="FB19" s="674">
        <v>0.16672451875383149</v>
      </c>
      <c r="FC19" s="674">
        <v>0.1672827209770115</v>
      </c>
      <c r="FD19" s="674">
        <v>0.16773352221363044</v>
      </c>
      <c r="FE19" s="674">
        <v>0.16844117876982345</v>
      </c>
      <c r="FF19" s="674">
        <v>0.16927825920058107</v>
      </c>
      <c r="FG19" s="674">
        <v>0.16754003525712641</v>
      </c>
      <c r="FH19" s="674">
        <v>0.16761820310778047</v>
      </c>
      <c r="FI19" s="674">
        <v>0.16675584962291265</v>
      </c>
      <c r="FJ19" s="674">
        <v>0.16790900373159809</v>
      </c>
      <c r="FK19" s="674">
        <v>0.16707527922831306</v>
      </c>
      <c r="FL19" s="674">
        <v>0.16805827638159734</v>
      </c>
      <c r="FM19" s="674">
        <v>0.16844938876877874</v>
      </c>
      <c r="FN19" s="674">
        <v>0.16844938876877899</v>
      </c>
      <c r="FO19" s="674">
        <v>0.16844938876877899</v>
      </c>
      <c r="FP19" s="674">
        <v>0.16975212422340061</v>
      </c>
      <c r="FQ19" s="674">
        <v>0.16933160934652539</v>
      </c>
      <c r="FR19" s="674">
        <v>0.16944557237068086</v>
      </c>
      <c r="FS19" s="674">
        <v>0.16879784284659388</v>
      </c>
      <c r="FT19" s="674">
        <v>0.16663377788406566</v>
      </c>
      <c r="FU19" s="674">
        <v>0.1697909153138559</v>
      </c>
      <c r="FV19" s="674">
        <v>0.17029398712637794</v>
      </c>
      <c r="FW19" s="674">
        <v>0.1712387838902345</v>
      </c>
      <c r="FX19" s="674">
        <v>0.17005779702302615</v>
      </c>
      <c r="FY19" s="674">
        <v>0.17447887092708314</v>
      </c>
      <c r="FZ19" s="674">
        <v>0.17569303092476263</v>
      </c>
      <c r="GA19" s="674">
        <v>0.17728792076814409</v>
      </c>
      <c r="GB19" s="674">
        <v>0.17728674836449682</v>
      </c>
      <c r="GC19" s="674">
        <v>0.17689413524890127</v>
      </c>
      <c r="GD19" s="674">
        <v>0.1765917096635809</v>
      </c>
      <c r="GE19" s="674">
        <v>0.17462354455784607</v>
      </c>
      <c r="GF19" s="674">
        <v>0.17500649216078712</v>
      </c>
      <c r="GG19" s="674">
        <v>0.17575063111216888</v>
      </c>
      <c r="GH19" s="674">
        <v>0.17749661839547182</v>
      </c>
      <c r="GI19" s="674">
        <v>0.17749099484951145</v>
      </c>
      <c r="GJ19" s="674">
        <v>0.17788866836976561</v>
      </c>
      <c r="GK19" s="674">
        <v>0.17719452458157456</v>
      </c>
      <c r="GL19" s="674">
        <v>0.176763949454914</v>
      </c>
      <c r="GM19" s="674">
        <v>0.1781605905026992</v>
      </c>
      <c r="GN19" s="674">
        <v>0.179554269193475</v>
      </c>
      <c r="GO19" s="674">
        <v>0.1798352805906257</v>
      </c>
      <c r="GP19" s="674">
        <v>0.17935748066691781</v>
      </c>
      <c r="GQ19" s="674">
        <v>0.17870562541708246</v>
      </c>
      <c r="GR19" s="674">
        <v>0.17914687059109316</v>
      </c>
      <c r="GS19" s="674">
        <v>0.12974506093332455</v>
      </c>
      <c r="GT19" s="674">
        <v>4.8444458110420377E-2</v>
      </c>
      <c r="GU19" s="674">
        <v>0</v>
      </c>
      <c r="GV19" s="674">
        <v>0</v>
      </c>
      <c r="GW19" s="674">
        <v>0</v>
      </c>
      <c r="GX19" s="674">
        <v>0</v>
      </c>
      <c r="GY19" s="674">
        <v>0</v>
      </c>
      <c r="GZ19" s="674">
        <v>0</v>
      </c>
      <c r="HA19" s="674">
        <v>0</v>
      </c>
      <c r="HB19" s="674">
        <v>0</v>
      </c>
      <c r="HC19" s="674">
        <v>0</v>
      </c>
      <c r="HD19" s="674">
        <v>0</v>
      </c>
      <c r="HE19" s="412">
        <v>1.1530751001953051E-2</v>
      </c>
      <c r="HF19" s="412">
        <v>1.1530751001953051E-2</v>
      </c>
      <c r="HG19" s="412">
        <v>5.9436409709090171E-2</v>
      </c>
      <c r="HH19" s="412">
        <v>5.9459755297679731E-2</v>
      </c>
      <c r="HI19" s="412">
        <v>5.9538143440574509E-2</v>
      </c>
      <c r="HJ19" s="412">
        <v>5.952180608773535E-2</v>
      </c>
      <c r="HK19" s="412">
        <v>5.9863974326798658E-2</v>
      </c>
      <c r="HL19" s="412">
        <v>5.9727212727841303E-2</v>
      </c>
      <c r="HM19" s="412">
        <v>5.9758731819662313E-2</v>
      </c>
      <c r="HN19" s="412">
        <v>5.99135742077328E-2</v>
      </c>
      <c r="HO19" s="412">
        <v>5.97879491674599E-2</v>
      </c>
      <c r="HP19" s="412">
        <v>5.9484446411637415E-2</v>
      </c>
      <c r="HQ19" s="412">
        <v>6.0403600409300796E-2</v>
      </c>
      <c r="HR19" s="412">
        <v>5.9935583619280898E-2</v>
      </c>
      <c r="HS19" s="412">
        <v>5.920870643052107E-2</v>
      </c>
      <c r="HT19" s="412">
        <v>5.9014585405616105E-2</v>
      </c>
      <c r="HU19" s="412">
        <v>5.9014585405616105E-2</v>
      </c>
      <c r="HV19" s="412">
        <v>5.904793328236161E-2</v>
      </c>
      <c r="HW19" s="412">
        <v>5.8945163957891157E-2</v>
      </c>
      <c r="HX19" s="412">
        <v>5.854372946178911E-2</v>
      </c>
      <c r="HY19" s="412">
        <v>5.8554437360735768E-2</v>
      </c>
      <c r="HZ19" s="412">
        <v>5.8554437360735768E-2</v>
      </c>
      <c r="IA19" s="674">
        <v>0.58580809095453801</v>
      </c>
      <c r="IB19" s="674">
        <v>0.58921272282394133</v>
      </c>
      <c r="IC19" s="674">
        <v>3.2459015956920827</v>
      </c>
      <c r="ID19" s="674">
        <v>3.2459015956920827</v>
      </c>
      <c r="IE19" s="674">
        <v>3.0429643194069786</v>
      </c>
      <c r="IF19" s="674">
        <v>3.0429643194069786</v>
      </c>
      <c r="IG19" s="674">
        <v>3.0863435328645461</v>
      </c>
      <c r="IH19" s="674">
        <v>3.0863435328645461</v>
      </c>
      <c r="II19" s="674">
        <v>3.0773988279534148</v>
      </c>
      <c r="IJ19" s="674">
        <v>3.0606789224186262</v>
      </c>
      <c r="IK19" s="674">
        <v>2.5497485959642785</v>
      </c>
      <c r="IL19" s="674">
        <v>2.5684496155241789</v>
      </c>
      <c r="IM19" s="674">
        <v>2.0346641446894136</v>
      </c>
      <c r="IN19" s="674">
        <v>2.0346641446894136</v>
      </c>
      <c r="IO19" s="674">
        <v>2.0180228225322119</v>
      </c>
      <c r="IP19" s="674">
        <v>2.0251957783112728</v>
      </c>
      <c r="IQ19" s="674">
        <v>2.0290874107861328</v>
      </c>
      <c r="IR19" s="674">
        <v>2.0312649809908785</v>
      </c>
      <c r="IS19" s="674">
        <v>2.0270511098824264</v>
      </c>
      <c r="IT19" s="674">
        <v>2.0406213763668291</v>
      </c>
      <c r="IU19" s="674">
        <v>2.0406213763668291</v>
      </c>
      <c r="IV19" s="674">
        <v>2.327106287905587</v>
      </c>
      <c r="IW19" s="674">
        <v>2.3341533219479409</v>
      </c>
      <c r="IX19" s="674">
        <v>2.3237790498334316</v>
      </c>
      <c r="IY19" s="674">
        <v>2.3237790498334316</v>
      </c>
      <c r="IZ19" s="674">
        <v>2.3237790498334316</v>
      </c>
      <c r="JA19" s="674">
        <v>2.3473641261964375</v>
      </c>
      <c r="JB19" s="674">
        <v>2.3564845657330458</v>
      </c>
      <c r="JC19" s="674">
        <v>1.9601490250175491</v>
      </c>
      <c r="JD19" s="674">
        <v>1.9588340317386284</v>
      </c>
      <c r="JE19" s="674">
        <v>1.9532634544208856</v>
      </c>
      <c r="JF19" s="674">
        <v>1.9560995793357168</v>
      </c>
      <c r="JG19" s="674">
        <v>1.9567770764412546</v>
      </c>
      <c r="JH19" s="674">
        <v>1.9642785369105069</v>
      </c>
      <c r="JI19" s="674">
        <v>1.9702125331386546</v>
      </c>
      <c r="JJ19" s="674">
        <v>1.4839392069487942</v>
      </c>
      <c r="JK19" s="674">
        <v>1.4861308055008635</v>
      </c>
      <c r="JL19" s="674">
        <v>1.4749655488752729</v>
      </c>
      <c r="JM19" s="674">
        <v>1.473055696570849</v>
      </c>
      <c r="JN19" s="674">
        <v>1.1022043842575253</v>
      </c>
      <c r="JO19" s="674">
        <v>1.1022043842575253</v>
      </c>
      <c r="JP19" s="674">
        <v>1.1032167022505783</v>
      </c>
      <c r="JQ19" s="674">
        <v>1.0951963447242965</v>
      </c>
      <c r="JR19" s="674">
        <v>0.80714047221134444</v>
      </c>
      <c r="JS19" s="674">
        <v>0.80638460875134865</v>
      </c>
      <c r="JT19" s="674">
        <v>0.80420643337598818</v>
      </c>
      <c r="JU19" s="674">
        <f>'Cash in bank report'!$D$14-'Cash in bank report'!$D$57</f>
        <v>0</v>
      </c>
      <c r="JV19" s="674">
        <v>0.7985867240675889</v>
      </c>
      <c r="JW19" s="674">
        <v>0.79783005799938178</v>
      </c>
      <c r="JX19" s="674">
        <v>0.79957182143777861</v>
      </c>
      <c r="JY19" s="674">
        <v>0.79778862109102922</v>
      </c>
      <c r="JZ19" s="674">
        <v>0.79653923237008073</v>
      </c>
      <c r="KA19" s="674">
        <v>0.41119277751826927</v>
      </c>
      <c r="KB19" s="674">
        <v>0.41148483311715994</v>
      </c>
      <c r="KC19" s="674">
        <v>0.49163282287614218</v>
      </c>
      <c r="KD19" s="674">
        <v>0.50197296100302147</v>
      </c>
      <c r="KE19" s="674">
        <v>0.50000670126222613</v>
      </c>
      <c r="KF19" s="674">
        <v>0.50061927518823401</v>
      </c>
      <c r="KG19" s="674">
        <v>0.50421381928505005</v>
      </c>
      <c r="KH19" s="674">
        <v>0.50100206549963477</v>
      </c>
      <c r="KI19" s="674">
        <v>6.9535632476510817E-2</v>
      </c>
      <c r="KJ19" s="674">
        <v>6.95282227629542E-2</v>
      </c>
      <c r="KK19" s="674">
        <v>6.95282227629542E-2</v>
      </c>
      <c r="KL19" s="674">
        <v>0.14701772818476</v>
      </c>
      <c r="KM19" s="674">
        <v>0.14701772818476</v>
      </c>
      <c r="KN19" s="674">
        <v>0.13757714570187451</v>
      </c>
      <c r="KO19" s="674">
        <v>0.13802107927367555</v>
      </c>
      <c r="KP19" s="674">
        <v>0.13954959423469032</v>
      </c>
      <c r="KQ19" s="674">
        <v>0.13923827983633102</v>
      </c>
      <c r="KR19" s="674">
        <v>0.13923827983633102</v>
      </c>
      <c r="KS19" s="674">
        <v>0.13911808520402577</v>
      </c>
      <c r="KT19" s="674">
        <v>0.14009235869076653</v>
      </c>
      <c r="KU19" s="674">
        <v>0.13862522319763601</v>
      </c>
      <c r="KV19" s="674">
        <v>0.13888824510985118</v>
      </c>
      <c r="KW19" s="674">
        <v>1.5475546190150902</v>
      </c>
      <c r="KX19" s="674">
        <v>6.0270201525685824E-2</v>
      </c>
      <c r="KY19" s="674">
        <v>6.0074161989886722E-2</v>
      </c>
      <c r="KZ19" s="674">
        <v>5.9725077631516417E-2</v>
      </c>
      <c r="LA19" s="674">
        <v>5.9725077631516417E-2</v>
      </c>
      <c r="LB19" s="674">
        <v>6.0006168418716845E-2</v>
      </c>
      <c r="LC19" s="674">
        <v>5.9890932962518545E-2</v>
      </c>
      <c r="LD19" s="674">
        <v>5.9890932962518545E-2</v>
      </c>
      <c r="LE19" s="674">
        <v>5.9851309189467745E-2</v>
      </c>
      <c r="LF19" s="674">
        <v>6.0337222320972834E-2</v>
      </c>
      <c r="LG19" s="674">
        <v>6.0548008658961705E-2</v>
      </c>
      <c r="LH19" s="674">
        <v>6.059560263337059E-2</v>
      </c>
      <c r="LI19" s="674">
        <v>6.1379226204354376E-2</v>
      </c>
      <c r="LJ19" s="674">
        <v>6.1735307573586043E-2</v>
      </c>
      <c r="LK19" s="674">
        <v>6.1802480600475336E-2</v>
      </c>
      <c r="LL19" s="674">
        <v>6.1848072333703825E-2</v>
      </c>
      <c r="LM19" s="674">
        <v>6.1750874059828126E-2</v>
      </c>
      <c r="LN19" s="674">
        <v>6.1619049722468337E-2</v>
      </c>
      <c r="LO19" s="674">
        <v>6.122361808885584E-2</v>
      </c>
      <c r="LP19" s="674">
        <v>6.0973878764910644E-2</v>
      </c>
      <c r="LQ19" s="674">
        <v>0.51617309050619764</v>
      </c>
      <c r="LR19" s="674">
        <v>0.51617309050619764</v>
      </c>
      <c r="LS19" s="674">
        <v>0.51577654958477404</v>
      </c>
      <c r="LT19" s="674">
        <v>0.51364336441343073</v>
      </c>
      <c r="LU19" s="674">
        <v>0.5145478360384611</v>
      </c>
      <c r="LV19" s="674">
        <v>0.51595693488859529</v>
      </c>
      <c r="LW19" s="674">
        <v>0.51556803722072753</v>
      </c>
      <c r="LX19" s="674">
        <v>0.51557323015732048</v>
      </c>
      <c r="LY19" s="674">
        <v>0.5174993856870006</v>
      </c>
      <c r="LZ19" s="674">
        <v>0.51651708276225838</v>
      </c>
      <c r="MA19" s="674">
        <v>0.51464492799379258</v>
      </c>
      <c r="MB19" s="674">
        <v>0.51393352076590737</v>
      </c>
      <c r="MC19" s="674">
        <v>0.51330233008805171</v>
      </c>
      <c r="MD19" s="674">
        <v>0.51207127557442456</v>
      </c>
      <c r="ME19" s="674">
        <v>0.51041754815335838</v>
      </c>
      <c r="MF19" s="674">
        <v>0.54852885687001818</v>
      </c>
      <c r="MG19" s="674">
        <v>0.5496368710721059</v>
      </c>
      <c r="MH19" s="674">
        <v>0.54504660463924448</v>
      </c>
      <c r="MI19" s="674">
        <v>0.54649465581293355</v>
      </c>
      <c r="MJ19" s="674">
        <v>0.54356634048380514</v>
      </c>
      <c r="MK19" s="674">
        <v>0.54443243107643413</v>
      </c>
      <c r="ML19" s="674">
        <v>0.50793839217612102</v>
      </c>
      <c r="MM19" s="674">
        <v>0.51153228067212708</v>
      </c>
      <c r="MN19" s="674">
        <v>0.51177088205251708</v>
      </c>
      <c r="MO19" s="674">
        <v>0.51012655906980509</v>
      </c>
      <c r="MP19" s="674">
        <v>0.50771273391920302</v>
      </c>
      <c r="MQ19" s="674">
        <v>0.50527885087191393</v>
      </c>
      <c r="MR19" s="674">
        <v>0.77517085748012926</v>
      </c>
      <c r="MS19" s="674">
        <v>0.77385111144739971</v>
      </c>
      <c r="MT19" s="674">
        <v>0.7731229716239415</v>
      </c>
      <c r="MU19" s="674">
        <v>0.7731229716239415</v>
      </c>
      <c r="MV19" s="674">
        <v>0.77409098027844814</v>
      </c>
      <c r="MW19" s="674">
        <v>0.50468622100159</v>
      </c>
      <c r="MX19" s="674">
        <v>0.50433114935488332</v>
      </c>
      <c r="MY19" s="674">
        <v>1.0575015290819567</v>
      </c>
      <c r="MZ19" s="674">
        <v>1.0579572882349411</v>
      </c>
      <c r="NA19" s="674">
        <v>1.0608274100584472</v>
      </c>
      <c r="NB19" s="674">
        <v>1.0611128243263104</v>
      </c>
      <c r="NC19" s="674">
        <v>1.0566688865400589</v>
      </c>
      <c r="ND19" s="674">
        <v>1.0558886387868214</v>
      </c>
      <c r="NE19" s="674">
        <v>1.0547167765711587</v>
      </c>
      <c r="NF19" s="674">
        <v>0.49787441358800805</v>
      </c>
      <c r="NG19" s="674">
        <v>0.49646906113989642</v>
      </c>
      <c r="NH19" s="674">
        <v>0.49448147786948282</v>
      </c>
      <c r="NI19" s="674">
        <v>0.49752269811435035</v>
      </c>
      <c r="NJ19" s="674">
        <v>0.49551106485171886</v>
      </c>
      <c r="NK19" s="674">
        <v>0.49249025191477191</v>
      </c>
      <c r="NL19" s="674">
        <v>0.49269540166204989</v>
      </c>
      <c r="NM19" s="674">
        <v>0.49389183636615369</v>
      </c>
      <c r="NN19" s="674">
        <v>0.49560108308098927</v>
      </c>
      <c r="NO19" s="674">
        <v>0.49609142441086113</v>
      </c>
      <c r="NP19" s="674">
        <v>0.49683814883489158</v>
      </c>
      <c r="NQ19" s="674">
        <v>0.49683814883489158</v>
      </c>
      <c r="NR19" s="674">
        <v>0.49905606279924281</v>
      </c>
      <c r="NS19" s="674">
        <v>0.49512186152146542</v>
      </c>
      <c r="NT19" s="674">
        <v>0.49507275932426387</v>
      </c>
      <c r="NU19" s="674">
        <v>0.4958942086869696</v>
      </c>
      <c r="NV19" s="674">
        <v>0.4964978969399953</v>
      </c>
      <c r="NW19" s="674">
        <v>0.49547577984819247</v>
      </c>
      <c r="NX19" s="674">
        <v>0.49684213343788103</v>
      </c>
      <c r="NY19" s="674">
        <v>0.49755352921239043</v>
      </c>
      <c r="NZ19" s="674">
        <v>0.50009609804709887</v>
      </c>
      <c r="OA19" s="674">
        <v>0.49755707836870794</v>
      </c>
      <c r="OB19" s="674">
        <v>0.49579020110814698</v>
      </c>
      <c r="OC19" s="674">
        <v>0.49566945570247611</v>
      </c>
      <c r="OD19" s="674">
        <v>0.49687093170033297</v>
      </c>
      <c r="OE19" s="674">
        <v>0.89326681671676311</v>
      </c>
      <c r="OF19" s="674">
        <v>0.88574182120302181</v>
      </c>
      <c r="OG19" s="674">
        <v>0.89183171442370646</v>
      </c>
      <c r="OH19" s="674">
        <v>0.89325827261323953</v>
      </c>
      <c r="OI19" s="674">
        <v>0.50218853563973864</v>
      </c>
      <c r="OJ19" s="674">
        <v>0.8433826067444492</v>
      </c>
      <c r="OK19" s="674">
        <v>0.84558516914146731</v>
      </c>
      <c r="OL19" s="674">
        <v>0.7513517789980827</v>
      </c>
      <c r="OM19" s="674">
        <v>0.75247041337407805</v>
      </c>
      <c r="ON19" s="674">
        <v>0.75376685884480099</v>
      </c>
      <c r="OO19" s="674">
        <v>0.76386800697992863</v>
      </c>
      <c r="OP19" s="674">
        <v>0.76384558903187372</v>
      </c>
      <c r="OQ19" s="674">
        <v>0.76384558903187372</v>
      </c>
      <c r="OR19" s="674">
        <v>0.76839827054513565</v>
      </c>
      <c r="OS19" s="674">
        <v>0.77063507752466431</v>
      </c>
      <c r="OT19" s="674">
        <v>0.77063507752466431</v>
      </c>
      <c r="OU19" s="674">
        <v>0.76821447698721979</v>
      </c>
      <c r="OV19" s="674">
        <v>0.76769940735452902</v>
      </c>
      <c r="OW19" s="674">
        <v>0.9711766848536435</v>
      </c>
      <c r="OX19" s="674">
        <v>0.97127462930452702</v>
      </c>
      <c r="OY19" s="674">
        <v>0.77062767476430494</v>
      </c>
      <c r="OZ19" s="674">
        <v>0.76941894359005625</v>
      </c>
      <c r="PA19" s="674">
        <v>0.76941894359005625</v>
      </c>
      <c r="PB19" s="674">
        <v>0.76482014995456205</v>
      </c>
      <c r="PC19" s="674">
        <v>0.76482014995456205</v>
      </c>
      <c r="PD19" s="674">
        <v>1.2885771986126708</v>
      </c>
      <c r="PE19" s="674">
        <v>1.287444864668656</v>
      </c>
      <c r="PF19" s="674">
        <v>0.75877374543486387</v>
      </c>
      <c r="PG19" s="674">
        <v>0.7583339031264632</v>
      </c>
      <c r="PH19" s="674">
        <v>1.2890789183269451</v>
      </c>
      <c r="PI19" s="674">
        <v>0.58478496783939948</v>
      </c>
      <c r="PJ19" s="674">
        <v>0.59097269716897083</v>
      </c>
      <c r="PK19" s="674">
        <v>0.59494049515366243</v>
      </c>
      <c r="PL19" s="674">
        <v>0.5922396571056957</v>
      </c>
      <c r="PM19" s="674">
        <v>1.1952827014905589</v>
      </c>
      <c r="PN19" s="674">
        <v>0.59404959834346538</v>
      </c>
      <c r="PO19" s="674">
        <v>0.59427645067400037</v>
      </c>
      <c r="PP19" s="674">
        <v>0.59734293580628006</v>
      </c>
      <c r="PQ19" s="674">
        <v>0.59886778229185933</v>
      </c>
      <c r="PR19" s="674">
        <v>0.59785783888453325</v>
      </c>
      <c r="PS19" s="674">
        <v>0.59921350875360246</v>
      </c>
      <c r="PT19" s="674">
        <v>0.60373941083073757</v>
      </c>
      <c r="PU19" s="674">
        <v>0.59967058412747254</v>
      </c>
      <c r="PV19" s="674">
        <v>0.59366726273173753</v>
      </c>
      <c r="PW19" s="674">
        <v>0.59366726273173753</v>
      </c>
      <c r="PX19" s="674">
        <v>0.59570545834393973</v>
      </c>
      <c r="PY19" s="674">
        <v>0.59524442506047726</v>
      </c>
      <c r="PZ19" s="674">
        <v>0.59410787674788901</v>
      </c>
      <c r="QA19" s="674">
        <v>0.59142923327898567</v>
      </c>
      <c r="QB19" s="674">
        <v>0.58946428763383651</v>
      </c>
      <c r="QC19" s="674">
        <v>0.59069565481102182</v>
      </c>
      <c r="QD19" s="674">
        <v>0.58991885995647342</v>
      </c>
      <c r="QE19" s="674">
        <v>0.59098760573088849</v>
      </c>
      <c r="QF19" s="674">
        <v>0.59097787583470862</v>
      </c>
      <c r="QG19" s="674">
        <v>0.59063058861002526</v>
      </c>
      <c r="QH19" s="674">
        <v>0.5910230359974824</v>
      </c>
      <c r="QI19" s="674">
        <v>0.58812112051602006</v>
      </c>
      <c r="QJ19" s="674">
        <v>0.58680334099476616</v>
      </c>
      <c r="QK19" s="674">
        <v>0.58776547908077947</v>
      </c>
      <c r="QL19" s="674">
        <v>0.58776547908077947</v>
      </c>
      <c r="QM19" s="674">
        <v>0.58530848858748596</v>
      </c>
      <c r="QN19" s="674">
        <v>0.58994770102776672</v>
      </c>
      <c r="QO19" s="674">
        <v>0.5837215516563391</v>
      </c>
      <c r="QP19" s="674">
        <v>0.58263397487103596</v>
      </c>
      <c r="QQ19" s="674">
        <v>0.58351182118541256</v>
      </c>
      <c r="QR19" s="674">
        <v>0.58439134620918498</v>
      </c>
      <c r="QS19" s="674">
        <v>0.58425156383808585</v>
      </c>
      <c r="QT19" s="674">
        <v>0.58433910060850403</v>
      </c>
      <c r="QU19" s="674">
        <v>0.58374762550147641</v>
      </c>
      <c r="QV19" s="674">
        <v>0.58006133845191377</v>
      </c>
      <c r="QW19" s="674">
        <v>0.58110729951417783</v>
      </c>
      <c r="QX19" s="674">
        <v>0.58207317509821799</v>
      </c>
      <c r="QY19" s="674">
        <v>0.58375020725417759</v>
      </c>
      <c r="QZ19" s="674">
        <v>0.58454805707046098</v>
      </c>
      <c r="RA19" s="674">
        <v>0.58596284141598709</v>
      </c>
      <c r="RB19" s="674">
        <v>0.5871742851628915</v>
      </c>
      <c r="RC19" s="674">
        <v>0.58638309572599567</v>
      </c>
      <c r="RD19" s="674">
        <v>0.58863005483771091</v>
      </c>
      <c r="RE19" s="674">
        <v>0.58695821015095362</v>
      </c>
      <c r="RF19" s="674">
        <v>0.5881897866434469</v>
      </c>
      <c r="RG19" s="674">
        <f>'Cash in bank report'!$D$14-'Cash in bank report'!$D$57</f>
        <v>0</v>
      </c>
      <c r="RH19" s="674">
        <v>0.58823112350060325</v>
      </c>
      <c r="RI19" s="674">
        <v>0.58846832073575817</v>
      </c>
      <c r="RJ19" s="674">
        <v>0.58939368712392581</v>
      </c>
      <c r="RK19" s="674">
        <v>0.59077622380778683</v>
      </c>
      <c r="RL19" s="674">
        <v>0.59311089903470549</v>
      </c>
      <c r="RM19" s="674">
        <v>0.59277508937543055</v>
      </c>
      <c r="RN19" s="674">
        <v>0.59340214660128532</v>
      </c>
      <c r="RO19" s="674">
        <v>0.59326019278470543</v>
      </c>
      <c r="RP19" s="674">
        <v>0.59003275834113411</v>
      </c>
      <c r="RQ19" s="674">
        <v>0.59090838548469338</v>
      </c>
      <c r="RR19" s="674">
        <v>0.58854737867568518</v>
      </c>
      <c r="RS19" s="674">
        <v>0.58859382801088833</v>
      </c>
      <c r="RT19" s="674">
        <v>0.5918386952024961</v>
      </c>
      <c r="RU19" s="674">
        <v>0.58674230359414248</v>
      </c>
      <c r="RV19" s="674">
        <v>0.5865687721471371</v>
      </c>
      <c r="RW19" s="674">
        <v>0.58812142883407403</v>
      </c>
      <c r="RX19" s="674">
        <v>0.58718111634387027</v>
      </c>
      <c r="RY19" s="674">
        <v>0.5859569168852452</v>
      </c>
      <c r="RZ19" s="674">
        <v>0.58427023210272166</v>
      </c>
      <c r="SA19" s="674">
        <v>0.58495517976322831</v>
      </c>
      <c r="SB19" s="674">
        <v>0.5825704088347633</v>
      </c>
      <c r="SC19" s="674">
        <v>0.58352372120550888</v>
      </c>
      <c r="SD19" s="674">
        <v>0.58780510031655642</v>
      </c>
      <c r="SE19" s="674">
        <v>0.5874541066639255</v>
      </c>
      <c r="SF19" s="674">
        <f>'Cash in bank report'!$D$14-'Cash in bank report'!$D$57</f>
        <v>0</v>
      </c>
      <c r="SG19" s="674">
        <v>0.58899166885147969</v>
      </c>
      <c r="SH19" s="674">
        <v>0.5888267835030756</v>
      </c>
      <c r="SI19" s="674">
        <v>0.58248143748799608</v>
      </c>
      <c r="SJ19" s="674">
        <v>0.57868311434591979</v>
      </c>
      <c r="SK19" s="674">
        <v>0.57816111250562308</v>
      </c>
      <c r="SL19" s="674">
        <v>0.57599073885932595</v>
      </c>
      <c r="SM19" s="674">
        <v>0.57644502258381203</v>
      </c>
      <c r="SN19" s="674">
        <v>0.57932370616905549</v>
      </c>
      <c r="SO19" s="674">
        <v>0.57783804110619652</v>
      </c>
      <c r="SP19" s="674">
        <v>0.57775964239656241</v>
      </c>
      <c r="SQ19" s="674">
        <v>0.57865228191974005</v>
      </c>
      <c r="SR19" s="674">
        <v>0.57912757732424913</v>
      </c>
      <c r="SS19" s="674">
        <v>0.58092032365078572</v>
      </c>
      <c r="ST19" s="674">
        <v>0.5817289507745611</v>
      </c>
      <c r="SU19" s="674">
        <v>0.57912757732424913</v>
      </c>
      <c r="SV19" s="674">
        <v>0.58103776981721555</v>
      </c>
      <c r="SW19" s="674">
        <v>0.58283202427261771</v>
      </c>
      <c r="SX19" s="674">
        <v>0.31036250874360988</v>
      </c>
      <c r="SY19" s="674">
        <v>0.30997096401241836</v>
      </c>
      <c r="SZ19" s="674">
        <v>0.30862317953169061</v>
      </c>
      <c r="TA19" s="674">
        <v>7.811836584636539E-2</v>
      </c>
      <c r="TB19" s="674">
        <v>7.8209574866652587E-2</v>
      </c>
      <c r="TC19" s="674">
        <v>7.8422595312375012E-2</v>
      </c>
      <c r="TD19" s="674">
        <v>7.8766782823877987E-2</v>
      </c>
      <c r="TE19" s="674">
        <f>'Cash in bank report'!$D$14-'Cash in bank report'!$D$57</f>
        <v>0</v>
      </c>
      <c r="TF19" s="674">
        <v>1.7383111050867199</v>
      </c>
      <c r="TG19" s="674">
        <v>0.6650796387230361</v>
      </c>
      <c r="TH19" s="674">
        <v>0.66477958261289938</v>
      </c>
      <c r="TI19" s="674">
        <v>7.8538516728237334E-2</v>
      </c>
      <c r="TJ19" s="674">
        <v>7.8384132526816377E-2</v>
      </c>
      <c r="TK19" s="674">
        <v>7.8636649795005245E-2</v>
      </c>
      <c r="TL19" s="674">
        <v>1.6953299667313073</v>
      </c>
      <c r="TM19" s="674">
        <v>1.6950596462201528</v>
      </c>
      <c r="TN19" s="674">
        <v>1.6970439611480066</v>
      </c>
      <c r="TO19" s="674">
        <v>1.694883994309885</v>
      </c>
      <c r="TP19" s="674">
        <v>1.6962391191501023</v>
      </c>
      <c r="TQ19" s="674">
        <v>1.6976951263556617</v>
      </c>
      <c r="TR19" s="674">
        <v>1.6978092845996779</v>
      </c>
      <c r="TS19" s="674">
        <v>1.6976830212211749</v>
      </c>
      <c r="TT19" s="674">
        <v>1.1121997700060611</v>
      </c>
      <c r="TU19" s="674">
        <v>1.1077705705887113</v>
      </c>
      <c r="TV19" s="674">
        <v>1.1083351044310694</v>
      </c>
      <c r="TW19" s="674">
        <v>1.1016391152548524</v>
      </c>
      <c r="TX19" s="674">
        <v>1.1015702299019376</v>
      </c>
      <c r="TY19" s="674">
        <v>1.0989125837266522</v>
      </c>
      <c r="TZ19" s="674">
        <v>1.0941452483747995</v>
      </c>
      <c r="UA19" s="674">
        <v>1.0915237512423119</v>
      </c>
      <c r="UB19" s="674">
        <v>7.7774121878616348E-2</v>
      </c>
      <c r="UC19" s="674">
        <v>0</v>
      </c>
      <c r="UD19" s="674">
        <v>0</v>
      </c>
      <c r="UE19" s="674">
        <v>0</v>
      </c>
      <c r="UF19" s="674">
        <v>0</v>
      </c>
      <c r="UG19" s="674">
        <v>0</v>
      </c>
      <c r="UH19" s="674">
        <v>0</v>
      </c>
      <c r="UI19" s="674">
        <v>0</v>
      </c>
      <c r="UJ19" s="674">
        <v>0</v>
      </c>
      <c r="UK19" s="674">
        <v>0</v>
      </c>
      <c r="UL19" s="674">
        <v>0</v>
      </c>
      <c r="UM19" s="674">
        <v>0</v>
      </c>
      <c r="UN19" s="674">
        <v>0</v>
      </c>
      <c r="UO19" s="674">
        <v>9.5628009449622728E-2</v>
      </c>
      <c r="UP19" s="674">
        <v>9.5734057341537393E-2</v>
      </c>
      <c r="UQ19" s="674">
        <v>0</v>
      </c>
      <c r="UR19" s="674">
        <v>0</v>
      </c>
      <c r="US19" s="674">
        <v>0</v>
      </c>
      <c r="UT19" s="674">
        <v>0</v>
      </c>
      <c r="UU19" s="674">
        <v>0</v>
      </c>
      <c r="UV19" s="674">
        <v>5.3565054256980993E-2</v>
      </c>
      <c r="UW19" s="674">
        <v>5.3508885709080189E-2</v>
      </c>
      <c r="UX19" s="674">
        <v>5.3962934244581984E-2</v>
      </c>
      <c r="UY19" s="674">
        <v>5.3914064690492758E-2</v>
      </c>
      <c r="UZ19" s="674">
        <v>5.4090436695355848E-2</v>
      </c>
      <c r="VA19" s="674">
        <v>5.3944532223417774E-2</v>
      </c>
      <c r="VB19" s="674">
        <v>5.4390091782482664E-2</v>
      </c>
      <c r="VC19" s="674">
        <v>5.419631207408715E-2</v>
      </c>
      <c r="VD19" s="674">
        <v>5.4266890651465616E-2</v>
      </c>
      <c r="VE19" s="674">
        <v>5.3915632520370682E-2</v>
      </c>
      <c r="VF19" s="674">
        <v>5.3190500546075103E-2</v>
      </c>
      <c r="VG19" s="674">
        <v>5.313211121011463E-2</v>
      </c>
      <c r="VH19" s="674">
        <v>5.3303538578241216E-2</v>
      </c>
      <c r="VI19" s="674">
        <v>5.2864392551647654E-2</v>
      </c>
      <c r="VJ19" s="674">
        <f>'Cash in bank report'!$D$14-'Cash in bank report'!$D$57</f>
        <v>0</v>
      </c>
      <c r="VK19" s="674">
        <v>5.2453275609258831E-2</v>
      </c>
      <c r="VL19" s="674">
        <v>5.2464270404650737E-2</v>
      </c>
      <c r="VM19" s="674">
        <v>5.2609278240883128E-2</v>
      </c>
      <c r="VN19" s="674">
        <v>5.2816692009902688E-2</v>
      </c>
      <c r="VO19" s="674">
        <v>5.274901860833614E-2</v>
      </c>
      <c r="VP19" s="674">
        <v>5.2839592262011514E-2</v>
      </c>
      <c r="VQ19" s="674">
        <v>5.2273401131406327E-2</v>
      </c>
      <c r="VR19" s="674">
        <v>5.1981343845643568E-2</v>
      </c>
      <c r="VS19" s="674">
        <v>5.1683959359262843E-2</v>
      </c>
      <c r="VT19" s="674">
        <v>5.1486807252934419E-2</v>
      </c>
      <c r="VU19" s="674">
        <v>5.1335070516115078E-2</v>
      </c>
      <c r="VV19" s="674">
        <v>5.1328585608208854E-2</v>
      </c>
      <c r="VW19" s="674">
        <v>5.1270581465427956E-2</v>
      </c>
      <c r="VX19" s="674">
        <v>5.0938707679293316E-2</v>
      </c>
      <c r="VY19" s="674">
        <v>5.1470449797496709E-2</v>
      </c>
      <c r="VZ19" s="674">
        <v>5.1525095611787197E-2</v>
      </c>
      <c r="WA19" s="674">
        <v>5.1111219769761629E-2</v>
      </c>
      <c r="WB19" s="674">
        <v>5.1566601624820851E-2</v>
      </c>
      <c r="WC19" s="674">
        <v>5.10486754287518E-2</v>
      </c>
      <c r="WD19" s="674">
        <v>5.1182870441504047E-2</v>
      </c>
      <c r="WE19" s="674">
        <v>5.1270381056722325E-2</v>
      </c>
      <c r="WF19" s="674">
        <v>5.0555179237042225E-2</v>
      </c>
      <c r="WG19" s="674">
        <v>5.0672475635086478E-2</v>
      </c>
      <c r="WH19" s="674">
        <v>5.0674462784606966E-2</v>
      </c>
      <c r="WI19" s="674">
        <v>5.0054293269070183E-2</v>
      </c>
      <c r="WJ19" s="674">
        <v>4.95773716698098E-2</v>
      </c>
      <c r="WK19" s="674">
        <v>5.0189489807201504E-2</v>
      </c>
      <c r="WL19" s="674">
        <v>4.9810028183729482E-2</v>
      </c>
      <c r="WM19" s="674">
        <v>5.0193592071106963E-2</v>
      </c>
      <c r="WN19" s="674">
        <v>5.0995150737404682E-2</v>
      </c>
      <c r="WO19" s="674">
        <v>5.0737842932439214E-2</v>
      </c>
      <c r="WP19" s="674">
        <v>4.979991597235589E-2</v>
      </c>
      <c r="WQ19" s="674">
        <v>5.0608104061964809E-2</v>
      </c>
      <c r="WR19" s="674">
        <f>'Cash in bank report'!$D$14-'Cash in bank report'!$D$57</f>
        <v>0</v>
      </c>
      <c r="WS19" s="674">
        <v>5.053296136773433E-2</v>
      </c>
      <c r="WT19" s="674">
        <v>5.0637605089677962E-2</v>
      </c>
      <c r="WU19" s="674">
        <v>5.0883009378277499E-2</v>
      </c>
      <c r="WV19" s="674">
        <v>5.0525707763627636E-2</v>
      </c>
      <c r="WW19" s="674">
        <v>5.0681226917824507E-2</v>
      </c>
      <c r="WX19" s="674">
        <v>5.09771567553714E-2</v>
      </c>
      <c r="WY19" s="674">
        <v>5.0964995768369992E-2</v>
      </c>
      <c r="WZ19" s="674">
        <v>5.1096948066442049E-2</v>
      </c>
      <c r="XA19" s="674">
        <v>5.2439336200264197E-2</v>
      </c>
      <c r="XB19" s="674">
        <v>0</v>
      </c>
      <c r="XC19" s="674">
        <v>0</v>
      </c>
      <c r="XD19" s="674">
        <v>0</v>
      </c>
      <c r="XE19" s="674">
        <v>0</v>
      </c>
      <c r="XF19" s="674">
        <v>0</v>
      </c>
      <c r="XG19" s="674">
        <v>0</v>
      </c>
      <c r="XH19" s="674">
        <v>0</v>
      </c>
      <c r="XI19" s="674">
        <v>0</v>
      </c>
      <c r="XJ19" s="674">
        <v>0</v>
      </c>
      <c r="XK19" s="674">
        <v>0</v>
      </c>
      <c r="XL19" s="674">
        <v>0</v>
      </c>
      <c r="XM19" s="674">
        <v>0</v>
      </c>
      <c r="XN19" s="674">
        <v>0</v>
      </c>
      <c r="XO19" s="674">
        <v>0</v>
      </c>
      <c r="XP19" s="674">
        <v>0</v>
      </c>
      <c r="XQ19" s="674">
        <v>0</v>
      </c>
      <c r="XR19" s="674">
        <v>0</v>
      </c>
      <c r="XS19" s="674">
        <v>0</v>
      </c>
      <c r="XT19" s="674">
        <f>'Cash in bank report'!$D$14-'Cash in bank report'!$D$57</f>
        <v>0</v>
      </c>
      <c r="XU19" s="674">
        <v>0</v>
      </c>
      <c r="XV19" s="674">
        <v>0</v>
      </c>
      <c r="XW19" s="674">
        <v>0</v>
      </c>
      <c r="XX19" s="674">
        <v>0</v>
      </c>
      <c r="XY19" s="674">
        <v>0</v>
      </c>
      <c r="XZ19" s="674">
        <v>0</v>
      </c>
      <c r="YA19" s="674">
        <v>0</v>
      </c>
      <c r="YB19" s="674">
        <v>3.4343159504971688E-2</v>
      </c>
      <c r="YC19" s="674">
        <v>0</v>
      </c>
      <c r="YD19" s="674">
        <v>0</v>
      </c>
      <c r="YE19" s="674">
        <v>0</v>
      </c>
      <c r="YF19" s="674">
        <v>0</v>
      </c>
      <c r="YG19" s="674">
        <v>0</v>
      </c>
      <c r="YH19" s="674">
        <v>0</v>
      </c>
      <c r="YI19" s="674">
        <v>0</v>
      </c>
      <c r="YJ19" s="674">
        <v>0</v>
      </c>
      <c r="YK19" s="674">
        <v>0</v>
      </c>
      <c r="YL19" s="674">
        <v>0</v>
      </c>
      <c r="YM19" s="674">
        <f>'Cash in bank report'!$D$14-'Cash in bank report'!$D$57</f>
        <v>0</v>
      </c>
      <c r="YN19" s="674">
        <v>0</v>
      </c>
      <c r="YO19" s="674">
        <v>0</v>
      </c>
      <c r="YP19" s="674">
        <v>0</v>
      </c>
      <c r="YQ19" s="674">
        <v>0</v>
      </c>
      <c r="YR19" s="674">
        <v>0</v>
      </c>
      <c r="YS19" s="674">
        <v>0</v>
      </c>
      <c r="YT19" s="674">
        <v>0</v>
      </c>
      <c r="YU19" s="674">
        <v>0</v>
      </c>
      <c r="YV19" s="674">
        <v>0.39094965281571037</v>
      </c>
      <c r="YW19" s="674">
        <v>0.39078825312883314</v>
      </c>
      <c r="YX19" s="674">
        <v>0.39490796729756861</v>
      </c>
      <c r="YY19" s="674">
        <v>0.39766965126386111</v>
      </c>
      <c r="YZ19" s="674">
        <v>0</v>
      </c>
      <c r="ZA19" s="674">
        <v>0</v>
      </c>
      <c r="ZB19" s="674">
        <v>0</v>
      </c>
      <c r="ZC19" s="674">
        <v>0</v>
      </c>
      <c r="ZD19" s="674">
        <f>'Cash in bank report'!$D$14-'Cash in bank report'!$D$57</f>
        <v>0</v>
      </c>
    </row>
    <row r="20" spans="1:680">
      <c r="A20" s="120"/>
      <c r="B20" s="125" t="s">
        <v>120</v>
      </c>
      <c r="C20" s="418" t="s">
        <v>0</v>
      </c>
      <c r="D20" s="6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</row>
    <row r="21" spans="1:680" s="142" customFormat="1">
      <c r="A21" s="138"/>
      <c r="B21" s="413"/>
      <c r="C21" s="412" t="s">
        <v>6</v>
      </c>
      <c r="D21" s="140">
        <v>0</v>
      </c>
      <c r="E21" s="140">
        <v>0</v>
      </c>
      <c r="F21" s="140"/>
      <c r="G21" s="140"/>
      <c r="H21" s="140"/>
      <c r="I21" s="140"/>
      <c r="J21" s="140"/>
      <c r="K21" s="140">
        <f>3.276*K8/K7</f>
        <v>3.6183432722620732</v>
      </c>
      <c r="L21" s="140">
        <f>3.276*L8/L7</f>
        <v>3.618343328619626</v>
      </c>
      <c r="M21" s="140">
        <f>2.93*M8/M7</f>
        <v>3.2361846604448239</v>
      </c>
      <c r="N21" s="140">
        <f>2.93*N8/N7</f>
        <v>3.2183130954420571</v>
      </c>
      <c r="O21" s="140">
        <f>2.93*O8/O7</f>
        <v>3.2203640003294707</v>
      </c>
      <c r="P21" s="140">
        <f>2.93*P8/P7</f>
        <v>3.2411663511486513</v>
      </c>
      <c r="Q21" s="140">
        <f>2.93*Q8/Q7</f>
        <v>3.2244645433871657</v>
      </c>
      <c r="R21" s="140">
        <v>0</v>
      </c>
      <c r="S21" s="140">
        <v>0</v>
      </c>
      <c r="T21" s="140">
        <v>0</v>
      </c>
      <c r="U21" s="140">
        <v>0</v>
      </c>
      <c r="V21" s="140">
        <v>0</v>
      </c>
      <c r="W21" s="140">
        <v>0</v>
      </c>
      <c r="X21" s="140">
        <v>0</v>
      </c>
      <c r="Y21" s="140">
        <v>0</v>
      </c>
      <c r="Z21" s="140">
        <v>0</v>
      </c>
      <c r="AA21" s="140">
        <v>0</v>
      </c>
      <c r="AB21" s="140">
        <v>0</v>
      </c>
      <c r="AC21" s="140">
        <v>0</v>
      </c>
      <c r="AD21" s="140">
        <v>0</v>
      </c>
      <c r="AE21" s="140">
        <v>0</v>
      </c>
      <c r="AF21" s="140">
        <v>0</v>
      </c>
      <c r="AG21" s="140">
        <v>0</v>
      </c>
      <c r="AH21" s="140">
        <v>0</v>
      </c>
      <c r="AI21" s="140">
        <v>0</v>
      </c>
      <c r="AJ21" s="140">
        <v>0</v>
      </c>
      <c r="AK21" s="140">
        <v>0</v>
      </c>
      <c r="AL21" s="140">
        <v>0</v>
      </c>
      <c r="AM21" s="140">
        <v>0</v>
      </c>
      <c r="AN21" s="140">
        <v>0</v>
      </c>
      <c r="AO21" s="140">
        <v>0</v>
      </c>
      <c r="AP21" s="140">
        <v>0</v>
      </c>
      <c r="AQ21" s="140">
        <v>0</v>
      </c>
      <c r="AR21" s="140">
        <v>0</v>
      </c>
      <c r="AS21" s="140">
        <v>0</v>
      </c>
      <c r="AT21" s="140">
        <v>0</v>
      </c>
      <c r="AU21" s="140">
        <v>0</v>
      </c>
      <c r="AV21" s="140">
        <v>1.855</v>
      </c>
      <c r="AW21" s="140">
        <v>1.855</v>
      </c>
      <c r="AX21" s="140">
        <v>1.855</v>
      </c>
      <c r="AY21" s="140">
        <v>3.1550000000000002</v>
      </c>
      <c r="AZ21" s="140">
        <v>3.2984749192906091</v>
      </c>
      <c r="BA21" s="140">
        <v>3.2546265281068174</v>
      </c>
      <c r="BB21" s="140">
        <v>3.2729609816453755</v>
      </c>
      <c r="BC21" s="140">
        <v>3.2950968795835252</v>
      </c>
      <c r="BD21" s="140">
        <v>3.3063463689523838</v>
      </c>
      <c r="BE21" s="140">
        <v>3.2830492235161395</v>
      </c>
      <c r="BF21" s="140">
        <v>3.2626433952267253</v>
      </c>
      <c r="BG21" s="140">
        <v>3.2729641874840016</v>
      </c>
      <c r="BH21" s="140">
        <v>3.2603069651915959</v>
      </c>
      <c r="BI21" s="140">
        <v>3.2458624039957655</v>
      </c>
      <c r="BJ21" s="140">
        <v>3.2765078848338827</v>
      </c>
      <c r="BK21" s="140">
        <v>3.2990783760950202</v>
      </c>
      <c r="BL21" s="140">
        <v>3.235978208328381</v>
      </c>
      <c r="BM21" s="140">
        <v>3.2130127226008778</v>
      </c>
      <c r="BN21" s="140">
        <v>3.2673770482469626</v>
      </c>
      <c r="BO21" s="140">
        <v>3.3256390012180268</v>
      </c>
      <c r="BP21" s="140">
        <v>3.3562775736332409</v>
      </c>
      <c r="BQ21" s="140">
        <v>3.3562775736332409</v>
      </c>
      <c r="BR21" s="140">
        <v>3.3420231558570461</v>
      </c>
      <c r="BS21" s="140">
        <v>3.3493345310004288</v>
      </c>
      <c r="BT21" s="140">
        <v>3.3551353753671469</v>
      </c>
      <c r="BU21" s="140">
        <v>3.3290606805358443</v>
      </c>
      <c r="BV21" s="140">
        <v>3.2741153056613297</v>
      </c>
      <c r="BW21" s="140">
        <v>3.2918630696899536</v>
      </c>
      <c r="BX21" s="140">
        <v>3.2708220105470285</v>
      </c>
      <c r="BY21" s="140">
        <v>3.3007495049382745</v>
      </c>
      <c r="BZ21" s="140">
        <v>3.3025819748739158</v>
      </c>
      <c r="CA21" s="140">
        <v>3.3135051847898209</v>
      </c>
      <c r="CB21" s="140">
        <v>3.31350518478982</v>
      </c>
      <c r="CC21" s="140">
        <v>3.3105569007717714</v>
      </c>
      <c r="CD21" s="140">
        <v>3.3112370929085548</v>
      </c>
      <c r="CE21" s="140">
        <v>3.3140030938402409</v>
      </c>
      <c r="CF21" s="140">
        <v>3.328843984980149</v>
      </c>
      <c r="CG21" s="140">
        <v>3.3215135462684233</v>
      </c>
      <c r="CH21" s="140">
        <v>3.2828647288349586</v>
      </c>
      <c r="CI21" s="140">
        <v>4.2828647288349604</v>
      </c>
      <c r="CJ21" s="140">
        <v>1.3495071325096486</v>
      </c>
      <c r="CK21" s="140">
        <v>1.3366592721468149</v>
      </c>
      <c r="CL21" s="140">
        <v>1.3292397196038845</v>
      </c>
      <c r="CM21" s="140">
        <v>1.3204276978969858</v>
      </c>
      <c r="CN21" s="140">
        <v>1.3166249363435751</v>
      </c>
      <c r="CO21" s="140">
        <v>0</v>
      </c>
      <c r="CP21" s="587">
        <f>$D69*CP8/CP7</f>
        <v>0</v>
      </c>
      <c r="CQ21" s="587">
        <v>0</v>
      </c>
      <c r="CR21" s="587">
        <v>0</v>
      </c>
      <c r="CS21" s="587">
        <v>0</v>
      </c>
      <c r="CT21" s="587">
        <v>0</v>
      </c>
      <c r="CU21" s="587">
        <v>0</v>
      </c>
      <c r="CV21" s="587">
        <v>0</v>
      </c>
      <c r="CW21" s="587">
        <v>0</v>
      </c>
      <c r="CX21" s="587">
        <v>0</v>
      </c>
      <c r="CY21" s="587">
        <f>$D64*CY8/CY7</f>
        <v>0</v>
      </c>
      <c r="CZ21" s="587">
        <f>$D64*CZ8/CZ7</f>
        <v>0</v>
      </c>
      <c r="DA21" s="587">
        <f>$D63*DA8/DA7</f>
        <v>0</v>
      </c>
      <c r="DB21" s="587">
        <f>$D65*DB8/DB7</f>
        <v>0</v>
      </c>
      <c r="DC21" s="587">
        <v>0</v>
      </c>
      <c r="DD21" s="587">
        <v>0</v>
      </c>
      <c r="DE21" s="587">
        <v>0</v>
      </c>
      <c r="DF21" s="587">
        <v>0</v>
      </c>
      <c r="DG21" s="587">
        <v>0</v>
      </c>
      <c r="DH21" s="587">
        <v>0</v>
      </c>
      <c r="DI21" s="587">
        <v>0</v>
      </c>
      <c r="DJ21" s="587">
        <v>0</v>
      </c>
      <c r="DK21" s="587">
        <v>0</v>
      </c>
      <c r="DL21" s="587">
        <v>0</v>
      </c>
      <c r="DM21" s="587">
        <v>0</v>
      </c>
      <c r="DN21" s="587">
        <v>0</v>
      </c>
      <c r="DO21" s="587">
        <v>0</v>
      </c>
      <c r="DP21" s="587">
        <v>0</v>
      </c>
      <c r="DQ21" s="587">
        <v>0</v>
      </c>
      <c r="DR21" s="587">
        <v>0</v>
      </c>
      <c r="DS21" s="587">
        <v>0</v>
      </c>
      <c r="DT21" s="587">
        <v>0</v>
      </c>
      <c r="DU21" s="587">
        <v>0</v>
      </c>
      <c r="DV21" s="587">
        <v>0</v>
      </c>
      <c r="DW21" s="587">
        <v>0</v>
      </c>
      <c r="DX21" s="587">
        <v>0</v>
      </c>
      <c r="DY21" s="587">
        <v>0</v>
      </c>
      <c r="DZ21" s="587">
        <f>$D65*DZ8/DZ7</f>
        <v>0</v>
      </c>
      <c r="EA21" s="587">
        <v>0</v>
      </c>
      <c r="EB21" s="587">
        <v>0</v>
      </c>
      <c r="EC21" s="587">
        <v>0</v>
      </c>
      <c r="ED21" s="587">
        <v>0</v>
      </c>
      <c r="EE21" s="587">
        <v>0</v>
      </c>
      <c r="EF21" s="587">
        <v>0</v>
      </c>
      <c r="EG21" s="587">
        <v>0</v>
      </c>
      <c r="EH21" s="587">
        <v>0</v>
      </c>
      <c r="EI21" s="587">
        <v>0</v>
      </c>
      <c r="EJ21" s="587">
        <v>0</v>
      </c>
      <c r="EK21" s="587">
        <v>0</v>
      </c>
      <c r="EL21" s="587">
        <v>0</v>
      </c>
      <c r="EM21" s="587">
        <v>0</v>
      </c>
      <c r="EN21" s="587">
        <f>$D66*EN8/EN7</f>
        <v>0</v>
      </c>
      <c r="EO21" s="587">
        <v>0</v>
      </c>
      <c r="EP21" s="587">
        <f>$D68*EP8/EP7</f>
        <v>0</v>
      </c>
      <c r="EQ21" s="587">
        <v>0</v>
      </c>
      <c r="ER21" s="587">
        <v>0</v>
      </c>
      <c r="ES21" s="587">
        <v>0</v>
      </c>
      <c r="ET21" s="587">
        <v>0</v>
      </c>
      <c r="EU21" s="587">
        <v>0</v>
      </c>
      <c r="EV21" s="587">
        <v>0</v>
      </c>
      <c r="EW21" s="587">
        <v>0</v>
      </c>
      <c r="EX21" s="587">
        <f>$D64*EX8/EX7</f>
        <v>0</v>
      </c>
      <c r="EY21" s="587">
        <f>$D64*EY8/EY7</f>
        <v>0</v>
      </c>
      <c r="EZ21" s="587">
        <f>$D64*EZ8/EZ7</f>
        <v>0</v>
      </c>
      <c r="FA21" s="587">
        <v>0</v>
      </c>
      <c r="FB21" s="587">
        <v>0</v>
      </c>
      <c r="FC21" s="587">
        <v>0</v>
      </c>
      <c r="FD21" s="587">
        <v>0</v>
      </c>
      <c r="FE21" s="587">
        <v>0</v>
      </c>
      <c r="FF21" s="587">
        <v>0</v>
      </c>
      <c r="FG21" s="587">
        <v>0</v>
      </c>
      <c r="FH21" s="587">
        <f>$D67*FH8/FH7</f>
        <v>0</v>
      </c>
      <c r="FI21" s="587">
        <v>0</v>
      </c>
      <c r="FJ21" s="587">
        <v>0</v>
      </c>
      <c r="FK21" s="587">
        <v>0</v>
      </c>
      <c r="FL21" s="587">
        <v>0</v>
      </c>
      <c r="FM21" s="587">
        <v>0</v>
      </c>
      <c r="FN21" s="587">
        <v>0</v>
      </c>
      <c r="FO21" s="587">
        <v>0</v>
      </c>
      <c r="FP21" s="587">
        <f>$D64*FP8/FP7</f>
        <v>0</v>
      </c>
      <c r="FQ21" s="587">
        <v>0</v>
      </c>
      <c r="FR21" s="587">
        <v>0</v>
      </c>
      <c r="FS21" s="587">
        <f>$D63*FS8/FS7</f>
        <v>0</v>
      </c>
      <c r="FT21" s="587">
        <f>$D64*FT8/FT7</f>
        <v>0</v>
      </c>
      <c r="FU21" s="587">
        <v>0</v>
      </c>
      <c r="FV21" s="587">
        <v>0</v>
      </c>
      <c r="FW21" s="587">
        <v>0</v>
      </c>
      <c r="FX21" s="587">
        <v>0</v>
      </c>
      <c r="FY21" s="587">
        <v>0</v>
      </c>
      <c r="FZ21" s="587">
        <v>0</v>
      </c>
      <c r="GA21" s="587">
        <v>0</v>
      </c>
      <c r="GB21" s="587">
        <v>0</v>
      </c>
      <c r="GC21" s="587">
        <v>0</v>
      </c>
      <c r="GD21" s="587">
        <f>$D66*GD8/GD7</f>
        <v>0</v>
      </c>
      <c r="GE21" s="587">
        <v>0</v>
      </c>
      <c r="GF21" s="587">
        <f>$D66*GF8/GF7</f>
        <v>0</v>
      </c>
      <c r="GG21" s="587">
        <f>$D66*GG8/GG7</f>
        <v>0</v>
      </c>
      <c r="GH21" s="587">
        <f>$D66*GH8/GH7</f>
        <v>0</v>
      </c>
      <c r="GI21" s="587">
        <v>0</v>
      </c>
      <c r="GJ21" s="587">
        <v>0</v>
      </c>
      <c r="GK21" s="587">
        <f>$D67*GK8/GK7</f>
        <v>0</v>
      </c>
      <c r="GL21" s="587">
        <v>0</v>
      </c>
      <c r="GM21" s="587">
        <v>0</v>
      </c>
      <c r="GN21" s="587">
        <f>$D67*GN8/GN7</f>
        <v>0</v>
      </c>
      <c r="GO21" s="587">
        <f>$D67*GO8/GO7</f>
        <v>0</v>
      </c>
      <c r="GP21" s="587">
        <f>$D67*GP8/GP7</f>
        <v>0</v>
      </c>
      <c r="GQ21" s="587">
        <f>$D67*GQ8/GQ7</f>
        <v>0</v>
      </c>
      <c r="GR21" s="587">
        <v>0</v>
      </c>
      <c r="GS21" s="587">
        <f>$D67*GS8/GS7</f>
        <v>0</v>
      </c>
      <c r="GT21" s="587">
        <v>0</v>
      </c>
      <c r="GU21" s="587">
        <f t="shared" ref="GU21:HD21" si="14">$D67*GU8/GU7</f>
        <v>0</v>
      </c>
      <c r="GV21" s="587">
        <f t="shared" si="14"/>
        <v>0</v>
      </c>
      <c r="GW21" s="587">
        <f t="shared" si="14"/>
        <v>0</v>
      </c>
      <c r="GX21" s="587">
        <f t="shared" si="14"/>
        <v>0</v>
      </c>
      <c r="GY21" s="587">
        <f t="shared" si="14"/>
        <v>0</v>
      </c>
      <c r="GZ21" s="587">
        <f t="shared" si="14"/>
        <v>0</v>
      </c>
      <c r="HA21" s="587">
        <f t="shared" si="14"/>
        <v>0</v>
      </c>
      <c r="HB21" s="587">
        <f t="shared" si="14"/>
        <v>0</v>
      </c>
      <c r="HC21" s="587">
        <f t="shared" si="14"/>
        <v>0</v>
      </c>
      <c r="HD21" s="587">
        <f t="shared" si="14"/>
        <v>0</v>
      </c>
      <c r="HE21" s="587">
        <v>0</v>
      </c>
      <c r="HF21" s="587">
        <v>0</v>
      </c>
      <c r="HG21" s="587">
        <v>0</v>
      </c>
      <c r="HH21" s="587">
        <v>0</v>
      </c>
      <c r="HI21" s="587">
        <v>0</v>
      </c>
      <c r="HJ21" s="587">
        <v>0</v>
      </c>
      <c r="HK21" s="587">
        <v>0</v>
      </c>
      <c r="HL21" s="587">
        <v>0</v>
      </c>
      <c r="HM21" s="587">
        <v>0</v>
      </c>
      <c r="HN21" s="587">
        <v>0</v>
      </c>
      <c r="HO21" s="587">
        <v>0</v>
      </c>
      <c r="HP21" s="587">
        <v>0</v>
      </c>
      <c r="HQ21" s="587">
        <v>0</v>
      </c>
      <c r="HR21" s="587">
        <v>0</v>
      </c>
      <c r="HS21" s="587">
        <v>0</v>
      </c>
      <c r="HT21" s="587">
        <v>0</v>
      </c>
      <c r="HU21" s="587">
        <v>0</v>
      </c>
      <c r="HV21" s="587">
        <v>0</v>
      </c>
      <c r="HW21" s="587">
        <v>0</v>
      </c>
      <c r="HX21" s="587">
        <v>0</v>
      </c>
      <c r="HY21" s="587">
        <v>0</v>
      </c>
      <c r="HZ21" s="587">
        <v>0</v>
      </c>
      <c r="IA21" s="587">
        <v>0</v>
      </c>
      <c r="IB21" s="587">
        <v>0</v>
      </c>
      <c r="IC21" s="587">
        <v>0</v>
      </c>
      <c r="ID21" s="587">
        <v>0</v>
      </c>
      <c r="IE21" s="587">
        <v>0</v>
      </c>
      <c r="IF21" s="587">
        <v>0</v>
      </c>
      <c r="IG21" s="587">
        <v>0</v>
      </c>
      <c r="IH21" s="587">
        <v>0</v>
      </c>
      <c r="II21" s="587">
        <v>0</v>
      </c>
      <c r="IJ21" s="587">
        <v>0</v>
      </c>
      <c r="IK21" s="587">
        <v>0</v>
      </c>
      <c r="IL21" s="587">
        <v>0</v>
      </c>
      <c r="IM21" s="587">
        <v>0</v>
      </c>
      <c r="IN21" s="587">
        <v>0</v>
      </c>
      <c r="IO21" s="587">
        <v>0</v>
      </c>
      <c r="IP21" s="587">
        <v>0</v>
      </c>
      <c r="IQ21" s="587">
        <v>0</v>
      </c>
      <c r="IR21" s="587">
        <v>0</v>
      </c>
      <c r="IS21" s="587">
        <v>0</v>
      </c>
      <c r="IT21" s="587">
        <v>0</v>
      </c>
      <c r="IU21" s="587">
        <v>0</v>
      </c>
      <c r="IV21" s="587">
        <v>0</v>
      </c>
      <c r="IW21" s="587">
        <v>0</v>
      </c>
      <c r="IX21" s="587">
        <v>0</v>
      </c>
      <c r="IY21" s="587">
        <v>0</v>
      </c>
      <c r="IZ21" s="587">
        <v>0</v>
      </c>
      <c r="JA21" s="587">
        <v>0</v>
      </c>
      <c r="JB21" s="587">
        <v>0</v>
      </c>
      <c r="JC21" s="587">
        <v>0</v>
      </c>
      <c r="JD21" s="587">
        <v>0</v>
      </c>
      <c r="JE21" s="587">
        <v>0</v>
      </c>
      <c r="JF21" s="587">
        <v>0</v>
      </c>
      <c r="JG21" s="587">
        <v>0</v>
      </c>
      <c r="JH21" s="587">
        <v>0</v>
      </c>
      <c r="JI21" s="587">
        <v>0</v>
      </c>
      <c r="JJ21" s="587">
        <v>0</v>
      </c>
      <c r="JK21" s="587">
        <v>0</v>
      </c>
      <c r="JL21" s="587">
        <v>0</v>
      </c>
      <c r="JM21" s="587">
        <v>0</v>
      </c>
      <c r="JN21" s="587">
        <v>0</v>
      </c>
      <c r="JO21" s="587">
        <v>0</v>
      </c>
      <c r="JP21" s="587">
        <v>0</v>
      </c>
      <c r="JQ21" s="587">
        <v>0</v>
      </c>
      <c r="JR21" s="587">
        <v>0</v>
      </c>
      <c r="JS21" s="587">
        <v>0</v>
      </c>
      <c r="JT21" s="587">
        <v>0</v>
      </c>
      <c r="JU21" s="587">
        <v>0</v>
      </c>
      <c r="JV21" s="587">
        <v>0</v>
      </c>
      <c r="JW21" s="587">
        <v>0</v>
      </c>
      <c r="JX21" s="587">
        <v>0</v>
      </c>
      <c r="JY21" s="587">
        <v>0</v>
      </c>
      <c r="JZ21" s="587">
        <v>0</v>
      </c>
      <c r="KA21" s="587">
        <v>0</v>
      </c>
      <c r="KB21" s="587">
        <v>0</v>
      </c>
      <c r="KC21" s="587">
        <v>0</v>
      </c>
      <c r="KD21" s="587">
        <v>0</v>
      </c>
      <c r="KE21" s="587">
        <v>0</v>
      </c>
      <c r="KF21" s="587">
        <v>0</v>
      </c>
      <c r="KG21" s="587">
        <v>0</v>
      </c>
      <c r="KH21" s="587">
        <v>0</v>
      </c>
      <c r="KI21" s="587">
        <v>0</v>
      </c>
      <c r="KJ21" s="587">
        <v>0</v>
      </c>
      <c r="KK21" s="587">
        <v>0</v>
      </c>
      <c r="KL21" s="587">
        <v>0</v>
      </c>
      <c r="KM21" s="587">
        <v>0</v>
      </c>
      <c r="KN21" s="587">
        <v>0</v>
      </c>
      <c r="KO21" s="587">
        <v>0</v>
      </c>
      <c r="KP21" s="587">
        <v>0</v>
      </c>
      <c r="KQ21" s="587">
        <v>0</v>
      </c>
      <c r="KR21" s="587">
        <v>0</v>
      </c>
      <c r="KS21" s="587">
        <v>0</v>
      </c>
      <c r="KT21" s="587">
        <v>0</v>
      </c>
      <c r="KU21" s="587">
        <v>0</v>
      </c>
      <c r="KV21" s="587">
        <v>0</v>
      </c>
      <c r="KW21" s="587">
        <v>0</v>
      </c>
      <c r="KX21" s="587">
        <v>0</v>
      </c>
      <c r="KY21" s="587">
        <v>0</v>
      </c>
      <c r="KZ21" s="587">
        <v>0</v>
      </c>
      <c r="LA21" s="587">
        <v>0</v>
      </c>
      <c r="LB21" s="587">
        <v>0</v>
      </c>
      <c r="LC21" s="587">
        <v>0</v>
      </c>
      <c r="LD21" s="587">
        <v>0</v>
      </c>
      <c r="LE21" s="587">
        <v>0</v>
      </c>
      <c r="LF21" s="587">
        <v>0</v>
      </c>
      <c r="LG21" s="587">
        <v>0</v>
      </c>
      <c r="LH21" s="587">
        <v>0</v>
      </c>
      <c r="LI21" s="587">
        <v>0</v>
      </c>
      <c r="LJ21" s="587">
        <v>0</v>
      </c>
      <c r="LK21" s="587">
        <v>0</v>
      </c>
      <c r="LL21" s="587">
        <v>0</v>
      </c>
      <c r="LM21" s="587">
        <v>0</v>
      </c>
      <c r="LN21" s="587">
        <v>0</v>
      </c>
      <c r="LO21" s="587">
        <v>0</v>
      </c>
      <c r="LP21" s="587">
        <v>0</v>
      </c>
      <c r="LQ21" s="587">
        <v>0</v>
      </c>
      <c r="LR21" s="587">
        <v>0</v>
      </c>
      <c r="LS21" s="587">
        <v>0</v>
      </c>
      <c r="LT21" s="587">
        <v>0</v>
      </c>
      <c r="LU21" s="587">
        <v>0</v>
      </c>
      <c r="LV21" s="587">
        <v>0</v>
      </c>
      <c r="LW21" s="587">
        <v>0</v>
      </c>
      <c r="LX21" s="587">
        <v>0</v>
      </c>
      <c r="LY21" s="587">
        <v>0</v>
      </c>
      <c r="LZ21" s="587">
        <v>0</v>
      </c>
      <c r="MA21" s="587">
        <v>0</v>
      </c>
      <c r="MB21" s="587">
        <v>0</v>
      </c>
      <c r="MC21" s="587">
        <v>0</v>
      </c>
      <c r="MD21" s="587">
        <v>0</v>
      </c>
      <c r="ME21" s="587">
        <v>0</v>
      </c>
      <c r="MF21" s="587">
        <v>0</v>
      </c>
      <c r="MG21" s="587">
        <v>0</v>
      </c>
      <c r="MH21" s="587">
        <v>0</v>
      </c>
      <c r="MI21" s="587">
        <v>0</v>
      </c>
      <c r="MJ21" s="587">
        <v>0</v>
      </c>
      <c r="MK21" s="587">
        <v>0</v>
      </c>
      <c r="ML21" s="587">
        <v>0</v>
      </c>
      <c r="MM21" s="587">
        <v>0</v>
      </c>
      <c r="MN21" s="587">
        <v>0</v>
      </c>
      <c r="MO21" s="587">
        <v>0</v>
      </c>
      <c r="MP21" s="587">
        <v>0</v>
      </c>
      <c r="MQ21" s="587">
        <v>0</v>
      </c>
      <c r="MR21" s="587">
        <v>0</v>
      </c>
      <c r="MS21" s="587">
        <v>0</v>
      </c>
      <c r="MT21" s="587">
        <v>0</v>
      </c>
      <c r="MU21" s="587">
        <v>0</v>
      </c>
      <c r="MV21" s="587">
        <v>0</v>
      </c>
      <c r="MW21" s="587">
        <v>0</v>
      </c>
      <c r="MX21" s="587">
        <v>0</v>
      </c>
      <c r="MY21" s="587">
        <v>0</v>
      </c>
      <c r="MZ21" s="587">
        <v>0</v>
      </c>
      <c r="NA21" s="587">
        <v>0</v>
      </c>
      <c r="NB21" s="587">
        <v>0</v>
      </c>
      <c r="NC21" s="587">
        <v>0</v>
      </c>
      <c r="ND21" s="587">
        <v>0</v>
      </c>
      <c r="NE21" s="587">
        <v>0</v>
      </c>
      <c r="NF21" s="587">
        <v>0</v>
      </c>
      <c r="NG21" s="587">
        <v>0</v>
      </c>
      <c r="NH21" s="587">
        <v>0</v>
      </c>
      <c r="NI21" s="587">
        <v>0</v>
      </c>
      <c r="NJ21" s="587">
        <v>0</v>
      </c>
      <c r="NK21" s="587">
        <v>0</v>
      </c>
      <c r="NL21" s="587">
        <v>0</v>
      </c>
      <c r="NM21" s="587">
        <v>0</v>
      </c>
      <c r="NN21" s="587">
        <v>0</v>
      </c>
      <c r="NO21" s="587">
        <v>0</v>
      </c>
      <c r="NP21" s="587">
        <v>0</v>
      </c>
      <c r="NQ21" s="587">
        <v>0</v>
      </c>
      <c r="NR21" s="587">
        <v>0</v>
      </c>
      <c r="NS21" s="587">
        <v>0</v>
      </c>
      <c r="NT21" s="587">
        <v>0</v>
      </c>
      <c r="NU21" s="587">
        <v>0</v>
      </c>
      <c r="NV21" s="587">
        <v>0</v>
      </c>
      <c r="NW21" s="587">
        <v>0</v>
      </c>
      <c r="NX21" s="587">
        <v>0</v>
      </c>
      <c r="NY21" s="587">
        <v>0</v>
      </c>
      <c r="NZ21" s="587">
        <v>0</v>
      </c>
      <c r="OA21" s="587">
        <v>0</v>
      </c>
      <c r="OB21" s="587">
        <v>0</v>
      </c>
      <c r="OC21" s="587">
        <v>0</v>
      </c>
      <c r="OD21" s="587">
        <v>0</v>
      </c>
      <c r="OE21" s="587">
        <v>0</v>
      </c>
      <c r="OF21" s="587">
        <v>0</v>
      </c>
      <c r="OG21" s="587">
        <v>0</v>
      </c>
      <c r="OH21" s="587">
        <v>0</v>
      </c>
      <c r="OI21" s="587">
        <v>0</v>
      </c>
      <c r="OJ21" s="587">
        <v>0</v>
      </c>
      <c r="OK21" s="587">
        <v>0</v>
      </c>
      <c r="OL21" s="587">
        <v>0</v>
      </c>
      <c r="OM21" s="587">
        <v>0</v>
      </c>
      <c r="ON21" s="587">
        <v>0</v>
      </c>
      <c r="OO21" s="587">
        <v>0</v>
      </c>
      <c r="OP21" s="587">
        <v>0</v>
      </c>
      <c r="OQ21" s="587">
        <v>0</v>
      </c>
      <c r="OR21" s="587">
        <v>0</v>
      </c>
      <c r="OS21" s="587">
        <v>0</v>
      </c>
      <c r="OT21" s="587">
        <v>0</v>
      </c>
      <c r="OU21" s="587">
        <v>0</v>
      </c>
      <c r="OV21" s="587">
        <v>0</v>
      </c>
      <c r="OW21" s="587">
        <v>0</v>
      </c>
      <c r="OX21" s="587">
        <v>0</v>
      </c>
      <c r="OY21" s="587">
        <v>0</v>
      </c>
      <c r="OZ21" s="587">
        <v>0</v>
      </c>
      <c r="PA21" s="587">
        <v>0</v>
      </c>
      <c r="PB21" s="587">
        <v>0</v>
      </c>
      <c r="PC21" s="587">
        <v>0</v>
      </c>
      <c r="PD21" s="587">
        <v>0</v>
      </c>
      <c r="PE21" s="587">
        <v>0</v>
      </c>
      <c r="PF21" s="587">
        <v>0</v>
      </c>
      <c r="PG21" s="587">
        <v>0</v>
      </c>
      <c r="PH21" s="587">
        <v>0</v>
      </c>
      <c r="PI21" s="587">
        <v>0</v>
      </c>
      <c r="PJ21" s="587">
        <v>0</v>
      </c>
      <c r="PK21" s="587">
        <v>0</v>
      </c>
      <c r="PL21" s="587">
        <v>0</v>
      </c>
      <c r="PM21" s="587">
        <v>0</v>
      </c>
      <c r="PN21" s="587">
        <v>0</v>
      </c>
      <c r="PO21" s="587">
        <v>0</v>
      </c>
      <c r="PP21" s="587">
        <v>0</v>
      </c>
      <c r="PQ21" s="587">
        <v>0</v>
      </c>
      <c r="PR21" s="587">
        <v>0</v>
      </c>
      <c r="PS21" s="587">
        <v>0</v>
      </c>
      <c r="PT21" s="587">
        <v>0</v>
      </c>
      <c r="PU21" s="587">
        <v>0</v>
      </c>
      <c r="PV21" s="587">
        <v>0</v>
      </c>
      <c r="PW21" s="587">
        <v>0</v>
      </c>
      <c r="PX21" s="587">
        <v>0</v>
      </c>
      <c r="PY21" s="587">
        <v>0</v>
      </c>
      <c r="PZ21" s="587">
        <v>0</v>
      </c>
      <c r="QA21" s="587">
        <v>0</v>
      </c>
      <c r="QB21" s="587">
        <v>0</v>
      </c>
      <c r="QC21" s="587">
        <v>0</v>
      </c>
      <c r="QD21" s="587">
        <v>0</v>
      </c>
      <c r="QE21" s="587">
        <v>0</v>
      </c>
      <c r="QF21" s="587">
        <v>0</v>
      </c>
      <c r="QG21" s="587">
        <v>0</v>
      </c>
      <c r="QH21" s="587">
        <v>0</v>
      </c>
      <c r="QI21" s="587">
        <v>0</v>
      </c>
      <c r="QJ21" s="587">
        <v>0</v>
      </c>
      <c r="QK21" s="587">
        <v>0</v>
      </c>
      <c r="QL21" s="587">
        <v>0</v>
      </c>
      <c r="QM21" s="587">
        <v>0</v>
      </c>
      <c r="QN21" s="587">
        <v>0</v>
      </c>
      <c r="QO21" s="587">
        <v>0</v>
      </c>
      <c r="QP21" s="587">
        <v>0</v>
      </c>
      <c r="QQ21" s="587">
        <v>0</v>
      </c>
      <c r="QR21" s="587">
        <v>0</v>
      </c>
      <c r="QS21" s="587">
        <v>0</v>
      </c>
      <c r="QT21" s="587">
        <v>0</v>
      </c>
      <c r="QU21" s="587">
        <v>0</v>
      </c>
      <c r="QV21" s="587">
        <v>0</v>
      </c>
      <c r="QW21" s="587">
        <v>0</v>
      </c>
      <c r="QX21" s="587">
        <v>0</v>
      </c>
      <c r="QY21" s="587">
        <v>0</v>
      </c>
      <c r="QZ21" s="587">
        <v>0</v>
      </c>
      <c r="RA21" s="587">
        <v>0</v>
      </c>
      <c r="RB21" s="587">
        <v>0</v>
      </c>
      <c r="RC21" s="587">
        <v>0</v>
      </c>
      <c r="RD21" s="587">
        <v>0</v>
      </c>
      <c r="RE21" s="587">
        <v>0</v>
      </c>
      <c r="RF21" s="587">
        <v>0</v>
      </c>
      <c r="RG21" s="587">
        <v>0</v>
      </c>
      <c r="RH21" s="587">
        <v>0</v>
      </c>
      <c r="RI21" s="587">
        <v>0</v>
      </c>
      <c r="RJ21" s="587">
        <v>0</v>
      </c>
      <c r="RK21" s="587">
        <v>0</v>
      </c>
      <c r="RL21" s="587">
        <v>0</v>
      </c>
      <c r="RM21" s="587">
        <v>0</v>
      </c>
      <c r="RN21" s="587">
        <v>0</v>
      </c>
      <c r="RO21" s="587">
        <v>0</v>
      </c>
      <c r="RP21" s="587">
        <v>0</v>
      </c>
      <c r="RQ21" s="587">
        <v>0</v>
      </c>
      <c r="RR21" s="587">
        <v>0</v>
      </c>
      <c r="RS21" s="587">
        <v>0</v>
      </c>
      <c r="RT21" s="587">
        <v>0</v>
      </c>
      <c r="RU21" s="587">
        <v>0</v>
      </c>
      <c r="RV21" s="587">
        <v>0</v>
      </c>
      <c r="RW21" s="587">
        <v>0</v>
      </c>
      <c r="RX21" s="587">
        <v>0</v>
      </c>
      <c r="RY21" s="587">
        <v>0</v>
      </c>
      <c r="RZ21" s="587">
        <v>0</v>
      </c>
      <c r="SA21" s="587">
        <v>0</v>
      </c>
      <c r="SB21" s="587">
        <v>0</v>
      </c>
      <c r="SC21" s="587">
        <v>0</v>
      </c>
      <c r="SD21" s="587">
        <v>0</v>
      </c>
      <c r="SE21" s="587">
        <v>0</v>
      </c>
      <c r="SF21" s="587">
        <v>0</v>
      </c>
      <c r="SG21" s="587">
        <v>0</v>
      </c>
      <c r="SH21" s="587">
        <v>0</v>
      </c>
      <c r="SI21" s="587">
        <v>0</v>
      </c>
      <c r="SJ21" s="587">
        <v>0</v>
      </c>
      <c r="SK21" s="587">
        <v>0</v>
      </c>
      <c r="SL21" s="587">
        <v>0</v>
      </c>
      <c r="SM21" s="587">
        <v>0</v>
      </c>
      <c r="SN21" s="587">
        <v>0</v>
      </c>
      <c r="SO21" s="587">
        <v>0</v>
      </c>
      <c r="SP21" s="587">
        <v>0</v>
      </c>
      <c r="SQ21" s="587">
        <v>0</v>
      </c>
      <c r="SR21" s="587">
        <v>0</v>
      </c>
      <c r="SS21" s="587">
        <v>0</v>
      </c>
      <c r="ST21" s="587">
        <v>0</v>
      </c>
      <c r="SU21" s="587">
        <v>0</v>
      </c>
      <c r="SV21" s="587">
        <v>0</v>
      </c>
      <c r="SW21" s="587">
        <v>0</v>
      </c>
      <c r="SX21" s="587">
        <v>0</v>
      </c>
      <c r="SY21" s="587">
        <v>0</v>
      </c>
      <c r="SZ21" s="587">
        <v>0</v>
      </c>
      <c r="TA21" s="587">
        <v>0</v>
      </c>
      <c r="TB21" s="587">
        <v>0</v>
      </c>
      <c r="TC21" s="587">
        <v>0</v>
      </c>
      <c r="TD21" s="587">
        <v>0</v>
      </c>
      <c r="TE21" s="587">
        <v>0</v>
      </c>
      <c r="TF21" s="587">
        <v>0</v>
      </c>
      <c r="TG21" s="587">
        <v>0</v>
      </c>
      <c r="TH21" s="587">
        <v>0</v>
      </c>
      <c r="TI21" s="587">
        <v>0</v>
      </c>
      <c r="TJ21" s="587">
        <v>0</v>
      </c>
      <c r="TK21" s="587">
        <v>0</v>
      </c>
      <c r="TL21" s="587">
        <v>0</v>
      </c>
      <c r="TM21" s="587">
        <v>0</v>
      </c>
      <c r="TN21" s="587">
        <v>0</v>
      </c>
      <c r="TO21" s="587">
        <v>0</v>
      </c>
      <c r="TP21" s="587">
        <v>0</v>
      </c>
      <c r="TQ21" s="587">
        <v>0</v>
      </c>
      <c r="TR21" s="587">
        <v>0</v>
      </c>
      <c r="TS21" s="587">
        <v>0</v>
      </c>
      <c r="TT21" s="587">
        <v>0</v>
      </c>
      <c r="TU21" s="587">
        <v>0</v>
      </c>
      <c r="TV21" s="587">
        <v>0</v>
      </c>
      <c r="TW21" s="587">
        <v>0</v>
      </c>
      <c r="TX21" s="587">
        <v>0</v>
      </c>
      <c r="TY21" s="587">
        <v>0</v>
      </c>
      <c r="TZ21" s="587">
        <v>0</v>
      </c>
      <c r="UA21" s="587">
        <v>0</v>
      </c>
      <c r="UB21" s="587">
        <v>0</v>
      </c>
      <c r="UC21" s="587">
        <v>0</v>
      </c>
      <c r="UD21" s="587">
        <v>0</v>
      </c>
      <c r="UE21" s="587">
        <v>0</v>
      </c>
      <c r="UF21" s="587">
        <v>0</v>
      </c>
      <c r="UG21" s="587">
        <v>0</v>
      </c>
      <c r="UH21" s="587">
        <v>0</v>
      </c>
      <c r="UI21" s="587">
        <v>0</v>
      </c>
      <c r="UJ21" s="587">
        <v>0</v>
      </c>
      <c r="UK21" s="587">
        <v>0</v>
      </c>
      <c r="UL21" s="587">
        <v>0</v>
      </c>
      <c r="UM21" s="587">
        <v>0</v>
      </c>
      <c r="UN21" s="587">
        <v>0</v>
      </c>
      <c r="UO21" s="587">
        <v>0</v>
      </c>
      <c r="UP21" s="587">
        <v>0</v>
      </c>
      <c r="UQ21" s="587">
        <v>0</v>
      </c>
      <c r="UR21" s="587">
        <v>0</v>
      </c>
      <c r="US21" s="587">
        <v>0</v>
      </c>
      <c r="UT21" s="587">
        <v>0</v>
      </c>
      <c r="UU21" s="587">
        <v>0</v>
      </c>
      <c r="UV21" s="140">
        <v>2.7575601425487335</v>
      </c>
      <c r="UW21" s="140">
        <v>2.7546685530394162</v>
      </c>
      <c r="UX21" s="140">
        <v>2.7780432356874907</v>
      </c>
      <c r="UY21" s="140">
        <v>2.7755274026241072</v>
      </c>
      <c r="UZ21" s="140">
        <v>2.7846071359991025</v>
      </c>
      <c r="VA21" s="140">
        <v>2.7770958889367199</v>
      </c>
      <c r="VB21" s="140">
        <v>2.8000335541412302</v>
      </c>
      <c r="VC21" s="140">
        <v>2.7900576620653506</v>
      </c>
      <c r="VD21" s="140">
        <v>2.7936910882719874</v>
      </c>
      <c r="VE21" s="140">
        <v>2.7756081154179446</v>
      </c>
      <c r="VF21" s="140">
        <v>2.7382778996990931</v>
      </c>
      <c r="VG21" s="140">
        <v>2.7352719827290084</v>
      </c>
      <c r="VH21" s="140">
        <v>2.7440971633294176</v>
      </c>
      <c r="VI21" s="140">
        <v>2.7214896705061298</v>
      </c>
      <c r="VJ21" s="140">
        <f>$D$56*VJ8/VJ7</f>
        <v>2.7769538798324493</v>
      </c>
      <c r="VK21" s="140">
        <v>2.7003251312373302</v>
      </c>
      <c r="VL21" s="140">
        <v>2.7008911496978509</v>
      </c>
      <c r="VM21" s="140">
        <v>2.7083562374327133</v>
      </c>
      <c r="VN21" s="140">
        <v>2.7190340188780757</v>
      </c>
      <c r="VO21" s="140">
        <v>2.715550152811673</v>
      </c>
      <c r="VP21" s="140">
        <v>2.7202129371736925</v>
      </c>
      <c r="VQ21" s="140">
        <v>2.6910650885160585</v>
      </c>
      <c r="VR21" s="140">
        <v>2.6760298096064519</v>
      </c>
      <c r="VS21" s="140">
        <v>2.6607202833111634</v>
      </c>
      <c r="VT21" s="140">
        <v>2.6505707782285892</v>
      </c>
      <c r="VU21" s="140">
        <v>2.6427592827784836</v>
      </c>
      <c r="VV21" s="140">
        <v>2.6424254359482897</v>
      </c>
      <c r="VW21" s="140">
        <v>2.6394393489471075</v>
      </c>
      <c r="VX21" s="140">
        <v>2.6223542934441206</v>
      </c>
      <c r="VY21" s="140">
        <v>2.6497286869103531</v>
      </c>
      <c r="VZ21" s="140">
        <v>2.6525418852079383</v>
      </c>
      <c r="WA21" s="140">
        <v>2.6312353161814515</v>
      </c>
      <c r="WB21" s="140">
        <v>2.6546786388956862</v>
      </c>
      <c r="WC21" s="140">
        <v>2.6280154971351988</v>
      </c>
      <c r="WD21" s="140">
        <v>2.6349239344293993</v>
      </c>
      <c r="WE21" s="140">
        <v>2.639429031790403</v>
      </c>
      <c r="WF21" s="140">
        <v>2.6026100262057885</v>
      </c>
      <c r="WG21" s="140">
        <v>2.6086485129878278</v>
      </c>
      <c r="WH21" s="140">
        <v>2.6087508126007455</v>
      </c>
      <c r="WI21" s="140">
        <v>2.5768241252970623</v>
      </c>
      <c r="WJ21" s="140">
        <v>2.5522719240254665</v>
      </c>
      <c r="WK21" s="140">
        <v>2.5837841217001607</v>
      </c>
      <c r="WL21" s="140">
        <v>2.5642492166575366</v>
      </c>
      <c r="WM21" s="140">
        <v>2.5839953086315974</v>
      </c>
      <c r="WN21" s="140">
        <v>2.6252600148987009</v>
      </c>
      <c r="WO21" s="140">
        <v>2.6120136594682721</v>
      </c>
      <c r="WP21" s="140">
        <v>2.5637286341355554</v>
      </c>
      <c r="WQ21" s="140">
        <v>2.6053346269698858</v>
      </c>
      <c r="WR21" s="140">
        <f>$D$56*WR8/WR7</f>
        <v>2.6572101772307208</v>
      </c>
      <c r="WS21" s="140">
        <v>2.6014662373735815</v>
      </c>
      <c r="WT21" s="140">
        <v>2.6068533570321417</v>
      </c>
      <c r="WU21" s="140">
        <v>2.6194869125178952</v>
      </c>
      <c r="WV21" s="140">
        <v>2.6010928176160162</v>
      </c>
      <c r="WW21" s="140">
        <v>2.6090990341123041</v>
      </c>
      <c r="WX21" s="140">
        <v>2.624333674239713</v>
      </c>
      <c r="WY21" s="140">
        <v>2.6237076195569498</v>
      </c>
      <c r="WZ21" s="140">
        <v>2.6305006005952172</v>
      </c>
      <c r="XA21" s="140">
        <v>2.6996075223561782</v>
      </c>
      <c r="XB21" s="140">
        <v>2.7675443881610637</v>
      </c>
      <c r="XC21" s="140">
        <v>2.7981561779269222</v>
      </c>
      <c r="XD21" s="140">
        <v>2.7482794158717967</v>
      </c>
      <c r="XE21" s="140">
        <v>2.8041244173595965</v>
      </c>
      <c r="XF21" s="140">
        <v>2.7629259042887524</v>
      </c>
      <c r="XG21" s="140">
        <v>2.8053841692361599</v>
      </c>
      <c r="XH21" s="140">
        <v>2.7946673683207348</v>
      </c>
      <c r="XI21" s="140">
        <v>2.762552659751869</v>
      </c>
      <c r="XJ21" s="140">
        <v>2.7652129334485815</v>
      </c>
      <c r="XK21" s="140">
        <v>2.7590851393340445</v>
      </c>
      <c r="XL21" s="140">
        <v>2.8221385121930673</v>
      </c>
      <c r="XM21" s="140">
        <v>2.8065959133425609</v>
      </c>
      <c r="XN21" s="140">
        <v>2.9296983700002377</v>
      </c>
      <c r="XO21" s="140">
        <v>2.9667881645548464</v>
      </c>
      <c r="XP21" s="140">
        <v>2.9527846578772925</v>
      </c>
      <c r="XQ21" s="140">
        <v>2.9369890460664108</v>
      </c>
      <c r="XR21" s="140">
        <v>2.9238825201403884</v>
      </c>
      <c r="XS21" s="140">
        <v>2.9200502778238193</v>
      </c>
      <c r="XT21" s="140">
        <f>$D$56*XT8/XT7</f>
        <v>2.9219889284295553</v>
      </c>
      <c r="XU21" s="140">
        <v>2.9138917710413001</v>
      </c>
      <c r="XV21" s="140">
        <v>2.9011603044301495</v>
      </c>
      <c r="XW21" s="140">
        <v>2.9038587710215844</v>
      </c>
      <c r="XX21" s="140">
        <v>2.9147454390424583</v>
      </c>
      <c r="XY21" s="140">
        <v>2.8495068048963814</v>
      </c>
      <c r="XZ21" s="140">
        <v>2.8817344821355784</v>
      </c>
      <c r="YA21" s="140">
        <v>2.8789875280082868</v>
      </c>
      <c r="YB21" s="140">
        <v>2.9281492941331364</v>
      </c>
      <c r="YC21" s="140">
        <v>2.9047245779931949</v>
      </c>
      <c r="YD21" s="140">
        <v>2.90481294242444</v>
      </c>
      <c r="YE21" s="140">
        <v>2.9214550707393667</v>
      </c>
      <c r="YF21" s="140">
        <v>2.9169849934690171</v>
      </c>
      <c r="YG21" s="140">
        <v>2.9307643914797947</v>
      </c>
      <c r="YH21" s="140">
        <v>2.920507082997033</v>
      </c>
      <c r="YI21" s="140">
        <v>2.9141175166702951</v>
      </c>
      <c r="YJ21" s="140">
        <v>2.9630610395163721</v>
      </c>
      <c r="YK21" s="140">
        <v>2.9491346643968317</v>
      </c>
      <c r="YL21" s="140">
        <v>2.935074399219336</v>
      </c>
      <c r="YM21" s="140">
        <f>$D$56*YM8/YM7</f>
        <v>3.0080108557255456</v>
      </c>
      <c r="YN21" s="140">
        <v>3.0251278299270195</v>
      </c>
      <c r="YO21" s="140">
        <v>3.0235700525429943</v>
      </c>
      <c r="YP21" s="140">
        <v>3.0177551049845621</v>
      </c>
      <c r="YQ21" s="140">
        <v>3.0028541735551357</v>
      </c>
      <c r="YR21" s="140">
        <v>3.0093639582528446</v>
      </c>
      <c r="YS21" s="140">
        <v>2.991220659993834</v>
      </c>
      <c r="YT21" s="140">
        <v>3.0042626298122403</v>
      </c>
      <c r="YU21" s="140">
        <v>2.9952349871638155</v>
      </c>
      <c r="YV21" s="140">
        <v>2.9761394963011094</v>
      </c>
      <c r="YW21" s="140">
        <v>2.9749108266262643</v>
      </c>
      <c r="YX21" s="140">
        <v>3.0062725223401232</v>
      </c>
      <c r="YY21" s="140">
        <v>3.0272960906415358</v>
      </c>
      <c r="YZ21" s="140">
        <v>2.9553639355531582</v>
      </c>
      <c r="ZA21" s="140">
        <v>2.9259598009308201</v>
      </c>
      <c r="ZB21" s="140">
        <v>2.9559982790915562</v>
      </c>
      <c r="ZC21" s="140">
        <v>2.9666273625850152</v>
      </c>
      <c r="ZD21" s="140">
        <f>$D$56*ZD8/ZD7</f>
        <v>2.9778620549614185</v>
      </c>
    </row>
    <row r="22" spans="1:680">
      <c r="A22" s="120"/>
      <c r="B22" s="126"/>
      <c r="C22" s="418" t="s">
        <v>7</v>
      </c>
      <c r="D22" s="6"/>
      <c r="E22" s="133"/>
      <c r="F22" s="133"/>
      <c r="G22" s="133"/>
      <c r="H22" s="133"/>
      <c r="I22" s="133"/>
      <c r="J22" s="133"/>
      <c r="K22" s="133">
        <v>0.03</v>
      </c>
      <c r="L22" s="133">
        <v>0.03</v>
      </c>
      <c r="M22" s="133">
        <v>8.0500000000000002E-2</v>
      </c>
      <c r="N22" s="133">
        <v>8.0500000000000002E-2</v>
      </c>
      <c r="O22" s="133">
        <v>8.0500000000000002E-2</v>
      </c>
      <c r="P22" s="133">
        <v>8.0500000000000002E-2</v>
      </c>
      <c r="Q22" s="133">
        <v>8.0500000000000002E-2</v>
      </c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>
        <v>5.0000000000000001E-3</v>
      </c>
      <c r="AX22" s="133">
        <v>5.0000000000000001E-3</v>
      </c>
      <c r="AY22" s="133">
        <v>5.0000000000000001E-3</v>
      </c>
      <c r="AZ22" s="133">
        <v>5.0000000000000001E-3</v>
      </c>
      <c r="BA22" s="133">
        <v>5.0000000000000001E-3</v>
      </c>
      <c r="BB22" s="133">
        <v>5.0000000000000001E-3</v>
      </c>
      <c r="BC22" s="133">
        <v>5.0000000000000001E-3</v>
      </c>
      <c r="BD22" s="133">
        <v>5.0000000000000001E-3</v>
      </c>
      <c r="BE22" s="133">
        <v>5.0000000000000001E-3</v>
      </c>
      <c r="BF22" s="133">
        <v>5.0000000000000001E-3</v>
      </c>
      <c r="BG22" s="133">
        <v>5.0000000000000001E-3</v>
      </c>
      <c r="BH22" s="133">
        <v>5.0000000000000001E-3</v>
      </c>
      <c r="BI22" s="133">
        <v>5.0000000000000001E-3</v>
      </c>
      <c r="BJ22" s="133">
        <v>5.0000000000000001E-3</v>
      </c>
      <c r="BK22" s="133">
        <v>5.0000000000000001E-3</v>
      </c>
      <c r="BL22" s="133">
        <v>5.0000000000000001E-3</v>
      </c>
      <c r="BM22" s="133">
        <v>5.0000000000000001E-3</v>
      </c>
      <c r="BN22" s="133">
        <v>5.0000000000000001E-3</v>
      </c>
      <c r="BO22" s="133">
        <v>5.0000000000000001E-3</v>
      </c>
      <c r="BP22" s="133">
        <v>5.0000000000000001E-3</v>
      </c>
      <c r="BQ22" s="133">
        <v>5.0000000000000001E-3</v>
      </c>
      <c r="BR22" s="133">
        <v>5.0000000000000001E-3</v>
      </c>
      <c r="BS22" s="133">
        <v>5.0000000000000001E-3</v>
      </c>
      <c r="BT22" s="133">
        <v>5.0000000000000001E-3</v>
      </c>
      <c r="BU22" s="133">
        <v>5.0000000000000001E-3</v>
      </c>
      <c r="BV22" s="133">
        <v>5.0000000000000001E-3</v>
      </c>
      <c r="BW22" s="133">
        <v>5.0000000000000001E-3</v>
      </c>
      <c r="BX22" s="133">
        <v>5.0000000000000001E-3</v>
      </c>
      <c r="BY22" s="133">
        <v>5.0000000000000001E-3</v>
      </c>
      <c r="BZ22" s="133">
        <v>5.0000000000000001E-3</v>
      </c>
      <c r="CA22" s="133">
        <v>5.0000000000000001E-3</v>
      </c>
      <c r="CB22" s="133">
        <v>5.0000000000000001E-3</v>
      </c>
      <c r="CC22" s="133">
        <v>5.0000000000000001E-3</v>
      </c>
      <c r="CD22" s="133">
        <v>5.0000000000000001E-3</v>
      </c>
      <c r="CE22" s="133">
        <v>5.0000000000000001E-3</v>
      </c>
      <c r="CF22" s="133">
        <v>5.0000000000000001E-3</v>
      </c>
      <c r="CG22" s="133">
        <v>5.0000000000000001E-3</v>
      </c>
      <c r="CH22" s="133">
        <v>5.0000000000000001E-3</v>
      </c>
      <c r="CI22" s="133">
        <v>5.0000000000000001E-3</v>
      </c>
      <c r="CJ22" s="133">
        <v>5.0000000000000001E-3</v>
      </c>
      <c r="CK22" s="133">
        <v>5.0000000000000001E-3</v>
      </c>
      <c r="CL22" s="133">
        <v>5.0000000000000001E-3</v>
      </c>
      <c r="CM22" s="133">
        <v>5.0000000000000001E-3</v>
      </c>
      <c r="CN22" s="133">
        <v>5.0000000000000001E-3</v>
      </c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>
        <v>7.4999999999999997E-3</v>
      </c>
      <c r="UW22" s="133">
        <v>7.4999999999999997E-3</v>
      </c>
      <c r="UX22" s="133">
        <v>7.4999999999999997E-3</v>
      </c>
      <c r="UY22" s="133">
        <v>7.4999999999999997E-3</v>
      </c>
      <c r="UZ22" s="133">
        <v>7.4999999999999997E-3</v>
      </c>
      <c r="VA22" s="133">
        <v>7.4999999999999997E-3</v>
      </c>
      <c r="VB22" s="133">
        <v>7.4999999999999997E-3</v>
      </c>
      <c r="VC22" s="133">
        <v>7.4999999999999997E-3</v>
      </c>
      <c r="VD22" s="133">
        <v>7.4999999999999997E-3</v>
      </c>
      <c r="VE22" s="133">
        <v>7.4999999999999997E-3</v>
      </c>
      <c r="VF22" s="133">
        <v>7.4999999999999997E-3</v>
      </c>
      <c r="VG22" s="133">
        <v>7.4999999999999997E-3</v>
      </c>
      <c r="VH22" s="133">
        <v>7.4999999999999997E-3</v>
      </c>
      <c r="VI22" s="133">
        <v>7.4999999999999997E-3</v>
      </c>
      <c r="VJ22" s="133">
        <f>$C$56</f>
        <v>7.4999999999999997E-3</v>
      </c>
      <c r="VK22" s="133">
        <v>7.4999999999999997E-3</v>
      </c>
      <c r="VL22" s="133">
        <v>7.4999999999999997E-3</v>
      </c>
      <c r="VM22" s="133">
        <v>7.4999999999999997E-3</v>
      </c>
      <c r="VN22" s="133">
        <v>7.4999999999999997E-3</v>
      </c>
      <c r="VO22" s="133">
        <v>7.4999999999999997E-3</v>
      </c>
      <c r="VP22" s="133">
        <v>7.4999999999999997E-3</v>
      </c>
      <c r="VQ22" s="133">
        <v>7.4999999999999997E-3</v>
      </c>
      <c r="VR22" s="133">
        <v>7.4999999999999997E-3</v>
      </c>
      <c r="VS22" s="133">
        <v>7.4999999999999997E-3</v>
      </c>
      <c r="VT22" s="133">
        <v>7.4999999999999997E-3</v>
      </c>
      <c r="VU22" s="133">
        <v>7.4999999999999997E-3</v>
      </c>
      <c r="VV22" s="133">
        <v>7.4999999999999997E-3</v>
      </c>
      <c r="VW22" s="133">
        <v>7.4999999999999997E-3</v>
      </c>
      <c r="VX22" s="133">
        <v>7.4999999999999997E-3</v>
      </c>
      <c r="VY22" s="133">
        <v>7.4999999999999997E-3</v>
      </c>
      <c r="VZ22" s="133">
        <v>7.4999999999999997E-3</v>
      </c>
      <c r="WA22" s="133">
        <v>7.4999999999999997E-3</v>
      </c>
      <c r="WB22" s="133">
        <v>7.4999999999999997E-3</v>
      </c>
      <c r="WC22" s="133">
        <v>7.4999999999999997E-3</v>
      </c>
      <c r="WD22" s="133">
        <v>7.4999999999999997E-3</v>
      </c>
      <c r="WE22" s="133">
        <v>7.4999999999999997E-3</v>
      </c>
      <c r="WF22" s="133">
        <v>7.4999999999999997E-3</v>
      </c>
      <c r="WG22" s="133">
        <v>7.4999999999999997E-3</v>
      </c>
      <c r="WH22" s="133">
        <v>7.4999999999999997E-3</v>
      </c>
      <c r="WI22" s="133">
        <v>7.4999999999999997E-3</v>
      </c>
      <c r="WJ22" s="133">
        <v>7.4999999999999997E-3</v>
      </c>
      <c r="WK22" s="133">
        <v>7.4999999999999997E-3</v>
      </c>
      <c r="WL22" s="133">
        <v>7.4999999999999997E-3</v>
      </c>
      <c r="WM22" s="133">
        <v>7.4999999999999997E-3</v>
      </c>
      <c r="WN22" s="133">
        <v>7.4999999999999997E-3</v>
      </c>
      <c r="WO22" s="133">
        <v>7.4999999999999997E-3</v>
      </c>
      <c r="WP22" s="133">
        <v>7.4999999999999997E-3</v>
      </c>
      <c r="WQ22" s="133">
        <v>7.4999999999999997E-3</v>
      </c>
      <c r="WR22" s="133">
        <f>$C$56</f>
        <v>7.4999999999999997E-3</v>
      </c>
      <c r="WS22" s="133">
        <v>7.4999999999999997E-3</v>
      </c>
      <c r="WT22" s="133">
        <v>7.4999999999999997E-3</v>
      </c>
      <c r="WU22" s="133">
        <v>7.4999999999999997E-3</v>
      </c>
      <c r="WV22" s="133">
        <v>7.4999999999999997E-3</v>
      </c>
      <c r="WW22" s="133">
        <v>7.4999999999999997E-3</v>
      </c>
      <c r="WX22" s="133">
        <v>7.4999999999999997E-3</v>
      </c>
      <c r="WY22" s="133">
        <v>7.4999999999999997E-3</v>
      </c>
      <c r="WZ22" s="133">
        <v>7.4999999999999997E-3</v>
      </c>
      <c r="XA22" s="133">
        <v>7.4999999999999997E-3</v>
      </c>
      <c r="XB22" s="133">
        <v>7.4999999999999997E-3</v>
      </c>
      <c r="XC22" s="133">
        <v>7.4999999999999997E-3</v>
      </c>
      <c r="XD22" s="133">
        <v>7.4999999999999997E-3</v>
      </c>
      <c r="XE22" s="133">
        <v>7.4999999999999997E-3</v>
      </c>
      <c r="XF22" s="133">
        <v>7.4999999999999997E-3</v>
      </c>
      <c r="XG22" s="133">
        <v>7.4999999999999997E-3</v>
      </c>
      <c r="XH22" s="133">
        <v>7.4999999999999997E-3</v>
      </c>
      <c r="XI22" s="133">
        <v>7.4999999999999997E-3</v>
      </c>
      <c r="XJ22" s="133">
        <v>7.4999999999999997E-3</v>
      </c>
      <c r="XK22" s="133">
        <v>7.4999999999999997E-3</v>
      </c>
      <c r="XL22" s="133">
        <v>7.4999999999999997E-3</v>
      </c>
      <c r="XM22" s="133">
        <v>7.4999999999999997E-3</v>
      </c>
      <c r="XN22" s="133">
        <v>7.4999999999999997E-3</v>
      </c>
      <c r="XO22" s="133">
        <v>7.4999999999999997E-3</v>
      </c>
      <c r="XP22" s="133">
        <v>7.4999999999999997E-3</v>
      </c>
      <c r="XQ22" s="133">
        <v>7.4999999999999997E-3</v>
      </c>
      <c r="XR22" s="133">
        <v>7.4999999999999997E-3</v>
      </c>
      <c r="XS22" s="133">
        <v>7.4999999999999997E-3</v>
      </c>
      <c r="XT22" s="133">
        <f>$C$56</f>
        <v>7.4999999999999997E-3</v>
      </c>
      <c r="XU22" s="133">
        <v>7.4999999999999997E-3</v>
      </c>
      <c r="XV22" s="133">
        <v>7.4999999999999997E-3</v>
      </c>
      <c r="XW22" s="133">
        <v>7.4999999999999997E-3</v>
      </c>
      <c r="XX22" s="133">
        <v>7.4999999999999997E-3</v>
      </c>
      <c r="XY22" s="133">
        <v>7.4999999999999997E-3</v>
      </c>
      <c r="XZ22" s="133">
        <v>7.4999999999999997E-3</v>
      </c>
      <c r="YA22" s="133">
        <v>7.4999999999999997E-3</v>
      </c>
      <c r="YB22" s="133">
        <v>7.4999999999999997E-3</v>
      </c>
      <c r="YC22" s="133">
        <v>7.4999999999999997E-3</v>
      </c>
      <c r="YD22" s="133">
        <v>7.4999999999999997E-3</v>
      </c>
      <c r="YE22" s="133">
        <v>7.4999999999999997E-3</v>
      </c>
      <c r="YF22" s="133">
        <v>7.4999999999999997E-3</v>
      </c>
      <c r="YG22" s="133">
        <v>7.4999999999999997E-3</v>
      </c>
      <c r="YH22" s="133">
        <v>7.4999999999999997E-3</v>
      </c>
      <c r="YI22" s="133">
        <v>7.4999999999999997E-3</v>
      </c>
      <c r="YJ22" s="133">
        <v>7.4999999999999997E-3</v>
      </c>
      <c r="YK22" s="133">
        <v>7.4999999999999997E-3</v>
      </c>
      <c r="YL22" s="133">
        <v>7.4999999999999997E-3</v>
      </c>
      <c r="YM22" s="133">
        <f>$C$56</f>
        <v>7.4999999999999997E-3</v>
      </c>
      <c r="YN22" s="133">
        <v>7.4999999999999997E-3</v>
      </c>
      <c r="YO22" s="133">
        <v>7.4999999999999997E-3</v>
      </c>
      <c r="YP22" s="133">
        <v>7.4999999999999997E-3</v>
      </c>
      <c r="YQ22" s="133">
        <v>7.4999999999999997E-3</v>
      </c>
      <c r="YR22" s="133">
        <v>7.4999999999999997E-3</v>
      </c>
      <c r="YS22" s="133">
        <v>7.4999999999999997E-3</v>
      </c>
      <c r="YT22" s="133">
        <v>7.4999999999999997E-3</v>
      </c>
      <c r="YU22" s="133">
        <v>7.4999999999999997E-3</v>
      </c>
      <c r="YV22" s="133">
        <v>7.4999999999999997E-3</v>
      </c>
      <c r="YW22" s="133">
        <v>7.4999999999999997E-3</v>
      </c>
      <c r="YX22" s="133">
        <v>7.4999999999999997E-3</v>
      </c>
      <c r="YY22" s="133">
        <v>7.4999999999999997E-3</v>
      </c>
      <c r="YZ22" s="133">
        <v>7.4999999999999997E-3</v>
      </c>
      <c r="ZA22" s="133">
        <v>7.4999999999999997E-3</v>
      </c>
      <c r="ZB22" s="133">
        <v>7.4999999999999997E-3</v>
      </c>
      <c r="ZC22" s="133">
        <v>7.4999999999999997E-3</v>
      </c>
      <c r="ZD22" s="133">
        <f>$C$56</f>
        <v>7.4999999999999997E-3</v>
      </c>
    </row>
    <row r="23" spans="1:680" s="142" customFormat="1" ht="13.2" customHeight="1">
      <c r="A23" s="138"/>
      <c r="B23" s="139" t="s">
        <v>465</v>
      </c>
      <c r="C23" s="412" t="s">
        <v>5</v>
      </c>
      <c r="D23" s="140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587"/>
      <c r="CQ23" s="587"/>
      <c r="CR23" s="587"/>
      <c r="CS23" s="587"/>
      <c r="CT23" s="587"/>
      <c r="CU23" s="587"/>
      <c r="CV23" s="587"/>
      <c r="CW23" s="587"/>
      <c r="CX23" s="587"/>
      <c r="CY23" s="587"/>
      <c r="CZ23" s="587"/>
      <c r="DA23" s="587"/>
      <c r="DB23" s="587"/>
      <c r="DC23" s="587"/>
      <c r="DD23" s="587"/>
      <c r="DE23" s="587"/>
      <c r="DF23" s="587"/>
      <c r="DG23" s="587"/>
      <c r="DH23" s="587"/>
      <c r="DI23" s="587"/>
      <c r="DJ23" s="587"/>
      <c r="DK23" s="587"/>
      <c r="DL23" s="587"/>
      <c r="DM23" s="587"/>
      <c r="DN23" s="587"/>
      <c r="DO23" s="587"/>
      <c r="DP23" s="587"/>
      <c r="DQ23" s="587"/>
      <c r="DR23" s="587"/>
      <c r="DS23" s="587"/>
      <c r="DT23" s="587"/>
      <c r="DU23" s="587"/>
      <c r="DV23" s="587"/>
      <c r="DW23" s="587"/>
      <c r="DX23" s="587"/>
      <c r="DY23" s="587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648"/>
      <c r="HF23" s="648"/>
      <c r="HG23" s="648"/>
      <c r="HH23" s="648"/>
      <c r="HI23" s="648"/>
      <c r="HJ23" s="648"/>
      <c r="HK23" s="648"/>
      <c r="HL23" s="648"/>
      <c r="HM23" s="648"/>
      <c r="HN23" s="648"/>
      <c r="HO23" s="648"/>
      <c r="HP23" s="648"/>
      <c r="HQ23" s="648"/>
      <c r="HR23" s="648"/>
      <c r="HS23" s="648"/>
      <c r="HT23" s="648"/>
      <c r="HU23" s="648"/>
      <c r="HV23" s="648"/>
      <c r="HW23" s="648"/>
      <c r="HX23" s="648"/>
      <c r="HY23" s="648"/>
      <c r="HZ23" s="648"/>
      <c r="IA23" s="648"/>
      <c r="IB23" s="648"/>
      <c r="IC23" s="674">
        <v>1.9657524753918296</v>
      </c>
      <c r="ID23" s="674">
        <v>1.9657524753918296</v>
      </c>
      <c r="IE23" s="674">
        <v>0.97731906664839774</v>
      </c>
      <c r="IF23" s="674">
        <v>0.97731906664839774</v>
      </c>
      <c r="IG23" s="674">
        <v>0.99266100969907989</v>
      </c>
      <c r="IH23" s="674">
        <v>0.99266100969907989</v>
      </c>
      <c r="II23" s="674">
        <v>0.91367908763137684</v>
      </c>
      <c r="IJ23" s="674">
        <v>0.91218970720263837</v>
      </c>
      <c r="IK23" s="674">
        <v>0.91519483788007072</v>
      </c>
      <c r="IL23" s="674">
        <v>0.91669236990367964</v>
      </c>
      <c r="IM23" s="674">
        <v>0.92314323129403275</v>
      </c>
      <c r="IN23" s="674">
        <v>0.46030825664943797</v>
      </c>
      <c r="IO23" s="674">
        <v>0.4563880741847588</v>
      </c>
      <c r="IP23" s="674">
        <v>0.45613299946088559</v>
      </c>
      <c r="IQ23" s="674">
        <v>0.45641091248769228</v>
      </c>
      <c r="IR23" s="674">
        <v>0.45730643367393786</v>
      </c>
      <c r="IS23" s="674">
        <v>0.45611382136470335</v>
      </c>
      <c r="IT23" s="674">
        <v>1.8810551170001624</v>
      </c>
      <c r="IU23" s="674">
        <v>1.8810551170001624</v>
      </c>
      <c r="IV23" s="674">
        <v>1.8781706045656883</v>
      </c>
      <c r="IW23" s="674">
        <v>1.8787475095486825</v>
      </c>
      <c r="IX23" s="674">
        <v>1.8805551088017358</v>
      </c>
      <c r="IY23" s="674">
        <v>1.8805551088017358</v>
      </c>
      <c r="IZ23" s="674">
        <v>1.8805551088017358</v>
      </c>
      <c r="JA23" s="674">
        <v>1.879274685615568</v>
      </c>
      <c r="JB23" s="674">
        <v>1.7111978637866625</v>
      </c>
      <c r="JC23" s="674">
        <v>1.7045409077043514</v>
      </c>
      <c r="JD23" s="674">
        <v>1.7045185234575286</v>
      </c>
      <c r="JE23" s="674">
        <v>1.6990603064114951</v>
      </c>
      <c r="JF23" s="674">
        <v>1.7040117792714429</v>
      </c>
      <c r="JG23" s="674">
        <v>1.7016105025384634</v>
      </c>
      <c r="JH23" s="674">
        <v>1.7001082147537048</v>
      </c>
      <c r="JI23" s="674">
        <v>1.6938485814452258</v>
      </c>
      <c r="JJ23" s="674">
        <v>1.6916938655157461</v>
      </c>
      <c r="JK23" s="674">
        <v>1.6928306917720795</v>
      </c>
      <c r="JL23" s="674">
        <v>1.6865056163325232</v>
      </c>
      <c r="JM23" s="674">
        <v>1.6866939378121057</v>
      </c>
      <c r="JN23" s="674">
        <v>1.6942633021255349</v>
      </c>
      <c r="JO23" s="674">
        <v>0.96621974551080547</v>
      </c>
      <c r="JP23" s="674">
        <v>0.96875036175926554</v>
      </c>
      <c r="JQ23" s="674">
        <v>0.96366034271751388</v>
      </c>
      <c r="JR23" s="674">
        <v>0.9654625333200938</v>
      </c>
      <c r="JS23" s="674">
        <v>0.95819172690351917</v>
      </c>
      <c r="JT23" s="674">
        <v>0.9573516377606941</v>
      </c>
      <c r="JU23" s="674">
        <f>'Cash in bank report'!$D$15-'Cash in bank report'!$D$58</f>
        <v>7.5106817961473222</v>
      </c>
      <c r="JV23" s="674">
        <v>0.94687880966222937</v>
      </c>
      <c r="JW23" s="674">
        <v>0.94927253803349565</v>
      </c>
      <c r="JX23" s="674">
        <v>0.94487233492248368</v>
      </c>
      <c r="JY23" s="674">
        <v>0.94221947587583355</v>
      </c>
      <c r="JZ23" s="674">
        <v>0.94239926522848827</v>
      </c>
      <c r="KA23" s="674">
        <v>0.93864391311773221</v>
      </c>
      <c r="KB23" s="674">
        <v>0.94074555584762154</v>
      </c>
      <c r="KC23" s="674">
        <v>0.93851333460162034</v>
      </c>
      <c r="KD23" s="674">
        <v>0.93163336865078961</v>
      </c>
      <c r="KE23" s="674">
        <v>0.92877195472515317</v>
      </c>
      <c r="KF23" s="674">
        <v>0.92854320703458382</v>
      </c>
      <c r="KG23" s="674">
        <v>0.93374987165226586</v>
      </c>
      <c r="KH23" s="674">
        <v>0.92862924145511927</v>
      </c>
      <c r="KI23" s="674">
        <v>0.89112554024974688</v>
      </c>
      <c r="KJ23" s="674">
        <v>0.53169749367588981</v>
      </c>
      <c r="KK23" s="674">
        <v>0.53169749367588981</v>
      </c>
      <c r="KL23" s="674">
        <v>0.49663324678577075</v>
      </c>
      <c r="KM23" s="674">
        <v>0.49663324678577075</v>
      </c>
      <c r="KN23" s="674">
        <v>0.4943017941319825</v>
      </c>
      <c r="KO23" s="674">
        <v>0.49530404151446322</v>
      </c>
      <c r="KP23" s="674">
        <v>0.49703715729146986</v>
      </c>
      <c r="KQ23" s="674">
        <v>0.49429715073595076</v>
      </c>
      <c r="KR23" s="674">
        <v>0.49429715073595076</v>
      </c>
      <c r="KS23" s="674">
        <v>0.49237569234165851</v>
      </c>
      <c r="KT23" s="674">
        <v>0.49258708898821529</v>
      </c>
      <c r="KU23" s="674">
        <v>0.49081038733671667</v>
      </c>
      <c r="KV23" s="674">
        <v>0.83451079612567902</v>
      </c>
      <c r="KW23" s="674">
        <v>0.83622281376689589</v>
      </c>
      <c r="KX23" s="674">
        <v>0.83262979425175643</v>
      </c>
      <c r="KY23" s="674">
        <v>0.82876256893792188</v>
      </c>
      <c r="KZ23" s="674">
        <v>0.82763189253307123</v>
      </c>
      <c r="LA23" s="674">
        <v>0.82763189253307134</v>
      </c>
      <c r="LB23" s="674">
        <v>0.81852842061309949</v>
      </c>
      <c r="LC23" s="674">
        <v>0.81634029825322685</v>
      </c>
      <c r="LD23" s="674">
        <v>0.81634029825322685</v>
      </c>
      <c r="LE23" s="674">
        <v>0.81618876013410713</v>
      </c>
      <c r="LF23" s="674">
        <v>0.81698159698272343</v>
      </c>
      <c r="LG23" s="674">
        <v>0.79129275621433182</v>
      </c>
      <c r="LH23" s="674">
        <v>0.79236643675883012</v>
      </c>
      <c r="LI23" s="674">
        <v>8.664310833184552E-2</v>
      </c>
      <c r="LJ23" s="674">
        <v>1.1640698828526725</v>
      </c>
      <c r="LK23" s="674">
        <v>1.1105033188172753</v>
      </c>
      <c r="LL23" s="674">
        <v>1.1109386590264039</v>
      </c>
      <c r="LM23" s="674">
        <v>1.1042581029454654</v>
      </c>
      <c r="LN23" s="674">
        <v>1.1098473125877091</v>
      </c>
      <c r="LO23" s="674">
        <v>1.1096975636911597</v>
      </c>
      <c r="LP23" s="674">
        <v>1.7305199127054114</v>
      </c>
      <c r="LQ23" s="674">
        <v>1.7397912157468318</v>
      </c>
      <c r="LR23" s="674">
        <v>1.7397912157468318</v>
      </c>
      <c r="LS23" s="674">
        <v>2.3208046321334326</v>
      </c>
      <c r="LT23" s="674">
        <v>2.3184246628623404</v>
      </c>
      <c r="LU23" s="674">
        <v>2.3178798215174732</v>
      </c>
      <c r="LV23" s="674">
        <v>2.3154718778089363</v>
      </c>
      <c r="LW23" s="674">
        <v>2.2310054429797401</v>
      </c>
      <c r="LX23" s="674">
        <v>2.3173789454824902</v>
      </c>
      <c r="LY23" s="674">
        <v>2.3176492523494185</v>
      </c>
      <c r="LZ23" s="674">
        <v>2.3087483325265308</v>
      </c>
      <c r="MA23" s="674">
        <v>2.3002112032187285</v>
      </c>
      <c r="MB23" s="674">
        <v>2.2908272816908353</v>
      </c>
      <c r="MC23" s="674">
        <v>2.2876883131240024</v>
      </c>
      <c r="MD23" s="674">
        <v>2.2850131422940714</v>
      </c>
      <c r="ME23" s="674">
        <v>2.2406049110804913</v>
      </c>
      <c r="MF23" s="674">
        <v>2.2417842562755999</v>
      </c>
      <c r="MG23" s="674">
        <v>2.3782664266175089</v>
      </c>
      <c r="MH23" s="674">
        <v>2.5226744077694163</v>
      </c>
      <c r="MI23" s="674">
        <v>2.5275308166443677</v>
      </c>
      <c r="MJ23" s="674">
        <v>2.5253246208018649</v>
      </c>
      <c r="MK23" s="674">
        <v>2.537556369269637</v>
      </c>
      <c r="ML23" s="674">
        <v>2.5419044160030095</v>
      </c>
      <c r="MM23" s="674">
        <v>2.3709599236471401</v>
      </c>
      <c r="MN23" s="674">
        <v>2.372328412351143</v>
      </c>
      <c r="MO23" s="674">
        <v>2.3818000122522993</v>
      </c>
      <c r="MP23" s="674">
        <v>2.3817752929117084</v>
      </c>
      <c r="MQ23" s="674">
        <v>2.3616252825320925</v>
      </c>
      <c r="MR23" s="674">
        <v>2.3603728977728808</v>
      </c>
      <c r="MS23" s="674">
        <v>2.3525751574777414</v>
      </c>
      <c r="MT23" s="674">
        <v>2.3476128861638763</v>
      </c>
      <c r="MU23" s="674">
        <v>2.3476128861638763</v>
      </c>
      <c r="MV23" s="674">
        <v>2.4446580507288531</v>
      </c>
      <c r="MW23" s="674">
        <v>2.5069045846452465</v>
      </c>
      <c r="MX23" s="674">
        <v>2.452386648269723</v>
      </c>
      <c r="MY23" s="674">
        <v>2.4488062584147583</v>
      </c>
      <c r="MZ23" s="674">
        <v>2.443207049142655</v>
      </c>
      <c r="NA23" s="674">
        <v>2.3562801636137083</v>
      </c>
      <c r="NB23" s="674">
        <v>2.353844390925218</v>
      </c>
      <c r="NC23" s="674">
        <v>2.3534441826331598</v>
      </c>
      <c r="ND23" s="674">
        <v>2.3557008198275962</v>
      </c>
      <c r="NE23" s="674">
        <v>2.3528018964341584</v>
      </c>
      <c r="NF23" s="674">
        <v>1.1996521672108049</v>
      </c>
      <c r="NG23" s="674">
        <v>1.1995586166715029</v>
      </c>
      <c r="NH23" s="674">
        <v>1.0745449758684891</v>
      </c>
      <c r="NI23" s="674">
        <v>1.5603149526077686</v>
      </c>
      <c r="NJ23" s="674">
        <v>1.0759884304391312</v>
      </c>
      <c r="NK23" s="674">
        <v>1.0721877292452628</v>
      </c>
      <c r="NL23" s="674">
        <v>1.0719236370899548</v>
      </c>
      <c r="NM23" s="674">
        <v>1.1734355855626017</v>
      </c>
      <c r="NN23" s="674">
        <v>1.1740906045192556</v>
      </c>
      <c r="NO23" s="674">
        <v>0.68950906048463012</v>
      </c>
      <c r="NP23" s="674">
        <v>0.81601692989621233</v>
      </c>
      <c r="NQ23" s="674">
        <v>0.80762913087404886</v>
      </c>
      <c r="NR23" s="674">
        <v>0.8078985197082732</v>
      </c>
      <c r="NS23" s="674">
        <v>0.79327978352346917</v>
      </c>
      <c r="NT23" s="674">
        <v>0.77100873029048211</v>
      </c>
      <c r="NU23" s="674">
        <v>0.77031872474390273</v>
      </c>
      <c r="NV23" s="674">
        <v>0.7456536286471831</v>
      </c>
      <c r="NW23" s="674">
        <v>0.69529353924680959</v>
      </c>
      <c r="NX23" s="674">
        <v>0.563207287168488</v>
      </c>
      <c r="NY23" s="674">
        <v>0.56391599555280902</v>
      </c>
      <c r="NZ23" s="674">
        <v>0.99235533009311139</v>
      </c>
      <c r="OA23" s="674">
        <v>0.99181977478365679</v>
      </c>
      <c r="OB23" s="674">
        <v>1.0756332807059197</v>
      </c>
      <c r="OC23" s="674">
        <v>0.97324831022287661</v>
      </c>
      <c r="OD23" s="674">
        <v>0.97258553845613893</v>
      </c>
      <c r="OE23" s="674">
        <v>0.97205682234380475</v>
      </c>
      <c r="OF23" s="674">
        <v>0.97205856176633598</v>
      </c>
      <c r="OG23" s="674">
        <v>0.97309932176242042</v>
      </c>
      <c r="OH23" s="674">
        <v>1.637180948926104</v>
      </c>
      <c r="OI23" s="674">
        <v>0.65695036563678455</v>
      </c>
      <c r="OJ23" s="674">
        <v>1.6156740026177556</v>
      </c>
      <c r="OK23" s="674">
        <v>1.609193480605505</v>
      </c>
      <c r="OL23" s="674">
        <v>1.6067328076000915</v>
      </c>
      <c r="OM23" s="674">
        <v>1.5990699278860379</v>
      </c>
      <c r="ON23" s="674">
        <v>1.6880757537346178</v>
      </c>
      <c r="OO23" s="674">
        <v>1.498613565932045</v>
      </c>
      <c r="OP23" s="674">
        <v>1.5037030729020453</v>
      </c>
      <c r="OQ23" s="674">
        <v>1.5037030729020453</v>
      </c>
      <c r="OR23" s="674">
        <v>1.5159290746524676</v>
      </c>
      <c r="OS23" s="674">
        <v>1.5696354705810054</v>
      </c>
      <c r="OT23" s="674">
        <v>1.5696354705810054</v>
      </c>
      <c r="OU23" s="674">
        <v>1.5679218717019627</v>
      </c>
      <c r="OV23" s="674">
        <v>1.6241816642158324</v>
      </c>
      <c r="OW23" s="674">
        <v>1.6749403456216991</v>
      </c>
      <c r="OX23" s="674">
        <v>1.5186519781977694</v>
      </c>
      <c r="OY23" s="674">
        <v>1.5186519781977694</v>
      </c>
      <c r="OZ23" s="674">
        <v>1.5221094729589224</v>
      </c>
      <c r="PA23" s="674">
        <v>1.5221094729589224</v>
      </c>
      <c r="PB23" s="674">
        <v>1.5226471413665401</v>
      </c>
      <c r="PC23" s="674">
        <v>1.5226471413665401</v>
      </c>
      <c r="PD23" s="674">
        <v>1.3128761555701176</v>
      </c>
      <c r="PE23" s="674">
        <v>1.3796181772238874</v>
      </c>
      <c r="PF23" s="674">
        <v>1.3792360488551971</v>
      </c>
      <c r="PG23" s="674">
        <v>1.3740761071137308</v>
      </c>
      <c r="PH23" s="674">
        <v>1.4570329553005128</v>
      </c>
      <c r="PI23" s="674">
        <v>1.4466057817829274</v>
      </c>
      <c r="PJ23" s="674">
        <v>1.4555137690314148</v>
      </c>
      <c r="PK23" s="674">
        <v>1.4625022888994677</v>
      </c>
      <c r="PL23" s="674">
        <v>1.4564662497096759</v>
      </c>
      <c r="PM23" s="674">
        <v>1.4526883011422294</v>
      </c>
      <c r="PN23" s="674">
        <v>1.45662551164419</v>
      </c>
      <c r="PO23" s="674">
        <v>1.4535174073944837</v>
      </c>
      <c r="PP23" s="674">
        <v>1.4552022501574415</v>
      </c>
      <c r="PQ23" s="674">
        <v>1.4366577315138795</v>
      </c>
      <c r="PR23" s="674">
        <v>1.4358032759672392</v>
      </c>
      <c r="PS23" s="674">
        <v>1.4366619569293309</v>
      </c>
      <c r="PT23" s="674">
        <v>1.4389251874233835</v>
      </c>
      <c r="PU23" s="674">
        <v>1.4375229432244785</v>
      </c>
      <c r="PV23" s="674">
        <v>1.4083238118506261</v>
      </c>
      <c r="PW23" s="674">
        <v>1.4083238118506261</v>
      </c>
      <c r="PX23" s="674">
        <v>1.4086364251177605</v>
      </c>
      <c r="PY23" s="674">
        <v>1.1248012475379316</v>
      </c>
      <c r="PZ23" s="674">
        <v>1.3994540756100788</v>
      </c>
      <c r="QA23" s="674">
        <v>1.396466365270264</v>
      </c>
      <c r="QB23" s="674">
        <v>1.393476757150101</v>
      </c>
      <c r="QC23" s="674">
        <v>1.3949722608470467</v>
      </c>
      <c r="QD23" s="674">
        <v>1.3554826156526727</v>
      </c>
      <c r="QE23" s="674">
        <v>1.3549474081144997</v>
      </c>
      <c r="QF23" s="674">
        <v>3.5166509743106622</v>
      </c>
      <c r="QG23" s="674">
        <v>3.5197489167794442</v>
      </c>
      <c r="QH23" s="674">
        <v>3.5909353248738385</v>
      </c>
      <c r="QI23" s="674">
        <v>4.8227389700879959</v>
      </c>
      <c r="QJ23" s="674">
        <v>4.8221829291696148</v>
      </c>
      <c r="QK23" s="674">
        <v>4.8118797658725461</v>
      </c>
      <c r="QL23" s="674">
        <v>4.8118797658725461</v>
      </c>
      <c r="QM23" s="674">
        <v>4.8900090265646758</v>
      </c>
      <c r="QN23" s="674">
        <v>9.1953176308575966</v>
      </c>
      <c r="QO23" s="674">
        <v>9.1609326668320641</v>
      </c>
      <c r="QP23" s="674">
        <v>9.2411658516871729</v>
      </c>
      <c r="QQ23" s="674">
        <v>9.2345392271800542</v>
      </c>
      <c r="QR23" s="674">
        <v>9.2143180475895825</v>
      </c>
      <c r="QS23" s="674">
        <v>9.1822302726959801</v>
      </c>
      <c r="QT23" s="674">
        <v>9.1722034113295727</v>
      </c>
      <c r="QU23" s="674">
        <v>9.1801541026682543</v>
      </c>
      <c r="QV23" s="674">
        <v>9.1588556315697733</v>
      </c>
      <c r="QW23" s="674">
        <v>9.1728702125090784</v>
      </c>
      <c r="QX23" s="674">
        <v>9.1622280499724447</v>
      </c>
      <c r="QY23" s="674">
        <v>9.1935811983751776</v>
      </c>
      <c r="QZ23" s="674">
        <v>9.221869140912732</v>
      </c>
      <c r="RA23" s="674">
        <v>9.2122993151664083</v>
      </c>
      <c r="RB23" s="674">
        <v>9.1748815346430295</v>
      </c>
      <c r="RC23" s="674">
        <v>9.1765518497503891</v>
      </c>
      <c r="RD23" s="674">
        <v>9.2026734116663373</v>
      </c>
      <c r="RE23" s="674">
        <v>9.2003416391847868</v>
      </c>
      <c r="RF23" s="674">
        <v>9.2011130814028839</v>
      </c>
      <c r="RG23" s="674">
        <f>'Cash in bank report'!$D$15-'Cash in bank report'!$D$58</f>
        <v>7.5106817961473222</v>
      </c>
      <c r="RH23" s="674">
        <v>9.2080966604696286</v>
      </c>
      <c r="RI23" s="674">
        <v>9.1952486800985973</v>
      </c>
      <c r="RJ23" s="674">
        <v>9.1963442515898279</v>
      </c>
      <c r="RK23" s="674">
        <v>9.1009938223247104</v>
      </c>
      <c r="RL23" s="674">
        <v>9.2073145827536482</v>
      </c>
      <c r="RM23" s="674">
        <v>8.968095968797714</v>
      </c>
      <c r="RN23" s="674">
        <v>8.9454548689941991</v>
      </c>
      <c r="RO23" s="674">
        <v>8.9735331672582141</v>
      </c>
      <c r="RP23" s="674">
        <v>9.0454527837519958</v>
      </c>
      <c r="RQ23" s="674">
        <v>9.0466253090412145</v>
      </c>
      <c r="RR23" s="674">
        <v>9.0298935049320317</v>
      </c>
      <c r="RS23" s="674">
        <v>9.1272237192911128</v>
      </c>
      <c r="RT23" s="674">
        <v>9.1897024733899215</v>
      </c>
      <c r="RU23" s="674">
        <v>9.0619288153634834</v>
      </c>
      <c r="RV23" s="674">
        <v>9.0776792305241543</v>
      </c>
      <c r="RW23" s="674">
        <v>9.0939622123268933</v>
      </c>
      <c r="RX23" s="674">
        <v>8.9902511501824023</v>
      </c>
      <c r="RY23" s="674">
        <v>8.9870727631905609</v>
      </c>
      <c r="RZ23" s="674">
        <v>8.9552704212158147</v>
      </c>
      <c r="SA23" s="674">
        <v>9.897723464172909</v>
      </c>
      <c r="SB23" s="674">
        <v>10.022180917743581</v>
      </c>
      <c r="SC23" s="674">
        <v>10.036870646314069</v>
      </c>
      <c r="SD23" s="674">
        <v>10.045781121501529</v>
      </c>
      <c r="SE23" s="674">
        <v>10.061592481277707</v>
      </c>
      <c r="SF23" s="674">
        <f>'Cash in bank report'!$D$15-'Cash in bank report'!$D$58</f>
        <v>7.5106817961473222</v>
      </c>
      <c r="SG23" s="674">
        <v>10.135545422674973</v>
      </c>
      <c r="SH23" s="674">
        <v>10.116908138381543</v>
      </c>
      <c r="SI23" s="674">
        <v>10.093363909347564</v>
      </c>
      <c r="SJ23" s="674">
        <v>9.339695924926076</v>
      </c>
      <c r="SK23" s="674">
        <v>9.3365278921759032</v>
      </c>
      <c r="SL23" s="674">
        <v>9.323491355819236</v>
      </c>
      <c r="SM23" s="674">
        <v>9.3468805492121856</v>
      </c>
      <c r="SN23" s="674">
        <v>9.3474953294066871</v>
      </c>
      <c r="SO23" s="674">
        <v>9.3441723333760685</v>
      </c>
      <c r="SP23" s="674">
        <v>9.3389790772867887</v>
      </c>
      <c r="SQ23" s="674">
        <v>9.3285912601060321</v>
      </c>
      <c r="SR23" s="674">
        <v>8.239238337808608</v>
      </c>
      <c r="SS23" s="674">
        <v>8.1898512481863932</v>
      </c>
      <c r="ST23" s="674">
        <v>8.3167294220458086</v>
      </c>
      <c r="SU23" s="674">
        <v>8.239238337808608</v>
      </c>
      <c r="SV23" s="674">
        <v>8.2907463041961353</v>
      </c>
      <c r="SW23" s="674">
        <v>8.3333886277477394</v>
      </c>
      <c r="SX23" s="674">
        <v>8.5660769376002612</v>
      </c>
      <c r="SY23" s="674">
        <v>8.5505421660283734</v>
      </c>
      <c r="SZ23" s="674">
        <v>8.4877208875626504</v>
      </c>
      <c r="TA23" s="674">
        <v>7.5184666297953804</v>
      </c>
      <c r="TB23" s="674">
        <v>7.5234139593833538</v>
      </c>
      <c r="TC23" s="674">
        <v>7.5844973526931421</v>
      </c>
      <c r="TD23" s="674">
        <v>7.547404779908649</v>
      </c>
      <c r="TE23" s="674">
        <f>'Cash in bank report'!$D$15-'Cash in bank report'!$D$58</f>
        <v>7.5106817961473222</v>
      </c>
      <c r="TF23" s="674">
        <v>9.1959528746736208</v>
      </c>
      <c r="TG23" s="674">
        <v>8.113784329748011</v>
      </c>
      <c r="TH23" s="674">
        <v>9.0752001249811993</v>
      </c>
      <c r="TI23" s="674">
        <v>8.5802715740014577</v>
      </c>
      <c r="TJ23" s="674">
        <v>8.7614345030288945</v>
      </c>
      <c r="TK23" s="674">
        <v>8.6690975635097409</v>
      </c>
      <c r="TL23" s="674">
        <v>10.288366921227128</v>
      </c>
      <c r="TM23" s="674">
        <v>10.190586888859441</v>
      </c>
      <c r="TN23" s="674">
        <f>(-329313.1*TN9/TN7/1000000)+10.204771703352</f>
        <v>10.159420360544752</v>
      </c>
      <c r="TO23" s="674">
        <f>(-329313.1*TO9/TO7/1000000)+10.190038192637</f>
        <v>10.144752278590998</v>
      </c>
      <c r="TP23" s="674">
        <f>(-329313.1*TP9/TP7/1000000)+10.1987546854097</f>
        <v>10.153430034085678</v>
      </c>
      <c r="TQ23" s="674">
        <f>(-329313.1*TQ9/TQ7/1000000)+10.2060777374279</f>
        <v>10.160720541465874</v>
      </c>
      <c r="TR23" s="674">
        <f>(-329313.1*TR9/TR7/1000000)+10.2020191999305</f>
        <v>10.156656435070387</v>
      </c>
      <c r="TS23" s="674">
        <f>(-329925.85*TS9/TS7/1000000)+10.2006723098787</f>
        <v>10.155231138941716</v>
      </c>
      <c r="TT23" s="674">
        <v>9.5723526790171523</v>
      </c>
      <c r="TU23" s="674">
        <v>9.5411934434003598</v>
      </c>
      <c r="TV23" s="674">
        <v>9.903822538340556</v>
      </c>
      <c r="TW23" s="674">
        <v>9.8397184354546532</v>
      </c>
      <c r="TX23" s="674">
        <v>9.8437701981716561</v>
      </c>
      <c r="TY23" s="674">
        <v>9.8162249299852231</v>
      </c>
      <c r="TZ23" s="674">
        <v>9.769871789522103</v>
      </c>
      <c r="UA23" s="674">
        <v>9.745564056506085</v>
      </c>
      <c r="UB23" s="674">
        <v>9.8999920356813362</v>
      </c>
      <c r="UC23" s="674">
        <v>9.7450687799213256</v>
      </c>
      <c r="UD23" s="674">
        <v>10.808165418093113</v>
      </c>
      <c r="UE23" s="674">
        <v>9.8574668465669735</v>
      </c>
      <c r="UF23" s="674">
        <v>9.9063727321530131</v>
      </c>
      <c r="UG23" s="674">
        <v>9.9364362043010104</v>
      </c>
      <c r="UH23" s="674">
        <v>10.022044688696019</v>
      </c>
      <c r="UI23" s="674">
        <v>8.4231334285844941</v>
      </c>
      <c r="UJ23" s="674">
        <v>8.4162724663066832</v>
      </c>
      <c r="UK23" s="674">
        <v>9.0056250276616439</v>
      </c>
      <c r="UL23" s="674">
        <v>8.9430900157654225</v>
      </c>
      <c r="UM23" s="674">
        <v>9.5491417481851109</v>
      </c>
      <c r="UN23" s="674">
        <v>10.35308172200364</v>
      </c>
      <c r="UO23" s="674">
        <v>10.321640981999886</v>
      </c>
      <c r="UP23" s="674">
        <v>10.122844281945721</v>
      </c>
      <c r="UQ23" s="674">
        <v>9.8414795745999264</v>
      </c>
      <c r="UR23" s="674">
        <v>10.57246809521212</v>
      </c>
      <c r="US23" s="674">
        <v>10.854119909313816</v>
      </c>
      <c r="UT23" s="674">
        <v>11.256262520263686</v>
      </c>
      <c r="UU23" s="674">
        <v>10.853317800642333</v>
      </c>
      <c r="UV23" s="674">
        <v>10.750876012685211</v>
      </c>
      <c r="UW23" s="674">
        <v>10.768434016497208</v>
      </c>
      <c r="UX23" s="674">
        <v>10.79837831540628</v>
      </c>
      <c r="UY23" s="674">
        <v>10.887841820564351</v>
      </c>
      <c r="UZ23" s="674">
        <v>9.8467288089271836</v>
      </c>
      <c r="VA23" s="674">
        <v>9.9119302951310608</v>
      </c>
      <c r="VB23" s="674">
        <v>9.9924627386945577</v>
      </c>
      <c r="VC23" s="674">
        <v>10.050558855410387</v>
      </c>
      <c r="VD23" s="674">
        <v>10.015443445196741</v>
      </c>
      <c r="VE23" s="674">
        <v>9.9656606518218904</v>
      </c>
      <c r="VF23" s="674">
        <v>10.012102798778828</v>
      </c>
      <c r="VG23" s="674">
        <v>9.9735115335623092</v>
      </c>
      <c r="VH23" s="674">
        <v>10.009336267999648</v>
      </c>
      <c r="VI23" s="674">
        <v>9.8073100361818337</v>
      </c>
      <c r="VJ23" s="674">
        <f>'Cash in bank report'!$D$15-'Cash in bank report'!$D$58</f>
        <v>7.5106817961473222</v>
      </c>
      <c r="VK23" s="674">
        <v>8.9983398498546023</v>
      </c>
      <c r="VL23" s="674">
        <v>8.9991966964913885</v>
      </c>
      <c r="VM23" s="674">
        <v>8.9927294096066532</v>
      </c>
      <c r="VN23" s="674">
        <v>9.0284240622221628</v>
      </c>
      <c r="VO23" s="674">
        <v>9.0112690403529339</v>
      </c>
      <c r="VP23" s="674">
        <v>9.0162521929512707</v>
      </c>
      <c r="VQ23" s="674">
        <v>8.9359933149124249</v>
      </c>
      <c r="VR23" s="674">
        <v>8.8988864783200459</v>
      </c>
      <c r="VS23" s="674">
        <v>8.86144181945056</v>
      </c>
      <c r="VT23" s="674">
        <v>8.8918111954335721</v>
      </c>
      <c r="VU23" s="674">
        <v>8.8769263574293635</v>
      </c>
      <c r="VV23" s="674">
        <v>8.9103067960674487</v>
      </c>
      <c r="VW23" s="674">
        <v>8.8721362727482163</v>
      </c>
      <c r="VX23" s="674">
        <v>8.8043937788726829</v>
      </c>
      <c r="VY23" s="674">
        <v>8.660388772490796</v>
      </c>
      <c r="VZ23" s="674">
        <v>8.842910749290299</v>
      </c>
      <c r="WA23" s="674">
        <v>8.8306683804822157</v>
      </c>
      <c r="WB23" s="674">
        <v>8.8504417172584553</v>
      </c>
      <c r="WC23" s="674">
        <v>8.6754557661748493</v>
      </c>
      <c r="WD23" s="674">
        <v>8.7594025121567807</v>
      </c>
      <c r="WE23" s="674">
        <v>8.9352120974017062</v>
      </c>
      <c r="WF23" s="674">
        <v>8.9178952020884399</v>
      </c>
      <c r="WG23" s="674">
        <v>8.9107236699050638</v>
      </c>
      <c r="WH23" s="674">
        <v>8.7059828418949294</v>
      </c>
      <c r="WI23" s="674">
        <v>8.8937061238862949</v>
      </c>
      <c r="WJ23" s="674">
        <v>8.6883945841849677</v>
      </c>
      <c r="WK23" s="674">
        <v>8.6311421992453425</v>
      </c>
      <c r="WL23" s="674">
        <v>8.6400733671222305</v>
      </c>
      <c r="WM23" s="674">
        <v>7.1208963416011697</v>
      </c>
      <c r="WN23" s="674">
        <v>7.1773492641676775</v>
      </c>
      <c r="WO23" s="674">
        <v>7.1273414834586468</v>
      </c>
      <c r="WP23" s="674">
        <v>7.0041680050875348</v>
      </c>
      <c r="WQ23" s="674">
        <v>7.045567216822433</v>
      </c>
      <c r="WR23" s="674">
        <v>7.02987761759936</v>
      </c>
      <c r="WS23" s="674">
        <v>7.0226819201506112</v>
      </c>
      <c r="WT23" s="674">
        <v>7.1522293828919494</v>
      </c>
      <c r="WU23" s="674">
        <v>7.2418227949584226</v>
      </c>
      <c r="WV23" s="674">
        <v>7.0736413152487554</v>
      </c>
      <c r="WW23" s="674">
        <v>7.0683701527977396</v>
      </c>
      <c r="WX23" s="674">
        <v>7.0486451453985035</v>
      </c>
      <c r="WY23" s="674">
        <v>7.0551649057743457</v>
      </c>
      <c r="WZ23" s="674">
        <v>7.0582070705576347</v>
      </c>
      <c r="XA23" s="674">
        <v>7.2022545960013433</v>
      </c>
      <c r="XB23" s="674">
        <v>7.2668561953239639</v>
      </c>
      <c r="XC23" s="674">
        <v>7.3335078074274804</v>
      </c>
      <c r="XD23" s="674">
        <v>7.1706455072298274</v>
      </c>
      <c r="XE23" s="674">
        <v>7.1863745042611296</v>
      </c>
      <c r="XF23" s="674">
        <v>7.122999119416269</v>
      </c>
      <c r="XG23" s="674">
        <v>7.1408450720003325</v>
      </c>
      <c r="XH23" s="674">
        <v>7.118263605096697</v>
      </c>
      <c r="XI23" s="674">
        <v>7.1340095004096167</v>
      </c>
      <c r="XJ23" s="674">
        <v>7.1271522417334072</v>
      </c>
      <c r="XK23" s="674">
        <v>7.1136437194571647</v>
      </c>
      <c r="XL23" s="674">
        <v>7.1736278938570486</v>
      </c>
      <c r="XM23" s="674">
        <v>7.050854745446193</v>
      </c>
      <c r="XN23" s="674">
        <v>7.1432018437604992</v>
      </c>
      <c r="XO23" s="674">
        <v>7.2847315677843278</v>
      </c>
      <c r="XP23" s="674">
        <v>7.227801407366834</v>
      </c>
      <c r="XQ23" s="674">
        <v>7.2999875482142267</v>
      </c>
      <c r="XR23" s="674">
        <v>7.2944453622728247</v>
      </c>
      <c r="XS23" s="674">
        <v>7.361556512842844</v>
      </c>
      <c r="XT23" s="674">
        <f>'Cash in bank report'!$D$15-'Cash in bank report'!$D$58</f>
        <v>7.5106817961473222</v>
      </c>
      <c r="XU23" s="674">
        <v>7.3484936090182877</v>
      </c>
      <c r="XV23" s="674">
        <v>7.6008512833536992</v>
      </c>
      <c r="XW23" s="674">
        <v>7.303588513622655</v>
      </c>
      <c r="XX23" s="674">
        <v>7.2910013894430206</v>
      </c>
      <c r="XY23" s="674">
        <v>7.2866032332355868</v>
      </c>
      <c r="XZ23" s="674">
        <v>7.3035258229844802</v>
      </c>
      <c r="YA23" s="674">
        <v>7.2896130768168845</v>
      </c>
      <c r="YB23" s="674">
        <v>7.3299714034596803</v>
      </c>
      <c r="YC23" s="674">
        <v>7.3264451521254337</v>
      </c>
      <c r="YD23" s="674">
        <v>7.3332132304169777</v>
      </c>
      <c r="YE23" s="674">
        <v>7.2924127584832261</v>
      </c>
      <c r="YF23" s="674">
        <v>7.2960530672280353</v>
      </c>
      <c r="YG23" s="674">
        <v>7.342903091560931</v>
      </c>
      <c r="YH23" s="674">
        <v>7.332379686229558</v>
      </c>
      <c r="YI23" s="674">
        <v>7.2950066915057459</v>
      </c>
      <c r="YJ23" s="674">
        <v>7.3184071911955311</v>
      </c>
      <c r="YK23" s="674">
        <v>7.3146517949233614</v>
      </c>
      <c r="YL23" s="674">
        <v>7.3190549011810981</v>
      </c>
      <c r="YM23" s="674">
        <f>'Cash in bank report'!$D$15-'Cash in bank report'!$D$58</f>
        <v>7.5106817961473222</v>
      </c>
      <c r="YN23" s="674">
        <v>7.5105328127483828</v>
      </c>
      <c r="YO23" s="674">
        <v>7.5077216921757568</v>
      </c>
      <c r="YP23" s="674">
        <v>7.5092293826529311</v>
      </c>
      <c r="YQ23" s="674">
        <v>7.5108732694069111</v>
      </c>
      <c r="YR23" s="674">
        <v>7.4803338174519434</v>
      </c>
      <c r="YS23" s="674">
        <v>7.472808817976019</v>
      </c>
      <c r="YT23" s="674">
        <v>7.6333129705304295</v>
      </c>
      <c r="YU23" s="674">
        <v>7.6399951681327298</v>
      </c>
      <c r="YV23" s="674">
        <v>7.6705895903086629</v>
      </c>
      <c r="YW23" s="674">
        <v>7.6702149352049149</v>
      </c>
      <c r="YX23" s="674">
        <v>7.683108358645466</v>
      </c>
      <c r="YY23" s="674">
        <v>7.9465206316281929</v>
      </c>
      <c r="YZ23" s="674">
        <v>7.6031031759635459</v>
      </c>
      <c r="ZA23" s="674">
        <v>7.6626673678111157</v>
      </c>
      <c r="ZB23" s="674">
        <v>7.9266296994945087</v>
      </c>
      <c r="ZC23" s="674">
        <v>7.9217466642235319</v>
      </c>
      <c r="ZD23" s="674">
        <f>'Cash in bank report'!$D$15-'Cash in bank report'!$D$58</f>
        <v>7.5106817961473222</v>
      </c>
    </row>
    <row r="24" spans="1:680">
      <c r="A24" s="120"/>
      <c r="B24" s="125" t="s">
        <v>120</v>
      </c>
      <c r="C24" s="418" t="s">
        <v>0</v>
      </c>
      <c r="D24" s="6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875"/>
      <c r="IF24" s="875"/>
      <c r="IG24" s="875"/>
      <c r="IH24" s="875"/>
      <c r="II24" s="875"/>
      <c r="IJ24" s="875"/>
      <c r="IK24" s="875"/>
      <c r="IL24" s="875"/>
      <c r="IM24" s="875"/>
      <c r="IN24" s="875"/>
      <c r="IO24" s="875"/>
      <c r="IP24" s="875"/>
      <c r="IQ24" s="875"/>
      <c r="IR24" s="875"/>
      <c r="IS24" s="875"/>
      <c r="IT24" s="875"/>
      <c r="IU24" s="875"/>
      <c r="IV24" s="875"/>
      <c r="IW24" s="875"/>
      <c r="IX24" s="875"/>
      <c r="IY24" s="875"/>
      <c r="IZ24" s="875"/>
      <c r="JA24" s="875"/>
      <c r="JB24" s="875"/>
      <c r="JC24" s="875"/>
      <c r="JD24" s="875"/>
      <c r="JE24" s="875"/>
      <c r="JF24" s="875"/>
      <c r="JG24" s="875"/>
      <c r="JH24" s="875"/>
      <c r="JI24" s="875"/>
      <c r="JJ24" s="875"/>
      <c r="JK24" s="875"/>
      <c r="JL24" s="875"/>
      <c r="JM24" s="875"/>
      <c r="JN24" s="875"/>
      <c r="JO24" s="875"/>
      <c r="JP24" s="875"/>
      <c r="JQ24" s="875"/>
      <c r="JR24" s="875"/>
      <c r="JS24" s="875"/>
      <c r="JT24" s="875"/>
      <c r="JU24" s="875"/>
      <c r="JV24" s="875"/>
      <c r="JW24" s="875"/>
      <c r="JX24" s="875"/>
      <c r="JY24" s="875"/>
      <c r="JZ24" s="875"/>
      <c r="KA24" s="875"/>
      <c r="KB24" s="875"/>
      <c r="KC24" s="875"/>
      <c r="KD24" s="875"/>
      <c r="KE24" s="875"/>
      <c r="KF24" s="875"/>
      <c r="KG24" s="875"/>
      <c r="KH24" s="875"/>
      <c r="KI24" s="875"/>
      <c r="KJ24" s="875"/>
      <c r="KK24" s="875"/>
      <c r="KL24" s="875"/>
      <c r="KM24" s="875"/>
      <c r="KN24" s="875"/>
      <c r="KO24" s="875"/>
      <c r="KP24" s="875"/>
      <c r="KQ24" s="875"/>
      <c r="KR24" s="875"/>
      <c r="KS24" s="875"/>
      <c r="KT24" s="875"/>
      <c r="KU24" s="875"/>
      <c r="KV24" s="875"/>
      <c r="KW24" s="875"/>
      <c r="KX24" s="875"/>
      <c r="KY24" s="875"/>
      <c r="KZ24" s="875"/>
      <c r="LA24" s="875"/>
      <c r="LB24" s="875"/>
      <c r="LC24" s="875"/>
      <c r="LD24" s="875"/>
      <c r="LE24" s="875"/>
      <c r="LF24" s="875"/>
      <c r="LG24" s="875"/>
      <c r="LH24" s="875"/>
      <c r="LI24" s="875"/>
      <c r="LJ24" s="875"/>
      <c r="LK24" s="875"/>
      <c r="LL24" s="875"/>
      <c r="LM24" s="875"/>
      <c r="LN24" s="875"/>
      <c r="LO24" s="875"/>
      <c r="LP24" s="875"/>
      <c r="LQ24" s="875"/>
      <c r="LR24" s="875"/>
      <c r="LS24" s="875"/>
      <c r="LT24" s="875"/>
      <c r="LU24" s="875"/>
      <c r="LV24" s="875"/>
      <c r="LW24" s="875"/>
      <c r="LX24" s="875"/>
      <c r="LY24" s="875"/>
      <c r="LZ24" s="875"/>
      <c r="MA24" s="875"/>
      <c r="MB24" s="875"/>
      <c r="MC24" s="875"/>
      <c r="MD24" s="875"/>
      <c r="ME24" s="875"/>
      <c r="MF24" s="875"/>
      <c r="MG24" s="875"/>
      <c r="MH24" s="875"/>
      <c r="MI24" s="875"/>
      <c r="MJ24" s="875"/>
      <c r="MK24" s="875"/>
      <c r="ML24" s="875"/>
      <c r="MM24" s="875"/>
      <c r="MN24" s="875"/>
      <c r="MO24" s="875"/>
      <c r="MP24" s="875"/>
      <c r="MQ24" s="875"/>
      <c r="MR24" s="875"/>
      <c r="MS24" s="875"/>
      <c r="MT24" s="875"/>
      <c r="MU24" s="875"/>
      <c r="MV24" s="875"/>
      <c r="MW24" s="875"/>
      <c r="MX24" s="875"/>
      <c r="MY24" s="875"/>
      <c r="MZ24" s="875"/>
      <c r="NA24" s="875"/>
      <c r="NB24" s="875"/>
      <c r="NC24" s="875"/>
      <c r="ND24" s="875"/>
      <c r="NE24" s="875"/>
      <c r="NF24" s="875"/>
      <c r="NG24" s="875"/>
      <c r="NH24" s="875"/>
      <c r="NI24" s="875"/>
      <c r="NJ24" s="875"/>
      <c r="NK24" s="875"/>
      <c r="NL24" s="875"/>
      <c r="NM24" s="875"/>
      <c r="NN24" s="875"/>
      <c r="NO24" s="875"/>
      <c r="NP24" s="875"/>
      <c r="NQ24" s="875"/>
      <c r="NR24" s="875"/>
      <c r="NS24" s="875"/>
      <c r="NT24" s="875"/>
      <c r="NU24" s="875"/>
      <c r="NV24" s="875"/>
      <c r="NW24" s="875"/>
      <c r="NX24" s="875"/>
      <c r="NY24" s="875"/>
      <c r="NZ24" s="875"/>
      <c r="OA24" s="875"/>
      <c r="OB24" s="875"/>
      <c r="OC24" s="875"/>
      <c r="OD24" s="875"/>
      <c r="OE24" s="875"/>
      <c r="OF24" s="875"/>
      <c r="OG24" s="875"/>
      <c r="OH24" s="875"/>
      <c r="OI24" s="875"/>
      <c r="OJ24" s="875"/>
      <c r="OK24" s="875"/>
      <c r="OL24" s="875"/>
      <c r="OM24" s="875"/>
      <c r="ON24" s="875"/>
      <c r="OO24" s="875"/>
      <c r="OP24" s="875"/>
      <c r="OQ24" s="875"/>
      <c r="OR24" s="875"/>
      <c r="OS24" s="875"/>
      <c r="OT24" s="875"/>
      <c r="OU24" s="875"/>
      <c r="OV24" s="875"/>
      <c r="OW24" s="875"/>
      <c r="OX24" s="875"/>
      <c r="OY24" s="875"/>
      <c r="OZ24" s="875"/>
      <c r="PA24" s="875"/>
      <c r="PB24" s="875"/>
      <c r="PC24" s="875"/>
      <c r="PD24" s="875"/>
      <c r="PE24" s="875"/>
      <c r="PF24" s="875"/>
      <c r="PG24" s="875"/>
      <c r="PH24" s="875"/>
      <c r="PI24" s="875"/>
      <c r="PJ24" s="875"/>
      <c r="PK24" s="875"/>
      <c r="PL24" s="875"/>
      <c r="PM24" s="875"/>
      <c r="PN24" s="875"/>
      <c r="PO24" s="875"/>
      <c r="PP24" s="875"/>
      <c r="PQ24" s="875"/>
      <c r="PR24" s="875"/>
      <c r="PS24" s="875"/>
      <c r="PT24" s="875"/>
      <c r="PU24" s="875"/>
      <c r="PV24" s="875"/>
      <c r="PW24" s="875"/>
      <c r="PX24" s="875"/>
      <c r="PY24" s="875"/>
      <c r="PZ24" s="875"/>
      <c r="QA24" s="875"/>
      <c r="QB24" s="875"/>
      <c r="QC24" s="875"/>
      <c r="QD24" s="875"/>
      <c r="QE24" s="875"/>
      <c r="QF24" s="875"/>
      <c r="QG24" s="875"/>
      <c r="QH24" s="875"/>
      <c r="QI24" s="875"/>
      <c r="QJ24" s="875"/>
      <c r="QK24" s="875"/>
      <c r="QL24" s="875"/>
      <c r="QM24" s="875"/>
      <c r="QN24" s="875"/>
      <c r="QO24" s="875"/>
      <c r="QP24" s="875"/>
      <c r="QQ24" s="875"/>
      <c r="QR24" s="875"/>
      <c r="QS24" s="875"/>
      <c r="QT24" s="875"/>
      <c r="QU24" s="875"/>
      <c r="QV24" s="875"/>
      <c r="QW24" s="875"/>
      <c r="QX24" s="875"/>
      <c r="QY24" s="875"/>
      <c r="QZ24" s="875"/>
      <c r="RA24" s="875"/>
      <c r="RB24" s="875"/>
      <c r="RC24" s="875"/>
      <c r="RD24" s="875"/>
      <c r="RE24" s="875"/>
      <c r="RF24" s="875"/>
      <c r="RG24" s="875"/>
      <c r="RH24" s="875"/>
      <c r="RI24" s="875"/>
      <c r="RJ24" s="875"/>
      <c r="RK24" s="875"/>
      <c r="RL24" s="875"/>
      <c r="RM24" s="875"/>
      <c r="RN24" s="875"/>
      <c r="RO24" s="875"/>
      <c r="RP24" s="875"/>
      <c r="RQ24" s="875"/>
      <c r="RR24" s="875"/>
      <c r="RS24" s="875"/>
      <c r="RT24" s="875"/>
      <c r="RU24" s="875"/>
      <c r="RV24" s="875"/>
      <c r="RW24" s="875"/>
      <c r="RX24" s="875"/>
      <c r="RY24" s="875"/>
      <c r="RZ24" s="875"/>
      <c r="SA24" s="875"/>
      <c r="SB24" s="875"/>
      <c r="SC24" s="875"/>
      <c r="SD24" s="875"/>
      <c r="SE24" s="875"/>
      <c r="SF24" s="875"/>
      <c r="SG24" s="875"/>
      <c r="SH24" s="875"/>
      <c r="SI24" s="875"/>
      <c r="SJ24" s="875"/>
      <c r="SK24" s="875"/>
      <c r="SL24" s="875"/>
      <c r="SM24" s="875"/>
      <c r="SN24" s="875"/>
      <c r="SO24" s="875"/>
      <c r="SP24" s="875"/>
      <c r="SQ24" s="875"/>
      <c r="SR24" s="875"/>
      <c r="SS24" s="875"/>
      <c r="ST24" s="875"/>
      <c r="SU24" s="875"/>
      <c r="SV24" s="875"/>
      <c r="SW24" s="875"/>
      <c r="SX24" s="875"/>
      <c r="SY24" s="875"/>
      <c r="SZ24" s="875"/>
      <c r="TA24" s="875"/>
      <c r="TB24" s="875"/>
      <c r="TC24" s="875"/>
      <c r="TD24" s="875"/>
      <c r="TE24" s="875"/>
      <c r="TF24" s="875"/>
      <c r="TG24" s="875"/>
      <c r="TH24" s="875"/>
      <c r="TI24" s="875"/>
      <c r="TJ24" s="875"/>
      <c r="TK24" s="875"/>
      <c r="TL24" s="875"/>
      <c r="TM24" s="875"/>
      <c r="TN24" s="875"/>
      <c r="TO24" s="875"/>
      <c r="TP24" s="875"/>
      <c r="TQ24" s="875"/>
      <c r="TR24" s="875"/>
      <c r="TS24" s="875"/>
      <c r="TT24" s="875"/>
      <c r="TU24" s="875"/>
      <c r="TV24" s="875"/>
      <c r="TW24" s="875"/>
      <c r="TX24" s="875"/>
      <c r="TY24" s="875"/>
      <c r="TZ24" s="875"/>
      <c r="UA24" s="875"/>
      <c r="UB24" s="875"/>
      <c r="UC24" s="875"/>
      <c r="UD24" s="875"/>
      <c r="UE24" s="875"/>
      <c r="UF24" s="875"/>
      <c r="UG24" s="875"/>
      <c r="UH24" s="875"/>
      <c r="UI24" s="875"/>
      <c r="UJ24" s="875"/>
      <c r="UK24" s="875"/>
      <c r="UL24" s="875"/>
      <c r="UM24" s="875"/>
      <c r="UN24" s="875"/>
      <c r="UO24" s="875"/>
      <c r="UP24" s="875"/>
      <c r="UQ24" s="875"/>
      <c r="UR24" s="875"/>
      <c r="US24" s="875"/>
      <c r="UT24" s="875"/>
      <c r="UU24" s="875"/>
      <c r="UV24" s="875"/>
      <c r="UW24" s="875"/>
      <c r="UX24" s="875"/>
      <c r="UY24" s="875"/>
      <c r="UZ24" s="875"/>
      <c r="VA24" s="875"/>
      <c r="VB24" s="875"/>
      <c r="VC24" s="875"/>
      <c r="VD24" s="875"/>
      <c r="VE24" s="875"/>
      <c r="VF24" s="875"/>
      <c r="VG24" s="875"/>
      <c r="VH24" s="875"/>
      <c r="VI24" s="875"/>
      <c r="VJ24" s="875"/>
      <c r="VK24" s="875"/>
      <c r="VL24" s="875"/>
      <c r="VM24" s="875"/>
      <c r="VN24" s="875"/>
      <c r="VO24" s="875"/>
      <c r="VP24" s="875"/>
      <c r="VQ24" s="875"/>
      <c r="VR24" s="875"/>
      <c r="VS24" s="875"/>
      <c r="VT24" s="875"/>
      <c r="VU24" s="875"/>
      <c r="VV24" s="875"/>
      <c r="VW24" s="875"/>
      <c r="VX24" s="875"/>
      <c r="VY24" s="875"/>
      <c r="VZ24" s="875"/>
      <c r="WA24" s="875"/>
      <c r="WB24" s="875"/>
      <c r="WC24" s="875"/>
      <c r="WD24" s="875"/>
      <c r="WE24" s="875"/>
      <c r="WF24" s="875"/>
      <c r="WG24" s="875"/>
      <c r="WH24" s="875"/>
      <c r="WI24" s="875"/>
      <c r="WJ24" s="875"/>
      <c r="WK24" s="875"/>
      <c r="WL24" s="875"/>
      <c r="WM24" s="875"/>
      <c r="WN24" s="875"/>
      <c r="WO24" s="875"/>
      <c r="WP24" s="875"/>
      <c r="WQ24" s="875"/>
      <c r="WR24" s="875"/>
      <c r="WS24" s="875"/>
      <c r="WT24" s="875"/>
      <c r="WU24" s="875"/>
      <c r="WV24" s="875"/>
      <c r="WW24" s="875"/>
      <c r="WX24" s="875"/>
      <c r="WY24" s="875"/>
      <c r="WZ24" s="875"/>
      <c r="XA24" s="875"/>
      <c r="XB24" s="875"/>
      <c r="XC24" s="875"/>
      <c r="XD24" s="875"/>
      <c r="XE24" s="875"/>
      <c r="XF24" s="875"/>
      <c r="XG24" s="875"/>
      <c r="XH24" s="875"/>
      <c r="XI24" s="875"/>
      <c r="XJ24" s="875"/>
      <c r="XK24" s="875"/>
      <c r="XL24" s="875"/>
      <c r="XM24" s="875"/>
      <c r="XN24" s="875"/>
      <c r="XO24" s="875"/>
      <c r="XP24" s="875"/>
      <c r="XQ24" s="875"/>
      <c r="XR24" s="875"/>
      <c r="XS24" s="875"/>
      <c r="XT24" s="875"/>
      <c r="XU24" s="875"/>
      <c r="XV24" s="875"/>
      <c r="XW24" s="875"/>
      <c r="XX24" s="875"/>
      <c r="XY24" s="875"/>
      <c r="XZ24" s="875"/>
      <c r="YA24" s="875"/>
      <c r="YB24" s="875"/>
      <c r="YC24" s="875"/>
      <c r="YD24" s="875"/>
      <c r="YE24" s="875"/>
      <c r="YF24" s="875"/>
      <c r="YG24" s="875"/>
      <c r="YH24" s="875"/>
      <c r="YI24" s="875"/>
      <c r="YJ24" s="875"/>
      <c r="YK24" s="875"/>
      <c r="YL24" s="875"/>
      <c r="YM24" s="875"/>
      <c r="YN24" s="875"/>
      <c r="YO24" s="875"/>
      <c r="YP24" s="875"/>
      <c r="YQ24" s="875"/>
      <c r="YR24" s="875"/>
      <c r="YS24" s="875"/>
      <c r="YT24" s="875"/>
      <c r="YU24" s="875"/>
      <c r="YV24" s="875"/>
      <c r="YW24" s="875"/>
      <c r="YX24" s="875"/>
      <c r="YY24" s="875"/>
      <c r="YZ24" s="875"/>
      <c r="ZA24" s="875"/>
      <c r="ZB24" s="875"/>
      <c r="ZC24" s="875"/>
      <c r="ZD24" s="875"/>
    </row>
    <row r="25" spans="1:680" s="142" customFormat="1">
      <c r="A25" s="138"/>
      <c r="B25" s="413"/>
      <c r="C25" s="412" t="s">
        <v>6</v>
      </c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140"/>
      <c r="BV25" s="140"/>
      <c r="BW25" s="140"/>
      <c r="BX25" s="140"/>
      <c r="BY25" s="140"/>
      <c r="BZ25" s="140"/>
      <c r="CA25" s="140"/>
      <c r="CB25" s="140"/>
      <c r="CC25" s="140"/>
      <c r="CD25" s="140"/>
      <c r="CE25" s="140"/>
      <c r="CF25" s="140"/>
      <c r="CG25" s="140"/>
      <c r="CH25" s="140"/>
      <c r="CI25" s="140"/>
      <c r="CJ25" s="140"/>
      <c r="CK25" s="140"/>
      <c r="CL25" s="140"/>
      <c r="CM25" s="140"/>
      <c r="CN25" s="140"/>
      <c r="CO25" s="140"/>
      <c r="CP25" s="587"/>
      <c r="CQ25" s="587"/>
      <c r="CR25" s="587"/>
      <c r="CS25" s="587"/>
      <c r="CT25" s="587"/>
      <c r="CU25" s="587"/>
      <c r="CV25" s="587"/>
      <c r="CW25" s="587"/>
      <c r="CX25" s="587"/>
      <c r="CY25" s="587"/>
      <c r="CZ25" s="587"/>
      <c r="DA25" s="587"/>
      <c r="DB25" s="587"/>
      <c r="DC25" s="587"/>
      <c r="DD25" s="587"/>
      <c r="DE25" s="587"/>
      <c r="DF25" s="587"/>
      <c r="DG25" s="587"/>
      <c r="DH25" s="587"/>
      <c r="DI25" s="587"/>
      <c r="DJ25" s="587"/>
      <c r="DK25" s="587"/>
      <c r="DL25" s="587"/>
      <c r="DM25" s="587"/>
      <c r="DN25" s="587"/>
      <c r="DO25" s="587"/>
      <c r="DP25" s="587"/>
      <c r="DQ25" s="587"/>
      <c r="DR25" s="587"/>
      <c r="DS25" s="587"/>
      <c r="DT25" s="587"/>
      <c r="DU25" s="587"/>
      <c r="DV25" s="587"/>
      <c r="DW25" s="587"/>
      <c r="DX25" s="587"/>
      <c r="DY25" s="587"/>
      <c r="DZ25" s="587"/>
      <c r="EA25" s="587"/>
      <c r="EB25" s="587"/>
      <c r="EC25" s="587"/>
      <c r="ED25" s="587"/>
      <c r="EE25" s="587"/>
      <c r="EF25" s="587"/>
      <c r="EG25" s="587"/>
      <c r="EH25" s="587"/>
      <c r="EI25" s="587"/>
      <c r="EJ25" s="587"/>
      <c r="EK25" s="587"/>
      <c r="EL25" s="587"/>
      <c r="EM25" s="587"/>
      <c r="EN25" s="587"/>
      <c r="EO25" s="587"/>
      <c r="EP25" s="587"/>
      <c r="EQ25" s="587"/>
      <c r="ER25" s="587"/>
      <c r="ES25" s="587"/>
      <c r="ET25" s="587"/>
      <c r="EU25" s="587"/>
      <c r="EV25" s="587"/>
      <c r="EW25" s="587"/>
      <c r="EX25" s="587"/>
      <c r="EY25" s="587"/>
      <c r="EZ25" s="587"/>
      <c r="FA25" s="587"/>
      <c r="FB25" s="587"/>
      <c r="FC25" s="587"/>
      <c r="FD25" s="587"/>
      <c r="FE25" s="587"/>
      <c r="FF25" s="587"/>
      <c r="FG25" s="587"/>
      <c r="FH25" s="587"/>
      <c r="FI25" s="587"/>
      <c r="FJ25" s="587"/>
      <c r="FK25" s="587"/>
      <c r="FL25" s="587"/>
      <c r="FM25" s="587"/>
      <c r="FN25" s="587"/>
      <c r="FO25" s="587"/>
      <c r="FP25" s="587"/>
      <c r="FQ25" s="587"/>
      <c r="FR25" s="587"/>
      <c r="FS25" s="587"/>
      <c r="FT25" s="587"/>
      <c r="FU25" s="587"/>
      <c r="FV25" s="587"/>
      <c r="FW25" s="587"/>
      <c r="FX25" s="587"/>
      <c r="FY25" s="587"/>
      <c r="FZ25" s="587"/>
      <c r="GA25" s="587"/>
      <c r="GB25" s="587"/>
      <c r="GC25" s="587"/>
      <c r="GD25" s="587"/>
      <c r="GE25" s="587"/>
      <c r="GF25" s="587"/>
      <c r="GG25" s="587"/>
      <c r="GH25" s="587"/>
      <c r="GI25" s="587"/>
      <c r="GJ25" s="587"/>
      <c r="GK25" s="587"/>
      <c r="GL25" s="587"/>
      <c r="GM25" s="587"/>
      <c r="GN25" s="587"/>
      <c r="GO25" s="587"/>
      <c r="GP25" s="587"/>
      <c r="GQ25" s="587"/>
      <c r="GR25" s="587"/>
      <c r="GS25" s="587"/>
      <c r="GT25" s="587"/>
      <c r="GU25" s="587"/>
      <c r="GV25" s="587"/>
      <c r="GW25" s="587"/>
      <c r="GX25" s="587"/>
      <c r="GY25" s="587"/>
      <c r="GZ25" s="587"/>
      <c r="HA25" s="587"/>
      <c r="HB25" s="587"/>
      <c r="HC25" s="587"/>
      <c r="HD25" s="587"/>
      <c r="HE25" s="587"/>
      <c r="HF25" s="587"/>
      <c r="HG25" s="587"/>
      <c r="HH25" s="587"/>
      <c r="HI25" s="587"/>
      <c r="HJ25" s="587"/>
      <c r="HK25" s="587"/>
      <c r="HL25" s="587"/>
      <c r="HM25" s="587"/>
      <c r="HN25" s="587"/>
      <c r="HO25" s="587"/>
      <c r="HP25" s="587"/>
      <c r="HQ25" s="587"/>
      <c r="HR25" s="587"/>
      <c r="HS25" s="587"/>
      <c r="HT25" s="140">
        <f t="shared" ref="HT25:IA25" si="15">$D$48*HT9/HT7</f>
        <v>624.75150713294761</v>
      </c>
      <c r="HU25" s="140">
        <f t="shared" si="15"/>
        <v>623.20408614647431</v>
      </c>
      <c r="HV25" s="140">
        <f t="shared" si="15"/>
        <v>621.68857976429808</v>
      </c>
      <c r="HW25" s="140">
        <f t="shared" si="15"/>
        <v>620.21992192184905</v>
      </c>
      <c r="HX25" s="140">
        <f t="shared" si="15"/>
        <v>615.28460462179703</v>
      </c>
      <c r="HY25" s="140">
        <f t="shared" si="15"/>
        <v>615.32330656321972</v>
      </c>
      <c r="HZ25" s="140">
        <f t="shared" si="15"/>
        <v>615.63474401241092</v>
      </c>
      <c r="IA25" s="140">
        <f t="shared" si="15"/>
        <v>607.0854315724165</v>
      </c>
      <c r="IB25" s="140">
        <v>0.50165034310167023</v>
      </c>
      <c r="IC25" s="140">
        <v>0.50531047164735943</v>
      </c>
      <c r="ID25" s="140">
        <f>$D$48*ID9/ID7</f>
        <v>613.66710884822533</v>
      </c>
      <c r="IE25" s="140">
        <v>0.50375938772225226</v>
      </c>
      <c r="IF25" s="140">
        <v>0.50030215274216494</v>
      </c>
      <c r="IG25" s="140">
        <v>0.5017656500774289</v>
      </c>
      <c r="IH25" s="140">
        <v>0.50815588996825489</v>
      </c>
      <c r="II25" s="140">
        <v>0.50632906140393452</v>
      </c>
      <c r="IJ25" s="140">
        <v>0.50550369875224943</v>
      </c>
      <c r="IK25" s="140">
        <v>0.50716903728948681</v>
      </c>
      <c r="IL25" s="140">
        <v>0.50799891727054447</v>
      </c>
      <c r="IM25" s="140">
        <v>0.5115737595069928</v>
      </c>
      <c r="IN25" s="140">
        <v>0.5072680656152192</v>
      </c>
      <c r="IO25" s="140">
        <v>0.50721697804057497</v>
      </c>
      <c r="IP25" s="140">
        <v>0.5069334951059068</v>
      </c>
      <c r="IQ25" s="140">
        <v>0.50724235989354782</v>
      </c>
      <c r="IR25" s="140">
        <v>0.5082376171659253</v>
      </c>
      <c r="IS25" s="140">
        <v>0.50691218110464276</v>
      </c>
      <c r="IT25" s="140">
        <v>0.50797975503101822</v>
      </c>
      <c r="IU25" s="140">
        <v>0.50768891427340457</v>
      </c>
      <c r="IV25" s="140">
        <v>0.50720079118960526</v>
      </c>
      <c r="IW25" s="140">
        <v>0.50735658463196076</v>
      </c>
      <c r="IX25" s="140">
        <v>0.50784472759888477</v>
      </c>
      <c r="IY25" s="140">
        <v>0.50728716103825866</v>
      </c>
      <c r="IZ25" s="140">
        <v>0.50737027368256149</v>
      </c>
      <c r="JA25" s="140">
        <v>0.50749894875882451</v>
      </c>
      <c r="JB25" s="140">
        <v>0.50958213666040519</v>
      </c>
      <c r="JC25" s="140">
        <v>0.50759974410612063</v>
      </c>
      <c r="JD25" s="140">
        <v>0.50759307824207012</v>
      </c>
      <c r="JE25" s="140">
        <v>0.50596766135514215</v>
      </c>
      <c r="JF25" s="140">
        <v>0.50744217355094667</v>
      </c>
      <c r="JG25" s="140">
        <v>0.50672709100310109</v>
      </c>
      <c r="JH25" s="140">
        <v>0.50627972075128114</v>
      </c>
      <c r="JI25" s="140">
        <v>0.50441564799642924</v>
      </c>
      <c r="JJ25" s="140">
        <v>0.50377398944222174</v>
      </c>
      <c r="JK25" s="140">
        <v>0.50411252793912709</v>
      </c>
      <c r="JL25" s="140">
        <v>0.50222896699901753</v>
      </c>
      <c r="JM25" s="140">
        <v>0.50228504775038807</v>
      </c>
      <c r="JN25" s="140">
        <v>0.50453914876443595</v>
      </c>
      <c r="JO25" s="140">
        <v>0.50468334862470887</v>
      </c>
      <c r="JP25" s="140">
        <v>0.50586058208618245</v>
      </c>
      <c r="JQ25" s="140">
        <v>0.50320268372874155</v>
      </c>
      <c r="JR25" s="140">
        <v>0.50270719779736595</v>
      </c>
      <c r="JS25" s="140">
        <v>0.50192658665568279</v>
      </c>
      <c r="JT25" s="140">
        <v>0.5014865253776466</v>
      </c>
      <c r="JU25" s="140">
        <f>$D$48*JU9/JU7</f>
        <v>608.17546430473692</v>
      </c>
      <c r="JV25" s="140">
        <v>0.49600057646731616</v>
      </c>
      <c r="JW25" s="140">
        <v>0.49725447574137177</v>
      </c>
      <c r="JX25" s="140">
        <v>0.49637245753833908</v>
      </c>
      <c r="JY25" s="140">
        <v>0.49497882358820705</v>
      </c>
      <c r="JZ25" s="140">
        <v>0.49507327283761154</v>
      </c>
      <c r="KA25" s="140">
        <v>0.49310046308623839</v>
      </c>
      <c r="KB25" s="140">
        <v>0.49420452500883483</v>
      </c>
      <c r="KC25" s="140">
        <v>0.49303186590485354</v>
      </c>
      <c r="KD25" s="140">
        <v>0.49226550417897746</v>
      </c>
      <c r="KE25" s="140">
        <v>0.49075356244721219</v>
      </c>
      <c r="KF25" s="140">
        <v>0.4906326945167398</v>
      </c>
      <c r="KG25" s="140">
        <v>0.49338384262860485</v>
      </c>
      <c r="KH25" s="140">
        <v>0.49067815422098271</v>
      </c>
      <c r="KI25" s="140">
        <v>0.49004634707400108</v>
      </c>
      <c r="KJ25" s="140">
        <v>0.48995869832463562</v>
      </c>
      <c r="KK25" s="140">
        <v>0.48929092182300554</v>
      </c>
      <c r="KL25" s="140">
        <v>0.4895111019368672</v>
      </c>
      <c r="KM25" s="140">
        <v>0.48769903652926516</v>
      </c>
      <c r="KN25" s="140">
        <v>0.48765857944445834</v>
      </c>
      <c r="KO25" s="140">
        <v>0.48864735703052958</v>
      </c>
      <c r="KP25" s="140">
        <v>0.49035718043772963</v>
      </c>
      <c r="KQ25" s="140">
        <v>0.48765399845377716</v>
      </c>
      <c r="KR25" s="140">
        <v>0.48664737416221082</v>
      </c>
      <c r="KS25" s="140">
        <v>0.48575836367731912</v>
      </c>
      <c r="KT25" s="140">
        <v>0.48596691923908925</v>
      </c>
      <c r="KU25" s="140">
        <v>0.48421409573378937</v>
      </c>
      <c r="KV25" s="140">
        <v>0.48273037003779828</v>
      </c>
      <c r="KW25" s="140">
        <v>0.48372070223396957</v>
      </c>
      <c r="KX25" s="140">
        <v>0.48164228737325265</v>
      </c>
      <c r="KY25" s="140">
        <v>0.4815888046193848</v>
      </c>
      <c r="KZ25" s="140">
        <v>0.48093177555143213</v>
      </c>
      <c r="LA25" s="140">
        <v>0.48143767968539775</v>
      </c>
      <c r="LB25" s="140">
        <v>0.48337921638429837</v>
      </c>
      <c r="LC25" s="140">
        <v>0.48208702805579051</v>
      </c>
      <c r="LD25" s="140">
        <v>0.48205693166438196</v>
      </c>
      <c r="LE25" s="140">
        <v>0.48221242671128905</v>
      </c>
      <c r="LF25" s="140">
        <v>0.48268084259672045</v>
      </c>
      <c r="LG25" s="140">
        <v>0.48509275560161103</v>
      </c>
      <c r="LH25" s="140">
        <v>0.4857509628831464</v>
      </c>
      <c r="LI25" s="140">
        <v>0.48809911737707601</v>
      </c>
      <c r="LJ25" s="140">
        <v>0.48942332233193891</v>
      </c>
      <c r="LK25" s="140">
        <v>0.48722388626139523</v>
      </c>
      <c r="LL25" s="140">
        <v>0.48741488807556682</v>
      </c>
      <c r="LM25" s="140">
        <v>0.48448385091341889</v>
      </c>
      <c r="LN25" s="140">
        <v>0.48693606910752912</v>
      </c>
      <c r="LO25" s="140">
        <v>0.48687036805278777</v>
      </c>
      <c r="LP25" s="140">
        <v>0.48534982779803071</v>
      </c>
      <c r="LQ25" s="140">
        <v>0.48923022993776544</v>
      </c>
      <c r="LR25" s="140">
        <v>0.48795007015679559</v>
      </c>
      <c r="LS25" s="140">
        <v>0.48694778184786902</v>
      </c>
      <c r="LT25" s="140">
        <v>0.48644842022932594</v>
      </c>
      <c r="LU25" s="140">
        <v>0.4861903501673917</v>
      </c>
      <c r="LV25" s="140">
        <v>0.48582887125388852</v>
      </c>
      <c r="LW25" s="140">
        <v>0.48347017090329997</v>
      </c>
      <c r="LX25" s="140">
        <v>0.48397579006596519</v>
      </c>
      <c r="LY25" s="140">
        <v>0.48403224262834682</v>
      </c>
      <c r="LZ25" s="140">
        <v>0.48217331933399593</v>
      </c>
      <c r="MA25" s="140">
        <v>0.48039037230684117</v>
      </c>
      <c r="MB25" s="140">
        <v>0.4784305759411096</v>
      </c>
      <c r="MC25" s="140">
        <v>0.47777501427948033</v>
      </c>
      <c r="MD25" s="140">
        <v>0.47721631501344064</v>
      </c>
      <c r="ME25" s="140">
        <v>0.47772403351512288</v>
      </c>
      <c r="MF25" s="140">
        <v>0.47797548415719171</v>
      </c>
      <c r="MG25" s="140">
        <v>0.47852061142075158</v>
      </c>
      <c r="MH25" s="140">
        <v>0.47866280198439043</v>
      </c>
      <c r="MI25" s="140">
        <v>0.47958427733313419</v>
      </c>
      <c r="MJ25" s="140">
        <v>0.47916566449889514</v>
      </c>
      <c r="MK25" s="140">
        <v>0.47839276459202046</v>
      </c>
      <c r="ML25" s="140">
        <v>0.47921248001688493</v>
      </c>
      <c r="MM25" s="140">
        <v>0.47889107450320717</v>
      </c>
      <c r="MN25" s="140">
        <v>0.47916748450042768</v>
      </c>
      <c r="MO25" s="140">
        <v>0.48108057658127218</v>
      </c>
      <c r="MP25" s="140">
        <v>0.481075583721014</v>
      </c>
      <c r="MQ25" s="140">
        <v>0.4784863367642454</v>
      </c>
      <c r="MR25" s="140">
        <v>0.47823259244668292</v>
      </c>
      <c r="MS25" s="140">
        <v>0.47665270074393995</v>
      </c>
      <c r="MT25" s="140">
        <v>0.4756473003357703</v>
      </c>
      <c r="MU25" s="140">
        <v>0.47842006679062837</v>
      </c>
      <c r="MV25" s="140">
        <v>0.4784757087745648</v>
      </c>
      <c r="MW25" s="140">
        <v>0.48018161432984585</v>
      </c>
      <c r="MX25" s="140">
        <v>0.47998837275842882</v>
      </c>
      <c r="MY25" s="140">
        <v>0.48032213433428061</v>
      </c>
      <c r="MZ25" s="140">
        <v>0.47922387507472541</v>
      </c>
      <c r="NA25" s="140">
        <v>0.47881755845935925</v>
      </c>
      <c r="NB25" s="140">
        <v>0.47832258729689958</v>
      </c>
      <c r="NC25" s="140">
        <v>0.47824126133225509</v>
      </c>
      <c r="ND25" s="140">
        <v>0.47869983053317361</v>
      </c>
      <c r="NE25" s="140">
        <v>0.47811074293533973</v>
      </c>
      <c r="NF25" s="140">
        <v>0.47805257176103361</v>
      </c>
      <c r="NG25" s="140">
        <v>0.47801529255867364</v>
      </c>
      <c r="NH25" s="140">
        <v>0.47879205280436038</v>
      </c>
      <c r="NI25" s="140">
        <v>0.47975784133526056</v>
      </c>
      <c r="NJ25" s="140">
        <v>0.47943522232497454</v>
      </c>
      <c r="NK25" s="140">
        <v>0.47774171896534318</v>
      </c>
      <c r="NL25" s="140">
        <v>0.47762404569153039</v>
      </c>
      <c r="NM25" s="140">
        <v>0.47798449218868705</v>
      </c>
      <c r="NN25" s="140">
        <v>0.47825130607026889</v>
      </c>
      <c r="NO25" s="140">
        <v>0.47951276052198205</v>
      </c>
      <c r="NP25" s="140">
        <v>0.47898064039015403</v>
      </c>
      <c r="NQ25" s="140">
        <v>0.47932411337668834</v>
      </c>
      <c r="NR25" s="140">
        <v>0.4829800940429797</v>
      </c>
      <c r="NS25" s="140">
        <v>0.48210211206794951</v>
      </c>
      <c r="NT25" s="140">
        <v>0.48172406539227952</v>
      </c>
      <c r="NU25" s="140">
        <v>0.48129295188605986</v>
      </c>
      <c r="NV25" s="140">
        <v>0.48125563752934103</v>
      </c>
      <c r="NW25" s="140">
        <v>0.48031591479235902</v>
      </c>
      <c r="NX25" s="140">
        <v>0.48055369425230932</v>
      </c>
      <c r="NY25" s="140">
        <v>0.48115839600243282</v>
      </c>
      <c r="NZ25" s="140">
        <v>0.48137996774377045</v>
      </c>
      <c r="OA25" s="140">
        <v>0.48112017612501029</v>
      </c>
      <c r="OB25" s="140">
        <v>0.48060159117644419</v>
      </c>
      <c r="OC25" s="140">
        <v>0.48091967853902817</v>
      </c>
      <c r="OD25" s="140">
        <v>0.48059217734364335</v>
      </c>
      <c r="OE25" s="140">
        <v>0.48033091823832408</v>
      </c>
      <c r="OF25" s="140">
        <v>0.48033177775435482</v>
      </c>
      <c r="OG25" s="140">
        <v>0.48084605757122773</v>
      </c>
      <c r="OH25" s="140">
        <v>0.4810622232665091</v>
      </c>
      <c r="OI25" s="140">
        <v>0.48331652811404197</v>
      </c>
      <c r="OJ25" s="140">
        <v>0.48435882909000588</v>
      </c>
      <c r="OK25" s="140">
        <v>0.48336062623871656</v>
      </c>
      <c r="OL25" s="140">
        <v>0.48262150290817835</v>
      </c>
      <c r="OM25" s="140">
        <v>0.48282840081247524</v>
      </c>
      <c r="ON25" s="140">
        <v>0.48284966897767845</v>
      </c>
      <c r="OO25" s="140">
        <v>0.48626053823585763</v>
      </c>
      <c r="OP25" s="140">
        <v>0.48560270444241821</v>
      </c>
      <c r="OQ25" s="140">
        <v>0.48711081633962688</v>
      </c>
      <c r="OR25" s="140">
        <v>0.49107131745220656</v>
      </c>
      <c r="OS25" s="140">
        <v>0.49367892072522968</v>
      </c>
      <c r="OT25" s="140">
        <v>0.4920967466613887</v>
      </c>
      <c r="OU25" s="140">
        <v>0.4931399626926054</v>
      </c>
      <c r="OV25" s="140">
        <v>0.49216852536611072</v>
      </c>
      <c r="OW25" s="140">
        <v>0.49234680219925714</v>
      </c>
      <c r="OX25" s="140">
        <v>0.49224592921999949</v>
      </c>
      <c r="OY25" s="140">
        <v>0.49406974821204241</v>
      </c>
      <c r="OZ25" s="140">
        <v>0.4933666189803334</v>
      </c>
      <c r="PA25" s="140">
        <v>0.49297832952464243</v>
      </c>
      <c r="PB25" s="140">
        <v>0.49354089530481032</v>
      </c>
      <c r="PC25" s="140">
        <v>0.49316795929067081</v>
      </c>
      <c r="PD25" s="140">
        <v>0.4922536386458452</v>
      </c>
      <c r="PE25" s="140">
        <v>0.49230004017094947</v>
      </c>
      <c r="PF25" s="140">
        <v>0.49216368228993396</v>
      </c>
      <c r="PG25" s="140">
        <v>0.49032241956337663</v>
      </c>
      <c r="PH25" s="140">
        <v>0.49111173647267992</v>
      </c>
      <c r="PI25" s="140">
        <v>0.4903549532662978</v>
      </c>
      <c r="PJ25" s="140">
        <v>0.49337448749320045</v>
      </c>
      <c r="PK25" s="140">
        <v>0.49574338120042449</v>
      </c>
      <c r="PL25" s="140">
        <v>0.49369734920463365</v>
      </c>
      <c r="PM25" s="140">
        <v>0.49241674061274104</v>
      </c>
      <c r="PN25" s="140">
        <v>0.49721434191908459</v>
      </c>
      <c r="PO25" s="140">
        <v>0.49615340072535991</v>
      </c>
      <c r="PP25" s="140">
        <v>0.49672851627765824</v>
      </c>
      <c r="PQ25" s="140">
        <v>0.49572030232578368</v>
      </c>
      <c r="PR25" s="140">
        <v>0.49542547151631988</v>
      </c>
      <c r="PS25" s="140">
        <v>0.49572176030995002</v>
      </c>
      <c r="PT25" s="140">
        <v>0.4984496033136922</v>
      </c>
      <c r="PU25" s="140">
        <v>0.49796386015567251</v>
      </c>
      <c r="PV25" s="140">
        <v>0.49441053151851688</v>
      </c>
      <c r="PW25" s="140">
        <v>0.49381570170895328</v>
      </c>
      <c r="PX25" s="140">
        <v>0.49452027850302649</v>
      </c>
      <c r="PY25" s="140">
        <v>0.49332070075477352</v>
      </c>
      <c r="PZ25" s="140">
        <v>0.49220414940258123</v>
      </c>
      <c r="QA25" s="140">
        <v>0.49115333719509335</v>
      </c>
      <c r="QB25" s="140">
        <v>0.4901018575163546</v>
      </c>
      <c r="QC25" s="140">
        <v>0.49062784342608362</v>
      </c>
      <c r="QD25" s="140">
        <v>0.4918891466312072</v>
      </c>
      <c r="QE25" s="140">
        <v>0.49169492593358832</v>
      </c>
      <c r="QF25" s="140">
        <v>0.49389100428458177</v>
      </c>
      <c r="QG25" s="140">
        <v>0.49432609037310737</v>
      </c>
      <c r="QH25" s="140">
        <v>0.49377882875647722</v>
      </c>
      <c r="QI25" s="140">
        <v>0.49342039095847778</v>
      </c>
      <c r="QJ25" s="140">
        <v>0.49336350172415722</v>
      </c>
      <c r="QK25" s="140">
        <v>0.4934469424283251</v>
      </c>
      <c r="QL25" s="140">
        <v>0.49339641980733329</v>
      </c>
      <c r="QM25" s="140">
        <v>0.49338085802821458</v>
      </c>
      <c r="QN25" s="140">
        <v>0.49355260774343551</v>
      </c>
      <c r="QO25" s="140">
        <v>0.49170701748290835</v>
      </c>
      <c r="QP25" s="140">
        <v>0.49313742606098959</v>
      </c>
      <c r="QQ25" s="140">
        <v>0.49278380871385413</v>
      </c>
      <c r="QR25" s="140">
        <v>0.49170474351632376</v>
      </c>
      <c r="QS25" s="140">
        <v>0.48999243979047213</v>
      </c>
      <c r="QT25" s="140">
        <v>0.48945737520175497</v>
      </c>
      <c r="QU25" s="140">
        <v>0.48988164888378688</v>
      </c>
      <c r="QV25" s="140">
        <v>0.48874509605213073</v>
      </c>
      <c r="QW25" s="140">
        <v>0.48949295779194252</v>
      </c>
      <c r="QX25" s="140">
        <v>0.48892505881412263</v>
      </c>
      <c r="QY25" s="140">
        <v>0.4905981605796762</v>
      </c>
      <c r="QZ25" s="140">
        <v>0.49210769340220251</v>
      </c>
      <c r="RA25" s="140">
        <v>0.49189524699719922</v>
      </c>
      <c r="RB25" s="140">
        <v>0.48989730622661093</v>
      </c>
      <c r="RC25" s="140">
        <v>0.48998649352222395</v>
      </c>
      <c r="RD25" s="140">
        <v>0.49138126715158748</v>
      </c>
      <c r="RE25" s="140">
        <v>0.49125676101457288</v>
      </c>
      <c r="RF25" s="140">
        <v>0.49129795255073905</v>
      </c>
      <c r="RG25" s="140">
        <f>$D$51*RG9/RG7</f>
        <v>0</v>
      </c>
      <c r="RH25" s="140">
        <v>0.49167084418532864</v>
      </c>
      <c r="RI25" s="140">
        <v>0.49155088538444325</v>
      </c>
      <c r="RJ25" s="140">
        <v>0.49160945140644574</v>
      </c>
      <c r="RK25" s="140">
        <v>0.49211841098939596</v>
      </c>
      <c r="RL25" s="140">
        <v>0.49350549848386532</v>
      </c>
      <c r="RM25" s="140">
        <v>0.49407371394492627</v>
      </c>
      <c r="RN25" s="140">
        <v>0.49689958161443187</v>
      </c>
      <c r="RO25" s="140">
        <v>0.49683594953271581</v>
      </c>
      <c r="RP25" s="140">
        <v>0.49625978509284852</v>
      </c>
      <c r="RQ25" s="140">
        <v>0.49632411323229642</v>
      </c>
      <c r="RR25" s="140">
        <v>0.49591018346590865</v>
      </c>
      <c r="RS25" s="140">
        <v>0.49578816623307059</v>
      </c>
      <c r="RT25" s="140">
        <v>0.49657233341923152</v>
      </c>
      <c r="RU25" s="140">
        <v>0.4927372081427529</v>
      </c>
      <c r="RV25" s="140">
        <v>0.49359362797913475</v>
      </c>
      <c r="RW25" s="140">
        <v>0.49447900582276977</v>
      </c>
      <c r="RX25" s="140">
        <v>0.49296685535338408</v>
      </c>
      <c r="RY25" s="140">
        <v>0.49279257329893528</v>
      </c>
      <c r="RZ25" s="140">
        <v>0.49119918378894833</v>
      </c>
      <c r="SA25" s="140">
        <v>0.4922247353547568</v>
      </c>
      <c r="SB25" s="140">
        <v>0.49229177220401099</v>
      </c>
      <c r="SC25" s="140">
        <v>0.49276171903831834</v>
      </c>
      <c r="SD25" s="140">
        <v>0.49319918019783154</v>
      </c>
      <c r="SE25" s="140">
        <v>0.49439212676520716</v>
      </c>
      <c r="SF25" s="140">
        <f>$D$51*SF9/SF7</f>
        <v>0</v>
      </c>
      <c r="SG25" s="140">
        <v>0.49418075686189095</v>
      </c>
      <c r="SH25" s="140">
        <v>0.49445922572833234</v>
      </c>
      <c r="SI25" s="140">
        <v>0.49330851237804041</v>
      </c>
      <c r="SJ25" s="140">
        <v>0.49311151974087636</v>
      </c>
      <c r="SK25" s="140">
        <v>0.49294425589668028</v>
      </c>
      <c r="SL25" s="140">
        <v>0.49225596087008971</v>
      </c>
      <c r="SM25" s="140">
        <v>0.49349084911401314</v>
      </c>
      <c r="SN25" s="140">
        <v>0.49379432664556683</v>
      </c>
      <c r="SO25" s="140">
        <v>0.49361878479937588</v>
      </c>
      <c r="SP25" s="140">
        <v>0.49334444388736315</v>
      </c>
      <c r="SQ25" s="140">
        <v>0.49279569312479776</v>
      </c>
      <c r="SR25" s="140">
        <v>0.49228769859733118</v>
      </c>
      <c r="SS25" s="140">
        <v>0.49247327387904666</v>
      </c>
      <c r="ST25" s="140">
        <v>0.49166889941731312</v>
      </c>
      <c r="SU25" s="140">
        <v>0.49023213302914281</v>
      </c>
      <c r="SV25" s="140">
        <v>0.4932968410998243</v>
      </c>
      <c r="SW25" s="140">
        <v>0.49583404616356097</v>
      </c>
      <c r="SX25" s="140">
        <v>0.49585906994400547</v>
      </c>
      <c r="SY25" s="140">
        <v>0.49495981846172932</v>
      </c>
      <c r="SZ25" s="140">
        <v>0.49227803007719123</v>
      </c>
      <c r="TA25" s="140">
        <v>0.49325279967970059</v>
      </c>
      <c r="TB25" s="140">
        <v>0.49392814698672599</v>
      </c>
      <c r="TC25" s="140">
        <v>0.49482441926788323</v>
      </c>
      <c r="TD25" s="140">
        <v>0.49553225174151128</v>
      </c>
      <c r="TE25" s="140">
        <f>$D$51*TE9/TE7</f>
        <v>0</v>
      </c>
      <c r="TF25" s="140">
        <v>0.49411798005486818</v>
      </c>
      <c r="TG25" s="140">
        <v>0.49353097035396126</v>
      </c>
      <c r="TH25" s="140">
        <v>0.49338623879255389</v>
      </c>
      <c r="TI25" s="140">
        <v>0.49302702728142045</v>
      </c>
      <c r="TJ25" s="140">
        <v>0.49217202807387972</v>
      </c>
      <c r="TK25" s="140">
        <v>0.49217791924813842</v>
      </c>
      <c r="TL25" s="140">
        <v>0.49244302481390811</v>
      </c>
      <c r="TM25" s="140">
        <v>0.49242027737648575</v>
      </c>
      <c r="TN25" s="140">
        <v>0.49310570308976026</v>
      </c>
      <c r="TO25" s="140">
        <v>0.49239429537129326</v>
      </c>
      <c r="TP25" s="140">
        <v>0.49281548626732158</v>
      </c>
      <c r="TQ25" s="140">
        <v>0.49316934451302086</v>
      </c>
      <c r="TR25" s="140">
        <v>0.49322989520979538</v>
      </c>
      <c r="TS25" s="140">
        <v>0.49316477805738818</v>
      </c>
      <c r="TT25" s="140">
        <v>0.49332099383228595</v>
      </c>
      <c r="TU25" s="140">
        <v>0.49171517072933801</v>
      </c>
      <c r="TV25" s="140">
        <v>0</v>
      </c>
      <c r="TW25" s="140">
        <v>0.49436208420125161</v>
      </c>
      <c r="TX25" s="140">
        <v>0.49456565078444248</v>
      </c>
      <c r="TY25" s="140">
        <v>0.49318173555558176</v>
      </c>
      <c r="TZ25" s="140">
        <v>0.49085288485940204</v>
      </c>
      <c r="UA25" s="140">
        <v>0.48936848966764368</v>
      </c>
      <c r="UB25" s="140">
        <v>0.49007918945501094</v>
      </c>
      <c r="UC25" s="140">
        <v>0.48960901210241559</v>
      </c>
      <c r="UD25" s="140">
        <v>0.49210091824332403</v>
      </c>
      <c r="UE25" s="140">
        <v>0.49433383570140871</v>
      </c>
      <c r="UF25" s="140">
        <v>0.49407101415505705</v>
      </c>
      <c r="UG25" s="140">
        <v>0.4955704015266803</v>
      </c>
      <c r="UH25" s="140">
        <v>0.4955704015266803</v>
      </c>
      <c r="UI25" s="140">
        <v>0.49646065325644823</v>
      </c>
      <c r="UJ25" s="140">
        <v>0.49655842589023513</v>
      </c>
      <c r="UK25" s="140">
        <v>0.49993695957372258</v>
      </c>
      <c r="UL25" s="140">
        <v>0.4964654000075322</v>
      </c>
      <c r="UM25" s="140">
        <v>0.47742536168018007</v>
      </c>
      <c r="UN25" s="140">
        <v>0.4838159303246175</v>
      </c>
      <c r="UO25" s="140">
        <v>0.48234665467477106</v>
      </c>
      <c r="UP25" s="140">
        <v>0.47434568199963623</v>
      </c>
      <c r="UQ25" s="140">
        <v>0.46116123202892956</v>
      </c>
      <c r="UR25" s="140">
        <v>0.46521554850683255</v>
      </c>
      <c r="US25" s="140">
        <v>0.4771920517081748</v>
      </c>
      <c r="UT25" s="140">
        <v>0.49496203479466611</v>
      </c>
      <c r="UU25" s="140">
        <v>0.50940600448626316</v>
      </c>
      <c r="UV25" s="140">
        <v>0.50461297995620802</v>
      </c>
      <c r="UW25" s="140">
        <v>0.51260888262328008</v>
      </c>
      <c r="UX25" s="140">
        <v>0.51403431863200721</v>
      </c>
      <c r="UY25" s="140">
        <v>0.51829304254157316</v>
      </c>
      <c r="UZ25" s="140">
        <v>0.51833743848049862</v>
      </c>
      <c r="VA25" s="140">
        <v>0.51750732908930264</v>
      </c>
      <c r="VB25" s="140">
        <v>0.5197133242781854</v>
      </c>
      <c r="VC25" s="140">
        <v>0.52273493433924845</v>
      </c>
      <c r="VD25" s="140">
        <v>0.52090856309796718</v>
      </c>
      <c r="VE25" s="140">
        <v>0.5183193334242342</v>
      </c>
      <c r="VF25" s="140">
        <v>0.51634664665530627</v>
      </c>
      <c r="VG25" s="140">
        <v>0.5143564083621911</v>
      </c>
      <c r="VH25" s="140">
        <v>0.51507380640619715</v>
      </c>
      <c r="VI25" s="140">
        <v>0.51141055733079088</v>
      </c>
      <c r="VJ25" s="140">
        <f>$D$51*VJ9/VJ7</f>
        <v>0</v>
      </c>
      <c r="VK25" s="140">
        <v>0.51299591425169633</v>
      </c>
      <c r="VL25" s="140">
        <v>0.51304476313172809</v>
      </c>
      <c r="VM25" s="140">
        <v>0.51223950134566165</v>
      </c>
      <c r="VN25" s="140">
        <v>0.51427272287648451</v>
      </c>
      <c r="VO25" s="140">
        <v>0.51329554682151723</v>
      </c>
      <c r="VP25" s="140">
        <v>0.51398513474106078</v>
      </c>
      <c r="VQ25" s="140">
        <v>0.50940985563837404</v>
      </c>
      <c r="VR25" s="140">
        <v>0.50732607135766417</v>
      </c>
      <c r="VS25" s="140">
        <v>0.50519134902764407</v>
      </c>
      <c r="VT25" s="140">
        <v>0.50692270904044801</v>
      </c>
      <c r="VU25" s="140">
        <v>0.50603124743206296</v>
      </c>
      <c r="VV25" s="140">
        <v>0.50493093560289015</v>
      </c>
      <c r="VW25" s="140">
        <v>0.50575818754298574</v>
      </c>
      <c r="VX25" s="140">
        <v>0.50189651095587473</v>
      </c>
      <c r="VY25" s="140">
        <v>0.49076907267367958</v>
      </c>
      <c r="VZ25" s="140">
        <v>0.50111218068635965</v>
      </c>
      <c r="WA25" s="140">
        <v>0.5004184272035852</v>
      </c>
      <c r="WB25" s="140">
        <v>0.5015389473798384</v>
      </c>
      <c r="WC25" s="140">
        <v>0.49193228391608651</v>
      </c>
      <c r="WD25" s="140">
        <v>0.50533695421756641</v>
      </c>
      <c r="WE25" s="140">
        <v>0.5109675399260335</v>
      </c>
      <c r="WF25" s="140">
        <v>0.50997725885593459</v>
      </c>
      <c r="WG25" s="140">
        <v>0.50956714881967624</v>
      </c>
      <c r="WH25" s="140">
        <v>0.49266890069895958</v>
      </c>
      <c r="WI25" s="140">
        <v>0.5010292926842671</v>
      </c>
      <c r="WJ25" s="140">
        <v>0.50194601626161917</v>
      </c>
      <c r="WK25" s="140">
        <v>0.50706811722939515</v>
      </c>
      <c r="WL25" s="140">
        <v>0.50759281145588919</v>
      </c>
      <c r="WM25" s="140">
        <v>0.51287057236095512</v>
      </c>
      <c r="WN25" s="140">
        <v>0.51294386478512899</v>
      </c>
      <c r="WO25" s="140">
        <v>0.50936995701471033</v>
      </c>
      <c r="WP25" s="140">
        <v>0.5005677275165018</v>
      </c>
      <c r="WQ25" s="140">
        <v>0.50352641002155607</v>
      </c>
      <c r="WR25" s="140">
        <f>$D$51*WR9/WR7</f>
        <v>0</v>
      </c>
      <c r="WS25" s="140">
        <v>0.50765715787109278</v>
      </c>
      <c r="WT25" s="140">
        <v>0.50556090251594776</v>
      </c>
      <c r="WU25" s="140">
        <v>0.50977322821095272</v>
      </c>
      <c r="WV25" s="140">
        <v>0.50998025777313805</v>
      </c>
      <c r="WW25" s="140">
        <v>0.50960022878018685</v>
      </c>
      <c r="WX25" s="140">
        <v>0.50817813739758388</v>
      </c>
      <c r="WY25" s="140">
        <v>0.50864818513239374</v>
      </c>
      <c r="WZ25" s="140">
        <v>0.50961958254374484</v>
      </c>
      <c r="XA25" s="140">
        <v>0.50988744067693059</v>
      </c>
      <c r="XB25" s="140">
        <v>0.51052436922888544</v>
      </c>
      <c r="XC25" s="140">
        <v>0.52472923489471701</v>
      </c>
      <c r="XD25" s="140">
        <v>0.52324735294680613</v>
      </c>
      <c r="XE25" s="140">
        <v>0.52439510959616742</v>
      </c>
      <c r="XF25" s="140">
        <v>0.51977056047731574</v>
      </c>
      <c r="XG25" s="140">
        <v>0.52159591603102395</v>
      </c>
      <c r="XH25" s="140">
        <v>0.51994647527209903</v>
      </c>
      <c r="XI25" s="140">
        <v>0.52109661851238209</v>
      </c>
      <c r="XJ25" s="140">
        <v>0.52059573688218075</v>
      </c>
      <c r="XK25" s="140">
        <v>0.51796892473052147</v>
      </c>
      <c r="XL25" s="140">
        <v>0.52320164358179067</v>
      </c>
      <c r="XM25" s="140">
        <v>0.51424730220993375</v>
      </c>
      <c r="XN25" s="140">
        <v>0.51778927266796826</v>
      </c>
      <c r="XO25" s="140">
        <v>0.5206026920060377</v>
      </c>
      <c r="XP25" s="140">
        <v>0.51833009741474545</v>
      </c>
      <c r="XQ25" s="140">
        <v>0.52310489637546653</v>
      </c>
      <c r="XR25" s="140">
        <v>0.52270775260180624</v>
      </c>
      <c r="XS25" s="140">
        <v>0.52180441889349571</v>
      </c>
      <c r="XT25" s="140">
        <f>$D$51*XT9/XT7</f>
        <v>0</v>
      </c>
      <c r="XU25" s="140">
        <v>0.52088199819617065</v>
      </c>
      <c r="XV25" s="140">
        <v>0.52429475203781539</v>
      </c>
      <c r="XW25" s="140">
        <v>0.52635902774552767</v>
      </c>
      <c r="XX25" s="140">
        <v>0.52545189196796493</v>
      </c>
      <c r="XY25" s="140">
        <v>0.52513492323117184</v>
      </c>
      <c r="XZ25" s="140">
        <v>0.52635450972218933</v>
      </c>
      <c r="YA25" s="140">
        <v>0.52535183829123633</v>
      </c>
      <c r="YB25" s="140">
        <v>0.52826040433839472</v>
      </c>
      <c r="YC25" s="140">
        <v>0.52804431016123277</v>
      </c>
      <c r="YD25" s="140">
        <v>0.52853211088291563</v>
      </c>
      <c r="YE25" s="140">
        <v>0.52559146823710801</v>
      </c>
      <c r="YF25" s="140">
        <v>0.52585383890665016</v>
      </c>
      <c r="YG25" s="140">
        <v>0.5292304954250876</v>
      </c>
      <c r="YH25" s="140">
        <v>0.52847203423506039</v>
      </c>
      <c r="YI25" s="140">
        <v>0.5011190932059244</v>
      </c>
      <c r="YJ25" s="140">
        <v>0.50272655399122623</v>
      </c>
      <c r="YK25" s="140">
        <v>0.5024685829085227</v>
      </c>
      <c r="YL25" s="140">
        <v>0.50277104922919624</v>
      </c>
      <c r="YM25" s="140">
        <f>$D$51*YM9/YM7</f>
        <v>0</v>
      </c>
      <c r="YN25" s="140">
        <v>0.50516495491739799</v>
      </c>
      <c r="YO25" s="140">
        <v>0.50497587650808362</v>
      </c>
      <c r="YP25" s="140">
        <v>0.50507728507801064</v>
      </c>
      <c r="YQ25" s="140">
        <v>0.50518785432771196</v>
      </c>
      <c r="YR25" s="140">
        <v>0.50313374428589885</v>
      </c>
      <c r="YS25" s="140">
        <v>0.5026276062906615</v>
      </c>
      <c r="YT25" s="140">
        <v>0.50293186598759476</v>
      </c>
      <c r="YU25" s="140">
        <v>0.50337213224184085</v>
      </c>
      <c r="YV25" s="140">
        <v>0.50390185401300247</v>
      </c>
      <c r="YW25" s="140">
        <v>0.50387815590385487</v>
      </c>
      <c r="YX25" s="140">
        <v>0.50472516142865376</v>
      </c>
      <c r="YY25" s="140">
        <v>0.50814254474094722</v>
      </c>
      <c r="YZ25" s="140">
        <v>0.50332913338275376</v>
      </c>
      <c r="ZA25" s="140">
        <v>0.50018794282525469</v>
      </c>
      <c r="ZB25" s="140">
        <v>0.5023467841488588</v>
      </c>
      <c r="ZC25" s="140">
        <v>0.50203732386646205</v>
      </c>
      <c r="ZD25" s="140">
        <f>$D$51*ZD9/ZD7</f>
        <v>0</v>
      </c>
    </row>
    <row r="26" spans="1:680">
      <c r="A26" s="121"/>
      <c r="B26" s="126"/>
      <c r="C26" s="418" t="s">
        <v>7</v>
      </c>
      <c r="D26" s="6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 t="str">
        <f t="shared" ref="HT26:IA26" si="16">$C$50</f>
        <v>Deposit Rate</v>
      </c>
      <c r="HU26" s="133" t="str">
        <f t="shared" si="16"/>
        <v>Deposit Rate</v>
      </c>
      <c r="HV26" s="133" t="str">
        <f t="shared" si="16"/>
        <v>Deposit Rate</v>
      </c>
      <c r="HW26" s="133" t="str">
        <f t="shared" si="16"/>
        <v>Deposit Rate</v>
      </c>
      <c r="HX26" s="133" t="str">
        <f t="shared" si="16"/>
        <v>Deposit Rate</v>
      </c>
      <c r="HY26" s="133" t="str">
        <f t="shared" si="16"/>
        <v>Deposit Rate</v>
      </c>
      <c r="HZ26" s="133" t="str">
        <f t="shared" si="16"/>
        <v>Deposit Rate</v>
      </c>
      <c r="IA26" s="133" t="str">
        <f t="shared" si="16"/>
        <v>Deposit Rate</v>
      </c>
      <c r="IB26" s="133">
        <v>2E-3</v>
      </c>
      <c r="IC26" s="133">
        <v>2E-3</v>
      </c>
      <c r="ID26" s="133" t="str">
        <f>$C$50</f>
        <v>Deposit Rate</v>
      </c>
      <c r="IE26" s="133">
        <v>2E-3</v>
      </c>
      <c r="IF26" s="133">
        <v>2E-3</v>
      </c>
      <c r="IG26" s="133">
        <v>2E-3</v>
      </c>
      <c r="IH26" s="133">
        <v>2E-3</v>
      </c>
      <c r="II26" s="133">
        <v>2E-3</v>
      </c>
      <c r="IJ26" s="133">
        <v>2E-3</v>
      </c>
      <c r="IK26" s="133">
        <v>2E-3</v>
      </c>
      <c r="IL26" s="133">
        <v>2E-3</v>
      </c>
      <c r="IM26" s="133">
        <v>2E-3</v>
      </c>
      <c r="IN26" s="133">
        <v>2E-3</v>
      </c>
      <c r="IO26" s="133">
        <v>2E-3</v>
      </c>
      <c r="IP26" s="133">
        <v>2E-3</v>
      </c>
      <c r="IQ26" s="133">
        <v>2E-3</v>
      </c>
      <c r="IR26" s="133">
        <v>3.0000000000000001E-3</v>
      </c>
      <c r="IS26" s="133">
        <v>3.0000000000000001E-3</v>
      </c>
      <c r="IT26" s="133">
        <v>3.0000000000000001E-3</v>
      </c>
      <c r="IU26" s="133">
        <v>3.0000000000000001E-3</v>
      </c>
      <c r="IV26" s="133">
        <v>3.0000000000000001E-3</v>
      </c>
      <c r="IW26" s="133">
        <v>3.0000000000000001E-3</v>
      </c>
      <c r="IX26" s="133">
        <v>3.0000000000000001E-3</v>
      </c>
      <c r="IY26" s="133">
        <v>3.0000000000000001E-3</v>
      </c>
      <c r="IZ26" s="133">
        <v>3.0000000000000001E-3</v>
      </c>
      <c r="JA26" s="133">
        <v>3.0000000000000001E-3</v>
      </c>
      <c r="JB26" s="133">
        <v>3.0000000000000001E-3</v>
      </c>
      <c r="JC26" s="133">
        <v>3.0000000000000001E-3</v>
      </c>
      <c r="JD26" s="133">
        <v>3.0000000000000001E-3</v>
      </c>
      <c r="JE26" s="133">
        <v>3.0000000000000001E-3</v>
      </c>
      <c r="JF26" s="133">
        <v>3.0000000000000001E-3</v>
      </c>
      <c r="JG26" s="133">
        <v>3.0000000000000001E-3</v>
      </c>
      <c r="JH26" s="133">
        <v>3.0000000000000001E-3</v>
      </c>
      <c r="JI26" s="133">
        <v>3.0000000000000001E-3</v>
      </c>
      <c r="JJ26" s="133">
        <v>3.0000000000000001E-3</v>
      </c>
      <c r="JK26" s="133">
        <v>3.0000000000000001E-3</v>
      </c>
      <c r="JL26" s="133">
        <v>3.0000000000000001E-3</v>
      </c>
      <c r="JM26" s="133">
        <v>3.0000000000000001E-3</v>
      </c>
      <c r="JN26" s="133">
        <v>3.0000000000000001E-3</v>
      </c>
      <c r="JO26" s="133">
        <v>3.0000000000000001E-3</v>
      </c>
      <c r="JP26" s="133">
        <v>3.0000000000000001E-3</v>
      </c>
      <c r="JQ26" s="133">
        <v>3.0000000000000001E-3</v>
      </c>
      <c r="JR26" s="133">
        <v>3.0000000000000001E-3</v>
      </c>
      <c r="JS26" s="133">
        <v>3.0000000000000001E-3</v>
      </c>
      <c r="JT26" s="133">
        <v>3.0000000000000001E-3</v>
      </c>
      <c r="JU26" s="133" t="str">
        <f>$C$50</f>
        <v>Deposit Rate</v>
      </c>
      <c r="JV26" s="133">
        <v>3.0000000000000001E-3</v>
      </c>
      <c r="JW26" s="133">
        <v>3.0000000000000001E-3</v>
      </c>
      <c r="JX26" s="133">
        <v>3.0000000000000001E-3</v>
      </c>
      <c r="JY26" s="133">
        <v>3.0000000000000001E-3</v>
      </c>
      <c r="JZ26" s="133">
        <v>3.0000000000000001E-3</v>
      </c>
      <c r="KA26" s="133">
        <v>3.0000000000000001E-3</v>
      </c>
      <c r="KB26" s="133">
        <v>3.0000000000000001E-3</v>
      </c>
      <c r="KC26" s="133">
        <v>3.0000000000000001E-3</v>
      </c>
      <c r="KD26" s="133">
        <v>3.0000000000000001E-3</v>
      </c>
      <c r="KE26" s="133">
        <v>3.0000000000000001E-3</v>
      </c>
      <c r="KF26" s="133">
        <v>3.0000000000000001E-3</v>
      </c>
      <c r="KG26" s="133">
        <v>3.0000000000000001E-3</v>
      </c>
      <c r="KH26" s="133">
        <v>3.0000000000000001E-3</v>
      </c>
      <c r="KI26" s="133">
        <v>3.0000000000000001E-3</v>
      </c>
      <c r="KJ26" s="133">
        <v>3.0000000000000001E-3</v>
      </c>
      <c r="KK26" s="133">
        <v>3.0000000000000001E-3</v>
      </c>
      <c r="KL26" s="133">
        <v>3.0000000000000001E-3</v>
      </c>
      <c r="KM26" s="133">
        <v>3.0000000000000001E-3</v>
      </c>
      <c r="KN26" s="133">
        <v>3.0000000000000001E-3</v>
      </c>
      <c r="KO26" s="133">
        <v>3.0000000000000001E-3</v>
      </c>
      <c r="KP26" s="133">
        <v>3.0000000000000001E-3</v>
      </c>
      <c r="KQ26" s="133">
        <v>3.0000000000000001E-3</v>
      </c>
      <c r="KR26" s="133">
        <v>3.0000000000000001E-3</v>
      </c>
      <c r="KS26" s="133">
        <v>3.0000000000000001E-3</v>
      </c>
      <c r="KT26" s="133">
        <v>3.0000000000000001E-3</v>
      </c>
      <c r="KU26" s="133">
        <v>3.0000000000000001E-3</v>
      </c>
      <c r="KV26" s="133">
        <v>3.0000000000000001E-3</v>
      </c>
      <c r="KW26" s="133">
        <v>3.0000000000000001E-3</v>
      </c>
      <c r="KX26" s="133">
        <v>3.0000000000000001E-3</v>
      </c>
      <c r="KY26" s="133">
        <v>3.0000000000000001E-3</v>
      </c>
      <c r="KZ26" s="133">
        <v>3.0000000000000001E-3</v>
      </c>
      <c r="LA26" s="133">
        <v>3.2500000000000001E-2</v>
      </c>
      <c r="LB26" s="133">
        <v>3.2500000000000001E-2</v>
      </c>
      <c r="LC26" s="133">
        <v>3.2500000000000001E-2</v>
      </c>
      <c r="LD26" s="133">
        <v>3.2500000000000001E-2</v>
      </c>
      <c r="LE26" s="133">
        <v>3.2500000000000001E-2</v>
      </c>
      <c r="LF26" s="133">
        <v>3.2500000000000001E-2</v>
      </c>
      <c r="LG26" s="133">
        <v>3.2500000000000001E-2</v>
      </c>
      <c r="LH26" s="133">
        <v>3.2500000000000001E-2</v>
      </c>
      <c r="LI26" s="133">
        <v>3.2500000000000001E-2</v>
      </c>
      <c r="LJ26" s="133">
        <v>3.2500000000000001E-2</v>
      </c>
      <c r="LK26" s="133">
        <v>3.2500000000000001E-2</v>
      </c>
      <c r="LL26" s="133">
        <v>3.2500000000000001E-2</v>
      </c>
      <c r="LM26" s="133">
        <v>3.2500000000000001E-2</v>
      </c>
      <c r="LN26" s="133">
        <v>3.2500000000000001E-2</v>
      </c>
      <c r="LO26" s="133">
        <v>3.2500000000000001E-2</v>
      </c>
      <c r="LP26" s="133">
        <v>3.2500000000000001E-2</v>
      </c>
      <c r="LQ26" s="133">
        <v>3.2500000000000001E-2</v>
      </c>
      <c r="LR26" s="133">
        <v>3.2500000000000001E-2</v>
      </c>
      <c r="LS26" s="133">
        <v>3.2500000000000001E-2</v>
      </c>
      <c r="LT26" s="133">
        <v>3.2500000000000001E-2</v>
      </c>
      <c r="LU26" s="133">
        <v>3.2500000000000001E-2</v>
      </c>
      <c r="LV26" s="133">
        <v>3.2500000000000001E-2</v>
      </c>
      <c r="LW26" s="133">
        <v>3.2500000000000001E-2</v>
      </c>
      <c r="LX26" s="133">
        <v>3.2500000000000001E-2</v>
      </c>
      <c r="LY26" s="133">
        <v>3.2500000000000001E-2</v>
      </c>
      <c r="LZ26" s="133">
        <v>3.2500000000000001E-2</v>
      </c>
      <c r="MA26" s="133">
        <v>3.2500000000000001E-2</v>
      </c>
      <c r="MB26" s="133">
        <v>3.2500000000000001E-2</v>
      </c>
      <c r="MC26" s="133">
        <v>3.2500000000000001E-2</v>
      </c>
      <c r="MD26" s="133">
        <v>3.2500000000000001E-2</v>
      </c>
      <c r="ME26" s="133">
        <v>3.2500000000000001E-2</v>
      </c>
      <c r="MF26" s="133">
        <v>3.2500000000000001E-2</v>
      </c>
      <c r="MG26" s="133">
        <v>3.2500000000000001E-2</v>
      </c>
      <c r="MH26" s="133">
        <v>3.2500000000000001E-2</v>
      </c>
      <c r="MI26" s="133">
        <v>3.2500000000000001E-2</v>
      </c>
      <c r="MJ26" s="133">
        <v>3.2500000000000001E-2</v>
      </c>
      <c r="MK26" s="133">
        <v>3.2500000000000001E-2</v>
      </c>
      <c r="ML26" s="133">
        <v>3.2500000000000001E-2</v>
      </c>
      <c r="MM26" s="133">
        <v>3.2500000000000001E-2</v>
      </c>
      <c r="MN26" s="133">
        <v>3.2500000000000001E-2</v>
      </c>
      <c r="MO26" s="133">
        <v>3.2500000000000001E-2</v>
      </c>
      <c r="MP26" s="133">
        <v>3.2500000000000001E-2</v>
      </c>
      <c r="MQ26" s="133">
        <v>3.2500000000000001E-2</v>
      </c>
      <c r="MR26" s="133">
        <v>3.2500000000000001E-2</v>
      </c>
      <c r="MS26" s="133">
        <v>3.2500000000000001E-2</v>
      </c>
      <c r="MT26" s="133">
        <v>3.2500000000000001E-2</v>
      </c>
      <c r="MU26" s="133">
        <v>3.2500000000000001E-2</v>
      </c>
      <c r="MV26" s="133">
        <v>3.2500000000000001E-2</v>
      </c>
      <c r="MW26" s="133">
        <v>3.2500000000000001E-2</v>
      </c>
      <c r="MX26" s="133">
        <v>3.2500000000000001E-2</v>
      </c>
      <c r="MY26" s="133">
        <v>3.2500000000000001E-2</v>
      </c>
      <c r="MZ26" s="133">
        <v>3.2500000000000001E-2</v>
      </c>
      <c r="NA26" s="133">
        <v>3.2500000000000001E-2</v>
      </c>
      <c r="NB26" s="133">
        <v>3.2500000000000001E-2</v>
      </c>
      <c r="NC26" s="133">
        <v>3.2500000000000001E-2</v>
      </c>
      <c r="ND26" s="133">
        <v>3.2500000000000001E-2</v>
      </c>
      <c r="NE26" s="133">
        <v>3.2500000000000001E-2</v>
      </c>
      <c r="NF26" s="133">
        <v>3.2500000000000001E-2</v>
      </c>
      <c r="NG26" s="133">
        <v>3.2500000000000001E-2</v>
      </c>
      <c r="NH26" s="133">
        <v>3.2500000000000001E-2</v>
      </c>
      <c r="NI26" s="133">
        <v>3.2500000000000001E-2</v>
      </c>
      <c r="NJ26" s="133">
        <v>3.2500000000000001E-2</v>
      </c>
      <c r="NK26" s="133">
        <v>3.2500000000000001E-2</v>
      </c>
      <c r="NL26" s="133">
        <v>3.2500000000000001E-2</v>
      </c>
      <c r="NM26" s="133">
        <v>3.2500000000000001E-2</v>
      </c>
      <c r="NN26" s="133">
        <v>3.2500000000000001E-2</v>
      </c>
      <c r="NO26" s="133">
        <v>3.2500000000000001E-2</v>
      </c>
      <c r="NP26" s="133">
        <v>3.2500000000000001E-2</v>
      </c>
      <c r="NQ26" s="133">
        <v>3.2500000000000001E-2</v>
      </c>
      <c r="NR26" s="133">
        <v>3.2000000000000001E-2</v>
      </c>
      <c r="NS26" s="133">
        <v>3.2000000000000001E-2</v>
      </c>
      <c r="NT26" s="133">
        <v>3.2000000000000001E-2</v>
      </c>
      <c r="NU26" s="133">
        <v>3.2000000000000001E-2</v>
      </c>
      <c r="NV26" s="133">
        <v>3.2000000000000001E-2</v>
      </c>
      <c r="NW26" s="133">
        <v>3.2000000000000001E-2</v>
      </c>
      <c r="NX26" s="133">
        <v>3.2000000000000001E-2</v>
      </c>
      <c r="NY26" s="133">
        <v>3.2000000000000001E-2</v>
      </c>
      <c r="NZ26" s="133">
        <v>3.2000000000000001E-2</v>
      </c>
      <c r="OA26" s="133">
        <v>3.2000000000000001E-2</v>
      </c>
      <c r="OB26" s="133">
        <v>3.2000000000000001E-2</v>
      </c>
      <c r="OC26" s="133">
        <v>3.2000000000000001E-2</v>
      </c>
      <c r="OD26" s="133">
        <v>3.2000000000000001E-2</v>
      </c>
      <c r="OE26" s="133">
        <v>3.2000000000000001E-2</v>
      </c>
      <c r="OF26" s="133">
        <v>3.2000000000000001E-2</v>
      </c>
      <c r="OG26" s="133">
        <v>3.2000000000000001E-2</v>
      </c>
      <c r="OH26" s="133">
        <v>3.2000000000000001E-2</v>
      </c>
      <c r="OI26" s="133">
        <v>3.2000000000000001E-2</v>
      </c>
      <c r="OJ26" s="133">
        <v>3.2000000000000001E-2</v>
      </c>
      <c r="OK26" s="133">
        <v>3.2000000000000001E-2</v>
      </c>
      <c r="OL26" s="133">
        <v>3.2000000000000001E-2</v>
      </c>
      <c r="OM26" s="133">
        <v>3.2000000000000001E-2</v>
      </c>
      <c r="ON26" s="133">
        <v>3.2000000000000001E-2</v>
      </c>
      <c r="OO26" s="133">
        <v>3.2000000000000001E-2</v>
      </c>
      <c r="OP26" s="133">
        <v>3.2000000000000001E-2</v>
      </c>
      <c r="OQ26" s="133">
        <v>3.2000000000000001E-2</v>
      </c>
      <c r="OR26" s="133">
        <v>3.2000000000000001E-2</v>
      </c>
      <c r="OS26" s="133">
        <v>3.5265400200000001</v>
      </c>
      <c r="OT26" s="133">
        <v>0</v>
      </c>
      <c r="OU26" s="133">
        <v>0</v>
      </c>
      <c r="OV26" s="133">
        <v>0</v>
      </c>
      <c r="OW26" s="133">
        <v>0</v>
      </c>
      <c r="OX26" s="133">
        <v>0</v>
      </c>
      <c r="OY26" s="133">
        <v>0</v>
      </c>
      <c r="OZ26" s="133">
        <v>0</v>
      </c>
      <c r="PA26" s="133">
        <v>0</v>
      </c>
      <c r="PB26" s="133">
        <v>0</v>
      </c>
      <c r="PC26" s="133">
        <v>0</v>
      </c>
      <c r="PD26" s="133">
        <v>0</v>
      </c>
      <c r="PE26" s="133">
        <v>0</v>
      </c>
      <c r="PF26" s="133">
        <v>0</v>
      </c>
      <c r="PG26" s="133">
        <v>0</v>
      </c>
      <c r="PH26" s="133">
        <v>0</v>
      </c>
      <c r="PI26" s="133">
        <v>0</v>
      </c>
      <c r="PJ26" s="133">
        <v>0</v>
      </c>
      <c r="PK26" s="133">
        <v>0</v>
      </c>
      <c r="PL26" s="133">
        <v>0</v>
      </c>
      <c r="PM26" s="133">
        <v>0</v>
      </c>
      <c r="PN26" s="133">
        <v>0</v>
      </c>
      <c r="PO26" s="133">
        <v>0</v>
      </c>
      <c r="PP26" s="133">
        <v>0</v>
      </c>
      <c r="PQ26" s="133">
        <v>0</v>
      </c>
      <c r="PR26" s="133">
        <v>0</v>
      </c>
      <c r="PS26" s="133">
        <v>0</v>
      </c>
      <c r="PT26" s="133">
        <v>0</v>
      </c>
      <c r="PU26" s="133">
        <v>0</v>
      </c>
      <c r="PV26" s="133">
        <v>0</v>
      </c>
      <c r="PW26" s="133">
        <v>0</v>
      </c>
      <c r="PX26" s="133">
        <v>0</v>
      </c>
      <c r="PY26" s="133">
        <v>0</v>
      </c>
      <c r="PZ26" s="133">
        <v>0</v>
      </c>
      <c r="QA26" s="133">
        <v>0</v>
      </c>
      <c r="QB26" s="133">
        <v>3.5999999999999997E-2</v>
      </c>
      <c r="QC26" s="133">
        <v>3.5999999999999997E-2</v>
      </c>
      <c r="QD26" s="133">
        <v>3.5999999999999997E-2</v>
      </c>
      <c r="QE26" s="133">
        <v>3.5999999999999997E-2</v>
      </c>
      <c r="QF26" s="133">
        <v>3.5999999999999997E-2</v>
      </c>
      <c r="QG26" s="133">
        <v>3.5999999999999997E-2</v>
      </c>
      <c r="QH26" s="133">
        <v>3.5999999999999997E-2</v>
      </c>
      <c r="QI26" s="133">
        <v>3.5999999999999997E-2</v>
      </c>
      <c r="QJ26" s="133">
        <v>3.5999999999999997E-2</v>
      </c>
      <c r="QK26" s="133">
        <v>3.5999999999999997E-2</v>
      </c>
      <c r="QL26" s="133">
        <v>3.5999999999999997E-2</v>
      </c>
      <c r="QM26" s="133">
        <v>3.5999999999999997E-2</v>
      </c>
      <c r="QN26" s="133">
        <v>3.5999999999999997E-2</v>
      </c>
      <c r="QO26" s="133">
        <v>3.5999999999999997E-2</v>
      </c>
      <c r="QP26" s="133">
        <v>3.5999999999999997E-2</v>
      </c>
      <c r="QQ26" s="133">
        <v>3.5999999999999997E-2</v>
      </c>
      <c r="QR26" s="133">
        <v>3.5999999999999997E-2</v>
      </c>
      <c r="QS26" s="133">
        <v>3.5999999999999997E-2</v>
      </c>
      <c r="QT26" s="133">
        <v>3.5999999999999997E-2</v>
      </c>
      <c r="QU26" s="133">
        <v>3.5999999999999997E-2</v>
      </c>
      <c r="QV26" s="133">
        <v>3.5999999999999997E-2</v>
      </c>
      <c r="QW26" s="133">
        <v>3.5999999999999997E-2</v>
      </c>
      <c r="QX26" s="133">
        <v>3.5999999999999997E-2</v>
      </c>
      <c r="QY26" s="133">
        <v>3.5999999999999997E-2</v>
      </c>
      <c r="QZ26" s="133">
        <v>3.5999999999999997E-2</v>
      </c>
      <c r="RA26" s="133">
        <v>3.5999999999999997E-2</v>
      </c>
      <c r="RB26" s="133">
        <v>3.5999999999999997E-2</v>
      </c>
      <c r="RC26" s="133">
        <v>3.5999999999999997E-2</v>
      </c>
      <c r="RD26" s="133">
        <v>3.5999999999999997E-2</v>
      </c>
      <c r="RE26" s="133">
        <v>3.5999999999999997E-2</v>
      </c>
      <c r="RF26" s="133">
        <v>3.5999999999999997E-2</v>
      </c>
      <c r="RG26" s="133">
        <f>$C$51</f>
        <v>0</v>
      </c>
      <c r="RH26" s="133">
        <v>3.5999999999999997E-2</v>
      </c>
      <c r="RI26" s="133">
        <v>3.5999999999999997E-2</v>
      </c>
      <c r="RJ26" s="133">
        <v>3.5999999999999997E-2</v>
      </c>
      <c r="RK26" s="133">
        <v>3.5999999999999997E-2</v>
      </c>
      <c r="RL26" s="133">
        <v>3.5999999999999997E-2</v>
      </c>
      <c r="RM26" s="133">
        <v>3.5999999999999997E-2</v>
      </c>
      <c r="RN26" s="133">
        <v>4.5999999999999999E-2</v>
      </c>
      <c r="RO26" s="133">
        <v>4.5999999999999999E-2</v>
      </c>
      <c r="RP26" s="133">
        <v>4.5999999999999999E-2</v>
      </c>
      <c r="RQ26" s="133">
        <v>4.5999999999999999E-2</v>
      </c>
      <c r="RR26" s="133">
        <v>4.5999999999999999E-2</v>
      </c>
      <c r="RS26" s="133">
        <v>4.5999999999999999E-2</v>
      </c>
      <c r="RT26" s="133">
        <v>4.5999999999999999E-2</v>
      </c>
      <c r="RU26" s="133">
        <v>4.5999999999999999E-2</v>
      </c>
      <c r="RV26" s="133">
        <v>4.5999999999999999E-2</v>
      </c>
      <c r="RW26" s="133">
        <v>4.5999999999999999E-2</v>
      </c>
      <c r="RX26" s="133">
        <v>4.5999999999999999E-2</v>
      </c>
      <c r="RY26" s="133">
        <v>4.5999999999999999E-2</v>
      </c>
      <c r="RZ26" s="133">
        <v>4.5999999999999999E-2</v>
      </c>
      <c r="SA26" s="133">
        <v>4.5999999999999999E-2</v>
      </c>
      <c r="SB26" s="133">
        <v>4.5999999999999999E-2</v>
      </c>
      <c r="SC26" s="133">
        <v>4.5999999999999999E-2</v>
      </c>
      <c r="SD26" s="133">
        <v>4.5999999999999999E-2</v>
      </c>
      <c r="SE26" s="133">
        <v>4.5999999999999999E-2</v>
      </c>
      <c r="SF26" s="133">
        <f>$C$51</f>
        <v>0</v>
      </c>
      <c r="SG26" s="133">
        <v>4.5999999999999999E-2</v>
      </c>
      <c r="SH26" s="133">
        <v>4.5999999999999999E-2</v>
      </c>
      <c r="SI26" s="133">
        <v>4.5999999999999999E-2</v>
      </c>
      <c r="SJ26" s="133">
        <v>4.5999999999999999E-2</v>
      </c>
      <c r="SK26" s="133">
        <v>4.5999999999999999E-2</v>
      </c>
      <c r="SL26" s="133">
        <v>4.5999999999999999E-2</v>
      </c>
      <c r="SM26" s="133">
        <v>4.5999999999999999E-2</v>
      </c>
      <c r="SN26" s="133">
        <v>4.5999999999999999E-2</v>
      </c>
      <c r="SO26" s="133">
        <v>4.5999999999999999E-2</v>
      </c>
      <c r="SP26" s="133">
        <v>4.5999999999999999E-2</v>
      </c>
      <c r="SQ26" s="133">
        <v>4.5999999999999999E-2</v>
      </c>
      <c r="SR26" s="133">
        <v>4.5999999999999999E-2</v>
      </c>
      <c r="SS26" s="133">
        <v>4.5999999999999999E-2</v>
      </c>
      <c r="ST26" s="133">
        <v>4.5999999999999999E-2</v>
      </c>
      <c r="SU26" s="133">
        <v>4.5999999999999999E-2</v>
      </c>
      <c r="SV26" s="133">
        <v>4.5999999999999999E-2</v>
      </c>
      <c r="SW26" s="133">
        <v>4.5999999999999999E-2</v>
      </c>
      <c r="SX26" s="133">
        <v>4.5999999999999999E-2</v>
      </c>
      <c r="SY26" s="133">
        <v>4.5999999999999999E-2</v>
      </c>
      <c r="SZ26" s="133">
        <v>4.5999999999999999E-2</v>
      </c>
      <c r="TA26" s="133">
        <v>4.5999999999999999E-2</v>
      </c>
      <c r="TB26" s="133">
        <v>4.5999999999999999E-2</v>
      </c>
      <c r="TC26" s="133">
        <v>4.5999999999999999E-2</v>
      </c>
      <c r="TD26" s="133">
        <v>4.5999999999999999E-2</v>
      </c>
      <c r="TE26" s="133">
        <f>$C$51</f>
        <v>0</v>
      </c>
      <c r="TF26" s="133">
        <v>4.5999999999999999E-2</v>
      </c>
      <c r="TG26" s="133">
        <v>4.5999999999999999E-2</v>
      </c>
      <c r="TH26" s="133">
        <v>4.5999999999999999E-2</v>
      </c>
      <c r="TI26" s="133">
        <v>4.5999999999999999E-2</v>
      </c>
      <c r="TJ26" s="133">
        <v>4.5999999999999999E-2</v>
      </c>
      <c r="TK26" s="133">
        <v>4.5999999999999999E-2</v>
      </c>
      <c r="TL26" s="133">
        <v>4.5999999999999999E-2</v>
      </c>
      <c r="TM26" s="133">
        <v>4.5999999999999999E-2</v>
      </c>
      <c r="TN26" s="133">
        <v>4.5999999999999999E-2</v>
      </c>
      <c r="TO26" s="133">
        <v>4.5999999999999999E-2</v>
      </c>
      <c r="TP26" s="133">
        <v>4.5999999999999999E-2</v>
      </c>
      <c r="TQ26" s="133">
        <v>4.5999999999999999E-2</v>
      </c>
      <c r="TR26" s="133">
        <v>4.5999999999999999E-2</v>
      </c>
      <c r="TS26" s="133">
        <v>4.5999999999999999E-2</v>
      </c>
      <c r="TT26" s="133">
        <v>4.5999999999999999E-2</v>
      </c>
      <c r="TU26" s="133">
        <v>4.5999999999999999E-2</v>
      </c>
      <c r="TV26" s="133"/>
      <c r="TW26" s="133">
        <v>5.0999999999999997E-2</v>
      </c>
      <c r="TX26" s="133">
        <v>5.0999999999999997E-2</v>
      </c>
      <c r="TY26" s="133">
        <v>5.0999999999999997E-2</v>
      </c>
      <c r="TZ26" s="133">
        <v>5.0999999999999997E-2</v>
      </c>
      <c r="UA26" s="133">
        <v>5.0999999999999997E-2</v>
      </c>
      <c r="UB26" s="133">
        <v>5.0999999999999997E-2</v>
      </c>
      <c r="UC26" s="133">
        <v>5.0999999999999997E-2</v>
      </c>
      <c r="UD26" s="133">
        <v>5.0999999999999997E-2</v>
      </c>
      <c r="UE26" s="133">
        <v>5.0999999999999997E-2</v>
      </c>
      <c r="UF26" s="133">
        <v>5.0999999999999997E-2</v>
      </c>
      <c r="UG26" s="133">
        <v>5.0999999999999997E-2</v>
      </c>
      <c r="UH26" s="133">
        <v>5.0999999999999997E-2</v>
      </c>
      <c r="UI26" s="133">
        <v>5.0999999999999997E-2</v>
      </c>
      <c r="UJ26" s="133">
        <v>5.0999999999999997E-2</v>
      </c>
      <c r="UK26" s="133">
        <v>5.0999999999999997E-2</v>
      </c>
      <c r="UL26" s="133">
        <v>5.0999999999999997E-2</v>
      </c>
      <c r="UM26" s="133">
        <v>5.0999999999999997E-2</v>
      </c>
      <c r="UN26" s="133">
        <v>5.0999999999999997E-2</v>
      </c>
      <c r="UO26" s="133">
        <v>5.0999999999999997E-2</v>
      </c>
      <c r="UP26" s="133">
        <v>5.0999999999999997E-2</v>
      </c>
      <c r="UQ26" s="133">
        <v>5.0999999999999997E-2</v>
      </c>
      <c r="UR26" s="133">
        <v>5.0999999999999997E-2</v>
      </c>
      <c r="US26" s="133">
        <v>5.0999999999999997E-2</v>
      </c>
      <c r="UT26" s="133">
        <v>5.0999999999999997E-2</v>
      </c>
      <c r="UU26" s="133">
        <v>5.0999999999999997E-2</v>
      </c>
      <c r="UV26" s="133">
        <v>5.0999999999999997E-2</v>
      </c>
      <c r="UW26" s="133">
        <v>7.0000000000000007E-2</v>
      </c>
      <c r="UX26" s="133">
        <v>7.0000000000000007E-2</v>
      </c>
      <c r="UY26" s="133">
        <v>7.0000000000000007E-2</v>
      </c>
      <c r="UZ26" s="133">
        <v>7.0000000000000007E-2</v>
      </c>
      <c r="VA26" s="133">
        <v>7.0000000000000007E-2</v>
      </c>
      <c r="VB26" s="133">
        <v>7.0000000000000007E-2</v>
      </c>
      <c r="VC26" s="133">
        <v>7.0000000000000007E-2</v>
      </c>
      <c r="VD26" s="133">
        <v>7.0000000000000007E-2</v>
      </c>
      <c r="VE26" s="133">
        <v>7.0000000000000007E-2</v>
      </c>
      <c r="VF26" s="133">
        <v>7.0000000000000007E-2</v>
      </c>
      <c r="VG26" s="133">
        <v>7.0000000000000007E-2</v>
      </c>
      <c r="VH26" s="133">
        <v>7.0000000000000007E-2</v>
      </c>
      <c r="VI26" s="133">
        <v>7.0000000000000007E-2</v>
      </c>
      <c r="VJ26" s="133">
        <f>$C$51</f>
        <v>0</v>
      </c>
      <c r="VK26" s="133">
        <v>7.0000000000000007E-2</v>
      </c>
      <c r="VL26" s="133">
        <v>7.0000000000000007E-2</v>
      </c>
      <c r="VM26" s="133">
        <v>7.0000000000000007E-2</v>
      </c>
      <c r="VN26" s="133">
        <v>7.0000000000000007E-2</v>
      </c>
      <c r="VO26" s="133">
        <v>7.0000000000000007E-2</v>
      </c>
      <c r="VP26" s="133">
        <v>7.0000000000000007E-2</v>
      </c>
      <c r="VQ26" s="133">
        <v>7.0000000000000007E-2</v>
      </c>
      <c r="VR26" s="133">
        <v>7.0000000000000007E-2</v>
      </c>
      <c r="VS26" s="133">
        <v>7.0000000000000007E-2</v>
      </c>
      <c r="VT26" s="133">
        <v>7.0000000000000007E-2</v>
      </c>
      <c r="VU26" s="133">
        <v>7.0000000000000007E-2</v>
      </c>
      <c r="VV26" s="133">
        <v>7.0000000000000007E-2</v>
      </c>
      <c r="VW26" s="133">
        <v>7.0000000000000007E-2</v>
      </c>
      <c r="VX26" s="133">
        <v>7.0000000000000007E-2</v>
      </c>
      <c r="VY26" s="133">
        <v>7.0000000000000007E-2</v>
      </c>
      <c r="VZ26" s="133">
        <v>7.0000000000000007E-2</v>
      </c>
      <c r="WA26" s="133">
        <v>7.0000000000000007E-2</v>
      </c>
      <c r="WB26" s="133">
        <v>7.0000000000000007E-2</v>
      </c>
      <c r="WC26" s="133">
        <v>7.0000000000000007E-2</v>
      </c>
      <c r="WD26" s="133">
        <v>7.0000000000000007E-2</v>
      </c>
      <c r="WE26" s="133">
        <v>7.0000000000000007E-2</v>
      </c>
      <c r="WF26" s="133">
        <v>7.0000000000000007E-2</v>
      </c>
      <c r="WG26" s="133">
        <v>7.0000000000000007E-2</v>
      </c>
      <c r="WH26" s="133">
        <v>7.0000000000000007E-2</v>
      </c>
      <c r="WI26" s="133">
        <v>7.0000000000000007E-2</v>
      </c>
      <c r="WJ26" s="133">
        <v>7.0000000000000007E-2</v>
      </c>
      <c r="WK26" s="133">
        <v>7.0000000000000007E-2</v>
      </c>
      <c r="WL26" s="133">
        <v>7.0000000000000007E-2</v>
      </c>
      <c r="WM26" s="133">
        <v>7.0000000000000007E-2</v>
      </c>
      <c r="WN26" s="133">
        <v>7.0000000000000007E-2</v>
      </c>
      <c r="WO26" s="133">
        <v>7.0000000000000007E-2</v>
      </c>
      <c r="WP26" s="133">
        <v>7.0000000000000007E-2</v>
      </c>
      <c r="WQ26" s="133">
        <v>7.0000000000000007E-2</v>
      </c>
      <c r="WR26" s="133">
        <f>$C$51</f>
        <v>0</v>
      </c>
      <c r="WS26" s="133">
        <v>7.0000000000000007E-2</v>
      </c>
      <c r="WT26" s="133">
        <v>7.0000000000000007E-2</v>
      </c>
      <c r="WU26" s="133">
        <v>7.0000000000000007E-2</v>
      </c>
      <c r="WV26" s="133">
        <v>7.0000000000000007E-2</v>
      </c>
      <c r="WW26" s="133">
        <v>7.0000000000000007E-2</v>
      </c>
      <c r="WX26" s="133">
        <v>7.0000000000000007E-2</v>
      </c>
      <c r="WY26" s="133">
        <v>7.0000000000000007E-2</v>
      </c>
      <c r="WZ26" s="133">
        <v>7.0000000000000007E-2</v>
      </c>
      <c r="XA26" s="133">
        <v>7.0000000000000007E-2</v>
      </c>
      <c r="XB26" s="133">
        <v>7.4999999999999997E-2</v>
      </c>
      <c r="XC26" s="133">
        <v>7.4999999999999997E-2</v>
      </c>
      <c r="XD26" s="133">
        <v>7.4999999999999997E-2</v>
      </c>
      <c r="XE26" s="133">
        <v>7.4999999999999997E-2</v>
      </c>
      <c r="XF26" s="133">
        <v>7.4999999999999997E-2</v>
      </c>
      <c r="XG26" s="133">
        <v>7.4999999999999997E-2</v>
      </c>
      <c r="XH26" s="133">
        <v>7.4999999999999997E-2</v>
      </c>
      <c r="XI26" s="133">
        <v>7.4999999999999997E-2</v>
      </c>
      <c r="XJ26" s="133">
        <v>7.4999999999999997E-2</v>
      </c>
      <c r="XK26" s="133">
        <v>7.4999999999999997E-2</v>
      </c>
      <c r="XL26" s="133">
        <v>7.4999999999999997E-2</v>
      </c>
      <c r="XM26" s="133">
        <v>7.4999999999999997E-2</v>
      </c>
      <c r="XN26" s="133">
        <v>7.4999999999999997E-2</v>
      </c>
      <c r="XO26" s="133">
        <v>7.4999999999999997E-2</v>
      </c>
      <c r="XP26" s="133">
        <v>7.4999999999999997E-2</v>
      </c>
      <c r="XQ26" s="133">
        <v>7.4999999999999997E-2</v>
      </c>
      <c r="XR26" s="133">
        <v>7.4999999999999997E-2</v>
      </c>
      <c r="XS26" s="133">
        <v>7.4999999999999997E-2</v>
      </c>
      <c r="XT26" s="133">
        <f>$C$51</f>
        <v>0</v>
      </c>
      <c r="XU26" s="133">
        <v>7.4999999999999997E-2</v>
      </c>
      <c r="XV26" s="133">
        <v>7.4999999999999997E-2</v>
      </c>
      <c r="XW26" s="133">
        <v>7.4999999999999997E-2</v>
      </c>
      <c r="XX26" s="133">
        <v>7.4999999999999997E-2</v>
      </c>
      <c r="XY26" s="133">
        <v>7.4999999999999997E-2</v>
      </c>
      <c r="XZ26" s="133">
        <v>7.4999999999999997E-2</v>
      </c>
      <c r="YA26" s="133">
        <v>7.4999999999999997E-2</v>
      </c>
      <c r="YB26" s="133">
        <v>7.4999999999999997E-2</v>
      </c>
      <c r="YC26" s="133">
        <v>7.4999999999999997E-2</v>
      </c>
      <c r="YD26" s="133">
        <v>7.4999999999999997E-2</v>
      </c>
      <c r="YE26" s="133">
        <v>7.4999999999999997E-2</v>
      </c>
      <c r="YF26" s="133">
        <v>7.4999999999999997E-2</v>
      </c>
      <c r="YG26" s="133">
        <v>7.4999999999999997E-2</v>
      </c>
      <c r="YH26" s="133">
        <v>7.4999999999999997E-2</v>
      </c>
      <c r="YI26" s="133">
        <v>1E-3</v>
      </c>
      <c r="YJ26" s="133">
        <v>1E-3</v>
      </c>
      <c r="YK26" s="133">
        <v>1E-3</v>
      </c>
      <c r="YL26" s="133">
        <v>1E-3</v>
      </c>
      <c r="YM26" s="133">
        <f>$C$51</f>
        <v>0</v>
      </c>
      <c r="YN26" s="133">
        <v>1E-3</v>
      </c>
      <c r="YO26" s="133">
        <v>1E-3</v>
      </c>
      <c r="YP26" s="133">
        <v>1E-3</v>
      </c>
      <c r="YQ26" s="133">
        <v>1E-3</v>
      </c>
      <c r="YR26" s="133">
        <v>1E-3</v>
      </c>
      <c r="YS26" s="133">
        <v>1E-4</v>
      </c>
      <c r="YT26" s="133">
        <v>1E-4</v>
      </c>
      <c r="YU26" s="133">
        <v>1E-4</v>
      </c>
      <c r="YV26" s="133">
        <v>1E-4</v>
      </c>
      <c r="YW26" s="133">
        <v>1E-4</v>
      </c>
      <c r="YX26" s="133">
        <v>1E-4</v>
      </c>
      <c r="YY26" s="133">
        <v>1E-4</v>
      </c>
      <c r="YZ26" s="133">
        <v>1E-4</v>
      </c>
      <c r="ZA26" s="133">
        <v>1E-4</v>
      </c>
      <c r="ZB26" s="133">
        <v>1E-4</v>
      </c>
      <c r="ZC26" s="133">
        <v>1E-4</v>
      </c>
      <c r="ZD26" s="133">
        <f>$C$51</f>
        <v>0</v>
      </c>
    </row>
    <row r="27" spans="1:680">
      <c r="A27" s="1325" t="s">
        <v>11</v>
      </c>
      <c r="B27" s="1325"/>
      <c r="C27" s="1325"/>
      <c r="D27" s="16">
        <f t="shared" ref="D27:K27" si="17">+D11+D13+D15+D17+D19+D21</f>
        <v>42.815267372296361</v>
      </c>
      <c r="E27" s="16">
        <f t="shared" si="17"/>
        <v>32.739146243429865</v>
      </c>
      <c r="F27" s="16">
        <f t="shared" si="17"/>
        <v>37.109678211840517</v>
      </c>
      <c r="G27" s="16">
        <f t="shared" si="17"/>
        <v>36.406504073324292</v>
      </c>
      <c r="H27" s="16">
        <f t="shared" si="17"/>
        <v>35.057152182172118</v>
      </c>
      <c r="I27" s="16">
        <f t="shared" si="17"/>
        <v>35.297476906152539</v>
      </c>
      <c r="J27" s="16">
        <f t="shared" si="17"/>
        <v>43.350627648952887</v>
      </c>
      <c r="K27" s="16">
        <f t="shared" si="17"/>
        <v>43.317635809554041</v>
      </c>
      <c r="L27" s="16">
        <f t="shared" ref="L27:Q27" si="18">+L11+L13+L15+L17+L19+L21</f>
        <v>42.147750518652835</v>
      </c>
      <c r="M27" s="16">
        <f t="shared" si="18"/>
        <v>41.295215195680441</v>
      </c>
      <c r="N27" s="16">
        <f t="shared" si="18"/>
        <v>41.800492488472251</v>
      </c>
      <c r="O27" s="16">
        <f t="shared" si="18"/>
        <v>44.723338710866656</v>
      </c>
      <c r="P27" s="16">
        <f t="shared" si="18"/>
        <v>45.138861573026844</v>
      </c>
      <c r="Q27" s="16">
        <f t="shared" si="18"/>
        <v>44.931680877615442</v>
      </c>
      <c r="R27" s="16">
        <f t="shared" ref="R27:X27" si="19">+R11+R13+R15+R17+R19+R21</f>
        <v>49.109744775162824</v>
      </c>
      <c r="S27" s="16">
        <f t="shared" si="19"/>
        <v>49.713313817273892</v>
      </c>
      <c r="T27" s="16">
        <f t="shared" si="19"/>
        <v>48.277897728527442</v>
      </c>
      <c r="U27" s="16">
        <f t="shared" si="19"/>
        <v>48.419681924420757</v>
      </c>
      <c r="V27" s="16">
        <f t="shared" si="19"/>
        <v>44.953914019272744</v>
      </c>
      <c r="W27" s="16">
        <f t="shared" si="19"/>
        <v>50.525877312898309</v>
      </c>
      <c r="X27" s="16">
        <f t="shared" si="19"/>
        <v>55.390800970450215</v>
      </c>
      <c r="Y27" s="16">
        <f t="shared" ref="Y27:AD27" si="20">+Y11+Y13+Y15+Y17+Y19+Y21</f>
        <v>55.187001967374634</v>
      </c>
      <c r="Z27" s="16">
        <f t="shared" si="20"/>
        <v>52.623152846387711</v>
      </c>
      <c r="AA27" s="16">
        <f t="shared" si="20"/>
        <v>54.243149792622965</v>
      </c>
      <c r="AB27" s="16">
        <f t="shared" si="20"/>
        <v>53.279635764838908</v>
      </c>
      <c r="AC27" s="16">
        <f t="shared" si="20"/>
        <v>42.91765363013463</v>
      </c>
      <c r="AD27" s="16">
        <f t="shared" si="20"/>
        <v>40.455510539755522</v>
      </c>
      <c r="AE27" s="16">
        <f t="shared" ref="AE27:AL27" si="21">+AE11+AE13+AE15+AE17+AE19+AE21</f>
        <v>42.107407106723024</v>
      </c>
      <c r="AF27" s="16">
        <f t="shared" si="21"/>
        <v>44.785530685642833</v>
      </c>
      <c r="AG27" s="16">
        <f t="shared" si="21"/>
        <v>65.810079851267133</v>
      </c>
      <c r="AH27" s="16">
        <f t="shared" si="21"/>
        <v>89.733816166073197</v>
      </c>
      <c r="AI27" s="16">
        <f t="shared" si="21"/>
        <v>88.586944089741451</v>
      </c>
      <c r="AJ27" s="16">
        <f t="shared" si="21"/>
        <v>84.605447643304942</v>
      </c>
      <c r="AK27" s="16">
        <f t="shared" si="21"/>
        <v>83.201636838336739</v>
      </c>
      <c r="AL27" s="16">
        <f t="shared" si="21"/>
        <v>85.285405630409613</v>
      </c>
      <c r="AM27" s="16">
        <f t="shared" ref="AM27:AN27" si="22">+AM11+AM13+AM15+AM17+AM19+AM21</f>
        <v>87.387757313304277</v>
      </c>
      <c r="AN27" s="16">
        <f t="shared" si="22"/>
        <v>88.95269459707454</v>
      </c>
      <c r="AO27" s="16">
        <f t="shared" ref="AO27:AP27" si="23">+AO11+AO13+AO15+AO17+AO19+AO21</f>
        <v>87.359366207625214</v>
      </c>
      <c r="AP27" s="16">
        <f t="shared" si="23"/>
        <v>92.827089624653723</v>
      </c>
      <c r="AQ27" s="16">
        <f t="shared" ref="AQ27:AR27" si="24">+AQ11+AQ13+AQ15+AQ17+AQ19+AQ21</f>
        <v>92.630813620143499</v>
      </c>
      <c r="AR27" s="16">
        <f t="shared" si="24"/>
        <v>95.147722327107587</v>
      </c>
      <c r="AS27" s="16">
        <f t="shared" ref="AS27:AT27" si="25">+AS11+AS13+AS15+AS17+AS19+AS21</f>
        <v>95.683934230834552</v>
      </c>
      <c r="AT27" s="16">
        <f t="shared" si="25"/>
        <v>94.347241855439407</v>
      </c>
      <c r="AU27" s="16">
        <f t="shared" ref="AU27:AW27" si="26">+AU11+AU13+AU15+AU17+AU19+AU21</f>
        <v>100.64339256529311</v>
      </c>
      <c r="AV27" s="16">
        <f t="shared" si="26"/>
        <v>102.77507612528574</v>
      </c>
      <c r="AW27" s="16">
        <f t="shared" si="26"/>
        <v>107.75240603438291</v>
      </c>
      <c r="AX27" s="16">
        <f t="shared" ref="AX27:BB27" si="27">+AX11+AX13+AX15+AX17+AX19+AX21</f>
        <v>109.74859196933535</v>
      </c>
      <c r="AY27" s="16">
        <f t="shared" si="27"/>
        <v>111.37625975179172</v>
      </c>
      <c r="AZ27" s="16">
        <f t="shared" si="27"/>
        <v>114.26264487278588</v>
      </c>
      <c r="BA27" s="16">
        <f t="shared" si="27"/>
        <v>116.31174884451231</v>
      </c>
      <c r="BB27" s="16">
        <f t="shared" si="27"/>
        <v>117.74469574182486</v>
      </c>
      <c r="BC27" s="16">
        <f t="shared" ref="BC27:BD27" si="28">+BC11+BC13+BC15+BC17+BC19+BC21</f>
        <v>120.03465681414673</v>
      </c>
      <c r="BD27" s="16">
        <f t="shared" si="28"/>
        <v>122.02060195121001</v>
      </c>
      <c r="BE27" s="16">
        <f t="shared" ref="BE27:BF27" si="29">+BE11+BE13+BE15+BE17+BE19+BE21</f>
        <v>122.58406412727278</v>
      </c>
      <c r="BF27" s="16">
        <f t="shared" si="29"/>
        <v>130.98376530313016</v>
      </c>
      <c r="BG27" s="16">
        <f t="shared" ref="BG27:BH27" si="30">+BG11+BG13+BG15+BG17+BG19+BG21</f>
        <v>132.44274379306967</v>
      </c>
      <c r="BH27" s="16">
        <f t="shared" si="30"/>
        <v>133.86431883242244</v>
      </c>
      <c r="BI27" s="16">
        <f t="shared" ref="BI27:BJ27" si="31">+BI11+BI13+BI15+BI17+BI19+BI21</f>
        <v>133.49113812373656</v>
      </c>
      <c r="BJ27" s="16">
        <f t="shared" si="31"/>
        <v>124.3171202284953</v>
      </c>
      <c r="BK27" s="16">
        <f t="shared" ref="BK27:BL27" si="32">+BK11+BK13+BK15+BK17+BK19+BK21</f>
        <v>119.95813342473986</v>
      </c>
      <c r="BL27" s="16">
        <f t="shared" si="32"/>
        <v>125.49747938962342</v>
      </c>
      <c r="BM27" s="16">
        <f t="shared" ref="BM27:BN27" si="33">+BM11+BM13+BM15+BM17+BM19+BM21</f>
        <v>127.69521146863526</v>
      </c>
      <c r="BN27" s="16">
        <f t="shared" si="33"/>
        <v>126.22789695974373</v>
      </c>
      <c r="BO27" s="16">
        <f t="shared" ref="BO27:BP27" si="34">+BO11+BO13+BO15+BO17+BO19+BO21</f>
        <v>134.5523392321345</v>
      </c>
      <c r="BP27" s="16">
        <f t="shared" si="34"/>
        <v>136.19936376434754</v>
      </c>
      <c r="BQ27" s="16">
        <f t="shared" ref="BQ27:BR27" si="35">+BQ11+BQ13+BQ15+BQ17+BQ19+BQ21</f>
        <v>138.74469203561145</v>
      </c>
      <c r="BR27" s="16">
        <f t="shared" si="35"/>
        <v>137.87619538856029</v>
      </c>
      <c r="BS27" s="16">
        <f t="shared" ref="BS27:BU27" si="36">+BS11+BS13+BS15+BS17+BS19+BS21</f>
        <v>136.52681451496215</v>
      </c>
      <c r="BT27" s="16">
        <f t="shared" si="36"/>
        <v>137.08645547682045</v>
      </c>
      <c r="BU27" s="16">
        <f t="shared" si="36"/>
        <v>144.24289861781355</v>
      </c>
      <c r="BV27" s="16">
        <f t="shared" ref="BV27:BX27" si="37">+BV11+BV13+BV15+BV17+BV19+BV21</f>
        <v>146.58213354598462</v>
      </c>
      <c r="BW27" s="16">
        <f t="shared" si="37"/>
        <v>146.48284741943448</v>
      </c>
      <c r="BX27" s="16">
        <f t="shared" si="37"/>
        <v>144.8268292242411</v>
      </c>
      <c r="BY27" s="16">
        <f t="shared" ref="BY27:BZ27" si="38">+BY11+BY13+BY15+BY17+BY19+BY21</f>
        <v>153.11586676932359</v>
      </c>
      <c r="BZ27" s="16">
        <f t="shared" si="38"/>
        <v>152.86522468648238</v>
      </c>
      <c r="CA27" s="16">
        <f t="shared" ref="CA27:CB27" si="39">+CA11+CA13+CA15+CA17+CA19+CA21</f>
        <v>140.41555330685944</v>
      </c>
      <c r="CB27" s="16">
        <f t="shared" si="39"/>
        <v>142.39425803327836</v>
      </c>
      <c r="CC27" s="16">
        <f t="shared" ref="CC27:CD27" si="40">+CC11+CC13+CC15+CC17+CC19+CC21</f>
        <v>142.57166048745054</v>
      </c>
      <c r="CD27" s="16">
        <f t="shared" si="40"/>
        <v>122.36954059727583</v>
      </c>
      <c r="CE27" s="16">
        <f t="shared" ref="CE27:CH27" si="41">+CE11+CE13+CE15+CE17+CE19+CE21</f>
        <v>124.44281194941865</v>
      </c>
      <c r="CF27" s="16">
        <f t="shared" si="41"/>
        <v>128.3944971249918</v>
      </c>
      <c r="CG27" s="16">
        <f t="shared" si="41"/>
        <v>110.27714243076859</v>
      </c>
      <c r="CH27" s="16">
        <f t="shared" si="41"/>
        <v>108.43643955628932</v>
      </c>
      <c r="CI27" s="16">
        <f t="shared" ref="CI27:CJ27" si="42">+CI11+CI13+CI15+CI17+CI19+CI21</f>
        <v>110.1365759098353</v>
      </c>
      <c r="CJ27" s="16">
        <f t="shared" si="42"/>
        <v>108.46884273102371</v>
      </c>
      <c r="CK27" s="16">
        <f t="shared" ref="CK27:CL27" si="43">+CK11+CK13+CK15+CK17+CK19+CK21</f>
        <v>101.07379337595232</v>
      </c>
      <c r="CL27" s="16">
        <f t="shared" si="43"/>
        <v>94.725454588715337</v>
      </c>
      <c r="CM27" s="16">
        <f t="shared" ref="CM27:CN27" si="44">+CM11+CM13+CM15+CM17+CM19+CM21</f>
        <v>92.303587592128935</v>
      </c>
      <c r="CN27" s="16">
        <f t="shared" si="44"/>
        <v>95.468526723150191</v>
      </c>
      <c r="CO27" s="16">
        <f t="shared" ref="CO27:CP27" si="45">+CO11+CO13+CO15+CO17+CO19+CO21</f>
        <v>98.020303333746554</v>
      </c>
      <c r="CP27" s="16">
        <f t="shared" si="45"/>
        <v>94.136849775777335</v>
      </c>
      <c r="CQ27" s="16">
        <f t="shared" ref="CQ27:CR27" si="46">+CQ11+CQ13+CQ15+CQ17+CQ19+CQ21</f>
        <v>91.940676280769111</v>
      </c>
      <c r="CR27" s="16">
        <f t="shared" si="46"/>
        <v>102.53097170511076</v>
      </c>
      <c r="CS27" s="16">
        <f t="shared" ref="CS27:CT27" si="47">+CS11+CS13+CS15+CS17+CS19+CS21</f>
        <v>101.89222520711145</v>
      </c>
      <c r="CT27" s="16">
        <f t="shared" si="47"/>
        <v>107.79438019099092</v>
      </c>
      <c r="CU27" s="16">
        <f t="shared" ref="CU27:CV27" si="48">+CU11+CU13+CU15+CU17+CU19+CU21</f>
        <v>106.21309423917764</v>
      </c>
      <c r="CV27" s="16">
        <f t="shared" si="48"/>
        <v>107.66113489200785</v>
      </c>
      <c r="CW27" s="16">
        <f t="shared" ref="CW27:CX27" si="49">+CW11+CW13+CW15+CW17+CW19+CW21</f>
        <v>105.09935108042473</v>
      </c>
      <c r="CX27" s="16">
        <f t="shared" si="49"/>
        <v>110.25899087477718</v>
      </c>
      <c r="CY27" s="16">
        <f t="shared" ref="CY27:CZ27" si="50">+CY11+CY13+CY15+CY17+CY19+CY21</f>
        <v>107.62578327168339</v>
      </c>
      <c r="CZ27" s="16">
        <f t="shared" si="50"/>
        <v>106.48896723355556</v>
      </c>
      <c r="DA27" s="16">
        <f t="shared" ref="DA27:DB27" si="51">+DA11+DA13+DA15+DA17+DA19+DA21</f>
        <v>107.2884404408551</v>
      </c>
      <c r="DB27" s="16">
        <f t="shared" si="51"/>
        <v>109.52177211708377</v>
      </c>
      <c r="DC27" s="16">
        <f t="shared" ref="DC27:DD27" si="52">+DC11+DC13+DC15+DC17+DC19+DC21</f>
        <v>107.07076110177275</v>
      </c>
      <c r="DD27" s="16">
        <f t="shared" si="52"/>
        <v>108.49565815791115</v>
      </c>
      <c r="DE27" s="16">
        <f t="shared" ref="DE27:DF27" si="53">+DE11+DE13+DE15+DE17+DE19+DE21</f>
        <v>107.67933228209368</v>
      </c>
      <c r="DF27" s="16">
        <f t="shared" si="53"/>
        <v>103.02413669069347</v>
      </c>
      <c r="DG27" s="16">
        <f t="shared" ref="DG27:DH27" si="54">+DG11+DG13+DG15+DG17+DG19+DG21</f>
        <v>105.04944291677552</v>
      </c>
      <c r="DH27" s="16">
        <f t="shared" si="54"/>
        <v>103.1960278027602</v>
      </c>
      <c r="DI27" s="16">
        <f t="shared" ref="DI27:DJ27" si="55">+DI11+DI13+DI15+DI17+DI19+DI21</f>
        <v>104.79787257099906</v>
      </c>
      <c r="DJ27" s="16">
        <f t="shared" si="55"/>
        <v>102.9227722633221</v>
      </c>
      <c r="DK27" s="16">
        <f t="shared" ref="DK27:DL27" si="56">+DK11+DK13+DK15+DK17+DK19+DK21</f>
        <v>102.84297339689509</v>
      </c>
      <c r="DL27" s="16">
        <f t="shared" si="56"/>
        <v>104.3521830048746</v>
      </c>
      <c r="DM27" s="16">
        <f t="shared" ref="DM27:DN27" si="57">+DM11+DM13+DM15+DM17+DM19+DM21</f>
        <v>102.15599456114965</v>
      </c>
      <c r="DN27" s="16">
        <f t="shared" si="57"/>
        <v>102.66066222823834</v>
      </c>
      <c r="DO27" s="16">
        <f t="shared" ref="DO27:DP27" si="58">+DO11+DO13+DO15+DO17+DO19+DO21</f>
        <v>103.04578178793645</v>
      </c>
      <c r="DP27" s="16">
        <f t="shared" si="58"/>
        <v>104.52229854393936</v>
      </c>
      <c r="DQ27" s="16">
        <f t="shared" ref="DQ27:DR27" si="59">+DQ11+DQ13+DQ15+DQ17+DQ19+DQ21</f>
        <v>104.46477702934085</v>
      </c>
      <c r="DR27" s="16">
        <f t="shared" si="59"/>
        <v>104.12119355694178</v>
      </c>
      <c r="DS27" s="16">
        <f t="shared" ref="DS27:DT27" si="60">+DS11+DS13+DS15+DS17+DS19+DS21</f>
        <v>108.17740180474915</v>
      </c>
      <c r="DT27" s="16">
        <f t="shared" si="60"/>
        <v>104.9844020639357</v>
      </c>
      <c r="DU27" s="16">
        <f t="shared" ref="DU27:DV27" si="61">+DU11+DU13+DU15+DU17+DU19+DU21</f>
        <v>102.70682329442739</v>
      </c>
      <c r="DV27" s="16">
        <f t="shared" si="61"/>
        <v>102.72282676150709</v>
      </c>
      <c r="DW27" s="16">
        <f t="shared" ref="DW27:DX27" si="62">+DW11+DW13+DW15+DW17+DW19+DW21</f>
        <v>105.04741971250986</v>
      </c>
      <c r="DX27" s="16">
        <f t="shared" si="62"/>
        <v>104.5130655897142</v>
      </c>
      <c r="DY27" s="16">
        <f t="shared" ref="DY27:DZ27" si="63">+DY11+DY13+DY15+DY17+DY19+DY21</f>
        <v>106.15853417702472</v>
      </c>
      <c r="DZ27" s="16">
        <f t="shared" si="63"/>
        <v>105.70956957092257</v>
      </c>
      <c r="EA27" s="16">
        <f t="shared" ref="EA27:EB27" si="64">+EA11+EA13+EA15+EA17+EA19+EA21</f>
        <v>103.44166433877002</v>
      </c>
      <c r="EB27" s="16">
        <f t="shared" si="64"/>
        <v>105.95996569745493</v>
      </c>
      <c r="EC27" s="16">
        <f t="shared" ref="EC27:ED27" si="65">+EC11+EC13+EC15+EC17+EC19+EC21</f>
        <v>104.58932733943975</v>
      </c>
      <c r="ED27" s="16">
        <f t="shared" si="65"/>
        <v>104.09968021277784</v>
      </c>
      <c r="EE27" s="16">
        <f t="shared" ref="EE27:EF27" si="66">+EE11+EE13+EE15+EE17+EE19+EE21</f>
        <v>101.77933524849641</v>
      </c>
      <c r="EF27" s="16">
        <f t="shared" si="66"/>
        <v>99.029934393230704</v>
      </c>
      <c r="EG27" s="16">
        <f t="shared" ref="EG27:EH27" si="67">+EG11+EG13+EG15+EG17+EG19+EG21</f>
        <v>101.99247948161178</v>
      </c>
      <c r="EH27" s="16">
        <f t="shared" si="67"/>
        <v>105.75925210787166</v>
      </c>
      <c r="EI27" s="16">
        <f t="shared" ref="EI27:EJ27" si="68">+EI11+EI13+EI15+EI17+EI19+EI21</f>
        <v>105.90929429683611</v>
      </c>
      <c r="EJ27" s="16">
        <f t="shared" si="68"/>
        <v>104.90543088195021</v>
      </c>
      <c r="EK27" s="16">
        <f t="shared" ref="EK27:EL27" si="69">+EK11+EK13+EK15+EK17+EK19+EK21</f>
        <v>103.30488876440263</v>
      </c>
      <c r="EL27" s="16">
        <f t="shared" si="69"/>
        <v>105.60126738263037</v>
      </c>
      <c r="EM27" s="16">
        <f t="shared" ref="EM27:EN27" si="70">+EM11+EM13+EM15+EM17+EM19+EM21</f>
        <v>102.84041673769796</v>
      </c>
      <c r="EN27" s="16">
        <f t="shared" si="70"/>
        <v>106.88345488753055</v>
      </c>
      <c r="EO27" s="16">
        <f t="shared" ref="EO27:EP27" si="71">+EO11+EO13+EO15+EO17+EO19+EO21</f>
        <v>106.03549124742962</v>
      </c>
      <c r="EP27" s="16">
        <f t="shared" si="71"/>
        <v>109.81336151764907</v>
      </c>
      <c r="EQ27" s="16">
        <f t="shared" ref="EQ27:ER27" si="72">+EQ11+EQ13+EQ15+EQ17+EQ19+EQ21</f>
        <v>94.993061072143675</v>
      </c>
      <c r="ER27" s="16">
        <f t="shared" si="72"/>
        <v>103.27423137257848</v>
      </c>
      <c r="ES27" s="16">
        <f t="shared" ref="ES27:ET27" si="73">+ES11+ES13+ES15+ES17+ES19+ES21</f>
        <v>105.58117453548037</v>
      </c>
      <c r="ET27" s="16">
        <f t="shared" si="73"/>
        <v>113.26341901654908</v>
      </c>
      <c r="EU27" s="16">
        <f t="shared" ref="EU27:EV27" si="74">+EU11+EU13+EU15+EU17+EU19+EU21</f>
        <v>110.31773133695607</v>
      </c>
      <c r="EV27" s="16">
        <f t="shared" si="74"/>
        <v>111.75834897049721</v>
      </c>
      <c r="EW27" s="16">
        <f t="shared" ref="EW27:EX27" si="75">+EW11+EW13+EW15+EW17+EW19+EW21</f>
        <v>112.8712047079989</v>
      </c>
      <c r="EX27" s="16">
        <f t="shared" si="75"/>
        <v>112.77029687055339</v>
      </c>
      <c r="EY27" s="16">
        <f t="shared" ref="EY27:EZ27" si="76">+EY11+EY13+EY15+EY17+EY19+EY21</f>
        <v>107.86375520933713</v>
      </c>
      <c r="EZ27" s="16">
        <f t="shared" si="76"/>
        <v>105.26764853457877</v>
      </c>
      <c r="FA27" s="16">
        <f t="shared" ref="FA27:FB27" si="77">+FA11+FA13+FA15+FA17+FA19+FA21</f>
        <v>102.61718355219641</v>
      </c>
      <c r="FB27" s="16">
        <f t="shared" si="77"/>
        <v>99.445261028787627</v>
      </c>
      <c r="FC27" s="16">
        <f t="shared" ref="FC27:FD27" si="78">+FC11+FC13+FC15+FC17+FC19+FC21</f>
        <v>101.15069333690693</v>
      </c>
      <c r="FD27" s="16">
        <f t="shared" si="78"/>
        <v>99.319762796546485</v>
      </c>
      <c r="FE27" s="16">
        <f t="shared" ref="FE27:FF27" si="79">+FE11+FE13+FE15+FE17+FE19+FE21</f>
        <v>98.486917835781583</v>
      </c>
      <c r="FF27" s="16">
        <f t="shared" si="79"/>
        <v>99.674509031547558</v>
      </c>
      <c r="FG27" s="16">
        <f t="shared" ref="FG27:FH27" si="80">+FG11+FG13+FG15+FG17+FG19+FG21</f>
        <v>104.33677914559738</v>
      </c>
      <c r="FH27" s="16">
        <f t="shared" si="80"/>
        <v>105.98566142636726</v>
      </c>
      <c r="FI27" s="16">
        <f t="shared" ref="FI27:FJ27" si="81">+FI11+FI13+FI15+FI17+FI19+FI21</f>
        <v>105.83394482269847</v>
      </c>
      <c r="FJ27" s="16">
        <f t="shared" si="81"/>
        <v>103.69133064853999</v>
      </c>
      <c r="FK27" s="16">
        <f t="shared" ref="FK27:FL27" si="82">+FK11+FK13+FK15+FK17+FK19+FK21</f>
        <v>106.85252031679228</v>
      </c>
      <c r="FL27" s="16">
        <f t="shared" si="82"/>
        <v>107.17244734546071</v>
      </c>
      <c r="FM27" s="16">
        <f t="shared" ref="FM27:FN27" si="83">+FM11+FM13+FM15+FM17+FM19+FM21</f>
        <v>102.02078074852088</v>
      </c>
      <c r="FN27" s="16">
        <f t="shared" si="83"/>
        <v>102.2720294159473</v>
      </c>
      <c r="FO27" s="16">
        <f t="shared" ref="FO27:FP27" si="84">+FO11+FO13+FO15+FO17+FO19+FO21</f>
        <v>104.41307896032072</v>
      </c>
      <c r="FP27" s="16">
        <f t="shared" si="84"/>
        <v>106.8966445735781</v>
      </c>
      <c r="FQ27" s="16">
        <f t="shared" ref="FQ27:FR27" si="85">+FQ11+FQ13+FQ15+FQ17+FQ19+FQ21</f>
        <v>112.51544551199437</v>
      </c>
      <c r="FR27" s="16">
        <f t="shared" si="85"/>
        <v>114.77677006812664</v>
      </c>
      <c r="FS27" s="16">
        <f t="shared" ref="FS27:FT27" si="86">+FS11+FS13+FS15+FS17+FS19+FS21</f>
        <v>112.78005347669817</v>
      </c>
      <c r="FT27" s="16">
        <f t="shared" si="86"/>
        <v>115.54961412838949</v>
      </c>
      <c r="FU27" s="16">
        <f t="shared" ref="FU27:FV27" si="87">+FU11+FU13+FU15+FU17+FU19+FU21</f>
        <v>124.12253091404327</v>
      </c>
      <c r="FV27" s="16">
        <f t="shared" si="87"/>
        <v>126.43597717197301</v>
      </c>
      <c r="FW27" s="16">
        <f t="shared" ref="FW27:FX27" si="88">+FW11+FW13+FW15+FW17+FW19+FW21</f>
        <v>126.78462216875229</v>
      </c>
      <c r="FX27" s="16">
        <f t="shared" si="88"/>
        <v>126.84859433918403</v>
      </c>
      <c r="FY27" s="16">
        <f t="shared" ref="FY27:FZ27" si="89">+FY11+FY13+FY15+FY17+FY19+FY21</f>
        <v>130.31485889621786</v>
      </c>
      <c r="FZ27" s="16">
        <f t="shared" si="89"/>
        <v>137.75742121670237</v>
      </c>
      <c r="GA27" s="16">
        <f t="shared" ref="GA27:GB27" si="90">+GA11+GA13+GA15+GA17+GA19+GA21</f>
        <v>137.23736872985984</v>
      </c>
      <c r="GB27" s="16">
        <f t="shared" si="90"/>
        <v>136.86351424264745</v>
      </c>
      <c r="GC27" s="16">
        <f t="shared" ref="GC27:GD27" si="91">+GC11+GC13+GC15+GC17+GC19+GC21</f>
        <v>139.48880626163441</v>
      </c>
      <c r="GD27" s="16">
        <f t="shared" si="91"/>
        <v>143.73358895936366</v>
      </c>
      <c r="GE27" s="16">
        <f t="shared" ref="GE27:GF27" si="92">+GE11+GE13+GE15+GE17+GE19+GE21</f>
        <v>145.10146479224676</v>
      </c>
      <c r="GF27" s="16">
        <f t="shared" si="92"/>
        <v>148.68921366661198</v>
      </c>
      <c r="GG27" s="16">
        <f t="shared" ref="GG27:GH27" si="93">+GG11+GG13+GG15+GG17+GG19+GG21</f>
        <v>149.5647435092327</v>
      </c>
      <c r="GH27" s="16">
        <f t="shared" si="93"/>
        <v>140.57529745372346</v>
      </c>
      <c r="GI27" s="16">
        <f t="shared" ref="GI27:GJ27" si="94">+GI11+GI13+GI15+GI17+GI19+GI21</f>
        <v>141.66173680599229</v>
      </c>
      <c r="GJ27" s="16">
        <f t="shared" si="94"/>
        <v>144.12408764251907</v>
      </c>
      <c r="GK27" s="16">
        <f t="shared" ref="GK27:GL27" si="95">+GK11+GK13+GK15+GK17+GK19+GK21</f>
        <v>143.20836387877682</v>
      </c>
      <c r="GL27" s="16">
        <f t="shared" si="95"/>
        <v>144.12995397988229</v>
      </c>
      <c r="GM27" s="16">
        <f t="shared" ref="GM27:GN27" si="96">+GM11+GM13+GM15+GM17+GM19+GM21</f>
        <v>144.73648612236244</v>
      </c>
      <c r="GN27" s="16">
        <f t="shared" si="96"/>
        <v>144.00634699701862</v>
      </c>
      <c r="GO27" s="16">
        <f t="shared" ref="GO27:GP27" si="97">+GO11+GO13+GO15+GO17+GO19+GO21</f>
        <v>145.22074315116856</v>
      </c>
      <c r="GP27" s="16">
        <f t="shared" si="97"/>
        <v>143.41078687915004</v>
      </c>
      <c r="GQ27" s="16">
        <f t="shared" ref="GQ27:GR27" si="98">+GQ11+GQ13+GQ15+GQ17+GQ19+GQ21</f>
        <v>142.76403436240656</v>
      </c>
      <c r="GR27" s="16">
        <f t="shared" si="98"/>
        <v>140.12128772776018</v>
      </c>
      <c r="GS27" s="16">
        <f t="shared" ref="GS27:GT27" si="99">+GS11+GS13+GS15+GS17+GS19+GS21</f>
        <v>144.22965614758866</v>
      </c>
      <c r="GT27" s="16">
        <f t="shared" si="99"/>
        <v>143.04992548423945</v>
      </c>
      <c r="GU27" s="16">
        <f t="shared" ref="GU27:GV27" si="100">+GU11+GU13+GU15+GU17+GU19+GU21</f>
        <v>142.98641846753401</v>
      </c>
      <c r="GV27" s="16">
        <f t="shared" si="100"/>
        <v>141.67037683803122</v>
      </c>
      <c r="GW27" s="16">
        <f t="shared" ref="GW27:GX27" si="101">+GW11+GW13+GW15+GW17+GW19+GW21</f>
        <v>135.42652146422665</v>
      </c>
      <c r="GX27" s="16">
        <f t="shared" si="101"/>
        <v>138.93454939610146</v>
      </c>
      <c r="GY27" s="16">
        <f t="shared" ref="GY27:GZ27" si="102">+GY11+GY13+GY15+GY17+GY19+GY21</f>
        <v>137.24567695385983</v>
      </c>
      <c r="GZ27" s="16">
        <f t="shared" si="102"/>
        <v>139.90620950031956</v>
      </c>
      <c r="HA27" s="16">
        <f t="shared" ref="HA27:HB27" si="103">+HA11+HA13+HA15+HA17+HA19+HA21</f>
        <v>132.02318367699775</v>
      </c>
      <c r="HB27" s="16">
        <f t="shared" si="103"/>
        <v>118.5483730092613</v>
      </c>
      <c r="HC27" s="16">
        <f t="shared" ref="HC27:HD27" si="104">+HC11+HC13+HC15+HC17+HC19+HC21</f>
        <v>107.50978228528335</v>
      </c>
      <c r="HD27" s="16">
        <f t="shared" si="104"/>
        <v>108.55119386308385</v>
      </c>
      <c r="HE27" s="16">
        <f t="shared" ref="HE27" si="105">+HE11+HE13+HE15+HE17+HE19+HE21</f>
        <v>169.41557059859196</v>
      </c>
      <c r="HF27" s="16">
        <f t="shared" ref="HF27:HK27" si="106">+HF11+HF13+HF15+HF17+HF19+HF21</f>
        <v>167.14160052426959</v>
      </c>
      <c r="HG27" s="16">
        <f t="shared" si="106"/>
        <v>174.80329565828995</v>
      </c>
      <c r="HH27" s="16">
        <f t="shared" si="106"/>
        <v>172.98440122288372</v>
      </c>
      <c r="HI27" s="16">
        <f t="shared" si="106"/>
        <v>172.59083877205435</v>
      </c>
      <c r="HJ27" s="16">
        <f t="shared" si="106"/>
        <v>174.02910283498116</v>
      </c>
      <c r="HK27" s="16">
        <f t="shared" si="106"/>
        <v>174.05633487690787</v>
      </c>
      <c r="HL27" s="16">
        <f t="shared" ref="HL27:HM27" si="107">+HL11+HL13+HL15+HL17+HL19+HL21</f>
        <v>171.91846677476482</v>
      </c>
      <c r="HM27" s="16">
        <f t="shared" si="107"/>
        <v>167.90088731841635</v>
      </c>
      <c r="HN27" s="16">
        <f t="shared" ref="HN27:HO27" si="108">+HN11+HN13+HN15+HN17+HN19+HN21</f>
        <v>167.79995458314707</v>
      </c>
      <c r="HO27" s="16">
        <f t="shared" si="108"/>
        <v>172.50847492428522</v>
      </c>
      <c r="HP27" s="16">
        <f t="shared" ref="HP27" si="109">+HP11+HP13+HP15+HP17+HP19+HP21</f>
        <v>166.60674325768753</v>
      </c>
      <c r="HQ27" s="16">
        <v>169.46770612492233</v>
      </c>
      <c r="HR27" s="16">
        <v>167.22642168287058</v>
      </c>
      <c r="HS27" s="16">
        <f t="shared" ref="HS27" si="110">+HS11+HS13+HS15+HS17+HS19+HS21</f>
        <v>167.63355379174277</v>
      </c>
      <c r="HT27" s="16">
        <f t="shared" ref="HT27:HW27" si="111">+HT11+HT13+HT15+HT17+HT19+HT21+HT23+HT25</f>
        <v>786.65371762393954</v>
      </c>
      <c r="HU27" s="16">
        <f t="shared" si="111"/>
        <v>786.84473459871003</v>
      </c>
      <c r="HV27" s="16">
        <f t="shared" si="111"/>
        <v>784.64749650093052</v>
      </c>
      <c r="HW27" s="16">
        <f t="shared" si="111"/>
        <v>788.59653077388168</v>
      </c>
      <c r="HX27" s="16">
        <f t="shared" ref="HX27:IA27" si="112">+HX11+HX13+HX15+HX17+HX19+HX21+HX23+HX25</f>
        <v>784.10327281954483</v>
      </c>
      <c r="HY27" s="16">
        <f t="shared" si="112"/>
        <v>770.46150575851618</v>
      </c>
      <c r="HZ27" s="16">
        <f t="shared" si="112"/>
        <v>770.15220488277259</v>
      </c>
      <c r="IA27" s="16">
        <f t="shared" si="112"/>
        <v>757.15522704638943</v>
      </c>
      <c r="IB27" s="16">
        <f t="shared" ref="IB27:IF27" si="113">+IB11+IB13+IB15+IB17+IB19+IB21+IB23+IB25</f>
        <v>151.95114958025519</v>
      </c>
      <c r="IC27" s="16">
        <f t="shared" si="113"/>
        <v>150.94333907266207</v>
      </c>
      <c r="ID27" s="16" t="e">
        <f t="shared" si="113"/>
        <v>#REF!</v>
      </c>
      <c r="IE27" s="16">
        <f t="shared" si="113"/>
        <v>150.58539514594551</v>
      </c>
      <c r="IF27" s="16">
        <f t="shared" si="113"/>
        <v>149.19336972433291</v>
      </c>
      <c r="IG27" s="16">
        <v>152.16564455760988</v>
      </c>
      <c r="IH27" s="16">
        <v>155.38498805406951</v>
      </c>
      <c r="II27" s="16">
        <v>152.62068884251062</v>
      </c>
      <c r="IJ27" s="16">
        <f t="shared" ref="IJ27:IK27" si="114">+IJ11+IJ13+IJ15+IJ17+IJ19+IJ21+IJ23+IJ25</f>
        <v>149.06294759659414</v>
      </c>
      <c r="IK27" s="16">
        <f t="shared" si="114"/>
        <v>160.00785125550956</v>
      </c>
      <c r="IL27" s="16">
        <v>157.721772160792</v>
      </c>
      <c r="IM27" s="16">
        <v>151.39990075400425</v>
      </c>
      <c r="IN27" s="16">
        <v>154.30167852314159</v>
      </c>
      <c r="IO27" s="16">
        <v>154.6983811650758</v>
      </c>
      <c r="IP27" s="16">
        <v>145.51418845198339</v>
      </c>
      <c r="IQ27" s="16">
        <v>143.30574160739678</v>
      </c>
      <c r="IR27" s="16">
        <v>136.09462715092619</v>
      </c>
      <c r="IS27" s="16">
        <v>137.17279736231518</v>
      </c>
      <c r="IT27" s="16">
        <v>138.87485684051009</v>
      </c>
      <c r="IU27" s="16">
        <v>135.73025972750148</v>
      </c>
      <c r="IV27" s="16">
        <v>130.40596506596009</v>
      </c>
      <c r="IW27" s="16">
        <v>129.18060856272174</v>
      </c>
      <c r="IX27" s="16">
        <v>131.99874357512812</v>
      </c>
      <c r="IY27" s="16">
        <v>130.00935689385886</v>
      </c>
      <c r="IZ27" s="16">
        <v>130.47486830711537</v>
      </c>
      <c r="JA27" s="16">
        <v>130.72209152017075</v>
      </c>
      <c r="JB27" s="16">
        <v>132.22500842964732</v>
      </c>
      <c r="JC27" s="16">
        <v>134.56588139306928</v>
      </c>
      <c r="JD27" s="16">
        <v>134.03761251252399</v>
      </c>
      <c r="JE27" s="16">
        <v>133.55679634500046</v>
      </c>
      <c r="JF27" s="16">
        <v>134.84292584054907</v>
      </c>
      <c r="JG27" s="16">
        <v>135.64563386015254</v>
      </c>
      <c r="JH27" s="16">
        <v>131.4668687706488</v>
      </c>
      <c r="JI27" s="16">
        <v>132.69444389632113</v>
      </c>
      <c r="JJ27" s="16">
        <v>128.73436909004405</v>
      </c>
      <c r="JK27" s="16">
        <v>126.06932442891026</v>
      </c>
      <c r="JL27" s="16">
        <v>128.7564449699025</v>
      </c>
      <c r="JM27" s="16">
        <v>130.27813798332602</v>
      </c>
      <c r="JN27" s="16">
        <v>131.34118383241503</v>
      </c>
      <c r="JO27" s="16">
        <v>133.44600552719876</v>
      </c>
      <c r="JP27" s="16">
        <v>137.76418834638929</v>
      </c>
      <c r="JQ27" s="16">
        <v>141.70571368396375</v>
      </c>
      <c r="JR27" s="16">
        <v>142.08681573957361</v>
      </c>
      <c r="JS27" s="16">
        <v>141.84449240783303</v>
      </c>
      <c r="JT27" s="16">
        <v>136.35941868452201</v>
      </c>
      <c r="JU27" s="16" t="e">
        <f t="shared" ref="JU27" si="115">+JU11+JU13+JU15+JU17+JU19+JU21+JU23+JU25</f>
        <v>#REF!</v>
      </c>
      <c r="JV27" s="16">
        <v>134.23081817007221</v>
      </c>
      <c r="JW27" s="16">
        <v>170.43034085835845</v>
      </c>
      <c r="JX27" s="16">
        <v>168.80373219449513</v>
      </c>
      <c r="JY27" s="16">
        <v>146.58821864479208</v>
      </c>
      <c r="JZ27" s="16">
        <v>134.86760573477991</v>
      </c>
      <c r="KA27" s="16">
        <v>132.41534621482475</v>
      </c>
      <c r="KB27" s="16">
        <v>134.64728071596446</v>
      </c>
      <c r="KC27" s="16">
        <v>135.08448895934646</v>
      </c>
      <c r="KD27" s="16">
        <v>132.82732407368812</v>
      </c>
      <c r="KE27" s="16">
        <v>133.17438685231932</v>
      </c>
      <c r="KF27" s="16">
        <v>134.01518252528925</v>
      </c>
      <c r="KG27" s="16">
        <v>136.57885047927033</v>
      </c>
      <c r="KH27" s="16">
        <v>137.07593999079916</v>
      </c>
      <c r="KI27" s="16">
        <v>140.82102782117585</v>
      </c>
      <c r="KJ27" s="16">
        <v>135.00291574168847</v>
      </c>
      <c r="KK27" s="16">
        <v>134.45438808325324</v>
      </c>
      <c r="KL27" s="16">
        <v>136.90228417032162</v>
      </c>
      <c r="KM27" s="16">
        <v>136.44140841973746</v>
      </c>
      <c r="KN27" s="16">
        <v>136.86717579642774</v>
      </c>
      <c r="KO27" s="16">
        <v>131.66246542800101</v>
      </c>
      <c r="KP27" s="16">
        <v>143.46938260755894</v>
      </c>
      <c r="KQ27" s="16">
        <v>144.75504407355388</v>
      </c>
      <c r="KR27" s="16">
        <v>143.25461436485813</v>
      </c>
      <c r="KS27" s="16">
        <v>154.35222836793881</v>
      </c>
      <c r="KT27" s="16">
        <v>142.34129427840531</v>
      </c>
      <c r="KU27" s="16">
        <v>141.91716936129257</v>
      </c>
      <c r="KV27" s="16">
        <v>142.07982102723375</v>
      </c>
      <c r="KW27" s="16">
        <v>147.64033170006138</v>
      </c>
      <c r="KX27" s="16">
        <v>122.2646661987412</v>
      </c>
      <c r="KY27" s="16">
        <v>118.85716060967471</v>
      </c>
      <c r="KZ27" s="16">
        <v>119.0147061863141</v>
      </c>
      <c r="LA27" s="16">
        <v>118.8662768549207</v>
      </c>
      <c r="LB27" s="16">
        <v>105.75443235708688</v>
      </c>
      <c r="LC27" s="16">
        <v>120.24916118762306</v>
      </c>
      <c r="LD27" s="16">
        <v>118.6075176152268</v>
      </c>
      <c r="LE27" s="16">
        <v>114.74289766723479</v>
      </c>
      <c r="LF27" s="16">
        <v>115.30108659718111</v>
      </c>
      <c r="LG27" s="16">
        <v>118.84987242595092</v>
      </c>
      <c r="LH27" s="16">
        <v>119.62646810272882</v>
      </c>
      <c r="LI27" s="16">
        <v>120.3316343552948</v>
      </c>
      <c r="LJ27" s="16">
        <v>121.721588058206</v>
      </c>
      <c r="LK27" s="16">
        <v>122.53745835922325</v>
      </c>
      <c r="LL27" s="16">
        <v>122.94979827388336</v>
      </c>
      <c r="LM27" s="16">
        <v>121.533063650896</v>
      </c>
      <c r="LN27" s="16">
        <v>121.53646892029447</v>
      </c>
      <c r="LO27" s="16">
        <v>121.28031716711179</v>
      </c>
      <c r="LP27" s="16">
        <v>120.10748588559366</v>
      </c>
      <c r="LQ27" s="16">
        <f>+LQ11+LQ13+LQ15+LQ17+LQ19+LQ21+LQ23+LQ25</f>
        <v>123.70281959278265</v>
      </c>
      <c r="LR27" s="16">
        <f>+LR11+LR13+LR15+LR17+LR19+LR21+LR23+LR25</f>
        <v>121.53928299058246</v>
      </c>
      <c r="LS27" s="16">
        <f>+LS11+LS13+LS15+LS17+LS19+LS21+LS23+LS25</f>
        <v>115.27879940205631</v>
      </c>
      <c r="LT27" s="16">
        <v>99.286104447506617</v>
      </c>
      <c r="LU27" s="16">
        <v>107.93872424754095</v>
      </c>
      <c r="LV27" s="16">
        <v>107.45999763298644</v>
      </c>
      <c r="LW27" s="16">
        <v>108.1990587772367</v>
      </c>
      <c r="LX27" s="16">
        <v>106.83842952484386</v>
      </c>
      <c r="LY27" s="16">
        <v>108.4255402381542</v>
      </c>
      <c r="LZ27" s="16">
        <v>110.13738406588426</v>
      </c>
      <c r="MA27" s="16">
        <v>105.57049645630724</v>
      </c>
      <c r="MB27" s="16">
        <v>111.94993969429892</v>
      </c>
      <c r="MC27" s="16">
        <v>111.24930400124819</v>
      </c>
      <c r="MD27" s="16">
        <v>117.94649738296002</v>
      </c>
      <c r="ME27" s="16">
        <v>117.57350819455871</v>
      </c>
      <c r="MF27" s="16">
        <v>117.92393333000953</v>
      </c>
      <c r="MG27" s="16">
        <v>118.76885197911569</v>
      </c>
      <c r="MH27" s="16">
        <v>120.63488450720955</v>
      </c>
      <c r="MI27" s="16">
        <v>121.29072097952444</v>
      </c>
      <c r="MJ27" s="16">
        <v>117.77009255774989</v>
      </c>
      <c r="MK27" s="16">
        <v>115.607425706508</v>
      </c>
      <c r="ML27" s="16">
        <v>113.65417980987667</v>
      </c>
      <c r="MM27" s="16">
        <v>113.58357257538337</v>
      </c>
      <c r="MN27" s="16">
        <v>107.95289970229594</v>
      </c>
      <c r="MO27" s="16">
        <v>112.11308801849029</v>
      </c>
      <c r="MP27" s="16">
        <v>111.36081754500745</v>
      </c>
      <c r="MQ27" s="16">
        <v>107.0009338731074</v>
      </c>
      <c r="MR27" s="16">
        <v>106.04066250998166</v>
      </c>
      <c r="MS27" s="16">
        <v>107.27664448781388</v>
      </c>
      <c r="MT27" s="16">
        <v>105.05009279773527</v>
      </c>
      <c r="MU27" s="16">
        <v>107.74296686410281</v>
      </c>
      <c r="MV27" s="16">
        <v>107.18963550479054</v>
      </c>
      <c r="MW27" s="16">
        <v>106.02074195474768</v>
      </c>
      <c r="MX27" s="16">
        <v>106.52661570330649</v>
      </c>
      <c r="MY27" s="16">
        <v>107.66311107613727</v>
      </c>
      <c r="MZ27" s="16">
        <v>104.20263146084442</v>
      </c>
      <c r="NA27" s="16">
        <v>103.30055833217807</v>
      </c>
      <c r="NB27" s="16">
        <v>102.36297325884813</v>
      </c>
      <c r="NC27" s="16">
        <v>103.44677478386437</v>
      </c>
      <c r="ND27" s="16">
        <v>107.39276392156843</v>
      </c>
      <c r="NE27" s="16">
        <v>107.05018946099732</v>
      </c>
      <c r="NF27" s="16">
        <v>100.10190429942521</v>
      </c>
      <c r="NG27" s="16">
        <v>98.200816957831208</v>
      </c>
      <c r="NH27" s="17">
        <v>100.49428249699406</v>
      </c>
      <c r="NI27" s="17">
        <v>102.31936439114035</v>
      </c>
      <c r="NJ27" s="17">
        <v>100.02246904320465</v>
      </c>
      <c r="NK27" s="17">
        <v>95.963631809789447</v>
      </c>
      <c r="NL27" s="16">
        <v>93.166439188907333</v>
      </c>
      <c r="NM27" s="16">
        <v>88.834010031292863</v>
      </c>
      <c r="NN27" s="16">
        <v>88.971706840285776</v>
      </c>
      <c r="NO27" s="16">
        <v>89.622604403340034</v>
      </c>
      <c r="NP27" s="16">
        <v>91.209035047277894</v>
      </c>
      <c r="NQ27" s="16">
        <v>92.061308990812407</v>
      </c>
      <c r="NR27" s="16">
        <v>95.525843610109831</v>
      </c>
      <c r="NS27" s="16">
        <v>97.88332031118118</v>
      </c>
      <c r="NT27" s="16">
        <v>100.49846259919094</v>
      </c>
      <c r="NU27" s="16">
        <v>101.11617402687824</v>
      </c>
      <c r="NV27" s="16">
        <v>99.754100938194469</v>
      </c>
      <c r="NW27" s="16">
        <v>99.255542107730449</v>
      </c>
      <c r="NX27" s="16">
        <v>103.00926702827222</v>
      </c>
      <c r="NY27" s="16">
        <v>104.85017455703949</v>
      </c>
      <c r="NZ27" s="16">
        <v>107.62704553571358</v>
      </c>
      <c r="OA27" s="16">
        <v>109.95765243408806</v>
      </c>
      <c r="OB27" s="16">
        <v>106.1940349636636</v>
      </c>
      <c r="OC27" s="16">
        <v>107.0936361674045</v>
      </c>
      <c r="OD27" s="16">
        <v>109.5451270241537</v>
      </c>
      <c r="OE27" s="16">
        <v>111.54447825456673</v>
      </c>
      <c r="OF27" s="16">
        <v>108.73114101809736</v>
      </c>
      <c r="OG27" s="16">
        <v>112.29037326497648</v>
      </c>
      <c r="OH27" s="16">
        <v>114.268421280886</v>
      </c>
      <c r="OI27" s="16">
        <v>116.73579412946989</v>
      </c>
      <c r="OJ27" s="16">
        <v>114.61520364037463</v>
      </c>
      <c r="OK27" s="16">
        <v>109.194034033675</v>
      </c>
      <c r="OL27" s="16">
        <v>114.67910876864947</v>
      </c>
      <c r="OM27" s="16">
        <v>112.41307524380134</v>
      </c>
      <c r="ON27" s="16">
        <v>117.99562060846901</v>
      </c>
      <c r="OO27" s="16">
        <v>121.73718435677</v>
      </c>
      <c r="OP27" s="16">
        <v>120.04915456168902</v>
      </c>
      <c r="OQ27" s="16">
        <v>125.89520415783576</v>
      </c>
      <c r="OR27" s="16">
        <v>102.69604255540355</v>
      </c>
      <c r="OS27" s="16">
        <v>129.79892307175956</v>
      </c>
      <c r="OT27" s="16">
        <v>127.8537207602272</v>
      </c>
      <c r="OU27" s="16">
        <v>129.21796169391664</v>
      </c>
      <c r="OV27" s="16">
        <v>138.10240251064536</v>
      </c>
      <c r="OW27" s="16">
        <v>136.61438084028416</v>
      </c>
      <c r="OX27" s="16">
        <v>137.71109881725658</v>
      </c>
      <c r="OY27" s="16">
        <v>129.65650050429267</v>
      </c>
      <c r="OZ27" s="16">
        <v>129.64607822213176</v>
      </c>
      <c r="PA27" s="16">
        <v>125.62060552882332</v>
      </c>
      <c r="PB27" s="16">
        <v>124.66411540993433</v>
      </c>
      <c r="PC27" s="16">
        <v>126.17832743047731</v>
      </c>
      <c r="PD27" s="16">
        <v>122.57923447442757</v>
      </c>
      <c r="PE27" s="16">
        <v>120.10233190326235</v>
      </c>
      <c r="PF27" s="16">
        <v>125.04554224436529</v>
      </c>
      <c r="PG27" s="16">
        <v>127.84823124534819</v>
      </c>
      <c r="PH27" s="16">
        <v>130.40984628865976</v>
      </c>
      <c r="PI27" s="16">
        <v>130.72058162994824</v>
      </c>
      <c r="PJ27" s="16">
        <v>131.52527459563481</v>
      </c>
      <c r="PK27" s="16">
        <v>126.96767348627576</v>
      </c>
      <c r="PL27" s="16">
        <v>126.68516409369732</v>
      </c>
      <c r="PM27" s="16">
        <v>127.57088052984072</v>
      </c>
      <c r="PN27" s="16">
        <v>126.73882775640115</v>
      </c>
      <c r="PO27" s="16">
        <v>118.13463176563855</v>
      </c>
      <c r="PP27" s="16">
        <v>131.71178682285952</v>
      </c>
      <c r="PQ27" s="16">
        <v>125.74912462302429</v>
      </c>
      <c r="PR27" s="16">
        <v>132.00322790290926</v>
      </c>
      <c r="PS27" s="16">
        <v>120.72124004644505</v>
      </c>
      <c r="PT27" s="16">
        <v>123.95413458501405</v>
      </c>
      <c r="PU27" s="16">
        <v>107.52414989496717</v>
      </c>
      <c r="PV27" s="16">
        <v>105.57437677430052</v>
      </c>
      <c r="PW27" s="16">
        <v>108.916817181143</v>
      </c>
      <c r="PX27" s="16">
        <v>107.413052832684</v>
      </c>
      <c r="PY27" s="16">
        <v>108.33011846376205</v>
      </c>
      <c r="PZ27" s="16">
        <v>109.5920992530548</v>
      </c>
      <c r="QA27" s="16">
        <v>115.38416694467729</v>
      </c>
      <c r="QB27" s="16">
        <v>114.97266041290445</v>
      </c>
      <c r="QC27" s="16">
        <v>108.66969911845614</v>
      </c>
      <c r="QD27" s="16">
        <v>116.69326644931043</v>
      </c>
      <c r="QE27" s="16">
        <v>121.84626376136337</v>
      </c>
      <c r="QF27" s="16">
        <v>130.13701281200557</v>
      </c>
      <c r="QG27" s="16">
        <v>129.25404068635194</v>
      </c>
      <c r="QH27" s="16">
        <v>122.41673689731407</v>
      </c>
      <c r="QI27" s="16">
        <v>126.41143642408032</v>
      </c>
      <c r="QJ27" s="16">
        <v>126.48907363270966</v>
      </c>
      <c r="QK27" s="16">
        <v>125.67749195989681</v>
      </c>
      <c r="QL27" s="16">
        <v>126.4647970169935</v>
      </c>
      <c r="QM27" s="16">
        <v>121.63901758521044</v>
      </c>
      <c r="QN27" s="16">
        <v>120.50326249238648</v>
      </c>
      <c r="QO27" s="16">
        <v>125.75685695603472</v>
      </c>
      <c r="QP27" s="16">
        <v>126.51132835020857</v>
      </c>
      <c r="QQ27" s="16">
        <v>120.63506454574973</v>
      </c>
      <c r="QR27" s="16">
        <v>121.1270621843139</v>
      </c>
      <c r="QS27" s="16">
        <v>122.33484244346316</v>
      </c>
      <c r="QT27" s="16">
        <v>125.22909762092624</v>
      </c>
      <c r="QU27" s="16">
        <v>126.42505094996109</v>
      </c>
      <c r="QV27" s="16">
        <v>124.59453148157095</v>
      </c>
      <c r="QW27" s="16">
        <v>124.36864304590367</v>
      </c>
      <c r="QX27" s="16">
        <v>113.42552173254577</v>
      </c>
      <c r="QY27" s="16">
        <v>112.74256217363222</v>
      </c>
      <c r="QZ27" s="16">
        <v>110.01113776937562</v>
      </c>
      <c r="RA27" s="16">
        <v>108.7901762776029</v>
      </c>
      <c r="RB27" s="16">
        <v>109.24049316570948</v>
      </c>
      <c r="RC27" s="16">
        <v>109.49741396005999</v>
      </c>
      <c r="RD27" s="16">
        <v>108.45617381826763</v>
      </c>
      <c r="RE27" s="16">
        <v>112.22011308130384</v>
      </c>
      <c r="RF27" s="16">
        <v>110.14660164515212</v>
      </c>
      <c r="RG27" s="16">
        <f>+RG11+RG13+RG15+RG17+RG19+RG21+RG23+RG25</f>
        <v>98.874396534048813</v>
      </c>
      <c r="RH27" s="16">
        <v>104.10592111998035</v>
      </c>
      <c r="RI27" s="16">
        <v>103.5361767285187</v>
      </c>
      <c r="RJ27" s="16">
        <v>105.39022757650457</v>
      </c>
      <c r="RK27" s="16">
        <v>108.15701950624741</v>
      </c>
      <c r="RL27" s="16">
        <v>107.30730063830715</v>
      </c>
      <c r="RM27" s="16">
        <v>109.2767628874347</v>
      </c>
      <c r="RN27" s="16">
        <v>111.6401652734688</v>
      </c>
      <c r="RO27" s="16">
        <v>110.95800626903518</v>
      </c>
      <c r="RP27" s="16">
        <v>114.04203277380947</v>
      </c>
      <c r="RQ27" s="16">
        <v>110.74045635364956</v>
      </c>
      <c r="RR27" s="16">
        <v>115.14319356423796</v>
      </c>
      <c r="RS27" s="16">
        <v>110.63791764017174</v>
      </c>
      <c r="RT27" s="16">
        <v>111.83713288700503</v>
      </c>
      <c r="RU27" s="16">
        <v>110.14818616909268</v>
      </c>
      <c r="RV27" s="16">
        <v>111.18302832150366</v>
      </c>
      <c r="RW27" s="16">
        <v>104.52809995495844</v>
      </c>
      <c r="RX27" s="16">
        <v>103.5388036183718</v>
      </c>
      <c r="RY27" s="16">
        <v>102.21608231714274</v>
      </c>
      <c r="RZ27" s="16">
        <v>104.59627818119667</v>
      </c>
      <c r="SA27" s="16">
        <v>100.54997109911208</v>
      </c>
      <c r="SB27" s="16">
        <v>101.04694157629194</v>
      </c>
      <c r="SC27" s="16">
        <v>99.723842463381885</v>
      </c>
      <c r="SD27" s="16">
        <v>100.11756968762832</v>
      </c>
      <c r="SE27" s="16">
        <v>100.11249782394711</v>
      </c>
      <c r="SF27" s="16">
        <f>+SF11+SF13+SF15+SF17+SF19+SF21+SF23+SF25</f>
        <v>79.423238628499533</v>
      </c>
      <c r="SG27" s="16">
        <v>103.43418057351188</v>
      </c>
      <c r="SH27" s="16">
        <v>103.89522655823752</v>
      </c>
      <c r="SI27" s="16">
        <v>102.30672491036067</v>
      </c>
      <c r="SJ27" s="16">
        <v>101.84417119998068</v>
      </c>
      <c r="SK27" s="16">
        <v>100.70181518243383</v>
      </c>
      <c r="SL27" s="16">
        <v>101.53107545112914</v>
      </c>
      <c r="SM27" s="16">
        <v>98.922168877668895</v>
      </c>
      <c r="SN27" s="16">
        <v>99.710050076917483</v>
      </c>
      <c r="SO27" s="16">
        <v>100.46841171858875</v>
      </c>
      <c r="SP27" s="16">
        <v>99.842711209327959</v>
      </c>
      <c r="SQ27" s="16">
        <v>89.794904982952872</v>
      </c>
      <c r="SR27" s="16">
        <v>107.98023842883241</v>
      </c>
      <c r="SS27" s="16">
        <v>98.062492476281975</v>
      </c>
      <c r="ST27" s="16">
        <v>94.457717165171601</v>
      </c>
      <c r="SU27" s="16">
        <v>107.0086528066924</v>
      </c>
      <c r="SV27" s="16">
        <v>108.57390020851118</v>
      </c>
      <c r="SW27" s="16">
        <v>106.58939632073711</v>
      </c>
      <c r="SX27" s="16">
        <v>114.31169284779372</v>
      </c>
      <c r="SY27" s="16">
        <v>116.38863924626456</v>
      </c>
      <c r="SZ27" s="16">
        <v>119.0115760560867</v>
      </c>
      <c r="TA27" s="16">
        <v>120.06346419989806</v>
      </c>
      <c r="TB27" s="16">
        <v>122.50133884525256</v>
      </c>
      <c r="TC27" s="16">
        <v>120.5857389985009</v>
      </c>
      <c r="TD27" s="16">
        <v>122.24393270119171</v>
      </c>
      <c r="TE27" s="16">
        <f>+TE11+TE13+TE15+TE17+TE19+TE21+TE23+TE25</f>
        <v>103.21870967537662</v>
      </c>
      <c r="TF27" s="16">
        <v>130.40566617019905</v>
      </c>
      <c r="TG27" s="16">
        <v>133.79369561378789</v>
      </c>
      <c r="TH27" s="16">
        <v>134.44034117058905</v>
      </c>
      <c r="TI27" s="16">
        <v>129.46455767699479</v>
      </c>
      <c r="TJ27" s="16">
        <v>131.334483113538</v>
      </c>
      <c r="TK27" s="16">
        <v>130.88800891494171</v>
      </c>
      <c r="TL27" s="16">
        <v>138.29169250804441</v>
      </c>
      <c r="TM27" s="16">
        <v>137.48504718713224</v>
      </c>
      <c r="TN27" s="16">
        <v>137.73089922436876</v>
      </c>
      <c r="TO27" s="16">
        <v>137.115097732972</v>
      </c>
      <c r="TP27" s="16">
        <v>138.60403312700097</v>
      </c>
      <c r="TQ27" s="16">
        <v>142.61047426546997</v>
      </c>
      <c r="TR27" s="16">
        <v>139.60469242747291</v>
      </c>
      <c r="TS27" s="16">
        <v>139.95643247328903</v>
      </c>
      <c r="TT27" s="16">
        <v>138.29815256620498</v>
      </c>
      <c r="TU27" s="16">
        <v>138.88275417424555</v>
      </c>
      <c r="TV27" s="16">
        <v>139.87845308227534</v>
      </c>
      <c r="TW27" s="16">
        <v>143.10756069255086</v>
      </c>
      <c r="TX27" s="16">
        <v>141.96330059932808</v>
      </c>
      <c r="TY27" s="16">
        <v>145.20592456958306</v>
      </c>
      <c r="TZ27" s="16">
        <v>149.92275584525296</v>
      </c>
      <c r="UA27" s="16">
        <v>155.9909968348594</v>
      </c>
      <c r="UB27" s="16">
        <v>146.03457208472742</v>
      </c>
      <c r="UC27" s="16">
        <v>130.23483396338995</v>
      </c>
      <c r="UD27" s="16">
        <v>128.50628816841478</v>
      </c>
      <c r="UE27" s="16">
        <v>131.18677107262201</v>
      </c>
      <c r="UF27" s="16">
        <v>130.00089752955864</v>
      </c>
      <c r="UG27" s="16">
        <v>132.91254180118059</v>
      </c>
      <c r="UH27" s="16">
        <v>132.83826066939525</v>
      </c>
      <c r="UI27" s="16">
        <v>127.78344708737882</v>
      </c>
      <c r="UJ27" s="16">
        <v>127.59200392701331</v>
      </c>
      <c r="UK27" s="16">
        <v>137.88864154434572</v>
      </c>
      <c r="UL27" s="16">
        <v>135.1106301467685</v>
      </c>
      <c r="UM27" s="16">
        <v>135.4776765783686</v>
      </c>
      <c r="UN27" s="16">
        <v>125.31931926899892</v>
      </c>
      <c r="UO27" s="16">
        <v>104.62149056448493</v>
      </c>
      <c r="UP27" s="16">
        <v>123.4915161491376</v>
      </c>
      <c r="UQ27" s="16">
        <v>122.12501787449743</v>
      </c>
      <c r="UR27" s="16">
        <v>121.59590114933164</v>
      </c>
      <c r="US27" s="16">
        <v>120.93021214831224</v>
      </c>
      <c r="UT27" s="16">
        <v>124.34987331022866</v>
      </c>
      <c r="UU27" s="16">
        <v>120.32733593465694</v>
      </c>
      <c r="UV27" s="16">
        <v>96.173819707812825</v>
      </c>
      <c r="UW27" s="16">
        <v>124.17823548362313</v>
      </c>
      <c r="UX27" s="16">
        <v>128.84942544229085</v>
      </c>
      <c r="UY27" s="16">
        <v>126.74998855952455</v>
      </c>
      <c r="UZ27" s="16">
        <v>124.17665762037872</v>
      </c>
      <c r="VA27" s="16">
        <f>+VA11+VA13+VA15+VA17+VA19+VA21+VA23+VA25</f>
        <v>124.6807982662156</v>
      </c>
      <c r="VB27" s="16">
        <v>115.19704826583025</v>
      </c>
      <c r="VC27" s="16">
        <v>115.69982393413562</v>
      </c>
      <c r="VD27" s="16">
        <v>112.20514627484307</v>
      </c>
      <c r="VE27" s="16">
        <v>108.83355230009614</v>
      </c>
      <c r="VF27" s="16">
        <v>97.652384061435484</v>
      </c>
      <c r="VG27" s="16">
        <v>99.592654185365134</v>
      </c>
      <c r="VH27" s="16">
        <v>96.419716923198948</v>
      </c>
      <c r="VI27" s="16">
        <v>100.10540039721724</v>
      </c>
      <c r="VJ27" s="16">
        <f>+VJ11+VJ13+VJ15+VJ17+VJ19+VJ21+VJ23+VJ25</f>
        <v>89.839859818750682</v>
      </c>
      <c r="VK27" s="16">
        <v>92.101061812636928</v>
      </c>
      <c r="VL27" s="16">
        <v>92.666666035253527</v>
      </c>
      <c r="VM27" s="16">
        <v>89.581873472727622</v>
      </c>
      <c r="VN27" s="16">
        <v>85.43783765825809</v>
      </c>
      <c r="VO27" s="16">
        <v>84.282630201185896</v>
      </c>
      <c r="VP27" s="16">
        <v>84.896813876361293</v>
      </c>
      <c r="VQ27" s="16">
        <v>83.932577401288015</v>
      </c>
      <c r="VR27" s="16">
        <v>81.97265315461263</v>
      </c>
      <c r="VS27" s="16">
        <v>82.605840664341144</v>
      </c>
      <c r="VT27" s="16">
        <v>80.836393449644746</v>
      </c>
      <c r="VU27" s="16">
        <v>81.480201470261406</v>
      </c>
      <c r="VV27" s="16">
        <v>78.905723021913317</v>
      </c>
      <c r="VW27" s="16">
        <v>76.487815768934652</v>
      </c>
      <c r="VX27" s="16">
        <v>75.386448666619174</v>
      </c>
      <c r="VY27" s="16">
        <v>67.783780634763147</v>
      </c>
      <c r="VZ27" s="16">
        <v>69.214610008358221</v>
      </c>
      <c r="WA27" s="16">
        <v>70.026634811905041</v>
      </c>
      <c r="WB27" s="16">
        <v>76.807397352942175</v>
      </c>
      <c r="WC27" s="16">
        <v>87.920116669908538</v>
      </c>
      <c r="WD27" s="16">
        <v>80.579320888722705</v>
      </c>
      <c r="WE27" s="16">
        <v>83.394974470965437</v>
      </c>
      <c r="WF27" s="16">
        <v>76.805419942312085</v>
      </c>
      <c r="WG27" s="16">
        <v>71.735085430487317</v>
      </c>
      <c r="WH27" s="16">
        <v>66.829316012883822</v>
      </c>
      <c r="WI27" s="16">
        <v>67.806560889666656</v>
      </c>
      <c r="WJ27" s="16">
        <v>68.81413175734464</v>
      </c>
      <c r="WK27" s="16">
        <v>68.759533256529167</v>
      </c>
      <c r="WL27" s="16">
        <v>71.424673395264946</v>
      </c>
      <c r="WM27" s="16">
        <v>72.350777164205795</v>
      </c>
      <c r="WN27" s="16">
        <v>65.189365582960193</v>
      </c>
      <c r="WO27" s="16">
        <v>63.979618680826135</v>
      </c>
      <c r="WP27" s="16">
        <v>65.873938472755711</v>
      </c>
      <c r="WQ27" s="16">
        <v>65.496796770644664</v>
      </c>
      <c r="WR27" s="16">
        <f>+WR11+WR13+WR15+WR17+WR19+WR21+WR23+WR25</f>
        <v>79.38608428115559</v>
      </c>
      <c r="WS27" s="16">
        <v>65.036512071886591</v>
      </c>
      <c r="WT27" s="16">
        <v>64.631388840696033</v>
      </c>
      <c r="WU27" s="16">
        <v>72.80775722616778</v>
      </c>
      <c r="WV27" s="16">
        <v>70.554472233530404</v>
      </c>
      <c r="WW27" s="16">
        <v>76.480746088570868</v>
      </c>
      <c r="WX27" s="16">
        <v>73.934712601467425</v>
      </c>
      <c r="WY27" s="16">
        <v>72.449847268809279</v>
      </c>
      <c r="WZ27" s="16">
        <v>67.780219922669531</v>
      </c>
      <c r="XA27" s="16">
        <v>70.149160860554716</v>
      </c>
      <c r="XB27" s="16">
        <v>73.911847876028531</v>
      </c>
      <c r="XC27" s="16">
        <v>65.058301803379351</v>
      </c>
      <c r="XD27" s="16">
        <v>69.260364424708996</v>
      </c>
      <c r="XE27" s="16">
        <v>67.21254126620191</v>
      </c>
      <c r="XF27" s="16">
        <v>69.113063520841251</v>
      </c>
      <c r="XG27" s="16">
        <v>36.260782942807886</v>
      </c>
      <c r="XH27" s="16">
        <v>61.563874394041868</v>
      </c>
      <c r="XI27" s="16">
        <v>63.960300808883446</v>
      </c>
      <c r="XJ27" s="16">
        <v>63.937803211738071</v>
      </c>
      <c r="XK27" s="16">
        <v>59.590988434795442</v>
      </c>
      <c r="XL27" s="16">
        <v>58.192319756113413</v>
      </c>
      <c r="XM27" s="16">
        <v>59.547371570357939</v>
      </c>
      <c r="XN27" s="16">
        <v>63.140581802553342</v>
      </c>
      <c r="XO27" s="16">
        <v>70.377708709558433</v>
      </c>
      <c r="XP27" s="16">
        <v>73.130909126774668</v>
      </c>
      <c r="XQ27" s="16">
        <v>70.406332878733622</v>
      </c>
      <c r="XR27" s="16">
        <v>64.495170807107769</v>
      </c>
      <c r="XS27" s="16">
        <v>61.170808248808889</v>
      </c>
      <c r="XT27" s="16">
        <f>+XT11+XT13+XT15+XT17+XT19+XT21+XT23+XT25</f>
        <v>88.867958329958824</v>
      </c>
      <c r="XU27" s="16">
        <v>66.448541352310059</v>
      </c>
      <c r="XV27" s="16">
        <v>66.626290145487872</v>
      </c>
      <c r="XW27" s="16">
        <v>53.994916543693897</v>
      </c>
      <c r="XX27" s="16">
        <v>69.215993419607045</v>
      </c>
      <c r="XY27" s="16">
        <v>67.958370325251366</v>
      </c>
      <c r="XZ27" s="16">
        <v>72.156425925152547</v>
      </c>
      <c r="YA27" s="16">
        <v>73.683503282789246</v>
      </c>
      <c r="YB27" s="16">
        <v>76.835308352542469</v>
      </c>
      <c r="YC27" s="16">
        <v>73.343764332998035</v>
      </c>
      <c r="YD27" s="16">
        <v>60.483570184023485</v>
      </c>
      <c r="YE27" s="16">
        <v>77.7635886011971</v>
      </c>
      <c r="YF27" s="16">
        <v>81.267435586956239</v>
      </c>
      <c r="YG27" s="16">
        <v>74.136268698073849</v>
      </c>
      <c r="YH27" s="16">
        <v>75.488920345848555</v>
      </c>
      <c r="YI27" s="16">
        <v>83.592244641929483</v>
      </c>
      <c r="YJ27" s="16">
        <v>85.889607427159547</v>
      </c>
      <c r="YK27" s="16">
        <v>88.768990011184997</v>
      </c>
      <c r="YL27" s="16">
        <v>91.309294741207594</v>
      </c>
      <c r="YM27" s="16">
        <f>+YM11+YM13+YM15+YM17+YM19+YM21+YM23+YM25</f>
        <v>108.52964596113708</v>
      </c>
      <c r="YN27" s="16">
        <v>89.566052062426522</v>
      </c>
      <c r="YO27" s="16">
        <v>90.888414231354417</v>
      </c>
      <c r="YP27" s="16">
        <v>90.459067356808632</v>
      </c>
      <c r="YQ27" s="16">
        <v>94.06349679782727</v>
      </c>
      <c r="YR27" s="16">
        <v>97.219412952288721</v>
      </c>
      <c r="YS27" s="16">
        <v>93.396117588887563</v>
      </c>
      <c r="YT27" s="16">
        <v>93.474786411392117</v>
      </c>
      <c r="YU27" s="16">
        <v>95.626141480788021</v>
      </c>
      <c r="YV27" s="16">
        <v>97.926652602319933</v>
      </c>
      <c r="YW27" s="16">
        <v>96.131163774308504</v>
      </c>
      <c r="YX27" s="16">
        <v>96.592293833388112</v>
      </c>
      <c r="YY27" s="16">
        <v>92.158306033775872</v>
      </c>
      <c r="YZ27" s="16">
        <v>61.413989652090187</v>
      </c>
      <c r="ZA27" s="16">
        <v>92.277865103658456</v>
      </c>
      <c r="ZB27" s="16">
        <v>102.339339846671</v>
      </c>
      <c r="ZC27" s="16">
        <v>97.009124459741557</v>
      </c>
      <c r="ZD27" s="16">
        <f>+ZD11+ZD13+ZD15+ZD17+ZD19+ZD21+ZD23+ZD25</f>
        <v>98.560046420054562</v>
      </c>
    </row>
    <row r="28" spans="1:680">
      <c r="A28" s="1321" t="s">
        <v>12</v>
      </c>
      <c r="B28" s="1321"/>
      <c r="C28" s="1321"/>
      <c r="D28" s="10">
        <f t="shared" ref="D28:K28" si="116">((D11*D12)+(D13*D14)+(D15*D16)+(D17*D18)+(D19*D20)+(D21*D22))/D27</f>
        <v>6.3534922191008078E-2</v>
      </c>
      <c r="E28" s="10">
        <f t="shared" si="116"/>
        <v>6.0114237881408329E-2</v>
      </c>
      <c r="F28" s="10">
        <f t="shared" si="116"/>
        <v>5.1890469685755114E-2</v>
      </c>
      <c r="G28" s="10">
        <f t="shared" si="116"/>
        <v>5.088345846829203E-2</v>
      </c>
      <c r="H28" s="10">
        <f t="shared" si="116"/>
        <v>4.882328309516009E-2</v>
      </c>
      <c r="I28" s="10">
        <f t="shared" si="116"/>
        <v>5.1210035224799354E-2</v>
      </c>
      <c r="J28" s="10">
        <f t="shared" si="116"/>
        <v>3.8013901621530233E-2</v>
      </c>
      <c r="K28" s="10">
        <f t="shared" si="116"/>
        <v>4.126987558531655E-2</v>
      </c>
      <c r="L28" s="10">
        <f t="shared" ref="L28:Q28" si="117">((L11*L12)+(L13*L14)+(L15*L16)+(L17*L18)+(L19*L20)+(L21*L22))/L27</f>
        <v>4.3583982881459135E-2</v>
      </c>
      <c r="M28" s="10">
        <f t="shared" si="117"/>
        <v>5.1751750353494629E-2</v>
      </c>
      <c r="N28" s="10">
        <f t="shared" si="117"/>
        <v>5.243134383531959E-2</v>
      </c>
      <c r="O28" s="10">
        <f t="shared" si="117"/>
        <v>5.0241255352911303E-2</v>
      </c>
      <c r="P28" s="10">
        <f t="shared" si="117"/>
        <v>5.1047278633516019E-2</v>
      </c>
      <c r="Q28" s="10">
        <f t="shared" si="117"/>
        <v>5.1588475762084786E-2</v>
      </c>
      <c r="R28" s="10">
        <f t="shared" ref="R28:Y28" si="118">((R11*R12)+(R13*R14)+(R15*R16)+(R17*R18)+(R19*R20)+(R21*R22))/R27</f>
        <v>3.9649915346722402E-2</v>
      </c>
      <c r="S28" s="10">
        <f t="shared" si="118"/>
        <v>3.9385814816866364E-2</v>
      </c>
      <c r="T28" s="10">
        <f t="shared" si="118"/>
        <v>4.060606188641637E-2</v>
      </c>
      <c r="U28" s="10">
        <f t="shared" si="118"/>
        <v>4.333759159382939E-2</v>
      </c>
      <c r="V28" s="10">
        <f t="shared" si="118"/>
        <v>3.6433031466195233E-2</v>
      </c>
      <c r="W28" s="10">
        <f t="shared" si="118"/>
        <v>3.3083040063985235E-2</v>
      </c>
      <c r="X28" s="10">
        <f t="shared" si="118"/>
        <v>3.2751029068379664E-2</v>
      </c>
      <c r="Y28" s="10">
        <f t="shared" si="118"/>
        <v>3.3613540217479969E-2</v>
      </c>
      <c r="Z28" s="10">
        <f>((Z11*Z12)+(Z13*Z14)+(Z15*Z16)+(Z17*Z18)+(Z19*Z20)+(Z21*Z22))/Z27</f>
        <v>4.3490685361885127E-2</v>
      </c>
      <c r="AA28" s="10">
        <f>((AA11*AA12)+(AA13*AA14)+(AA15*AA16)+(AA17*AA18)+(AA19*AA20)+(AA21*AA22))/AA27</f>
        <v>4.2066361962211848E-2</v>
      </c>
      <c r="AB28" s="10">
        <f>((AB11*AB12)+(AB13*AB14)+(AB15*AB16)+(AB17*AB18)+(AB19*AB20)+(AB21*AB22))/AB27</f>
        <v>4.2743292464330007E-2</v>
      </c>
      <c r="AC28" s="10">
        <f t="shared" ref="AC28:AH28" si="119">((AC11*AC12)+(AC13*AC14)+(AC15*AC16)+(AC17*AC18)+(AC19*AC20)+(AC21*AC22))/AC27</f>
        <v>2.43171520638258E-2</v>
      </c>
      <c r="AD28" s="10">
        <f t="shared" si="119"/>
        <v>2.6084822735499186E-2</v>
      </c>
      <c r="AE28" s="10">
        <f t="shared" si="119"/>
        <v>2.5150079933440941E-2</v>
      </c>
      <c r="AF28" s="10">
        <f t="shared" si="119"/>
        <v>3.5664715535677669E-2</v>
      </c>
      <c r="AG28" s="10">
        <f t="shared" si="119"/>
        <v>2.5461447323877118E-2</v>
      </c>
      <c r="AH28" s="10">
        <f t="shared" si="119"/>
        <v>1.7311416877647458E-2</v>
      </c>
      <c r="AI28" s="10">
        <f t="shared" ref="AI28:AN28" si="120">((AI11*AI12)+(AI13*AI14)+(AI15*AI16)+(AI17*AI18)+(AI19*AI20)+(AI21*AI22))/AI27</f>
        <v>1.7487343137292017E-2</v>
      </c>
      <c r="AJ28" s="10">
        <f t="shared" si="120"/>
        <v>2.4594702641104315E-2</v>
      </c>
      <c r="AK28" s="10">
        <f t="shared" si="120"/>
        <v>2.5039242579377639E-2</v>
      </c>
      <c r="AL28" s="10" t="e">
        <f t="shared" si="120"/>
        <v>#REF!</v>
      </c>
      <c r="AM28" s="10">
        <f t="shared" si="120"/>
        <v>2.4199672934425487E-2</v>
      </c>
      <c r="AN28" s="10">
        <f t="shared" si="120"/>
        <v>2.4460177916673306E-2</v>
      </c>
      <c r="AO28" s="10">
        <f t="shared" ref="AO28:AP28" si="121">((AO11*AO12)+(AO13*AO14)+(AO15*AO16)+(AO17*AO18)+(AO19*AO20)+(AO21*AO22))/AO27</f>
        <v>2.5597058392510856E-2</v>
      </c>
      <c r="AP28" s="10">
        <f t="shared" si="121"/>
        <v>2.457855283116139E-2</v>
      </c>
      <c r="AQ28" s="10">
        <f t="shared" ref="AQ28:AR28" si="122">((AQ11*AQ12)+(AQ13*AQ14)+(AQ15*AQ16)+(AQ17*AQ18)+(AQ19*AQ20)+(AQ21*AQ22))/AQ27</f>
        <v>3.1720488230708985E-2</v>
      </c>
      <c r="AR28" s="10">
        <f t="shared" si="122"/>
        <v>3.0776471226454553E-2</v>
      </c>
      <c r="AS28" s="10">
        <f t="shared" ref="AS28:AT28" si="123">((AS11*AS12)+(AS13*AS14)+(AS15*AS16)+(AS17*AS18)+(AS19*AS20)+(AS21*AS22))/AS27</f>
        <v>3.0533703524638502E-2</v>
      </c>
      <c r="AT28" s="10">
        <f t="shared" si="123"/>
        <v>3.374698380507167E-2</v>
      </c>
      <c r="AU28" s="10">
        <f t="shared" ref="AU28:AW28" si="124">((AU11*AU12)+(AU13*AU14)+(AU15*AU16)+(AU17*AU18)+(AU19*AU20)+(AU21*AU22))/AU27</f>
        <v>3.1632499365282105E-2</v>
      </c>
      <c r="AV28" s="10">
        <f t="shared" si="124"/>
        <v>3.1157660772925644E-2</v>
      </c>
      <c r="AW28" s="10">
        <f t="shared" si="124"/>
        <v>3.1212630465451179E-2</v>
      </c>
      <c r="AX28" s="10">
        <f t="shared" ref="AX28:BB28" si="125">((AX11*AX12)+(AX13*AX14)+(AX15*AX16)+(AX17*AX18)+(AX19*AX20)+(AX21*AX22))/AX27</f>
        <v>3.0124947467077001E-2</v>
      </c>
      <c r="AY28" s="10">
        <f t="shared" si="125"/>
        <v>3.2040474531420976E-2</v>
      </c>
      <c r="AZ28" s="10">
        <f t="shared" si="125"/>
        <v>3.3081985290143341E-2</v>
      </c>
      <c r="BA28" s="10">
        <f t="shared" si="125"/>
        <v>3.7661384858722904E-2</v>
      </c>
      <c r="BB28" s="10">
        <f t="shared" si="125"/>
        <v>4.0076386017803362E-2</v>
      </c>
      <c r="BC28" s="10">
        <f t="shared" ref="BC28:BD28" si="126">((BC11*BC12)+(BC13*BC14)+(BC15*BC16)+(BC17*BC18)+(BC19*BC20)+(BC21*BC22))/BC27</f>
        <v>3.8921756315972465E-2</v>
      </c>
      <c r="BD28" s="10">
        <f t="shared" si="126"/>
        <v>4.0795969484350263E-2</v>
      </c>
      <c r="BE28" s="10">
        <f t="shared" ref="BE28:BF28" si="127">((BE11*BE12)+(BE13*BE14)+(BE15*BE16)+(BE17*BE18)+(BE19*BE20)+(BE21*BE22))/BE27</f>
        <v>4.1360633616219659E-2</v>
      </c>
      <c r="BF28" s="10">
        <f t="shared" si="127"/>
        <v>3.8240556849296205E-2</v>
      </c>
      <c r="BG28" s="10">
        <f t="shared" ref="BG28:BH28" si="128">((BG11*BG12)+(BG13*BG14)+(BG15*BG16)+(BG17*BG18)+(BG19*BG20)+(BG21*BG22))/BG27</f>
        <v>3.8258442667315297E-2</v>
      </c>
      <c r="BH28" s="10">
        <f t="shared" si="128"/>
        <v>4.1347740638009556E-2</v>
      </c>
      <c r="BI28" s="10">
        <f t="shared" ref="BI28:BJ28" si="129">((BI11*BI12)+(BI13*BI14)+(BI15*BI16)+(BI17*BI18)+(BI19*BI20)+(BI21*BI22))/BI27</f>
        <v>4.195433452368777E-2</v>
      </c>
      <c r="BJ28" s="10">
        <f t="shared" si="129"/>
        <v>4.0889044160441299E-2</v>
      </c>
      <c r="BK28" s="10">
        <f t="shared" ref="BK28:BL28" si="130">((BK11*BK12)+(BK13*BK14)+(BK15*BK16)+(BK17*BK18)+(BK19*BK20)+(BK21*BK22))/BK27</f>
        <v>3.9606634996212621E-2</v>
      </c>
      <c r="BL28" s="10">
        <f t="shared" si="130"/>
        <v>4.2528462111715959E-2</v>
      </c>
      <c r="BM28" s="10">
        <f t="shared" ref="BM28:BN28" si="131">((BM11*BM12)+(BM13*BM14)+(BM15*BM16)+(BM17*BM18)+(BM19*BM20)+(BM21*BM22))/BM27</f>
        <v>4.280383081790335E-2</v>
      </c>
      <c r="BN28" s="10">
        <f t="shared" si="131"/>
        <v>4.3397380400221626E-2</v>
      </c>
      <c r="BO28" s="10">
        <f t="shared" ref="BO28:BP28" si="132">((BO11*BO12)+(BO13*BO14)+(BO15*BO16)+(BO17*BO18)+(BO19*BO20)+(BO21*BO22))/BO27</f>
        <v>4.0647607789454761E-2</v>
      </c>
      <c r="BP28" s="10">
        <f t="shared" si="132"/>
        <v>3.9904644612908879E-2</v>
      </c>
      <c r="BQ28" s="10">
        <f t="shared" ref="BQ28:BR28" si="133">((BQ11*BQ12)+(BQ13*BQ14)+(BQ15*BQ16)+(BQ17*BQ18)+(BQ19*BQ20)+(BQ21*BQ22))/BQ27</f>
        <v>3.9719919157917651E-2</v>
      </c>
      <c r="BR28" s="10">
        <f t="shared" si="133"/>
        <v>4.006955576905448E-2</v>
      </c>
      <c r="BS28" s="10">
        <f t="shared" ref="BS28:BU28" si="134">((BS11*BS12)+(BS13*BS14)+(BS15*BS16)+(BS17*BS18)+(BS19*BS20)+(BS21*BS22))/BS27</f>
        <v>4.0953700005819674E-2</v>
      </c>
      <c r="BT28" s="10">
        <f t="shared" si="134"/>
        <v>4.2067252995005876E-2</v>
      </c>
      <c r="BU28" s="10">
        <f t="shared" si="134"/>
        <v>4.0401134861139804E-2</v>
      </c>
      <c r="BV28" s="10">
        <f t="shared" ref="BV28:BX28" si="135">((BV11*BV12)+(BV13*BV14)+(BV15*BV16)+(BV17*BV18)+(BV19*BV20)+(BV21*BV22))/BV27</f>
        <v>4.0230432608300969E-2</v>
      </c>
      <c r="BW28" s="10">
        <f t="shared" si="135"/>
        <v>4.0563108110867385E-2</v>
      </c>
      <c r="BX28" s="10">
        <f t="shared" si="135"/>
        <v>4.0877493411180993E-2</v>
      </c>
      <c r="BY28" s="10">
        <f t="shared" ref="BY28:BZ28" si="136">((BY11*BY12)+(BY13*BY14)+(BY15*BY16)+(BY17*BY18)+(BY19*BY20)+(BY21*BY22))/BY27</f>
        <v>3.8773643851753616E-2</v>
      </c>
      <c r="BZ28" s="10">
        <f t="shared" si="136"/>
        <v>4.3053677555007705E-2</v>
      </c>
      <c r="CA28" s="10">
        <f t="shared" ref="CA28:CB28" si="137">((CA11*CA12)+(CA13*CA14)+(CA15*CA16)+(CA17*CA18)+(CA19*CA20)+(CA21*CA22))/CA27</f>
        <v>4.8893208190716048E-2</v>
      </c>
      <c r="CB28" s="10">
        <f t="shared" si="137"/>
        <v>5.0030071217610057E-2</v>
      </c>
      <c r="CC28" s="10">
        <f t="shared" ref="CC28:CD28" si="138">((CC11*CC12)+(CC13*CC14)+(CC15*CC16)+(CC17*CC18)+(CC19*CC20)+(CC21*CC22))/CC27</f>
        <v>3.9587819398298377E-2</v>
      </c>
      <c r="CD28" s="10">
        <f t="shared" si="138"/>
        <v>4.8210010785345224E-2</v>
      </c>
      <c r="CE28" s="10">
        <f t="shared" ref="CE28:CH28" si="139">((CE11*CE12)+(CE13*CE14)+(CE15*CE16)+(CE17*CE18)+(CE19*CE20)+(CE21*CE22))/CE27</f>
        <v>4.3992091721350983E-2</v>
      </c>
      <c r="CF28" s="10">
        <f t="shared" si="139"/>
        <v>4.2955045828270526E-2</v>
      </c>
      <c r="CG28" s="10">
        <f t="shared" si="139"/>
        <v>5.1777737148683639E-2</v>
      </c>
      <c r="CH28" s="10">
        <f t="shared" si="139"/>
        <v>5.5263999341492898E-2</v>
      </c>
      <c r="CI28" s="10">
        <f t="shared" ref="CI28:CJ28" si="140">((CI11*CI12)+(CI13*CI14)+(CI15*CI16)+(CI17*CI18)+(CI19*CI20)+(CI21*CI22))/CI27</f>
        <v>5.4165912457633324E-2</v>
      </c>
      <c r="CJ28" s="10">
        <f t="shared" si="140"/>
        <v>4.0778812035473871E-2</v>
      </c>
      <c r="CK28" s="10">
        <f t="shared" ref="CK28:CL28" si="141">((CK11*CK12)+(CK13*CK14)+(CK15*CK16)+(CK17*CK18)+(CK19*CK20)+(CK21*CK22))/CK27</f>
        <v>4.8955272666407867E-2</v>
      </c>
      <c r="CL28" s="10">
        <f t="shared" si="141"/>
        <v>4.8587976322354315E-2</v>
      </c>
      <c r="CM28" s="10">
        <f t="shared" ref="CM28:CN28" si="142">((CM11*CM12)+(CM13*CM14)+(CM15*CM16)+(CM17*CM18)+(CM19*CM20)+(CM21*CM22))/CM27</f>
        <v>4.8835438670917865E-2</v>
      </c>
      <c r="CN28" s="10">
        <f t="shared" si="142"/>
        <v>4.8660163175493709E-2</v>
      </c>
      <c r="CO28" s="10">
        <f t="shared" ref="CO28:CP28" si="143">((CO11*CO12)+(CO13*CO14)+(CO15*CO16)+(CO17*CO18)+(CO19*CO20)+(CO21*CO22))/CO27</f>
        <v>4.7296812670722069E-2</v>
      </c>
      <c r="CP28" s="10">
        <f t="shared" si="143"/>
        <v>1.0805294375810492E-2</v>
      </c>
      <c r="CQ28" s="10">
        <f t="shared" ref="CQ28:CR28" si="144">((CQ11*CQ12)+(CQ13*CQ14)+(CQ15*CQ16)+(CQ17*CQ18)+(CQ19*CQ20)+(CQ21*CQ22))/CQ27</f>
        <v>3.7039369777979551E-2</v>
      </c>
      <c r="CR28" s="10">
        <f t="shared" si="144"/>
        <v>1.8510407149755086E-2</v>
      </c>
      <c r="CS28" s="10">
        <f t="shared" ref="CS28:CT28" si="145">((CS11*CS12)+(CS13*CS14)+(CS15*CS16)+(CS17*CS18)+(CS19*CS20)+(CS21*CS22))/CS27</f>
        <v>5.1761837633506939E-2</v>
      </c>
      <c r="CT28" s="10">
        <f t="shared" si="145"/>
        <v>5.0026876933190675E-2</v>
      </c>
      <c r="CU28" s="10">
        <f t="shared" ref="CU28:CV28" si="146">((CU11*CU12)+(CU13*CU14)+(CU15*CU16)+(CU17*CU18)+(CU19*CU20)+(CU21*CU22))/CU27</f>
        <v>5.1801628899990154E-2</v>
      </c>
      <c r="CV28" s="10">
        <f t="shared" si="146"/>
        <v>5.1909395452042699E-2</v>
      </c>
      <c r="CW28" s="10">
        <f t="shared" ref="CW28:CX28" si="147">((CW11*CW12)+(CW13*CW14)+(CW15*CW16)+(CW17*CW18)+(CW19*CW20)+(CW21*CW22))/CW27</f>
        <v>5.1640778390929384E-2</v>
      </c>
      <c r="CX28" s="10">
        <f t="shared" si="147"/>
        <v>5.009643780074817E-2</v>
      </c>
      <c r="CY28" s="10">
        <f t="shared" ref="CY28:CZ28" si="148">((CY11*CY12)+(CY13*CY14)+(CY15*CY16)+(CY17*CY18)+(CY19*CY20)+(CY21*CY22))/CY27</f>
        <v>5.0975359993536105E-2</v>
      </c>
      <c r="CZ28" s="10">
        <f t="shared" si="148"/>
        <v>5.0748074955641778E-2</v>
      </c>
      <c r="DA28" s="10">
        <f t="shared" ref="DA28:DB28" si="149">((DA11*DA12)+(DA13*DA14)+(DA15*DA16)+(DA17*DA18)+(DA19*DA20)+(DA21*DA22))/DA27</f>
        <v>4.3307867520000987E-2</v>
      </c>
      <c r="DB28" s="10">
        <f t="shared" si="149"/>
        <v>4.3909228149420269E-2</v>
      </c>
      <c r="DC28" s="10">
        <f t="shared" ref="DC28:DD28" si="150">((DC11*DC12)+(DC13*DC14)+(DC15*DC16)+(DC17*DC18)+(DC19*DC20)+(DC21*DC22))/DC27</f>
        <v>4.7947330204053215E-2</v>
      </c>
      <c r="DD28" s="10">
        <f t="shared" si="150"/>
        <v>4.6752947974670646E-2</v>
      </c>
      <c r="DE28" s="10">
        <f t="shared" ref="DE28:DF28" si="151">((DE11*DE12)+(DE13*DE14)+(DE15*DE16)+(DE17*DE18)+(DE19*DE20)+(DE21*DE22))/DE27</f>
        <v>4.6982226565459237E-2</v>
      </c>
      <c r="DF28" s="10">
        <f t="shared" si="151"/>
        <v>4.573143614915904E-2</v>
      </c>
      <c r="DG28" s="10">
        <f t="shared" ref="DG28:DH28" si="152">((DG11*DG12)+(DG13*DG14)+(DG15*DG16)+(DG17*DG18)+(DG19*DG20)+(DG21*DG22))/DG27</f>
        <v>4.4834422049317951E-2</v>
      </c>
      <c r="DH28" s="10">
        <f t="shared" si="152"/>
        <v>4.4161603082920393E-2</v>
      </c>
      <c r="DI28" s="10">
        <f t="shared" ref="DI28:DJ28" si="153">((DI11*DI12)+(DI13*DI14)+(DI15*DI16)+(DI17*DI18)+(DI19*DI20)+(DI21*DI22))/DI27</f>
        <v>4.3524944912510785E-2</v>
      </c>
      <c r="DJ28" s="10">
        <f t="shared" si="153"/>
        <v>4.2022674687685176E-2</v>
      </c>
      <c r="DK28" s="10">
        <f t="shared" ref="DK28:DL28" si="154">((DK11*DK12)+(DK13*DK14)+(DK15*DK16)+(DK17*DK18)+(DK19*DK20)+(DK21*DK22))/DK27</f>
        <v>4.296397846141041E-2</v>
      </c>
      <c r="DL28" s="10">
        <f t="shared" si="154"/>
        <v>4.2224775249151664E-2</v>
      </c>
      <c r="DM28" s="10">
        <f t="shared" ref="DM28:DN28" si="155">((DM11*DM12)+(DM13*DM14)+(DM15*DM16)+(DM17*DM18)+(DM19*DM20)+(DM21*DM22))/DM27</f>
        <v>4.1978043002124044E-2</v>
      </c>
      <c r="DN28" s="10">
        <f t="shared" si="155"/>
        <v>4.144812618154025E-2</v>
      </c>
      <c r="DO28" s="10">
        <f t="shared" ref="DO28:DP28" si="156">((DO11*DO12)+(DO13*DO14)+(DO15*DO16)+(DO17*DO18)+(DO19*DO20)+(DO21*DO22))/DO27</f>
        <v>4.1259606582744725E-2</v>
      </c>
      <c r="DP28" s="10">
        <f t="shared" si="156"/>
        <v>3.6959827453677443E-2</v>
      </c>
      <c r="DQ28" s="10">
        <f t="shared" ref="DQ28:DR28" si="157">((DQ11*DQ12)+(DQ13*DQ14)+(DQ15*DQ16)+(DQ17*DQ18)+(DQ19*DQ20)+(DQ21*DQ22))/DQ27</f>
        <v>3.6946737901050172E-2</v>
      </c>
      <c r="DR28" s="10">
        <f t="shared" si="157"/>
        <v>3.6830924998619487E-2</v>
      </c>
      <c r="DS28" s="10">
        <f t="shared" ref="DS28:DT28" si="158">((DS11*DS12)+(DS13*DS14)+(DS15*DS16)+(DS17*DS18)+(DS19*DS20)+(DS21*DS22))/DS27</f>
        <v>3.5088070728600616E-2</v>
      </c>
      <c r="DT28" s="10">
        <f t="shared" si="158"/>
        <v>3.5483573607473104E-2</v>
      </c>
      <c r="DU28" s="10">
        <f t="shared" ref="DU28:DV28" si="159">((DU11*DU12)+(DU13*DU14)+(DU15*DU16)+(DU17*DU18)+(DU19*DU20)+(DU21*DU22))/DU27</f>
        <v>3.6209322499767979E-2</v>
      </c>
      <c r="DV28" s="10">
        <f t="shared" si="159"/>
        <v>3.384951710146672E-2</v>
      </c>
      <c r="DW28" s="10">
        <f t="shared" ref="DW28:DX28" si="160">((DW11*DW12)+(DW13*DW14)+(DW15*DW16)+(DW17*DW18)+(DW19*DW20)+(DW21*DW22))/DW27</f>
        <v>3.2922820175331248E-2</v>
      </c>
      <c r="DX28" s="10">
        <f t="shared" si="160"/>
        <v>3.294247684053609E-2</v>
      </c>
      <c r="DY28" s="10">
        <f t="shared" ref="DY28:DZ28" si="161">((DY11*DY12)+(DY13*DY14)+(DY15*DY16)+(DY17*DY18)+(DY19*DY20)+(DY21*DY22))/DY27</f>
        <v>3.3862124355704043E-2</v>
      </c>
      <c r="DZ28" s="10">
        <f t="shared" si="161"/>
        <v>2.7286833147455898E-2</v>
      </c>
      <c r="EA28" s="10">
        <f t="shared" ref="EA28:EB28" si="162">((EA11*EA12)+(EA13*EA14)+(EA15*EA16)+(EA17*EA18)+(EA19*EA20)+(EA21*EA22))/EA27</f>
        <v>3.2793129604578204E-2</v>
      </c>
      <c r="EB28" s="10">
        <f t="shared" si="162"/>
        <v>2.9788379111308241E-2</v>
      </c>
      <c r="EC28" s="10">
        <f t="shared" ref="EC28:ED28" si="163">((EC11*EC12)+(EC13*EC14)+(EC15*EC16)+(EC17*EC18)+(EC19*EC20)+(EC21*EC22))/EC27</f>
        <v>2.9915138244975659E-2</v>
      </c>
      <c r="ED28" s="10">
        <f t="shared" si="163"/>
        <v>3.0035484660700874E-2</v>
      </c>
      <c r="EE28" s="10">
        <f t="shared" ref="EE28:EF28" si="164">((EE11*EE12)+(EE13*EE14)+(EE15*EE16)+(EE17*EE18)+(EE19*EE20)+(EE21*EE22))/EE27</f>
        <v>3.0576912168167197E-2</v>
      </c>
      <c r="EF28" s="10">
        <f t="shared" si="164"/>
        <v>3.162244405103546E-2</v>
      </c>
      <c r="EG28" s="10">
        <f t="shared" ref="EG28:EH28" si="165">((EG11*EG12)+(EG13*EG14)+(EG15*EG16)+(EG17*EG18)+(EG19*EG20)+(EG21*EG22))/EG27</f>
        <v>3.0883156214469368E-2</v>
      </c>
      <c r="EH28" s="10">
        <f t="shared" si="165"/>
        <v>2.9789512542963175E-2</v>
      </c>
      <c r="EI28" s="10">
        <f t="shared" ref="EI28:EJ28" si="166">((EI11*EI12)+(EI13*EI14)+(EI15*EI16)+(EI17*EI18)+(EI19*EI20)+(EI21*EI22))/EI27</f>
        <v>2.9940053325922738E-2</v>
      </c>
      <c r="EJ28" s="10">
        <f t="shared" si="166"/>
        <v>3.0226556359378161E-2</v>
      </c>
      <c r="EK28" s="10">
        <f t="shared" ref="EK28:EL28" si="167">((EK11*EK12)+(EK13*EK14)+(EK15*EK16)+(EK17*EK18)+(EK19*EK20)+(EK21*EK22))/EK27</f>
        <v>3.0694867947534878E-2</v>
      </c>
      <c r="EL28" s="10">
        <f t="shared" si="167"/>
        <v>2.9181810483868864E-2</v>
      </c>
      <c r="EM28" s="10">
        <f t="shared" ref="EM28:EN28" si="168">((EM11*EM12)+(EM13*EM14)+(EM15*EM16)+(EM17*EM18)+(EM19*EM20)+(EM21*EM22))/EM27</f>
        <v>2.9898188168629668E-2</v>
      </c>
      <c r="EN28" s="10">
        <f t="shared" si="168"/>
        <v>3.0581425591280978E-2</v>
      </c>
      <c r="EO28" s="10">
        <f t="shared" ref="EO28:EP28" si="169">((EO11*EO12)+(EO13*EO14)+(EO15*EO16)+(EO17*EO18)+(EO19*EO20)+(EO21*EO22))/EO27</f>
        <v>3.212557183812597E-2</v>
      </c>
      <c r="EP28" s="10">
        <f t="shared" si="169"/>
        <v>3.0571754671510683E-2</v>
      </c>
      <c r="EQ28" s="10">
        <f t="shared" ref="EQ28:ER28" si="170">((EQ11*EQ12)+(EQ13*EQ14)+(EQ15*EQ16)+(EQ17*EQ18)+(EQ19*EQ20)+(EQ21*EQ22))/EQ27</f>
        <v>3.7069368924670255E-2</v>
      </c>
      <c r="ER28" s="10">
        <f t="shared" si="170"/>
        <v>3.497470282247081E-2</v>
      </c>
      <c r="ES28" s="10">
        <f t="shared" ref="ES28:ET28" si="171">((ES11*ES12)+(ES13*ES14)+(ES15*ES16)+(ES17*ES18)+(ES19*ES20)+(ES21*ES22))/ES27</f>
        <v>3.4106656708205479E-2</v>
      </c>
      <c r="ET28" s="10">
        <f t="shared" si="171"/>
        <v>3.1531589691546978E-2</v>
      </c>
      <c r="EU28" s="10">
        <f t="shared" ref="EU28:EV28" si="172">((EU11*EU12)+(EU13*EU14)+(EU15*EU16)+(EU17*EU18)+(EU19*EU20)+(EU21*EU22))/EU27</f>
        <v>3.2957430222297739E-2</v>
      </c>
      <c r="EV28" s="10">
        <f t="shared" si="172"/>
        <v>3.3975476412047109E-2</v>
      </c>
      <c r="EW28" s="10">
        <f t="shared" ref="EW28:EX28" si="173">((EW11*EW12)+(EW13*EW14)+(EW15*EW16)+(EW17*EW18)+(EW19*EW20)+(EW21*EW22))/EW27</f>
        <v>3.2886591114580505E-2</v>
      </c>
      <c r="EX28" s="10">
        <f t="shared" si="173"/>
        <v>3.2230222449019824E-2</v>
      </c>
      <c r="EY28" s="10">
        <f t="shared" ref="EY28:EZ28" si="174">((EY11*EY12)+(EY13*EY14)+(EY15*EY16)+(EY17*EY18)+(EY19*EY20)+(EY21*EY22))/EY27</f>
        <v>3.2383418629906124E-2</v>
      </c>
      <c r="EZ28" s="10">
        <f t="shared" si="174"/>
        <v>3.3896906130596649E-2</v>
      </c>
      <c r="FA28" s="10">
        <f t="shared" ref="FA28:FB28" si="175">((FA11*FA12)+(FA13*FA14)+(FA15*FA16)+(FA17*FA18)+(FA19*FA20)+(FA21*FA22))/FA27</f>
        <v>3.4208031528110493E-2</v>
      </c>
      <c r="FB28" s="10">
        <f t="shared" si="175"/>
        <v>3.4695773680793511E-2</v>
      </c>
      <c r="FC28" s="10">
        <f t="shared" ref="FC28:FD28" si="176">((FC11*FC12)+(FC13*FC14)+(FC15*FC16)+(FC17*FC18)+(FC19*FC20)+(FC21*FC22))/FC27</f>
        <v>3.3376234898148088E-2</v>
      </c>
      <c r="FD28" s="10">
        <f t="shared" si="176"/>
        <v>3.3916283809860205E-2</v>
      </c>
      <c r="FE28" s="10">
        <f t="shared" ref="FE28:FF28" si="177">((FE11*FE12)+(FE13*FE14)+(FE15*FE16)+(FE17*FE18)+(FE19*FE20)+(FE21*FE22))/FE27</f>
        <v>3.4345418554761607E-2</v>
      </c>
      <c r="FF28" s="10">
        <f t="shared" si="177"/>
        <v>3.529457864763897E-2</v>
      </c>
      <c r="FG28" s="10">
        <f t="shared" ref="FG28:FH28" si="178">((FG11*FG12)+(FG13*FG14)+(FG15*FG16)+(FG17*FG18)+(FG19*FG20)+(FG21*FG22))/FG27</f>
        <v>3.4422984821999542E-2</v>
      </c>
      <c r="FH28" s="10">
        <f t="shared" si="178"/>
        <v>3.3920507760301179E-2</v>
      </c>
      <c r="FI28" s="10">
        <f t="shared" ref="FI28:FJ28" si="179">((FI11*FI12)+(FI13*FI14)+(FI15*FI16)+(FI17*FI18)+(FI19*FI20)+(FI21*FI22))/FI27</f>
        <v>2.8274419066798652E-2</v>
      </c>
      <c r="FJ28" s="10">
        <f t="shared" si="179"/>
        <v>3.5851184730552037E-2</v>
      </c>
      <c r="FK28" s="10">
        <f t="shared" ref="FK28:FL28" si="180">((FK11*FK12)+(FK13*FK14)+(FK15*FK16)+(FK17*FK18)+(FK19*FK20)+(FK21*FK22))/FK27</f>
        <v>3.5829877757865107E-2</v>
      </c>
      <c r="FL28" s="10">
        <f t="shared" si="180"/>
        <v>3.6146530404233636E-2</v>
      </c>
      <c r="FM28" s="10">
        <f t="shared" ref="FM28:FN28" si="181">((FM11*FM12)+(FM13*FM14)+(FM15*FM16)+(FM17*FM18)+(FM19*FM20)+(FM21*FM22))/FM27</f>
        <v>3.6720691306842808E-2</v>
      </c>
      <c r="FN28" s="10">
        <f t="shared" si="181"/>
        <v>3.6573770771637031E-2</v>
      </c>
      <c r="FO28" s="10">
        <f t="shared" ref="FO28:FP28" si="182">((FO11*FO12)+(FO13*FO14)+(FO15*FO16)+(FO17*FO18)+(FO19*FO20)+(FO21*FO22))/FO27</f>
        <v>3.6017812658991115E-2</v>
      </c>
      <c r="FP28" s="10">
        <f t="shared" si="182"/>
        <v>3.8083084267972314E-2</v>
      </c>
      <c r="FQ28" s="10">
        <f t="shared" ref="FQ28:FR28" si="183">((FQ11*FQ12)+(FQ13*FQ14)+(FQ15*FQ16)+(FQ17*FQ18)+(FQ19*FQ20)+(FQ21*FQ22))/FQ27</f>
        <v>3.6129269008967381E-2</v>
      </c>
      <c r="FR28" s="10">
        <f t="shared" si="183"/>
        <v>3.5530114880528138E-2</v>
      </c>
      <c r="FS28" s="10">
        <f t="shared" ref="FS28:FT28" si="184">((FS11*FS12)+(FS13*FS14)+(FS15*FS16)+(FS17*FS18)+(FS19*FS20)+(FS21*FS22))/FS27</f>
        <v>3.8438574389267934E-2</v>
      </c>
      <c r="FT28" s="10">
        <f t="shared" si="184"/>
        <v>3.4945368477180772E-2</v>
      </c>
      <c r="FU28" s="10">
        <f t="shared" ref="FU28:FV28" si="185">((FU11*FU12)+(FU13*FU14)+(FU15*FU16)+(FU17*FU18)+(FU19*FU20)+(FU21*FU22))/FU27</f>
        <v>3.6394661178768807E-2</v>
      </c>
      <c r="FV28" s="10">
        <f t="shared" si="185"/>
        <v>3.5880667178565889E-2</v>
      </c>
      <c r="FW28" s="10">
        <f t="shared" ref="FW28:FX28" si="186">((FW11*FW12)+(FW13*FW14)+(FW15*FW16)+(FW17*FW18)+(FW19*FW20)+(FW21*FW22))/FW27</f>
        <v>3.5732950475605325E-2</v>
      </c>
      <c r="FX28" s="10">
        <f t="shared" si="186"/>
        <v>3.5608618917530373E-2</v>
      </c>
      <c r="FY28" s="10">
        <f t="shared" ref="FY28:FZ28" si="187">((FY11*FY12)+(FY13*FY14)+(FY15*FY16)+(FY17*FY18)+(FY19*FY20)+(FY21*FY22))/FY27</f>
        <v>3.8076417940555309E-2</v>
      </c>
      <c r="FZ28" s="10">
        <f t="shared" si="187"/>
        <v>3.7119689154943791E-2</v>
      </c>
      <c r="GA28" s="10">
        <f t="shared" ref="GA28:GB28" si="188">((GA11*GA12)+(GA13*GA14)+(GA15*GA16)+(GA17*GA18)+(GA19*GA20)+(GA21*GA22))/GA27</f>
        <v>3.7313853170053403E-2</v>
      </c>
      <c r="GB28" s="10">
        <f t="shared" si="188"/>
        <v>3.7971340144075695E-2</v>
      </c>
      <c r="GC28" s="10">
        <f t="shared" ref="GC28:GD28" si="189">((GC11*GC12)+(GC13*GC14)+(GC15*GC16)+(GC17*GC18)+(GC19*GC20)+(GC21*GC22))/GC27</f>
        <v>3.7891839974016316E-2</v>
      </c>
      <c r="GD28" s="10">
        <f t="shared" si="189"/>
        <v>3.6223635538919399E-2</v>
      </c>
      <c r="GE28" s="10">
        <f t="shared" ref="GE28:GF28" si="190">((GE11*GE12)+(GE13*GE14)+(GE15*GE16)+(GE17*GE18)+(GE19*GE20)+(GE21*GE22))/GE27</f>
        <v>3.9276153888407002E-2</v>
      </c>
      <c r="GF28" s="10">
        <f t="shared" si="190"/>
        <v>3.4853263317741454E-2</v>
      </c>
      <c r="GG28" s="10">
        <f t="shared" ref="GG28:GH28" si="191">((GG11*GG12)+(GG13*GG14)+(GG15*GG16)+(GG17*GG18)+(GG19*GG20)+(GG21*GG22))/GG27</f>
        <v>3.8476895557825914E-2</v>
      </c>
      <c r="GH28" s="10">
        <f t="shared" si="191"/>
        <v>4.1017190221166622E-2</v>
      </c>
      <c r="GI28" s="10">
        <f t="shared" ref="GI28:GJ28" si="192">((GI11*GI12)+(GI13*GI14)+(GI15*GI16)+(GI17*GI18)+(GI19*GI20)+(GI21*GI22))/GI27</f>
        <v>4.0669551160916972E-2</v>
      </c>
      <c r="GJ28" s="10">
        <f t="shared" si="192"/>
        <v>3.979554153071517E-2</v>
      </c>
      <c r="GK28" s="10">
        <f t="shared" ref="GK28:GL28" si="193">((GK11*GK12)+(GK13*GK14)+(GK15*GK16)+(GK17*GK18)+(GK19*GK20)+(GK21*GK22))/GK27</f>
        <v>3.983808188405278E-2</v>
      </c>
      <c r="GL28" s="10">
        <f t="shared" si="193"/>
        <v>4.04009973788724E-2</v>
      </c>
      <c r="GM28" s="10">
        <f t="shared" ref="GM28:GN28" si="194">((GM11*GM12)+(GM13*GM14)+(GM15*GM16)+(GM17*GM18)+(GM19*GM20)+(GM21*GM22))/GM27</f>
        <v>4.315549430714001E-2</v>
      </c>
      <c r="GN28" s="10">
        <f t="shared" si="194"/>
        <v>4.2934062282938966E-2</v>
      </c>
      <c r="GO28" s="10">
        <f t="shared" ref="GO28:GP28" si="195">((GO11*GO12)+(GO13*GO14)+(GO15*GO16)+(GO17*GO18)+(GO19*GO20)+(GO21*GO22))/GO27</f>
        <v>4.2294322416502994E-2</v>
      </c>
      <c r="GP28" s="10">
        <f t="shared" si="195"/>
        <v>4.2334271613054378E-2</v>
      </c>
      <c r="GQ28" s="10">
        <f t="shared" ref="GQ28:GR28" si="196">((GQ11*GQ12)+(GQ13*GQ14)+(GQ15*GQ16)+(GQ17*GQ18)+(GQ19*GQ20)+(GQ21*GQ22))/GQ27</f>
        <v>3.9925846317433421E-2</v>
      </c>
      <c r="GR28" s="10">
        <f t="shared" si="196"/>
        <v>4.3531870404980688E-2</v>
      </c>
      <c r="GS28" s="10">
        <f t="shared" ref="GS28:GT28" si="197">((GS11*GS12)+(GS13*GS14)+(GS15*GS16)+(GS17*GS18)+(GS19*GS20)+(GS21*GS22))/GS27</f>
        <v>4.242129118487311E-2</v>
      </c>
      <c r="GT28" s="10">
        <f t="shared" si="197"/>
        <v>4.2508041606470509E-2</v>
      </c>
      <c r="GU28" s="10">
        <f t="shared" ref="GU28:GV28" si="198">((GU11*GU12)+(GU13*GU14)+(GU15*GU16)+(GU17*GU18)+(GU19*GU20)+(GU21*GU22))/GU27</f>
        <v>4.2227809409787487E-2</v>
      </c>
      <c r="GV28" s="10">
        <f t="shared" si="198"/>
        <v>4.2540150010172702E-2</v>
      </c>
      <c r="GW28" s="10">
        <f t="shared" ref="GW28:GX28" si="199">((GW11*GW12)+(GW13*GW14)+(GW15*GW16)+(GW17*GW18)+(GW19*GW20)+(GW21*GW22))/GW27</f>
        <v>4.384918772368291E-2</v>
      </c>
      <c r="GX28" s="10">
        <f t="shared" si="199"/>
        <v>4.2539381435466504E-2</v>
      </c>
      <c r="GY28" s="10">
        <f t="shared" ref="GY28:GZ28" si="200">((GY11*GY12)+(GY13*GY14)+(GY15*GY16)+(GY17*GY18)+(GY19*GY20)+(GY21*GY22))/GY27</f>
        <v>4.259678648564124E-2</v>
      </c>
      <c r="GZ28" s="10">
        <f t="shared" si="200"/>
        <v>2.6520785005341281E-2</v>
      </c>
      <c r="HA28" s="10">
        <f t="shared" ref="HA28:HB28" si="201">((HA11*HA12)+(HA13*HA14)+(HA15*HA16)+(HA17*HA18)+(HA19*HA20)+(HA21*HA22))/HA27</f>
        <v>2.6543089029528261E-2</v>
      </c>
      <c r="HB28" s="10">
        <f t="shared" si="201"/>
        <v>2.8902360385699006E-2</v>
      </c>
      <c r="HC28" s="10">
        <f t="shared" ref="HC28:HD28" si="202">((HC11*HC12)+(HC13*HC14)+(HC15*HC16)+(HC17*HC18)+(HC19*HC20)+(HC21*HC22))/HC27</f>
        <v>3.5740330984821427E-2</v>
      </c>
      <c r="HD28" s="10">
        <f t="shared" si="202"/>
        <v>3.5514993204557969E-2</v>
      </c>
      <c r="HE28" s="10">
        <f t="shared" ref="HE28" si="203">((HE11*HE12)+(HE13*HE14)+(HE15*HE16)+(HE17*HE18)+(HE19*HE20)+(HE21*HE22))/HE27</f>
        <v>5.5518937621908855E-2</v>
      </c>
      <c r="HF28" s="10">
        <f>((HF11*HF12)+(HF13*HF14)+(HF15*HF16)+(HF17*HF18)+(HF19*HF20)+(HF21*HF22))/HF27</f>
        <v>5.8917869014781729E-2</v>
      </c>
      <c r="HG28" s="10">
        <f>((HG11*HG12)+(HG13*HG14)+(HG15*HG16)+(HG17*HG18)+(HG19*HG20)+(HG21*HG22))/HG27</f>
        <v>5.9021682190107318E-2</v>
      </c>
      <c r="HH28" s="10">
        <f t="shared" ref="HH28:HI28" si="204">((HH11*HH12)+(HH13*HH14)+(HH15*HH16)+(HH17*HH18)+(HH19*HH20)+(HH21*HH22))/HH27</f>
        <v>5.9316381886808038E-2</v>
      </c>
      <c r="HI28" s="10">
        <f t="shared" si="204"/>
        <v>5.9271446579273725E-2</v>
      </c>
      <c r="HJ28" s="10">
        <f t="shared" ref="HJ28:HK28" si="205">((HJ11*HJ12)+(HJ13*HJ14)+(HJ15*HJ16)+(HJ17*HJ18)+(HJ19*HJ20)+(HJ21*HJ22))/HJ27</f>
        <v>5.8479692847335563E-2</v>
      </c>
      <c r="HK28" s="10">
        <f t="shared" si="205"/>
        <v>5.8501896347127942E-2</v>
      </c>
      <c r="HL28" s="10">
        <f t="shared" ref="HL28:HM28" si="206">((HL11*HL12)+(HL13*HL14)+(HL15*HL16)+(HL17*HL18)+(HL19*HL20)+(HL21*HL22))/HL27</f>
        <v>6.0247725652224401E-2</v>
      </c>
      <c r="HM28" s="10">
        <f t="shared" si="206"/>
        <v>6.1506493422207466E-2</v>
      </c>
      <c r="HN28" s="10">
        <f t="shared" ref="HN28:HO28" si="207">((HN11*HN12)+(HN13*HN14)+(HN15*HN16)+(HN17*HN18)+(HN19*HN20)+(HN21*HN22))/HN27</f>
        <v>6.1574829363367466E-2</v>
      </c>
      <c r="HO28" s="10">
        <f t="shared" si="207"/>
        <v>5.9609169957769048E-2</v>
      </c>
      <c r="HP28" s="10">
        <f t="shared" ref="HP28:HQ28" si="208">((HP11*HP12)+(HP13*HP14)+(HP15*HP16)+(HP17*HP18)+(HP19*HP20)+(HP21*HP22))/HP27</f>
        <v>6.0687737044580421E-2</v>
      </c>
      <c r="HQ28" s="10">
        <f t="shared" si="208"/>
        <v>6.0079794103757855E-2</v>
      </c>
      <c r="HR28" s="10">
        <f t="shared" ref="HR28:HS28" si="209">((HR11*HR12)+(HR13*HR14)+(HR15*HR16)+(HR17*HR18)+(HR19*HR20)+(HR21*HR22))/HR27</f>
        <v>6.0588059636428847E-2</v>
      </c>
      <c r="HS28" s="10">
        <f t="shared" si="209"/>
        <v>6.025735829966606E-2</v>
      </c>
      <c r="HT28" s="10" t="e">
        <f t="shared" ref="HT28:IA28" si="210">((HT11*HT12)+(HT13*HT14)+(HT15*HT16)+(HT17*HT18)+(HT19*HT20)+(HT21*HT22)+(HT23*HT24)+(HT25*HT26))/HT27</f>
        <v>#VALUE!</v>
      </c>
      <c r="HU28" s="10" t="e">
        <f t="shared" si="210"/>
        <v>#VALUE!</v>
      </c>
      <c r="HV28" s="10" t="e">
        <f t="shared" si="210"/>
        <v>#VALUE!</v>
      </c>
      <c r="HW28" s="10" t="e">
        <f t="shared" si="210"/>
        <v>#VALUE!</v>
      </c>
      <c r="HX28" s="10" t="e">
        <f t="shared" si="210"/>
        <v>#VALUE!</v>
      </c>
      <c r="HY28" s="10" t="e">
        <f t="shared" si="210"/>
        <v>#VALUE!</v>
      </c>
      <c r="HZ28" s="10" t="e">
        <f t="shared" si="210"/>
        <v>#VALUE!</v>
      </c>
      <c r="IA28" s="10" t="e">
        <f t="shared" si="210"/>
        <v>#VALUE!</v>
      </c>
      <c r="IB28" s="10">
        <f t="shared" ref="IB28:IG28" si="211">((IB11*IB12)+(IB13*IB14)+(IB15*IB16)+(IB17*IB18)+(IB19*IB20)+(IB21*IB22)+(IB23*IB24)+(IB25*IB26))/IB27</f>
        <v>5.9997341875303596E-2</v>
      </c>
      <c r="IC28" s="10">
        <f t="shared" si="211"/>
        <v>5.3982202766635776E-2</v>
      </c>
      <c r="ID28" s="10" t="e">
        <f t="shared" si="211"/>
        <v>#REF!</v>
      </c>
      <c r="IE28" s="10">
        <f t="shared" si="211"/>
        <v>5.6820555041508541E-2</v>
      </c>
      <c r="IF28" s="10">
        <f t="shared" si="211"/>
        <v>5.7025802450514092E-2</v>
      </c>
      <c r="IG28" s="10">
        <f t="shared" si="211"/>
        <v>5.7468988392767768E-2</v>
      </c>
      <c r="IH28" s="10">
        <f t="shared" ref="IH28" si="212">((IH11*IH12)+(IH13*IH14)+(IH15*IH16)+(IH17*IH18)+(IH19*IH20)+(IH21*IH22)+(IH23*IH24)+(IH25*IH26))/IH27</f>
        <v>5.6838104456064804E-2</v>
      </c>
      <c r="II28" s="10">
        <v>5.7445116949127822E-2</v>
      </c>
      <c r="IJ28" s="10">
        <v>6.4821790122123815E-2</v>
      </c>
      <c r="IK28" s="10">
        <v>6.1899752874302709E-2</v>
      </c>
      <c r="IL28" s="10">
        <v>5.2872145730174666E-2</v>
      </c>
      <c r="IM28" s="10">
        <v>5.758522182021919E-2</v>
      </c>
      <c r="IN28" s="10">
        <v>5.6311118163833357E-2</v>
      </c>
      <c r="IO28" s="10">
        <v>5.6146405228490195E-2</v>
      </c>
      <c r="IP28" s="10">
        <v>5.9392226332848255E-2</v>
      </c>
      <c r="IQ28" s="10">
        <v>5.8279453572668741E-2</v>
      </c>
      <c r="IR28" s="10">
        <v>5.7458199274466069E-2</v>
      </c>
      <c r="IS28" s="10">
        <v>5.7789511975242167E-2</v>
      </c>
      <c r="IT28" s="10">
        <v>5.4865648819396325E-2</v>
      </c>
      <c r="IU28" s="10">
        <v>5.6038068030285479E-2</v>
      </c>
      <c r="IV28" s="10">
        <v>5.7476504099634701E-2</v>
      </c>
      <c r="IW28" s="10">
        <v>5.6805522735493531E-2</v>
      </c>
      <c r="IX28" s="10">
        <v>5.6037910077515303E-2</v>
      </c>
      <c r="IY28" s="10">
        <v>5.6593728071110287E-2</v>
      </c>
      <c r="IZ28" s="10">
        <v>5.6295176657122005E-2</v>
      </c>
      <c r="JA28" s="10">
        <v>5.5869956043662551E-2</v>
      </c>
      <c r="JB28" s="10">
        <v>5.6230426457207744E-2</v>
      </c>
      <c r="JC28" s="10">
        <v>5.4959440938038742E-2</v>
      </c>
      <c r="JD28" s="10">
        <v>5.4757243421908609E-2</v>
      </c>
      <c r="JE28" s="10">
        <v>5.4919281359816476E-2</v>
      </c>
      <c r="JF28" s="10">
        <v>5.3942224531821154E-2</v>
      </c>
      <c r="JG28" s="10">
        <v>5.0474441281571747E-2</v>
      </c>
      <c r="JH28" s="10">
        <v>5.2759962235225E-2</v>
      </c>
      <c r="JI28" s="10">
        <v>5.1735697638465153E-2</v>
      </c>
      <c r="JJ28" s="10">
        <v>5.3276535796421456E-2</v>
      </c>
      <c r="JK28" s="10">
        <v>5.444458212579234E-2</v>
      </c>
      <c r="JL28" s="10">
        <v>5.2846292670120448E-2</v>
      </c>
      <c r="JM28" s="10">
        <v>5.4015569762791177E-2</v>
      </c>
      <c r="JN28" s="10">
        <v>5.4020031798766216E-2</v>
      </c>
      <c r="JO28" s="10">
        <v>5.3636709554147677E-2</v>
      </c>
      <c r="JP28" s="10">
        <v>5.3129341403109778E-2</v>
      </c>
      <c r="JQ28" s="10">
        <v>5.1737553260030739E-2</v>
      </c>
      <c r="JR28" s="10">
        <v>5.2148275100660516E-2</v>
      </c>
      <c r="JS28" s="10">
        <v>5.1476149523157308E-2</v>
      </c>
      <c r="JT28" s="10">
        <v>5.2263344045646941E-2</v>
      </c>
      <c r="JU28" s="10" t="e">
        <f t="shared" ref="JU28" si="213">((JU11*JU12)+(JU13*JU14)+(JU15*JU16)+(JU17*JU18)+(JU19*JU20)+(JU21*JU22)+(JU23*JU24)+(JU25*JU26))/JU27</f>
        <v>#REF!</v>
      </c>
      <c r="JV28" s="10">
        <v>5.2471105808295254E-2</v>
      </c>
      <c r="JW28" s="10">
        <v>5.3243513882304833E-2</v>
      </c>
      <c r="JX28" s="10">
        <v>5.3737327979250668E-2</v>
      </c>
      <c r="JY28" s="10">
        <v>4.2883105774767678E-2</v>
      </c>
      <c r="JZ28" s="10">
        <v>4.7769279296566103E-2</v>
      </c>
      <c r="KA28" s="10">
        <v>4.8643435164745494E-2</v>
      </c>
      <c r="KB28" s="10">
        <v>4.7847545046706491E-2</v>
      </c>
      <c r="KC28" s="10">
        <v>4.8788251805212519E-2</v>
      </c>
      <c r="KD28" s="10">
        <v>4.9228937563127587E-2</v>
      </c>
      <c r="KE28" s="10">
        <v>4.9533841360582143E-2</v>
      </c>
      <c r="KF28" s="10">
        <v>4.9240391792601083E-2</v>
      </c>
      <c r="KG28" s="10">
        <v>4.8369995058251132E-2</v>
      </c>
      <c r="KH28" s="10">
        <v>4.792567298932561E-2</v>
      </c>
      <c r="KI28" s="10">
        <v>4.7431060032369597E-2</v>
      </c>
      <c r="KJ28" s="10">
        <v>3.8999529319970791E-2</v>
      </c>
      <c r="KK28" s="10">
        <v>3.9052905001305781E-2</v>
      </c>
      <c r="KL28" s="10">
        <v>3.8100035657735516E-2</v>
      </c>
      <c r="KM28" s="10">
        <v>4.4773693259963221E-2</v>
      </c>
      <c r="KN28" s="10">
        <v>4.5411480486461979E-2</v>
      </c>
      <c r="KO28" s="10">
        <v>4.7417705591751513E-2</v>
      </c>
      <c r="KP28" s="10">
        <v>4.3677370009496952E-2</v>
      </c>
      <c r="KQ28" s="10">
        <v>4.366454604232918E-2</v>
      </c>
      <c r="KR28" s="10">
        <v>4.1907461118973741E-2</v>
      </c>
      <c r="KS28" s="10">
        <v>3.6992216282976345E-2</v>
      </c>
      <c r="KT28" s="10">
        <v>4.1707478853693997E-2</v>
      </c>
      <c r="KU28" s="10">
        <v>4.3606526011544994E-2</v>
      </c>
      <c r="KV28" s="10">
        <v>4.1716522118316994E-2</v>
      </c>
      <c r="KW28" s="10">
        <v>3.9961160798850613E-2</v>
      </c>
      <c r="KX28" s="10">
        <v>3.5142050331648973E-2</v>
      </c>
      <c r="KY28" s="10">
        <v>3.6762241946976498E-2</v>
      </c>
      <c r="KZ28" s="10">
        <v>3.766439643125491E-2</v>
      </c>
      <c r="LA28" s="10">
        <v>3.7630482996240833E-2</v>
      </c>
      <c r="LB28" s="10">
        <v>4.219333595981483E-2</v>
      </c>
      <c r="LC28" s="10">
        <v>3.7402948524946127E-2</v>
      </c>
      <c r="LD28" s="10">
        <v>3.6451925003549913E-2</v>
      </c>
      <c r="LE28" s="10">
        <v>3.9523494863098863E-2</v>
      </c>
      <c r="LF28" s="10">
        <v>3.9387303592694267E-2</v>
      </c>
      <c r="LG28" s="10">
        <v>3.8627829487582734E-2</v>
      </c>
      <c r="LH28" s="10">
        <v>3.8326263226028084E-2</v>
      </c>
      <c r="LI28" s="10">
        <v>3.9701621924827173E-2</v>
      </c>
      <c r="LJ28" s="10">
        <v>3.9273229574437678E-2</v>
      </c>
      <c r="LK28" s="10">
        <v>3.8880996944120685E-2</v>
      </c>
      <c r="LL28" s="10">
        <v>3.3771822814462366E-2</v>
      </c>
      <c r="LM28" s="10">
        <v>3.7883800677375311E-2</v>
      </c>
      <c r="LN28" s="10">
        <v>3.8028873622030099E-2</v>
      </c>
      <c r="LO28" s="10">
        <v>3.8306622708149864E-2</v>
      </c>
      <c r="LP28" s="10">
        <v>4.0741438978369723E-2</v>
      </c>
      <c r="LQ28" s="10">
        <f>((LQ11*LQ12)+(LQ13*LQ14)+(LQ15*LQ16)+(LQ17*LQ18)+(LQ19*LQ20)+(LQ21*LQ22)+(LQ23*LQ24)+(LQ25*LQ26))/LQ27</f>
        <v>3.9976187746767401E-2</v>
      </c>
      <c r="LR28" s="10">
        <f t="shared" ref="LR28" si="214">((LR11*LR12)+(LR13*LR14)+(LR15*LR16)+(LR17*LR18)+(LR19*LR20)+(LR21*LR22)+(LR23*LR24)+(LR25*LR26))/LR27</f>
        <v>4.029347977429009E-2</v>
      </c>
      <c r="LS28" s="10">
        <f t="shared" ref="LS28" si="215">((LS11*LS12)+(LS13*LS14)+(LS15*LS16)+(LS17*LS18)+(LS19*LS20)+(LS21*LS22)+(LS23*LS24)+(LS25*LS26))/LS27</f>
        <v>3.9739052426472216E-2</v>
      </c>
      <c r="LT28" s="10">
        <v>3.979337830758875E-2</v>
      </c>
      <c r="LU28" s="10">
        <v>3.6207913307617232E-2</v>
      </c>
      <c r="LV28" s="10">
        <v>3.5709232317024088E-2</v>
      </c>
      <c r="LW28" s="10">
        <v>4.1691120261562804E-2</v>
      </c>
      <c r="LX28" s="10">
        <v>3.7867023004113765E-2</v>
      </c>
      <c r="LY28" s="10">
        <v>3.7358789834740523E-2</v>
      </c>
      <c r="LZ28" s="10">
        <v>2.9044640089143332E-2</v>
      </c>
      <c r="MA28" s="10">
        <v>2.9694917133781626E-2</v>
      </c>
      <c r="MB28" s="10">
        <v>4.0108548820757005E-2</v>
      </c>
      <c r="MC28" s="10">
        <v>4.5765075949799297E-2</v>
      </c>
      <c r="MD28" s="10">
        <v>4.4524428581635647E-2</v>
      </c>
      <c r="ME28" s="10">
        <v>4.320232522281716E-2</v>
      </c>
      <c r="MF28" s="10">
        <v>5.2360224900028646E-2</v>
      </c>
      <c r="MG28" s="10">
        <v>4.4587577149247125E-2</v>
      </c>
      <c r="MH28" s="10">
        <v>5.4746343804979093E-2</v>
      </c>
      <c r="MI28" s="10">
        <v>5.447439258671518E-2</v>
      </c>
      <c r="MJ28" s="10">
        <v>5.5918951334002265E-2</v>
      </c>
      <c r="MK28" s="10">
        <v>5.8729725042813749E-2</v>
      </c>
      <c r="ML28" s="10">
        <v>5.9592746003407401E-2</v>
      </c>
      <c r="MM28" s="10">
        <v>5.8259447700841162E-2</v>
      </c>
      <c r="MN28" s="10">
        <v>5.2595873558933963E-2</v>
      </c>
      <c r="MO28" s="10">
        <v>5.5975139008460885E-2</v>
      </c>
      <c r="MP28" s="10">
        <v>5.2861961580158004E-2</v>
      </c>
      <c r="MQ28" s="10">
        <v>5.4498458170808319E-2</v>
      </c>
      <c r="MR28" s="10">
        <v>6.1198214775588018E-2</v>
      </c>
      <c r="MS28" s="10">
        <v>6.5903159841991812E-2</v>
      </c>
      <c r="MT28" s="10">
        <v>6.7688838291474873E-2</v>
      </c>
      <c r="MU28" s="10">
        <v>6.2259944716933427E-2</v>
      </c>
      <c r="MV28" s="10">
        <v>6.3771229745322275E-2</v>
      </c>
      <c r="MW28" s="10">
        <v>5.8820082119211727E-2</v>
      </c>
      <c r="MX28" s="10">
        <v>6.4946538150156663E-2</v>
      </c>
      <c r="MY28" s="10">
        <v>6.0573557891207906E-2</v>
      </c>
      <c r="MZ28" s="10">
        <v>6.7467627542742728E-2</v>
      </c>
      <c r="NA28" s="10">
        <v>6.4821378007800842E-2</v>
      </c>
      <c r="NB28" s="10">
        <v>6.5149077521916343E-2</v>
      </c>
      <c r="NC28" s="10">
        <v>6.4828652951128579E-2</v>
      </c>
      <c r="ND28" s="10">
        <v>5.9516294255266812E-2</v>
      </c>
      <c r="NE28" s="10">
        <v>5.9642333942235136E-2</v>
      </c>
      <c r="NF28" s="10">
        <v>6.37212583172104E-2</v>
      </c>
      <c r="NG28" s="10">
        <v>6.7357822695668701E-2</v>
      </c>
      <c r="NH28" s="10">
        <v>6.5544968658042616E-2</v>
      </c>
      <c r="NI28" s="10">
        <v>6.6486981944923182E-2</v>
      </c>
      <c r="NJ28" s="10">
        <v>6.9362972551592725E-2</v>
      </c>
      <c r="NK28" s="10">
        <v>7.1725378597588443E-2</v>
      </c>
      <c r="NL28" s="10">
        <v>7.1329675566512832E-2</v>
      </c>
      <c r="NM28" s="10">
        <v>7.4643299670946531E-2</v>
      </c>
      <c r="NN28" s="10">
        <v>7.6876181071005523E-2</v>
      </c>
      <c r="NO28" s="10">
        <v>7.5649559612847417E-2</v>
      </c>
      <c r="NP28" s="10">
        <v>7.1290058370180487E-2</v>
      </c>
      <c r="NQ28" s="10">
        <v>7.494904863492291E-2</v>
      </c>
      <c r="NR28" s="10">
        <v>7.6143661012715427E-2</v>
      </c>
      <c r="NS28" s="10">
        <v>7.4686824249501918E-2</v>
      </c>
      <c r="NT28" s="10">
        <v>7.4322745129395171E-2</v>
      </c>
      <c r="NU28" s="10">
        <v>7.3823670767464683E-2</v>
      </c>
      <c r="NV28" s="10">
        <v>7.4811269645513115E-2</v>
      </c>
      <c r="NW28" s="10">
        <v>7.5489495111124141E-2</v>
      </c>
      <c r="NX28" s="10">
        <v>7.2161178020239622E-2</v>
      </c>
      <c r="NY28" s="10">
        <v>7.7226686581883836E-2</v>
      </c>
      <c r="NZ28" s="10">
        <v>7.7521509492880281E-2</v>
      </c>
      <c r="OA28" s="10">
        <v>7.2613103976287077E-2</v>
      </c>
      <c r="OB28" s="10">
        <v>7.4856860450966969E-2</v>
      </c>
      <c r="OC28" s="10">
        <v>7.8507213519941138E-2</v>
      </c>
      <c r="OD28" s="10">
        <v>7.6728774892642224E-2</v>
      </c>
      <c r="OE28" s="10">
        <v>7.6351308995316045E-2</v>
      </c>
      <c r="OF28" s="10">
        <v>7.2522500861627204E-2</v>
      </c>
      <c r="OG28" s="10">
        <v>7.6081347993671569E-2</v>
      </c>
      <c r="OH28" s="10">
        <v>8.089092979139538E-2</v>
      </c>
      <c r="OI28" s="10">
        <v>7.4829001011281204E-2</v>
      </c>
      <c r="OJ28" s="10">
        <v>7.7046450492570084E-2</v>
      </c>
      <c r="OK28" s="10">
        <v>7.4832581120033229E-2</v>
      </c>
      <c r="OL28" s="10">
        <v>7.8771916451436441E-2</v>
      </c>
      <c r="OM28" s="10">
        <v>8.0303261200563386E-2</v>
      </c>
      <c r="ON28" s="10">
        <v>7.7224992275509663E-2</v>
      </c>
      <c r="OO28" s="10">
        <v>7.6356385989643394E-2</v>
      </c>
      <c r="OP28" s="10">
        <v>7.2808370318208526E-2</v>
      </c>
      <c r="OQ28" s="10">
        <v>6.929011998462882E-2</v>
      </c>
      <c r="OR28" s="10">
        <v>9.5712611389753094E-2</v>
      </c>
      <c r="OS28" s="10">
        <v>8.6045548354625689E-2</v>
      </c>
      <c r="OT28" s="10">
        <v>7.7589817240510006E-2</v>
      </c>
      <c r="OU28" s="10">
        <v>7.6809156384228347E-2</v>
      </c>
      <c r="OV28" s="10">
        <v>7.8474672329901352E-2</v>
      </c>
      <c r="OW28" s="10">
        <v>7.9426729764972268E-2</v>
      </c>
      <c r="OX28" s="10">
        <v>7.3708649854162644E-2</v>
      </c>
      <c r="OY28" s="10">
        <v>7.5357559506738739E-2</v>
      </c>
      <c r="OZ28" s="10">
        <v>7.2096780297256802E-2</v>
      </c>
      <c r="PA28" s="10">
        <v>6.8643542847913241E-2</v>
      </c>
      <c r="PB28" s="10">
        <v>6.9685557406533788E-2</v>
      </c>
      <c r="PC28" s="10">
        <v>7.5027964834853855E-2</v>
      </c>
      <c r="PD28" s="10">
        <v>8.1809791282544869E-2</v>
      </c>
      <c r="PE28" s="10">
        <v>7.8839210346754354E-2</v>
      </c>
      <c r="PF28" s="10">
        <v>7.7070378087136945E-2</v>
      </c>
      <c r="PG28" s="10">
        <v>7.5924006534500141E-2</v>
      </c>
      <c r="PH28" s="10">
        <v>7.8071613030856982E-2</v>
      </c>
      <c r="PI28" s="10">
        <v>7.8166060886294617E-2</v>
      </c>
      <c r="PJ28" s="10">
        <v>7.5319979024238162E-2</v>
      </c>
      <c r="PK28" s="10">
        <v>7.8004075008411819E-2</v>
      </c>
      <c r="PL28" s="10">
        <v>8.3180568035121458E-2</v>
      </c>
      <c r="PM28" s="10">
        <v>8.2904902502805161E-2</v>
      </c>
      <c r="PN28" s="10">
        <v>7.7848713915184456E-2</v>
      </c>
      <c r="PO28" s="10">
        <v>8.2334249476367943E-2</v>
      </c>
      <c r="PP28" s="10">
        <v>6.8713580566343621E-2</v>
      </c>
      <c r="PQ28" s="10">
        <v>7.7860882580519819E-2</v>
      </c>
      <c r="PR28" s="10">
        <v>7.4383942442292114E-2</v>
      </c>
      <c r="PS28" s="10">
        <v>6.5071367375300865E-2</v>
      </c>
      <c r="PT28" s="10">
        <v>7.4681260539017552E-2</v>
      </c>
      <c r="PU28" s="10">
        <v>8.5859955082366227E-2</v>
      </c>
      <c r="PV28" s="10">
        <v>8.3859031360571115E-2</v>
      </c>
      <c r="PW28" s="10">
        <v>9.1329501621563655E-2</v>
      </c>
      <c r="PX28" s="10">
        <v>0.10184528013948334</v>
      </c>
      <c r="PY28" s="10">
        <v>0.10187536777074978</v>
      </c>
      <c r="PZ28" s="10">
        <v>9.4622739733376454E-2</v>
      </c>
      <c r="QA28" s="10">
        <v>8.9905156997804839E-2</v>
      </c>
      <c r="QB28" s="10">
        <v>8.9536201286842657E-2</v>
      </c>
      <c r="QC28" s="10">
        <v>9.3781357990455921E-2</v>
      </c>
      <c r="QD28" s="10">
        <v>8.7403816588185038E-2</v>
      </c>
      <c r="QE28" s="10">
        <v>8.4293624577396697E-2</v>
      </c>
      <c r="QF28" s="10">
        <v>7.9128433540227028E-2</v>
      </c>
      <c r="QG28" s="10">
        <v>8.803901956544348E-2</v>
      </c>
      <c r="QH28" s="10">
        <v>9.2565280672619363E-2</v>
      </c>
      <c r="QI28" s="10">
        <v>9.4453923236323525E-2</v>
      </c>
      <c r="QJ28" s="10">
        <v>8.8700963465419128E-2</v>
      </c>
      <c r="QK28" s="10">
        <v>8.3961521361282015E-2</v>
      </c>
      <c r="QL28" s="10">
        <v>8.3086634471101706E-2</v>
      </c>
      <c r="QM28" s="10">
        <v>9.2512833799391833E-2</v>
      </c>
      <c r="QN28" s="10">
        <v>8.5681350331868328E-2</v>
      </c>
      <c r="QO28" s="10">
        <v>8.1579702566572404E-2</v>
      </c>
      <c r="QP28" s="10">
        <v>8.1592790101533322E-2</v>
      </c>
      <c r="QQ28" s="10">
        <v>8.5129333175971073E-2</v>
      </c>
      <c r="QR28" s="10">
        <v>9.0432678434264488E-2</v>
      </c>
      <c r="QS28" s="10">
        <v>8.9899336232118585E-2</v>
      </c>
      <c r="QT28" s="10">
        <v>8.2073358930785767E-2</v>
      </c>
      <c r="QU28" s="10">
        <v>8.11814947751026E-2</v>
      </c>
      <c r="QV28" s="10">
        <v>8.0717504185660496E-2</v>
      </c>
      <c r="QW28" s="10">
        <v>8.0519629441180976E-2</v>
      </c>
      <c r="QX28" s="10">
        <v>8.782540806989092E-2</v>
      </c>
      <c r="QY28" s="10">
        <v>8.6071224607167304E-2</v>
      </c>
      <c r="QZ28" s="10">
        <v>8.8267097576603046E-2</v>
      </c>
      <c r="RA28" s="10">
        <v>8.9171201242084039E-2</v>
      </c>
      <c r="RB28" s="10">
        <v>8.3440503048971021E-2</v>
      </c>
      <c r="RC28" s="10">
        <v>8.5792314080720453E-2</v>
      </c>
      <c r="RD28" s="10">
        <v>8.7170228645526843E-2</v>
      </c>
      <c r="RE28" s="10">
        <v>7.4091635549166118E-2</v>
      </c>
      <c r="RF28" s="10">
        <v>0.14322669000926955</v>
      </c>
      <c r="RG28" s="10">
        <f>((RG11*RG12)+(RG13*RG14)+(RG15*RG16)+(RG17*RG18)+(RG19*RG20)+(RG21*RG22)+(RG23*RG24)+(RG25*RG26))/RG27</f>
        <v>8.4126616255264311E-2</v>
      </c>
      <c r="RH28" s="10">
        <v>8.712616859601606E-2</v>
      </c>
      <c r="RI28" s="10">
        <v>8.7217573712204635E-2</v>
      </c>
      <c r="RJ28" s="10">
        <v>8.6463591679101268E-2</v>
      </c>
      <c r="RK28" s="10">
        <v>7.5588078058972524E-2</v>
      </c>
      <c r="RL28" s="10">
        <v>8.3781553569223552E-2</v>
      </c>
      <c r="RM28" s="10">
        <v>8.2050749245594412E-2</v>
      </c>
      <c r="RN28" s="10">
        <v>8.1659620383582057E-2</v>
      </c>
      <c r="RO28" s="10">
        <v>8.1578749684645874E-2</v>
      </c>
      <c r="RP28" s="10">
        <v>8.3242748111425818E-2</v>
      </c>
      <c r="RQ28" s="10">
        <v>8.3660556904744637E-2</v>
      </c>
      <c r="RR28" s="10">
        <v>8.025136598486407E-2</v>
      </c>
      <c r="RS28" s="10">
        <v>8.3115127455682947E-2</v>
      </c>
      <c r="RT28" s="10">
        <v>8.2869939713890464E-2</v>
      </c>
      <c r="RU28" s="10">
        <v>8.3539142410632122E-2</v>
      </c>
      <c r="RV28" s="10">
        <v>8.2615747585239249E-2</v>
      </c>
      <c r="RW28" s="10">
        <v>8.8066879011802421E-2</v>
      </c>
      <c r="RX28" s="10">
        <v>8.8891005326744418E-2</v>
      </c>
      <c r="RY28" s="10">
        <v>8.8920939628352791E-2</v>
      </c>
      <c r="RZ28" s="10">
        <v>8.680308126056846E-2</v>
      </c>
      <c r="SA28" s="10">
        <v>9.1307893111652022E-2</v>
      </c>
      <c r="SB28" s="10">
        <v>9.3219259822452258E-2</v>
      </c>
      <c r="SC28" s="10">
        <v>9.4595187505679496E-2</v>
      </c>
      <c r="SD28" s="10">
        <v>9.4308306692056448E-2</v>
      </c>
      <c r="SE28" s="10">
        <v>9.4201949155193629E-2</v>
      </c>
      <c r="SF28" s="10">
        <f>((SF11*SF12)+(SF13*SF14)+(SF15*SF16)+(SF17*SF18)+(SF19*SF20)+(SF21*SF22)+(SF23*SF24)+(SF25*SF26))/SF27</f>
        <v>0.10331856922234355</v>
      </c>
      <c r="SG28" s="10">
        <v>9.4894190261540196E-2</v>
      </c>
      <c r="SH28" s="10">
        <v>9.5704692728637478E-2</v>
      </c>
      <c r="SI28" s="10">
        <v>9.6673042767256648E-2</v>
      </c>
      <c r="SJ28" s="10">
        <v>9.6688279909881214E-2</v>
      </c>
      <c r="SK28" s="10">
        <v>9.7777793524485151E-2</v>
      </c>
      <c r="SL28" s="10">
        <v>9.6183535791480937E-2</v>
      </c>
      <c r="SM28" s="10">
        <v>9.8434446638429346E-2</v>
      </c>
      <c r="SN28" s="10">
        <v>9.8801201258506305E-2</v>
      </c>
      <c r="SO28" s="10">
        <v>5.8601477123369612E-2</v>
      </c>
      <c r="SP28" s="10">
        <v>5.0248192196945561E-2</v>
      </c>
      <c r="SQ28" s="10">
        <v>5.584676012914961E-2</v>
      </c>
      <c r="SR28" s="10">
        <v>7.3921353836862227E-2</v>
      </c>
      <c r="SS28" s="10">
        <v>8.1727466304838639E-2</v>
      </c>
      <c r="ST28" s="10">
        <v>8.4954528634186607E-2</v>
      </c>
      <c r="SU28" s="10">
        <v>7.5180581908879093E-2</v>
      </c>
      <c r="SV28" s="10">
        <v>8.3149180575008211E-2</v>
      </c>
      <c r="SW28" s="10">
        <v>7.7499546359702506E-2</v>
      </c>
      <c r="SX28" s="10">
        <v>9.2597880425584714E-2</v>
      </c>
      <c r="SY28" s="10">
        <v>9.113364677853858E-2</v>
      </c>
      <c r="SZ28" s="10">
        <v>8.9928097208840096E-2</v>
      </c>
      <c r="TA28" s="10">
        <v>8.9325915380164711E-2</v>
      </c>
      <c r="TB28" s="10">
        <v>8.0474219704707001E-2</v>
      </c>
      <c r="TC28" s="10">
        <v>8.184394532151397E-2</v>
      </c>
      <c r="TD28" s="10">
        <v>8.9896760988701849E-2</v>
      </c>
      <c r="TE28" s="10">
        <f>((TE11*TE12)+(TE13*TE14)+(TE15*TE16)+(TE17*TE18)+(TE19*TE20)+(TE21*TE22)+(TE23*TE24)+(TE25*TE26))/TE27</f>
        <v>8.0892571146352954E-2</v>
      </c>
      <c r="TF28" s="10">
        <v>8.3074519901458005E-2</v>
      </c>
      <c r="TG28" s="10">
        <v>8.1190051491658782E-2</v>
      </c>
      <c r="TH28" s="10">
        <v>8.0995723158913499E-2</v>
      </c>
      <c r="TI28" s="10">
        <v>8.6663163757134051E-2</v>
      </c>
      <c r="TJ28" s="10">
        <v>8.7601066178225301E-2</v>
      </c>
      <c r="TK28" s="10">
        <v>8.2334736136617917E-2</v>
      </c>
      <c r="TL28" s="10">
        <v>8.2355756348433853E-2</v>
      </c>
      <c r="TM28" s="10">
        <v>8.5530453107025145E-2</v>
      </c>
      <c r="TN28" s="10">
        <v>8.4848965404462587E-2</v>
      </c>
      <c r="TO28" s="10">
        <v>8.4848108510621023E-2</v>
      </c>
      <c r="TP28" s="10">
        <v>8.470190707802E-2</v>
      </c>
      <c r="TQ28" s="10">
        <v>8.2895362341579834E-2</v>
      </c>
      <c r="TR28" s="10">
        <v>8.4692734249814855E-2</v>
      </c>
      <c r="TS28" s="10">
        <v>8.4463924656293626E-2</v>
      </c>
      <c r="TT28" s="10">
        <v>8.3895568964289666E-2</v>
      </c>
      <c r="TU28" s="10">
        <v>8.6722662085895616E-2</v>
      </c>
      <c r="TV28" s="10">
        <v>8.4657310464038252E-2</v>
      </c>
      <c r="TW28" s="10">
        <v>8.2482297231993379E-2</v>
      </c>
      <c r="TX28" s="10">
        <v>8.234811223558175E-2</v>
      </c>
      <c r="TY28" s="10">
        <v>8.0523037221704882E-2</v>
      </c>
      <c r="TZ28" s="10">
        <v>7.8517706441633819E-2</v>
      </c>
      <c r="UA28" s="10">
        <v>7.9479265472206323E-2</v>
      </c>
      <c r="UB28" s="10">
        <v>7.8343063030815868E-2</v>
      </c>
      <c r="UC28" s="10">
        <v>8.7285171071410858E-2</v>
      </c>
      <c r="UD28" s="10">
        <v>9.6744845217771339E-2</v>
      </c>
      <c r="UE28" s="10">
        <v>9.7096755753783931E-2</v>
      </c>
      <c r="UF28" s="10">
        <v>9.6252605588970336E-2</v>
      </c>
      <c r="UG28" s="10">
        <v>9.5910398876366335E-2</v>
      </c>
      <c r="UH28" s="10">
        <v>9.3945698512652429E-2</v>
      </c>
      <c r="UI28" s="10">
        <v>9.4278274523656017E-2</v>
      </c>
      <c r="UJ28" s="10">
        <v>0.10842299494972188</v>
      </c>
      <c r="UK28" s="10">
        <v>0.10479021313402098</v>
      </c>
      <c r="UL28" s="10">
        <v>9.8776763843816298E-2</v>
      </c>
      <c r="UM28" s="10">
        <v>0.10585824082733056</v>
      </c>
      <c r="UN28" s="10">
        <v>0.10007090774768163</v>
      </c>
      <c r="UO28" s="10">
        <v>0.11857505292043602</v>
      </c>
      <c r="UP28" s="10">
        <v>9.6445585987088009E-2</v>
      </c>
      <c r="UQ28" s="10">
        <v>9.7331451647516706E-2</v>
      </c>
      <c r="UR28" s="10">
        <v>9.369915737999257E-2</v>
      </c>
      <c r="US28" s="10">
        <v>9.8263000161029915E-2</v>
      </c>
      <c r="UT28" s="10">
        <v>9.8339268588238868E-2</v>
      </c>
      <c r="UU28" s="10">
        <v>9.7923865341828287E-2</v>
      </c>
      <c r="UV28" s="10">
        <v>0.11568165297546974</v>
      </c>
      <c r="UW28" s="10">
        <v>9.8185233420150675E-2</v>
      </c>
      <c r="UX28" s="10">
        <v>9.4844235967889545E-2</v>
      </c>
      <c r="UY28" s="10">
        <v>9.6116262460360674E-2</v>
      </c>
      <c r="UZ28" s="10">
        <v>9.135511138219661E-2</v>
      </c>
      <c r="VA28" s="10">
        <v>8.6002124422389498E-2</v>
      </c>
      <c r="VB28" s="10">
        <v>9.7438363468851999E-2</v>
      </c>
      <c r="VC28" s="10">
        <v>8.7669321514008233E-2</v>
      </c>
      <c r="VD28" s="10">
        <v>9.6323616391260136E-2</v>
      </c>
      <c r="VE28" s="10">
        <v>0.10616007735679239</v>
      </c>
      <c r="VF28" s="10">
        <v>9.595250186400979E-2</v>
      </c>
      <c r="VG28" s="10">
        <v>9.5221191162984498E-2</v>
      </c>
      <c r="VH28" s="10">
        <v>9.4328780403752657E-2</v>
      </c>
      <c r="VI28" s="10">
        <v>9.8567103581326421E-2</v>
      </c>
      <c r="VJ28" s="10">
        <f>((VJ11*VJ12)+(VJ13*VJ14)+(VJ15*VJ16)+(VJ17*VJ18)+(VJ19*VJ20)+(VJ21*VJ22)+(VJ23*VJ24)+(VJ25*VJ26))/VJ27</f>
        <v>8.7778270877166539E-2</v>
      </c>
      <c r="VK28" s="10">
        <v>9.4692166051512788E-2</v>
      </c>
      <c r="VL28" s="10">
        <v>9.4015399430641619E-2</v>
      </c>
      <c r="VM28" s="10">
        <v>0.10479149795945732</v>
      </c>
      <c r="VN28" s="10">
        <v>0.11172820170709609</v>
      </c>
      <c r="VO28" s="10">
        <v>0.1127759364922493</v>
      </c>
      <c r="VP28" s="10">
        <v>0.11261102836941655</v>
      </c>
      <c r="VQ28" s="10">
        <v>0.10560846838635803</v>
      </c>
      <c r="VR28" s="10">
        <v>0.10825935980945027</v>
      </c>
      <c r="VS28" s="10">
        <v>0.10742535399774633</v>
      </c>
      <c r="VT28" s="10">
        <v>0.10932288224052129</v>
      </c>
      <c r="VU28" s="10">
        <v>0.10784089475768675</v>
      </c>
      <c r="VV28" s="10">
        <v>0.16062040503204522</v>
      </c>
      <c r="VW28" s="10">
        <v>0.10593388986010389</v>
      </c>
      <c r="VX28" s="10">
        <v>9.682022392602771E-2</v>
      </c>
      <c r="VY28" s="10">
        <v>9.2566103647142503E-2</v>
      </c>
      <c r="VZ28" s="10">
        <v>9.5619230794129983E-2</v>
      </c>
      <c r="WA28" s="10">
        <v>9.4595660898429357E-2</v>
      </c>
      <c r="WB28" s="10">
        <v>0.11118692346749354</v>
      </c>
      <c r="WC28" s="10">
        <v>0.11319710133158831</v>
      </c>
      <c r="WD28" s="10">
        <v>9.6503492430729892E-2</v>
      </c>
      <c r="WE28" s="10">
        <v>8.5922341940422281E-2</v>
      </c>
      <c r="WF28" s="10">
        <v>6.419626745785259E-2</v>
      </c>
      <c r="WG28" s="10">
        <v>7.0597500947595496E-2</v>
      </c>
      <c r="WH28" s="10">
        <v>9.4153044520863871E-2</v>
      </c>
      <c r="WI28" s="10">
        <v>7.2733063532752704E-2</v>
      </c>
      <c r="WJ28" s="10">
        <v>7.1118783947897224E-2</v>
      </c>
      <c r="WK28" s="10">
        <v>9.1924914756119983E-2</v>
      </c>
      <c r="WL28" s="10">
        <v>8.8448127533500315E-2</v>
      </c>
      <c r="WM28" s="10">
        <v>8.9476099063686754E-2</v>
      </c>
      <c r="WN28" s="10">
        <v>7.9995594029492509E-2</v>
      </c>
      <c r="WO28" s="10">
        <v>9.3820896993640657E-2</v>
      </c>
      <c r="WP28" s="10">
        <v>8.9363955805140907E-2</v>
      </c>
      <c r="WQ28" s="10">
        <v>9.1160474756283555E-2</v>
      </c>
      <c r="WR28" s="10">
        <f>((WR11*WR12)+(WR13*WR14)+(WR15*WR16)+(WR17*WR18)+(WR19*WR20)+(WR21*WR22)+(WR23*WR24)+(WR25*WR26))/WR27</f>
        <v>9.9000123968148557E-2</v>
      </c>
      <c r="WS28" s="10">
        <v>9.2985445438738032E-2</v>
      </c>
      <c r="WT28" s="10">
        <v>5.9914958346758453E-2</v>
      </c>
      <c r="WU28" s="10">
        <v>7.157744950874953E-2</v>
      </c>
      <c r="WV28" s="10">
        <v>7.113004669914065E-2</v>
      </c>
      <c r="WW28" s="10">
        <v>6.7281724695437722E-2</v>
      </c>
      <c r="WX28" s="10">
        <v>7.5450132910790391E-2</v>
      </c>
      <c r="WY28" s="10">
        <v>7.5656479030414711E-2</v>
      </c>
      <c r="WZ28" s="10">
        <v>8.0016089832437784E-2</v>
      </c>
      <c r="XA28" s="10">
        <v>7.5979553534460453E-2</v>
      </c>
      <c r="XB28" s="10">
        <v>7.4196313294676727E-2</v>
      </c>
      <c r="XC28" s="10">
        <v>9.1535996986462101E-2</v>
      </c>
      <c r="XD28" s="10">
        <v>9.0869758211662002E-2</v>
      </c>
      <c r="XE28" s="10">
        <v>8.1435557460365571E-2</v>
      </c>
      <c r="XF28" s="10">
        <v>6.6663560390093635E-2</v>
      </c>
      <c r="XG28" s="10">
        <v>0.12865830191335223</v>
      </c>
      <c r="XH28" s="10">
        <v>7.5918042630525623E-2</v>
      </c>
      <c r="XI28" s="10">
        <v>8.526891705026575E-2</v>
      </c>
      <c r="XJ28" s="10">
        <v>7.2549305423083674E-2</v>
      </c>
      <c r="XK28" s="10">
        <v>8.1972268637437118E-2</v>
      </c>
      <c r="XL28" s="10">
        <v>8.2769934290799443E-2</v>
      </c>
      <c r="XM28" s="10">
        <v>6.5552524398080236E-2</v>
      </c>
      <c r="XN28" s="10">
        <v>7.7067513399873722E-2</v>
      </c>
      <c r="XO28" s="10">
        <v>8.8726462659100211E-2</v>
      </c>
      <c r="XP28" s="10">
        <v>8.4653456204857411E-2</v>
      </c>
      <c r="XQ28" s="10">
        <v>8.697962637256211E-2</v>
      </c>
      <c r="XR28" s="10">
        <v>8.6434277996226772E-2</v>
      </c>
      <c r="XS28" s="10">
        <v>8.296323944477911E-2</v>
      </c>
      <c r="XT28" s="10">
        <f>((XT11*XT12)+(XT13*XT14)+(XT15*XT16)+(XT17*XT18)+(XT19*XT20)+(XT21*XT22)+(XT23*XT24)+(XT25*XT26))/XT27</f>
        <v>0.10506002366874184</v>
      </c>
      <c r="XU28" s="10">
        <v>8.6326468050552926E-2</v>
      </c>
      <c r="XV28" s="10">
        <v>8.5661398040353054E-2</v>
      </c>
      <c r="XW28" s="10">
        <v>0.106930022179514</v>
      </c>
      <c r="XX28" s="10">
        <v>8.3578963863146449E-2</v>
      </c>
      <c r="XY28" s="10">
        <v>9.9591430607326323E-2</v>
      </c>
      <c r="XZ28" s="10">
        <v>9.4571897854238529E-2</v>
      </c>
      <c r="YA28" s="10">
        <v>9.4359011660574241E-2</v>
      </c>
      <c r="YB28" s="10">
        <v>9.1239076490876925E-2</v>
      </c>
      <c r="YC28" s="10">
        <v>9.6385594017649831E-2</v>
      </c>
      <c r="YD28" s="10">
        <v>0.1128885290935055</v>
      </c>
      <c r="YE28" s="10">
        <v>0.10319207725895684</v>
      </c>
      <c r="YF28" s="10">
        <v>8.1706333893181535E-2</v>
      </c>
      <c r="YG28" s="10">
        <v>0.10665286014944063</v>
      </c>
      <c r="YH28" s="10">
        <v>0.1045797071480201</v>
      </c>
      <c r="YI28" s="10">
        <v>9.3979823724758216E-2</v>
      </c>
      <c r="YJ28" s="10">
        <v>0.10637731430755402</v>
      </c>
      <c r="YK28" s="10">
        <v>0.1026558526676498</v>
      </c>
      <c r="YL28" s="10">
        <v>8.4282407868694939E-2</v>
      </c>
      <c r="YM28" s="10">
        <f>((YM11*YM12)+(YM13*YM14)+(YM15*YM16)+(YM17*YM18)+(YM19*YM20)+(YM21*YM22)+(YM23*YM24)+(YM25*YM26))/YM27</f>
        <v>8.9415932499810447E-2</v>
      </c>
      <c r="YN28" s="10">
        <v>6.4098371745910959E-2</v>
      </c>
      <c r="YO28" s="10">
        <v>6.2874192007264212E-2</v>
      </c>
      <c r="YP28" s="10">
        <v>0.11045267121664593</v>
      </c>
      <c r="YQ28" s="10">
        <v>0.10637641209811391</v>
      </c>
      <c r="YR28" s="10">
        <v>0.10956830122040132</v>
      </c>
      <c r="YS28" s="10">
        <v>9.9983632369948353E-2</v>
      </c>
      <c r="YT28" s="10">
        <v>0.11474727615748841</v>
      </c>
      <c r="YU28" s="10">
        <v>0.11196714055363452</v>
      </c>
      <c r="YV28" s="10">
        <v>0.11575457957361884</v>
      </c>
      <c r="YW28" s="10">
        <v>0.11170982944956692</v>
      </c>
      <c r="YX28" s="10">
        <v>0.10772172056229179</v>
      </c>
      <c r="YY28" s="10">
        <v>0.1160226891247062</v>
      </c>
      <c r="YZ28" s="10">
        <v>7.2274068207942965E-2</v>
      </c>
      <c r="ZA28" s="10">
        <v>0.11222995121122684</v>
      </c>
      <c r="ZB28" s="10">
        <v>9.687170791012828E-2</v>
      </c>
      <c r="ZC28" s="10">
        <v>0.10201412924395506</v>
      </c>
      <c r="ZD28" s="10">
        <f>((ZD11*ZD12)+(ZD13*ZD14)+(ZD15*ZD16)+(ZD17*ZD18)+(ZD19*ZD20)+(ZD21*ZD22)+(ZD23*ZD24)+(ZD25*ZD26))/ZD27</f>
        <v>9.6843945412767363E-2</v>
      </c>
    </row>
    <row r="29" spans="1:680">
      <c r="A29" s="1321" t="s">
        <v>18</v>
      </c>
      <c r="B29" s="1321"/>
      <c r="C29" s="1321"/>
      <c r="D29" s="16">
        <f t="shared" ref="D29:I29" si="216">+D13+D15+D17+D19+D21+D27</f>
        <v>74.654924988495168</v>
      </c>
      <c r="E29" s="16">
        <f t="shared" si="216"/>
        <v>55.646281768525199</v>
      </c>
      <c r="F29" s="16">
        <f t="shared" si="216"/>
        <v>64.614040273862258</v>
      </c>
      <c r="G29" s="16">
        <f t="shared" si="216"/>
        <v>63.320563357807053</v>
      </c>
      <c r="H29" s="16">
        <f t="shared" si="216"/>
        <v>61.332256982717766</v>
      </c>
      <c r="I29" s="16">
        <f t="shared" si="216"/>
        <v>62.627842953218035</v>
      </c>
      <c r="J29" s="16">
        <f t="shared" ref="J29:Q29" si="217">4500/J7</f>
        <v>38.764798461812795</v>
      </c>
      <c r="K29" s="16">
        <f t="shared" si="217"/>
        <v>37.382090655723403</v>
      </c>
      <c r="L29" s="16">
        <f t="shared" si="217"/>
        <v>38.543335985685864</v>
      </c>
      <c r="M29" s="16">
        <f t="shared" si="217"/>
        <v>39.063754651842117</v>
      </c>
      <c r="N29" s="16">
        <f t="shared" si="217"/>
        <v>40.365152136258402</v>
      </c>
      <c r="O29" s="16">
        <f t="shared" si="217"/>
        <v>41.646576049887045</v>
      </c>
      <c r="P29" s="16">
        <f t="shared" si="217"/>
        <v>42.938439636187375</v>
      </c>
      <c r="Q29" s="16">
        <f t="shared" si="217"/>
        <v>43.289043831599848</v>
      </c>
      <c r="R29" s="16">
        <f t="shared" ref="R29:X29" si="218">4500/R7</f>
        <v>42.987374130580356</v>
      </c>
      <c r="S29" s="16">
        <f t="shared" si="218"/>
        <v>43.238423392563568</v>
      </c>
      <c r="T29" s="16">
        <f t="shared" si="218"/>
        <v>43.62079762082476</v>
      </c>
      <c r="U29" s="16">
        <f t="shared" si="218"/>
        <v>46.852647382811121</v>
      </c>
      <c r="V29" s="16">
        <f t="shared" si="218"/>
        <v>47.040720538396727</v>
      </c>
      <c r="W29" s="16">
        <f t="shared" si="218"/>
        <v>48.019207683073226</v>
      </c>
      <c r="X29" s="16">
        <f t="shared" si="218"/>
        <v>52.15317270928778</v>
      </c>
      <c r="Y29" s="16">
        <f t="shared" ref="Y29:AD29" si="219">4500/Y7</f>
        <v>53.517210540274078</v>
      </c>
      <c r="Z29" s="16">
        <f t="shared" si="219"/>
        <v>53.95055970708443</v>
      </c>
      <c r="AA29" s="16">
        <f t="shared" si="219"/>
        <v>53.938402344522558</v>
      </c>
      <c r="AB29" s="16">
        <f t="shared" si="219"/>
        <v>53.832129886162988</v>
      </c>
      <c r="AC29" s="16">
        <f t="shared" si="219"/>
        <v>53.987906708897206</v>
      </c>
      <c r="AD29" s="16">
        <f t="shared" si="219"/>
        <v>54.481925318598194</v>
      </c>
      <c r="AE29" s="16">
        <f t="shared" ref="AE29:AL29" si="220">4500/AE7</f>
        <v>59.012755935044005</v>
      </c>
      <c r="AF29" s="16">
        <f t="shared" si="220"/>
        <v>60.120160160106671</v>
      </c>
      <c r="AG29" s="16">
        <f t="shared" si="220"/>
        <v>56.847179621928362</v>
      </c>
      <c r="AH29" s="16">
        <f t="shared" si="220"/>
        <v>56.513210276864498</v>
      </c>
      <c r="AI29" s="16">
        <f t="shared" si="220"/>
        <v>56.357713680271424</v>
      </c>
      <c r="AJ29" s="16">
        <f t="shared" si="220"/>
        <v>55.358724534986713</v>
      </c>
      <c r="AK29" s="16">
        <f t="shared" si="220"/>
        <v>56.219290212721297</v>
      </c>
      <c r="AL29" s="16">
        <f t="shared" si="220"/>
        <v>56.637328530487878</v>
      </c>
      <c r="AM29" s="16">
        <f t="shared" ref="AM29:AN29" si="221">4500/AM7</f>
        <v>56.941339032528688</v>
      </c>
      <c r="AN29" s="16">
        <f t="shared" si="221"/>
        <v>58.380221299958876</v>
      </c>
      <c r="AO29" s="16">
        <f t="shared" ref="AO29:AP29" si="222">4500/AO7</f>
        <v>60.000800010666815</v>
      </c>
      <c r="AP29" s="16">
        <f t="shared" si="222"/>
        <v>61.220325147949126</v>
      </c>
      <c r="AQ29" s="16">
        <f t="shared" ref="AQ29:AR29" si="223">4500/AQ7</f>
        <v>61.340410653602525</v>
      </c>
      <c r="AR29" s="16">
        <f t="shared" si="223"/>
        <v>61.89063512169762</v>
      </c>
      <c r="AS29" s="16">
        <f>4500/AS7</f>
        <v>61.748384936687316</v>
      </c>
      <c r="AT29" s="16">
        <f t="shared" ref="AT29:AU29" si="224">4500/AT7</f>
        <v>62.244710237041694</v>
      </c>
      <c r="AU29" s="16">
        <f t="shared" si="224"/>
        <v>63.359132233324928</v>
      </c>
      <c r="AV29" s="16">
        <f>4500/AV7</f>
        <v>64.826552956090822</v>
      </c>
      <c r="AW29" s="16">
        <f>4500/AW7</f>
        <v>67.937038971704979</v>
      </c>
      <c r="AX29" s="16">
        <f>4500/AX7</f>
        <v>66.781134477912516</v>
      </c>
      <c r="AY29" s="16">
        <f>4500/AY7</f>
        <v>65.370016081023962</v>
      </c>
      <c r="AZ29" s="16">
        <f>4500/AZ7</f>
        <v>68.397789383447119</v>
      </c>
      <c r="BA29" s="16">
        <f t="shared" ref="BA29:BB29" si="225">4500/BA7</f>
        <v>70.555143548359283</v>
      </c>
      <c r="BB29" s="16">
        <f t="shared" si="225"/>
        <v>70.928134038411528</v>
      </c>
      <c r="BC29" s="16">
        <f t="shared" ref="BC29:BD29" si="226">4500/BC7</f>
        <v>70.818409009360622</v>
      </c>
      <c r="BD29" s="16">
        <f t="shared" si="226"/>
        <v>70.794455378254767</v>
      </c>
      <c r="BE29" s="16">
        <f t="shared" ref="BE29:BF29" si="227">4500/BE7</f>
        <v>72.111802138034804</v>
      </c>
      <c r="BF29" s="16">
        <f t="shared" si="227"/>
        <v>76.418583640988885</v>
      </c>
      <c r="BG29" s="16">
        <f t="shared" ref="BG29:BH29" si="228">4500/BG7</f>
        <v>77.308031273675581</v>
      </c>
      <c r="BH29" s="16">
        <f t="shared" si="228"/>
        <v>78.990328073162601</v>
      </c>
      <c r="BI29" s="16">
        <f t="shared" ref="BI29:BJ29" si="229">4500/BI7</f>
        <v>79.929519925541214</v>
      </c>
      <c r="BJ29" s="16">
        <f t="shared" si="229"/>
        <v>72.522743938307315</v>
      </c>
      <c r="BK29" s="16">
        <f t="shared" ref="BK29:BL29" si="230">4500/BK7</f>
        <v>67.76812458492023</v>
      </c>
      <c r="BL29" s="16">
        <f t="shared" si="230"/>
        <v>71.318198026863186</v>
      </c>
      <c r="BM29" s="16">
        <f t="shared" ref="BM29:BN29" si="231">4500/BM7</f>
        <v>73.043766201513137</v>
      </c>
      <c r="BN29" s="16">
        <f t="shared" si="231"/>
        <v>73.202512310222488</v>
      </c>
      <c r="BO29" s="16">
        <f t="shared" ref="BO29:BP29" si="232">4500/BO7</f>
        <v>73.081607795371497</v>
      </c>
      <c r="BP29" s="16">
        <f t="shared" si="232"/>
        <v>72.620586483856442</v>
      </c>
      <c r="BQ29" s="16">
        <f t="shared" ref="BQ29:BR29" si="233">4500/BQ7</f>
        <v>73.638425512277976</v>
      </c>
      <c r="BR29" s="16">
        <f t="shared" si="233"/>
        <v>73.823136170875955</v>
      </c>
      <c r="BS29" s="16">
        <f t="shared" ref="BS29:BU29" si="234">4500/BS7</f>
        <v>74.715830790227827</v>
      </c>
      <c r="BT29" s="16">
        <f t="shared" si="234"/>
        <v>77.068651041711263</v>
      </c>
      <c r="BU29" s="16">
        <f t="shared" si="234"/>
        <v>77.884315829554509</v>
      </c>
      <c r="BV29" s="16">
        <f t="shared" ref="BV29:BX29" si="235">4500/BV7</f>
        <v>78.819321593341343</v>
      </c>
      <c r="BW29" s="16">
        <f t="shared" si="235"/>
        <v>79.417744394872088</v>
      </c>
      <c r="BX29" s="16">
        <f t="shared" si="235"/>
        <v>79.129087676787563</v>
      </c>
      <c r="BY29" s="16">
        <f t="shared" ref="BY29:BZ29" si="236">4500/BY7</f>
        <v>79.350944540743185</v>
      </c>
      <c r="BZ29" s="16">
        <f t="shared" si="236"/>
        <v>80.110089064616801</v>
      </c>
      <c r="CA29" s="16">
        <f t="shared" ref="CA29:CB29" si="237">4500/CA7</f>
        <v>82.254730103951701</v>
      </c>
      <c r="CB29" s="16">
        <f t="shared" si="237"/>
        <v>84.461361742381584</v>
      </c>
      <c r="CC29" s="16">
        <f t="shared" ref="CC29:CD29" si="238">4500/CC7</f>
        <v>84.336310717458375</v>
      </c>
      <c r="CD29" s="16">
        <f t="shared" si="238"/>
        <v>84.390717771184882</v>
      </c>
      <c r="CE29" s="16">
        <f t="shared" ref="CE29:CH29" si="239">4500/CE7</f>
        <v>84.326354234401023</v>
      </c>
      <c r="CF29" s="16">
        <f t="shared" si="239"/>
        <v>84.953907785364891</v>
      </c>
      <c r="CG29" s="16">
        <f t="shared" si="239"/>
        <v>87.962781969584427</v>
      </c>
      <c r="CH29" s="16">
        <f t="shared" si="239"/>
        <v>85.694208785370279</v>
      </c>
      <c r="CI29" s="16">
        <f t="shared" ref="CI29:CJ29" si="240">4500/CI7</f>
        <v>83.693525468869723</v>
      </c>
      <c r="CJ29" s="16">
        <f t="shared" si="240"/>
        <v>81.690744257140679</v>
      </c>
      <c r="CK29" s="16">
        <f t="shared" ref="CK29:CL29" si="241">4500/CK7</f>
        <v>76.907563944366771</v>
      </c>
      <c r="CL29" s="16">
        <f t="shared" si="241"/>
        <v>71.529621210917014</v>
      </c>
      <c r="CM29" s="16">
        <f t="shared" ref="CM29:CN29" si="242">4500/CM7</f>
        <v>71.267145687466652</v>
      </c>
      <c r="CN29" s="16">
        <f t="shared" si="242"/>
        <v>73.449721217502585</v>
      </c>
      <c r="CO29" s="16">
        <f t="shared" ref="CO29:CP29" si="243">4500/CO7</f>
        <v>73.404073110456821</v>
      </c>
      <c r="CP29" s="16">
        <f t="shared" si="243"/>
        <v>76.460263601006559</v>
      </c>
      <c r="CQ29" s="16">
        <f t="shared" ref="CQ29:CR29" si="244">4500/CQ7</f>
        <v>76.880759650243789</v>
      </c>
      <c r="CR29" s="16">
        <f t="shared" si="244"/>
        <v>77.244201535271415</v>
      </c>
      <c r="CS29" s="16">
        <f t="shared" ref="CS29:CT29" si="245">4500/CS7</f>
        <v>77.811188557259527</v>
      </c>
      <c r="CT29" s="16">
        <f t="shared" si="245"/>
        <v>79.559276965290948</v>
      </c>
      <c r="CU29" s="16">
        <f t="shared" ref="CU29:CV29" si="246">4500/CU7</f>
        <v>81.173223659288922</v>
      </c>
      <c r="CV29" s="16">
        <f t="shared" si="246"/>
        <v>82.043278741127935</v>
      </c>
      <c r="CW29" s="16">
        <f t="shared" ref="CW29:CX29" si="247">4500/CW7</f>
        <v>79.67661916169574</v>
      </c>
      <c r="CX29" s="16">
        <f t="shared" si="247"/>
        <v>78.408550365296719</v>
      </c>
      <c r="CY29" s="16">
        <f t="shared" ref="CY29:CZ29" si="248">4500/CY7</f>
        <v>77.878789452096754</v>
      </c>
      <c r="CZ29" s="16">
        <f t="shared" si="248"/>
        <v>76.712608995831943</v>
      </c>
      <c r="DA29" s="16">
        <f t="shared" ref="DA29:DB29" si="249">4500/DA7</f>
        <v>74.726252827143227</v>
      </c>
      <c r="DB29" s="16">
        <f t="shared" si="249"/>
        <v>74.746981467731729</v>
      </c>
      <c r="DC29" s="16">
        <f t="shared" ref="DC29:DD29" si="250">4500/DC7</f>
        <v>73.397368459682824</v>
      </c>
      <c r="DD29" s="16">
        <f t="shared" si="250"/>
        <v>72.521458293715128</v>
      </c>
      <c r="DE29" s="16">
        <f t="shared" ref="DE29:DF29" si="251">4500/DE7</f>
        <v>74.801153600013293</v>
      </c>
      <c r="DF29" s="16">
        <f t="shared" si="251"/>
        <v>74.704419513458419</v>
      </c>
      <c r="DG29" s="16">
        <f t="shared" ref="DG29:DH29" si="252">4500/DG7</f>
        <v>74.678880812506222</v>
      </c>
      <c r="DH29" s="16">
        <f t="shared" si="252"/>
        <v>74.540828496461799</v>
      </c>
      <c r="DI29" s="16">
        <f t="shared" ref="DI29:DJ29" si="253">4500/DI7</f>
        <v>74.60657466294407</v>
      </c>
      <c r="DJ29" s="16">
        <f t="shared" si="253"/>
        <v>74.526261398377642</v>
      </c>
      <c r="DK29" s="16">
        <f t="shared" ref="DK29:DL29" si="254">4500/DK7</f>
        <v>74.436515577081494</v>
      </c>
      <c r="DL29" s="16">
        <f t="shared" si="254"/>
        <v>74.229375368053979</v>
      </c>
      <c r="DM29" s="16">
        <f t="shared" ref="DM29:DN29" si="255">4500/DM7</f>
        <v>73.892474954556135</v>
      </c>
      <c r="DN29" s="16">
        <f t="shared" si="255"/>
        <v>73.320113988337212</v>
      </c>
      <c r="DO29" s="16">
        <f t="shared" ref="DO29:DP29" si="256">4500/DO7</f>
        <v>73.260431064376377</v>
      </c>
      <c r="DP29" s="16">
        <f t="shared" si="256"/>
        <v>74.067734119877798</v>
      </c>
      <c r="DQ29" s="16">
        <f t="shared" ref="DQ29:DR29" si="257">4500/DQ7</f>
        <v>75.053788548459735</v>
      </c>
      <c r="DR29" s="16">
        <f t="shared" si="257"/>
        <v>76.100798043702156</v>
      </c>
      <c r="DS29" s="16">
        <f t="shared" ref="DS29:DT29" si="258">4500/DS7</f>
        <v>75.324018820961498</v>
      </c>
      <c r="DT29" s="16">
        <f t="shared" si="258"/>
        <v>75.129849423086242</v>
      </c>
      <c r="DU29" s="16">
        <f t="shared" ref="DU29:DV29" si="259">4500/DU7</f>
        <v>75.003250140839441</v>
      </c>
      <c r="DV29" s="16">
        <f t="shared" si="259"/>
        <v>75.288732288325733</v>
      </c>
      <c r="DW29" s="16">
        <f t="shared" ref="DW29:DX29" si="260">4500/DW7</f>
        <v>74.88467759650139</v>
      </c>
      <c r="DX29" s="16">
        <f t="shared" si="260"/>
        <v>74.548237679661256</v>
      </c>
      <c r="DY29" s="16">
        <f t="shared" ref="DY29:DZ29" si="261">4500/DY7</f>
        <v>74.543174578458348</v>
      </c>
      <c r="DZ29" s="16">
        <f t="shared" si="261"/>
        <v>74.702931343025909</v>
      </c>
      <c r="EA29" s="16">
        <f t="shared" ref="EA29:EB29" si="262">4500/EA7</f>
        <v>74.704915583445384</v>
      </c>
      <c r="EB29" s="16">
        <f t="shared" si="262"/>
        <v>74.538729495637824</v>
      </c>
      <c r="EC29" s="16">
        <f t="shared" ref="EC29:ED29" si="263">4500/EC7</f>
        <v>73.88762185300304</v>
      </c>
      <c r="ED29" s="16">
        <f t="shared" si="263"/>
        <v>73.94699479413157</v>
      </c>
      <c r="EE29" s="16">
        <f t="shared" ref="EE29:EF29" si="264">4500/EE7</f>
        <v>73.5517657327227</v>
      </c>
      <c r="EF29" s="16">
        <f t="shared" si="264"/>
        <v>74.011940593082343</v>
      </c>
      <c r="EG29" s="16">
        <f t="shared" ref="EG29:EH29" si="265">4500/EG7</f>
        <v>74.417558574887209</v>
      </c>
      <c r="EH29" s="16">
        <f t="shared" si="265"/>
        <v>74.433314366622113</v>
      </c>
      <c r="EI29" s="16">
        <f t="shared" ref="EI29:EJ29" si="266">4500/EI7</f>
        <v>74.915595096191623</v>
      </c>
      <c r="EJ29" s="16">
        <f t="shared" si="266"/>
        <v>74.915595096191623</v>
      </c>
      <c r="EK29" s="16">
        <f t="shared" ref="EK29:EL29" si="267">4500/EK7</f>
        <v>74.915595096191623</v>
      </c>
      <c r="EL29" s="16">
        <f t="shared" si="267"/>
        <v>74.960520792382681</v>
      </c>
      <c r="EM29" s="16">
        <f t="shared" ref="EM29:EN29" si="268">4500/EM7</f>
        <v>74.792823877858325</v>
      </c>
      <c r="EN29" s="16">
        <f t="shared" si="268"/>
        <v>74.980255199464139</v>
      </c>
      <c r="EO29" s="16">
        <f t="shared" ref="EO29:EP29" si="269">4500/EO7</f>
        <v>73.929865201212451</v>
      </c>
      <c r="EP29" s="16">
        <f t="shared" si="269"/>
        <v>75.210841057765265</v>
      </c>
      <c r="EQ29" s="16">
        <f t="shared" ref="EQ29:ER29" si="270">4500/EQ7</f>
        <v>77.4518679669401</v>
      </c>
      <c r="ER29" s="16">
        <f t="shared" si="270"/>
        <v>77.587544612838144</v>
      </c>
      <c r="ES29" s="16">
        <f t="shared" ref="ES29:ET29" si="271">4500/ES7</f>
        <v>77.352016996816531</v>
      </c>
      <c r="ET29" s="16">
        <f t="shared" si="271"/>
        <v>76.990855197310452</v>
      </c>
      <c r="EU29" s="16">
        <f t="shared" ref="EU29:EV29" si="272">4500/EU7</f>
        <v>78.379461097660808</v>
      </c>
      <c r="EV29" s="16">
        <f t="shared" si="272"/>
        <v>81.376234884364379</v>
      </c>
      <c r="EW29" s="16">
        <f t="shared" ref="EW29:EX29" si="273">4500/EW7</f>
        <v>78.170599516384556</v>
      </c>
      <c r="EX29" s="16">
        <f t="shared" si="273"/>
        <v>76.54193732746171</v>
      </c>
      <c r="EY29" s="16">
        <f t="shared" ref="EY29:EZ29" si="274">4500/EY7</f>
        <v>75.752092020274631</v>
      </c>
      <c r="EZ29" s="16">
        <f t="shared" si="274"/>
        <v>74.684582114868206</v>
      </c>
      <c r="FA29" s="16">
        <f t="shared" ref="FA29:FB29" si="275">4500/FA7</f>
        <v>73.472386628025632</v>
      </c>
      <c r="FB29" s="16">
        <f t="shared" si="275"/>
        <v>72.216534055712643</v>
      </c>
      <c r="FC29" s="16">
        <f t="shared" ref="FC29:FD29" si="276">4500/FC7</f>
        <v>70.661390616167324</v>
      </c>
      <c r="FD29" s="16">
        <f t="shared" si="276"/>
        <v>70.581703026700282</v>
      </c>
      <c r="FE29" s="16">
        <f t="shared" ref="FE29:FF29" si="277">4500/FE7</f>
        <v>70.875405761697991</v>
      </c>
      <c r="FF29" s="16">
        <f t="shared" si="277"/>
        <v>71.365362107847332</v>
      </c>
      <c r="FG29" s="16">
        <f t="shared" ref="FG29:FH29" si="278">4500/FG7</f>
        <v>72.858683297875444</v>
      </c>
      <c r="FH29" s="16">
        <f t="shared" si="278"/>
        <v>72.929767013704307</v>
      </c>
      <c r="FI29" s="16">
        <f t="shared" ref="FI29:FJ29" si="279">4500/FI7</f>
        <v>73.063215918039305</v>
      </c>
      <c r="FJ29" s="16">
        <f t="shared" si="279"/>
        <v>73.168590187604266</v>
      </c>
      <c r="FK29" s="16">
        <f t="shared" ref="FK29:FL29" si="280">4500/FK7</f>
        <v>73.534458247134609</v>
      </c>
      <c r="FL29" s="16">
        <f t="shared" si="280"/>
        <v>73.574013004615537</v>
      </c>
      <c r="FM29" s="16">
        <f t="shared" ref="FM29:FN29" si="281">4500/FM7</f>
        <v>73.370442472681745</v>
      </c>
      <c r="FN29" s="16">
        <f t="shared" si="281"/>
        <v>73.256853178614861</v>
      </c>
      <c r="FO29" s="16">
        <f t="shared" ref="FO29:FP29" si="282">4500/FO7</f>
        <v>73.338994017167849</v>
      </c>
      <c r="FP29" s="16">
        <f t="shared" si="282"/>
        <v>73.129945412558527</v>
      </c>
      <c r="FQ29" s="16">
        <f t="shared" ref="FQ29:FR29" si="283">4500/FQ7</f>
        <v>73.024800845140362</v>
      </c>
      <c r="FR29" s="16">
        <f t="shared" si="283"/>
        <v>73.25709169345977</v>
      </c>
      <c r="FS29" s="16">
        <f t="shared" ref="FS29:FT29" si="284">4500/FS7</f>
        <v>73.031200551791287</v>
      </c>
      <c r="FT29" s="16">
        <f t="shared" si="284"/>
        <v>72.469019494166247</v>
      </c>
      <c r="FU29" s="16">
        <f t="shared" ref="FU29:FV29" si="285">4500/FU7</f>
        <v>73.485344572780704</v>
      </c>
      <c r="FV29" s="16">
        <f t="shared" si="285"/>
        <v>73.797833295614438</v>
      </c>
      <c r="FW29" s="16">
        <f t="shared" ref="FW29:FX29" si="286">4500/FW7</f>
        <v>73.69667431474376</v>
      </c>
      <c r="FX29" s="16">
        <f t="shared" si="286"/>
        <v>73.477305309633365</v>
      </c>
      <c r="FY29" s="16">
        <f t="shared" ref="FY29:FZ29" si="287">4500/FY7</f>
        <v>72.296821831712279</v>
      </c>
      <c r="FZ29" s="16">
        <f t="shared" si="287"/>
        <v>74.5055316218033</v>
      </c>
      <c r="GA29" s="16">
        <f t="shared" ref="GA29:GB29" si="288">4500/GA7</f>
        <v>74.612512352515935</v>
      </c>
      <c r="GB29" s="16">
        <f t="shared" si="288"/>
        <v>74.567014204187686</v>
      </c>
      <c r="GC29" s="16">
        <f t="shared" ref="GC29:GD29" si="289">4500/GC7</f>
        <v>74.516388637741059</v>
      </c>
      <c r="GD29" s="16">
        <f t="shared" si="289"/>
        <v>74.535272575491817</v>
      </c>
      <c r="GE29" s="16">
        <f t="shared" ref="GE29:GF29" si="290">4500/GE7</f>
        <v>74.088830861784814</v>
      </c>
      <c r="GF29" s="16">
        <f t="shared" si="290"/>
        <v>74.18813451462826</v>
      </c>
      <c r="GG29" s="16">
        <f t="shared" ref="GG29:GH29" si="291">4500/GG7</f>
        <v>74.374879140821392</v>
      </c>
      <c r="GH29" s="16">
        <f t="shared" si="291"/>
        <v>74.51984380640738</v>
      </c>
      <c r="GI29" s="16">
        <f t="shared" ref="GI29:GJ29" si="292">4500/GI7</f>
        <v>74.405130977832229</v>
      </c>
      <c r="GJ29" s="16">
        <f t="shared" si="292"/>
        <v>74.071635501711881</v>
      </c>
      <c r="GK29" s="16">
        <f t="shared" ref="GK29:GL29" si="293">4500/GK7</f>
        <v>73.68086687995914</v>
      </c>
      <c r="GL29" s="16">
        <f t="shared" si="293"/>
        <v>73.91553589584808</v>
      </c>
      <c r="GM29" s="16">
        <f t="shared" ref="GM29:GN29" si="294">4500/GM7</f>
        <v>73.592061215511904</v>
      </c>
      <c r="GN29" s="16">
        <f t="shared" si="294"/>
        <v>72.845119943536929</v>
      </c>
      <c r="GO29" s="16">
        <f t="shared" ref="GO29:GP29" si="295">4500/GO7</f>
        <v>72.364834549866615</v>
      </c>
      <c r="GP29" s="16">
        <f t="shared" si="295"/>
        <v>71.530417117705682</v>
      </c>
      <c r="GQ29" s="16">
        <f t="shared" ref="GQ29:GR29" si="296">4500/GQ7</f>
        <v>71.499844289227994</v>
      </c>
      <c r="GR29" s="16">
        <f t="shared" si="296"/>
        <v>71.916921572199797</v>
      </c>
      <c r="GS29" s="16">
        <f t="shared" ref="GS29:GT29" si="297">4500/GS7</f>
        <v>72.137002595329051</v>
      </c>
      <c r="GT29" s="16">
        <f t="shared" si="297"/>
        <v>71.693267524224353</v>
      </c>
      <c r="GU29" s="16">
        <f t="shared" ref="GU29:GV29" si="298">4500/GU7</f>
        <v>71.189014744035944</v>
      </c>
      <c r="GV29" s="16">
        <f t="shared" si="298"/>
        <v>71.023848229927864</v>
      </c>
      <c r="GW29" s="16">
        <f t="shared" ref="GW29:GX29" si="299">4500/GW7</f>
        <v>69.982815330902071</v>
      </c>
      <c r="GX29" s="16">
        <f t="shared" si="299"/>
        <v>69.651032847427089</v>
      </c>
      <c r="GY29" s="16">
        <f t="shared" ref="GY29:GZ29" si="300">4500/GY7</f>
        <v>68.589405528001251</v>
      </c>
      <c r="GZ29" s="16">
        <f t="shared" si="300"/>
        <v>67.559655175519993</v>
      </c>
      <c r="HA29" s="16">
        <f t="shared" ref="HA29:HB29" si="301">4500/HA7</f>
        <v>63.806617738806906</v>
      </c>
      <c r="HB29" s="16">
        <f t="shared" si="301"/>
        <v>62.386837209173358</v>
      </c>
      <c r="HC29" s="16">
        <f t="shared" ref="HC29:HD29" si="302">4500/HC7</f>
        <v>65.525074261750831</v>
      </c>
      <c r="HD29" s="16">
        <f t="shared" si="302"/>
        <v>65.742665675169874</v>
      </c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>
        <f>(116.841+700)/UW7</f>
        <v>8.9654767444923475</v>
      </c>
      <c r="UX29" s="16">
        <f>(116.841+700)/UX7</f>
        <v>8.962260114129224</v>
      </c>
      <c r="UY29" s="16">
        <f t="shared" ref="UY29:VA29" si="303">(116.841+700)/UY7</f>
        <v>8.9341370153080195</v>
      </c>
      <c r="UZ29" s="16">
        <f t="shared" si="303"/>
        <v>8.8120224993041791</v>
      </c>
      <c r="VA29" s="16">
        <f t="shared" si="303"/>
        <v>8.7907985363753767</v>
      </c>
      <c r="VB29" s="16">
        <v>8.8414187989782214</v>
      </c>
      <c r="VC29" s="16">
        <v>8.8104637341634255</v>
      </c>
      <c r="VD29" s="16">
        <v>8.7623106538041942</v>
      </c>
      <c r="VE29" s="16">
        <v>8.7495461025877788</v>
      </c>
      <c r="VF29" s="16">
        <v>8.4003089282739296</v>
      </c>
      <c r="VG29" s="16">
        <v>8.502684540005788</v>
      </c>
      <c r="VH29" s="16">
        <v>8.4997206096432869</v>
      </c>
      <c r="VI29" s="16">
        <v>8.4081256626419218</v>
      </c>
      <c r="VJ29" s="16">
        <f>(700+116.841)/VJ7</f>
        <v>8.4566288235647331</v>
      </c>
      <c r="VK29" s="16">
        <v>8.4525946859358498</v>
      </c>
      <c r="VL29" s="16">
        <v>8.4436563083392429</v>
      </c>
      <c r="VM29" s="16">
        <v>8.2274025158718995</v>
      </c>
      <c r="VN29" s="16">
        <v>8.253138959376475</v>
      </c>
      <c r="VO29" s="16">
        <v>8.2177684364358861</v>
      </c>
      <c r="VP29" s="16">
        <v>8.2085271230416446</v>
      </c>
      <c r="VQ29" s="16">
        <v>8.1647779298193388</v>
      </c>
      <c r="VR29" s="16">
        <v>8.1745801643611866</v>
      </c>
      <c r="VS29" s="16">
        <v>8.174505057888295</v>
      </c>
      <c r="VT29" s="16">
        <v>8.1404493639551188</v>
      </c>
      <c r="VU29" s="16">
        <v>8.0076502295068845</v>
      </c>
      <c r="VV29" s="16">
        <v>8.0046243907120314</v>
      </c>
      <c r="VW29" s="16">
        <v>7.9898961476443633</v>
      </c>
      <c r="VX29" s="16">
        <v>7.714951614208581</v>
      </c>
      <c r="VY29" s="16">
        <v>7.3074845179059338</v>
      </c>
      <c r="VZ29" s="16">
        <v>7.4320986737627033</v>
      </c>
      <c r="WA29" s="16">
        <v>7.471285495419675</v>
      </c>
      <c r="WB29" s="16">
        <v>7.7453312272630983</v>
      </c>
      <c r="WC29" s="16">
        <v>7.7538062586968035</v>
      </c>
      <c r="WD29" s="16">
        <v>7.7418266372104938</v>
      </c>
      <c r="WE29" s="16">
        <v>7.7911055369769091</v>
      </c>
      <c r="WF29" s="16">
        <v>7.8240303760462284</v>
      </c>
      <c r="WG29" s="16">
        <v>8.0385594177437572</v>
      </c>
      <c r="WH29" s="16">
        <v>7.8751314175789267</v>
      </c>
      <c r="WI29" s="16">
        <v>7.8569802560182742</v>
      </c>
      <c r="WJ29" s="16">
        <v>7.7962789692341694</v>
      </c>
      <c r="WK29" s="16">
        <v>7.8215542284241844</v>
      </c>
      <c r="WL29" s="16">
        <v>7.8186902728834129</v>
      </c>
      <c r="WM29" s="16">
        <v>8.013163451358075</v>
      </c>
      <c r="WN29" s="16">
        <v>8.1489076321242049</v>
      </c>
      <c r="WO29" s="16">
        <v>8.1697761308239958</v>
      </c>
      <c r="WP29" s="16">
        <v>8.0119527772246872</v>
      </c>
      <c r="WQ29" s="16">
        <v>8.1265781418724163</v>
      </c>
      <c r="WR29" s="16">
        <f>(700+100.741)/WR7</f>
        <v>8.2626942000033026</v>
      </c>
      <c r="WS29" s="16">
        <v>8.2316229457976355</v>
      </c>
      <c r="WT29" s="16">
        <v>8.7963260988253484</v>
      </c>
      <c r="WU29" s="16">
        <v>8.7575176601443427</v>
      </c>
      <c r="WV29" s="16">
        <v>8.8551292315994807</v>
      </c>
      <c r="WW29" s="16">
        <v>9.0820324019254244</v>
      </c>
      <c r="WX29" s="16">
        <v>9.2430377759667923</v>
      </c>
      <c r="WY29" s="16">
        <v>9.1307996766126873</v>
      </c>
      <c r="WZ29" s="16">
        <v>8.9724107174871808</v>
      </c>
      <c r="XA29" s="16">
        <v>9.0594678867528327</v>
      </c>
      <c r="XB29" s="16">
        <v>9.249967366279721</v>
      </c>
      <c r="XC29" s="16">
        <v>9.3577961280551225</v>
      </c>
      <c r="XD29" s="16">
        <v>9.8248259547641883</v>
      </c>
      <c r="XE29" s="16">
        <v>9.6651003576398917</v>
      </c>
      <c r="XF29" s="16">
        <v>9.4605505671077506</v>
      </c>
      <c r="XG29" s="16">
        <v>9.5107788058389655</v>
      </c>
      <c r="XH29" s="16">
        <v>9.5092540362086062</v>
      </c>
      <c r="XI29" s="16">
        <v>9.551426795825595</v>
      </c>
      <c r="XJ29" s="16">
        <v>9.3657971163664389</v>
      </c>
      <c r="XK29" s="16">
        <v>9.4703745142054263</v>
      </c>
      <c r="XL29" s="16">
        <v>9.5012541915151623</v>
      </c>
      <c r="XM29" s="16">
        <v>9.369325833888146</v>
      </c>
      <c r="XN29" s="16">
        <v>9.5321770391886087</v>
      </c>
      <c r="XO29" s="16">
        <v>8.6676894540222413</v>
      </c>
      <c r="XP29" s="16">
        <v>8.5929635903857005</v>
      </c>
      <c r="XQ29" s="16">
        <v>8.4988896807695635</v>
      </c>
      <c r="XR29" s="16">
        <v>8.4484025881077862</v>
      </c>
      <c r="XS29" s="16">
        <v>8.4689473945283336</v>
      </c>
      <c r="XT29" s="16">
        <f>(700)/XT7</f>
        <v>8.5824701820464533</v>
      </c>
      <c r="XU29" s="16">
        <v>8.5896631993059547</v>
      </c>
      <c r="XV29" s="16">
        <v>8.5455790667495179</v>
      </c>
      <c r="XW29" s="16">
        <v>8.6457751802026568</v>
      </c>
      <c r="XX29" s="16">
        <v>8.6568094463104686</v>
      </c>
      <c r="XY29" s="16">
        <v>8.6539091562067689</v>
      </c>
      <c r="XZ29" s="16">
        <v>8.7256010380972207</v>
      </c>
      <c r="YA29" s="16">
        <v>8.7049843496817072</v>
      </c>
      <c r="YB29" s="16">
        <v>8.7770992940704424</v>
      </c>
      <c r="YC29" s="16">
        <v>8.7817460118327748</v>
      </c>
      <c r="YD29" s="16">
        <v>8.7874785962128481</v>
      </c>
      <c r="YE29" s="16">
        <v>8.8463701447645278</v>
      </c>
      <c r="YF29" s="16">
        <v>8.8770640759166515</v>
      </c>
      <c r="YG29" s="16">
        <v>8.8465154839296734</v>
      </c>
      <c r="YH29" s="16">
        <v>8.8416994756872214</v>
      </c>
      <c r="YI29" s="16">
        <v>8.8604454525662391</v>
      </c>
      <c r="YJ29" s="16">
        <v>8.9164364315402391</v>
      </c>
      <c r="YK29" s="16">
        <v>8.8930107287822295</v>
      </c>
      <c r="YL29" s="16">
        <v>8.9408536982564062</v>
      </c>
      <c r="YM29" s="16">
        <f>(700)/YM7</f>
        <v>8.9207771271274456</v>
      </c>
      <c r="YN29" s="16">
        <v>8.9265105887543825</v>
      </c>
      <c r="YO29" s="16">
        <v>8.885154303397556</v>
      </c>
      <c r="YP29" s="16">
        <v>8.8792598249009949</v>
      </c>
      <c r="YQ29" s="16">
        <v>8.8924458672357822</v>
      </c>
      <c r="YR29" s="16">
        <v>8.9550482165381826</v>
      </c>
      <c r="YS29" s="16">
        <v>8.9545327205021703</v>
      </c>
      <c r="YT29" s="16">
        <v>8.9855448256740118</v>
      </c>
      <c r="YU29" s="16">
        <v>8.9317385501491593</v>
      </c>
      <c r="YV29" s="16">
        <v>8.9530552940694967</v>
      </c>
      <c r="YW29" s="16">
        <v>8.9385018304774828</v>
      </c>
      <c r="YX29" s="16">
        <v>8.9642225073698718</v>
      </c>
      <c r="YY29" s="16">
        <v>8.8762311015529587</v>
      </c>
      <c r="YZ29" s="16">
        <v>8.5137746793043512</v>
      </c>
      <c r="ZA29" s="16">
        <v>8.7155409300478244</v>
      </c>
      <c r="ZB29" s="16">
        <v>8.7446439056078145</v>
      </c>
      <c r="ZC29" s="16">
        <v>8.7291155909486555</v>
      </c>
      <c r="ZD29" s="16">
        <f>(700)/ZD7</f>
        <v>8.7741728461912558</v>
      </c>
    </row>
    <row r="30" spans="1:680" ht="26.25" customHeight="1">
      <c r="A30" s="1324" t="s">
        <v>19</v>
      </c>
      <c r="B30" s="1321"/>
      <c r="C30" s="1321"/>
      <c r="D30" s="17">
        <f t="shared" ref="D30:I30" si="304">D27+D29</f>
        <v>117.47019236079153</v>
      </c>
      <c r="E30" s="17">
        <f t="shared" si="304"/>
        <v>88.385428011955071</v>
      </c>
      <c r="F30" s="17">
        <f t="shared" si="304"/>
        <v>101.72371848570278</v>
      </c>
      <c r="G30" s="17">
        <f t="shared" si="304"/>
        <v>99.727067431131346</v>
      </c>
      <c r="H30" s="17">
        <f t="shared" si="304"/>
        <v>96.389409164889884</v>
      </c>
      <c r="I30" s="17">
        <f t="shared" si="304"/>
        <v>97.925319859370575</v>
      </c>
      <c r="J30" s="17">
        <f t="shared" ref="J30:Q30" si="305">J27+J29</f>
        <v>82.115426110765682</v>
      </c>
      <c r="K30" s="17">
        <f t="shared" si="305"/>
        <v>80.69972646527745</v>
      </c>
      <c r="L30" s="17">
        <f t="shared" si="305"/>
        <v>80.691086504338699</v>
      </c>
      <c r="M30" s="17">
        <f t="shared" si="305"/>
        <v>80.358969847522559</v>
      </c>
      <c r="N30" s="17">
        <f t="shared" si="305"/>
        <v>82.165644624730646</v>
      </c>
      <c r="O30" s="17">
        <f t="shared" si="305"/>
        <v>86.369914760753701</v>
      </c>
      <c r="P30" s="17">
        <f t="shared" si="305"/>
        <v>88.077301209214227</v>
      </c>
      <c r="Q30" s="17">
        <f t="shared" si="305"/>
        <v>88.22072470921529</v>
      </c>
      <c r="R30" s="17">
        <f t="shared" ref="R30:X30" si="306">R27+R29</f>
        <v>92.097118905743173</v>
      </c>
      <c r="S30" s="17">
        <f t="shared" si="306"/>
        <v>92.951737209837461</v>
      </c>
      <c r="T30" s="17">
        <f t="shared" si="306"/>
        <v>91.898695349352209</v>
      </c>
      <c r="U30" s="17">
        <f t="shared" si="306"/>
        <v>95.272329307231871</v>
      </c>
      <c r="V30" s="17">
        <f t="shared" si="306"/>
        <v>91.994634557669471</v>
      </c>
      <c r="W30" s="17">
        <f t="shared" si="306"/>
        <v>98.545084995971536</v>
      </c>
      <c r="X30" s="17">
        <f t="shared" si="306"/>
        <v>107.543973679738</v>
      </c>
      <c r="Y30" s="17">
        <f t="shared" ref="Y30:AD30" si="307">Y27+Y29</f>
        <v>108.70421250764872</v>
      </c>
      <c r="Z30" s="17">
        <f t="shared" si="307"/>
        <v>106.57371255347215</v>
      </c>
      <c r="AA30" s="17">
        <f t="shared" si="307"/>
        <v>108.18155213714553</v>
      </c>
      <c r="AB30" s="17">
        <f t="shared" si="307"/>
        <v>107.11176565100189</v>
      </c>
      <c r="AC30" s="17">
        <f t="shared" si="307"/>
        <v>96.905560339031837</v>
      </c>
      <c r="AD30" s="17">
        <f t="shared" si="307"/>
        <v>94.937435858353723</v>
      </c>
      <c r="AE30" s="17">
        <f t="shared" ref="AE30:AL30" si="308">AE27+AE29</f>
        <v>101.12016304176703</v>
      </c>
      <c r="AF30" s="17">
        <f t="shared" si="308"/>
        <v>104.9056908457495</v>
      </c>
      <c r="AG30" s="17">
        <f t="shared" si="308"/>
        <v>122.6572594731955</v>
      </c>
      <c r="AH30" s="17">
        <f t="shared" si="308"/>
        <v>146.24702644293768</v>
      </c>
      <c r="AI30" s="17">
        <f t="shared" si="308"/>
        <v>144.94465777001287</v>
      </c>
      <c r="AJ30" s="17">
        <f t="shared" si="308"/>
        <v>139.96417217829165</v>
      </c>
      <c r="AK30" s="17">
        <f t="shared" si="308"/>
        <v>139.42092705105804</v>
      </c>
      <c r="AL30" s="17">
        <f t="shared" si="308"/>
        <v>141.92273416089751</v>
      </c>
      <c r="AM30" s="17">
        <f t="shared" ref="AM30:AN30" si="309">AM27+AM29</f>
        <v>144.32909634583297</v>
      </c>
      <c r="AN30" s="17">
        <f t="shared" si="309"/>
        <v>147.33291589703342</v>
      </c>
      <c r="AO30" s="17">
        <f t="shared" ref="AO30:AP30" si="310">AO27+AO29</f>
        <v>147.36016621829202</v>
      </c>
      <c r="AP30" s="17">
        <f t="shared" si="310"/>
        <v>154.04741477260285</v>
      </c>
      <c r="AQ30" s="17">
        <f t="shared" ref="AQ30:AR30" si="311">AQ27+AQ29</f>
        <v>153.97122427374603</v>
      </c>
      <c r="AR30" s="17">
        <f t="shared" si="311"/>
        <v>157.03835744880521</v>
      </c>
      <c r="AS30" s="17">
        <f t="shared" ref="AS30:AT30" si="312">AS27+AS29</f>
        <v>157.43231916752188</v>
      </c>
      <c r="AT30" s="17">
        <f t="shared" si="312"/>
        <v>156.59195209248111</v>
      </c>
      <c r="AU30" s="17">
        <f t="shared" ref="AU30:AW30" si="313">AU27+AU29</f>
        <v>164.00252479861803</v>
      </c>
      <c r="AV30" s="17">
        <f t="shared" si="313"/>
        <v>167.60162908137656</v>
      </c>
      <c r="AW30" s="17">
        <f t="shared" si="313"/>
        <v>175.68944500608791</v>
      </c>
      <c r="AX30" s="17">
        <f t="shared" ref="AX30:BB30" si="314">AX27+AX29</f>
        <v>176.52972644724787</v>
      </c>
      <c r="AY30" s="17">
        <f t="shared" si="314"/>
        <v>176.74627583281568</v>
      </c>
      <c r="AZ30" s="17">
        <f t="shared" si="314"/>
        <v>182.660434256233</v>
      </c>
      <c r="BA30" s="17">
        <f t="shared" si="314"/>
        <v>186.86689239287159</v>
      </c>
      <c r="BB30" s="17">
        <f t="shared" si="314"/>
        <v>188.67282978023638</v>
      </c>
      <c r="BC30" s="17">
        <f t="shared" ref="BC30:BD30" si="315">BC27+BC29</f>
        <v>190.85306582350734</v>
      </c>
      <c r="BD30" s="17">
        <f t="shared" si="315"/>
        <v>192.81505732946476</v>
      </c>
      <c r="BE30" s="17">
        <f t="shared" ref="BE30:BF30" si="316">BE27+BE29</f>
        <v>194.69586626530759</v>
      </c>
      <c r="BF30" s="17">
        <f t="shared" si="316"/>
        <v>207.40234894411904</v>
      </c>
      <c r="BG30" s="17">
        <f t="shared" ref="BG30:BH30" si="317">BG27+BG29</f>
        <v>209.75077506674523</v>
      </c>
      <c r="BH30" s="17">
        <f t="shared" si="317"/>
        <v>212.85464690558504</v>
      </c>
      <c r="BI30" s="17">
        <f t="shared" ref="BI30:BJ30" si="318">BI27+BI29</f>
        <v>213.42065804927779</v>
      </c>
      <c r="BJ30" s="17">
        <f t="shared" si="318"/>
        <v>196.83986416680261</v>
      </c>
      <c r="BK30" s="17">
        <f t="shared" ref="BK30:BL30" si="319">BK27+BK29</f>
        <v>187.72625800966009</v>
      </c>
      <c r="BL30" s="17">
        <f t="shared" si="319"/>
        <v>196.81567741648661</v>
      </c>
      <c r="BM30" s="17">
        <f t="shared" ref="BM30:BN30" si="320">BM27+BM29</f>
        <v>200.73897767014842</v>
      </c>
      <c r="BN30" s="17">
        <f t="shared" si="320"/>
        <v>199.43040926996622</v>
      </c>
      <c r="BO30" s="17">
        <f t="shared" ref="BO30:BP30" si="321">BO27+BO29</f>
        <v>207.633947027506</v>
      </c>
      <c r="BP30" s="17">
        <f t="shared" si="321"/>
        <v>208.81995024820398</v>
      </c>
      <c r="BQ30" s="17">
        <f t="shared" ref="BQ30:BR30" si="322">BQ27+BQ29</f>
        <v>212.38311754788941</v>
      </c>
      <c r="BR30" s="17">
        <f t="shared" si="322"/>
        <v>211.69933155943625</v>
      </c>
      <c r="BS30" s="17">
        <f t="shared" ref="BS30:BU30" si="323">BS27+BS29</f>
        <v>211.24264530518997</v>
      </c>
      <c r="BT30" s="17">
        <f t="shared" si="323"/>
        <v>214.15510651853171</v>
      </c>
      <c r="BU30" s="17">
        <f t="shared" si="323"/>
        <v>222.12721444736806</v>
      </c>
      <c r="BV30" s="17">
        <f t="shared" ref="BV30:BX30" si="324">BV27+BV29</f>
        <v>225.40145513932595</v>
      </c>
      <c r="BW30" s="17">
        <f t="shared" si="324"/>
        <v>225.90059181430655</v>
      </c>
      <c r="BX30" s="17">
        <f t="shared" si="324"/>
        <v>223.95591690102867</v>
      </c>
      <c r="BY30" s="17">
        <f t="shared" ref="BY30:BZ30" si="325">BY27+BY29</f>
        <v>232.46681131006676</v>
      </c>
      <c r="BZ30" s="17">
        <f t="shared" si="325"/>
        <v>232.97531375109918</v>
      </c>
      <c r="CA30" s="17">
        <f t="shared" ref="CA30:CB30" si="326">CA27+CA29</f>
        <v>222.67028341081112</v>
      </c>
      <c r="CB30" s="17">
        <f t="shared" si="326"/>
        <v>226.85561977565993</v>
      </c>
      <c r="CC30" s="17">
        <f t="shared" ref="CC30:CD30" si="327">CC27+CC29</f>
        <v>226.9079712049089</v>
      </c>
      <c r="CD30" s="17">
        <f t="shared" si="327"/>
        <v>206.76025836846071</v>
      </c>
      <c r="CE30" s="17">
        <f t="shared" ref="CE30:CH30" si="328">CE27+CE29</f>
        <v>208.76916618381966</v>
      </c>
      <c r="CF30" s="17">
        <f t="shared" si="328"/>
        <v>213.34840491035669</v>
      </c>
      <c r="CG30" s="17">
        <f t="shared" si="328"/>
        <v>198.239924400353</v>
      </c>
      <c r="CH30" s="17">
        <f t="shared" si="328"/>
        <v>194.13064834165959</v>
      </c>
      <c r="CI30" s="17">
        <f t="shared" ref="CI30:CJ30" si="329">CI27+CI29</f>
        <v>193.83010137870502</v>
      </c>
      <c r="CJ30" s="17">
        <f t="shared" si="329"/>
        <v>190.15958698816439</v>
      </c>
      <c r="CK30" s="17">
        <f t="shared" ref="CK30:CL30" si="330">CK27+CK29</f>
        <v>177.98135732031909</v>
      </c>
      <c r="CL30" s="17">
        <f t="shared" si="330"/>
        <v>166.25507579963235</v>
      </c>
      <c r="CM30" s="17">
        <f t="shared" ref="CM30:CN30" si="331">CM27+CM29</f>
        <v>163.57073327959557</v>
      </c>
      <c r="CN30" s="17">
        <f t="shared" si="331"/>
        <v>168.91824794065278</v>
      </c>
      <c r="CO30" s="17">
        <f t="shared" ref="CO30:CP30" si="332">CO27+CO29</f>
        <v>171.42437644420338</v>
      </c>
      <c r="CP30" s="17">
        <f t="shared" si="332"/>
        <v>170.59711337678391</v>
      </c>
      <c r="CQ30" s="17">
        <f t="shared" ref="CQ30:CR30" si="333">CQ27+CQ29</f>
        <v>168.8214359310129</v>
      </c>
      <c r="CR30" s="17">
        <f t="shared" si="333"/>
        <v>179.77517324038217</v>
      </c>
      <c r="CS30" s="17">
        <f t="shared" ref="CS30:CT30" si="334">CS27+CS29</f>
        <v>179.70341376437096</v>
      </c>
      <c r="CT30" s="17">
        <f t="shared" si="334"/>
        <v>187.35365715628188</v>
      </c>
      <c r="CU30" s="17">
        <f t="shared" ref="CU30:CV30" si="335">CU27+CU29</f>
        <v>187.38631789846656</v>
      </c>
      <c r="CV30" s="17">
        <f t="shared" si="335"/>
        <v>189.7044136331358</v>
      </c>
      <c r="CW30" s="17">
        <f t="shared" ref="CW30:CX30" si="336">CW27+CW29</f>
        <v>184.77597024212048</v>
      </c>
      <c r="CX30" s="17">
        <f t="shared" si="336"/>
        <v>188.66754124007389</v>
      </c>
      <c r="CY30" s="17">
        <f t="shared" ref="CY30:CZ30" si="337">CY27+CY29</f>
        <v>185.50457272378014</v>
      </c>
      <c r="CZ30" s="17">
        <f t="shared" si="337"/>
        <v>183.20157622938751</v>
      </c>
      <c r="DA30" s="17">
        <f t="shared" ref="DA30:DB30" si="338">DA27+DA29</f>
        <v>182.01469326799833</v>
      </c>
      <c r="DB30" s="17">
        <f t="shared" si="338"/>
        <v>184.2687535848155</v>
      </c>
      <c r="DC30" s="17">
        <f t="shared" ref="DC30:DD30" si="339">DC27+DC29</f>
        <v>180.46812956145556</v>
      </c>
      <c r="DD30" s="17">
        <f t="shared" si="339"/>
        <v>181.01711645162629</v>
      </c>
      <c r="DE30" s="17">
        <f t="shared" ref="DE30:DF30" si="340">DE27+DE29</f>
        <v>182.48048588210696</v>
      </c>
      <c r="DF30" s="17">
        <f t="shared" si="340"/>
        <v>177.72855620415189</v>
      </c>
      <c r="DG30" s="17">
        <f t="shared" ref="DG30:DH30" si="341">DG27+DG29</f>
        <v>179.72832372928173</v>
      </c>
      <c r="DH30" s="17">
        <f t="shared" si="341"/>
        <v>177.73685629922198</v>
      </c>
      <c r="DI30" s="17">
        <f t="shared" ref="DI30:DJ30" si="342">DI27+DI29</f>
        <v>179.40444723394313</v>
      </c>
      <c r="DJ30" s="17">
        <f t="shared" si="342"/>
        <v>177.44903366169973</v>
      </c>
      <c r="DK30" s="17">
        <f t="shared" ref="DK30:DL30" si="343">DK27+DK29</f>
        <v>177.27948897397658</v>
      </c>
      <c r="DL30" s="17">
        <f t="shared" si="343"/>
        <v>178.58155837292858</v>
      </c>
      <c r="DM30" s="17">
        <f t="shared" ref="DM30:DN30" si="344">DM27+DM29</f>
        <v>176.04846951570579</v>
      </c>
      <c r="DN30" s="17">
        <f t="shared" si="344"/>
        <v>175.98077621657555</v>
      </c>
      <c r="DO30" s="17">
        <f t="shared" ref="DO30:DP30" si="345">DO27+DO29</f>
        <v>176.30621285231283</v>
      </c>
      <c r="DP30" s="17">
        <f t="shared" si="345"/>
        <v>178.59003266381717</v>
      </c>
      <c r="DQ30" s="17">
        <f t="shared" ref="DQ30:DR30" si="346">DQ27+DQ29</f>
        <v>179.51856557780059</v>
      </c>
      <c r="DR30" s="17">
        <f t="shared" si="346"/>
        <v>180.22199160064395</v>
      </c>
      <c r="DS30" s="17">
        <f t="shared" ref="DS30:DT30" si="347">DS27+DS29</f>
        <v>183.50142062571064</v>
      </c>
      <c r="DT30" s="17">
        <f t="shared" si="347"/>
        <v>180.11425148702193</v>
      </c>
      <c r="DU30" s="17">
        <f t="shared" ref="DU30:DV30" si="348">DU27+DU29</f>
        <v>177.71007343526685</v>
      </c>
      <c r="DV30" s="17">
        <f t="shared" si="348"/>
        <v>178.01155904983284</v>
      </c>
      <c r="DW30" s="17">
        <f t="shared" ref="DW30:DX30" si="349">DW27+DW29</f>
        <v>179.93209730901125</v>
      </c>
      <c r="DX30" s="17">
        <f t="shared" si="349"/>
        <v>179.06130326937546</v>
      </c>
      <c r="DY30" s="17">
        <f t="shared" ref="DY30:DZ30" si="350">DY27+DY29</f>
        <v>180.70170875548308</v>
      </c>
      <c r="DZ30" s="17">
        <f t="shared" si="350"/>
        <v>180.41250091394846</v>
      </c>
      <c r="EA30" s="17">
        <f t="shared" ref="EA30:EB30" si="351">EA27+EA29</f>
        <v>178.14657992221541</v>
      </c>
      <c r="EB30" s="17">
        <f t="shared" si="351"/>
        <v>180.49869519309277</v>
      </c>
      <c r="EC30" s="17">
        <f t="shared" ref="EC30:ED30" si="352">EC27+EC29</f>
        <v>178.47694919244279</v>
      </c>
      <c r="ED30" s="17">
        <f t="shared" si="352"/>
        <v>178.04667500690942</v>
      </c>
      <c r="EE30" s="17">
        <f t="shared" ref="EE30:EF30" si="353">EE27+EE29</f>
        <v>175.33110098121909</v>
      </c>
      <c r="EF30" s="17">
        <f t="shared" si="353"/>
        <v>173.04187498631305</v>
      </c>
      <c r="EG30" s="17">
        <f t="shared" ref="EG30:EH30" si="354">EG27+EG29</f>
        <v>176.41003805649899</v>
      </c>
      <c r="EH30" s="17">
        <f t="shared" si="354"/>
        <v>180.19256647449379</v>
      </c>
      <c r="EI30" s="17">
        <f t="shared" ref="EI30:EJ30" si="355">EI27+EI29</f>
        <v>180.82488939302772</v>
      </c>
      <c r="EJ30" s="17">
        <f t="shared" si="355"/>
        <v>179.82102597814185</v>
      </c>
      <c r="EK30" s="17">
        <f t="shared" ref="EK30:EL30" si="356">EK27+EK29</f>
        <v>178.22048386059424</v>
      </c>
      <c r="EL30" s="17">
        <f t="shared" si="356"/>
        <v>180.56178817501305</v>
      </c>
      <c r="EM30" s="17">
        <f t="shared" ref="EM30:EN30" si="357">EM27+EM29</f>
        <v>177.6332406155563</v>
      </c>
      <c r="EN30" s="17">
        <f t="shared" si="357"/>
        <v>181.86371008699467</v>
      </c>
      <c r="EO30" s="17">
        <f t="shared" ref="EO30:EP30" si="358">EO27+EO29</f>
        <v>179.96535644864207</v>
      </c>
      <c r="EP30" s="17">
        <f t="shared" si="358"/>
        <v>185.02420257541434</v>
      </c>
      <c r="EQ30" s="17">
        <f t="shared" ref="EQ30:ER30" si="359">EQ27+EQ29</f>
        <v>172.44492903908377</v>
      </c>
      <c r="ER30" s="17">
        <f t="shared" si="359"/>
        <v>180.86177598541661</v>
      </c>
      <c r="ES30" s="17">
        <f t="shared" ref="ES30:ET30" si="360">ES27+ES29</f>
        <v>182.93319153229692</v>
      </c>
      <c r="ET30" s="17">
        <f t="shared" si="360"/>
        <v>190.25427421385953</v>
      </c>
      <c r="EU30" s="17">
        <f t="shared" ref="EU30:EV30" si="361">EU27+EU29</f>
        <v>188.69719243461688</v>
      </c>
      <c r="EV30" s="17">
        <f t="shared" si="361"/>
        <v>193.1345838548616</v>
      </c>
      <c r="EW30" s="17">
        <f t="shared" ref="EW30:EX30" si="362">EW27+EW29</f>
        <v>191.04180422438344</v>
      </c>
      <c r="EX30" s="17">
        <f t="shared" si="362"/>
        <v>189.31223419801512</v>
      </c>
      <c r="EY30" s="17">
        <f t="shared" ref="EY30:EZ30" si="363">EY27+EY29</f>
        <v>183.61584722961175</v>
      </c>
      <c r="EZ30" s="17">
        <f t="shared" si="363"/>
        <v>179.95223064944696</v>
      </c>
      <c r="FA30" s="17">
        <f t="shared" ref="FA30:FB30" si="364">FA27+FA29</f>
        <v>176.08957018022204</v>
      </c>
      <c r="FB30" s="17">
        <f t="shared" si="364"/>
        <v>171.66179508450028</v>
      </c>
      <c r="FC30" s="17">
        <f t="shared" ref="FC30:FD30" si="365">FC27+FC29</f>
        <v>171.81208395307425</v>
      </c>
      <c r="FD30" s="17">
        <f t="shared" si="365"/>
        <v>169.90146582324678</v>
      </c>
      <c r="FE30" s="17">
        <f t="shared" ref="FE30:FF30" si="366">FE27+FE29</f>
        <v>169.36232359747959</v>
      </c>
      <c r="FF30" s="17">
        <f t="shared" si="366"/>
        <v>171.0398711393949</v>
      </c>
      <c r="FG30" s="17">
        <f t="shared" ref="FG30:FH30" si="367">FG27+FG29</f>
        <v>177.19546244347282</v>
      </c>
      <c r="FH30" s="17">
        <f t="shared" si="367"/>
        <v>178.91542844007157</v>
      </c>
      <c r="FI30" s="17">
        <f t="shared" ref="FI30:FJ30" si="368">FI27+FI29</f>
        <v>178.89716074073777</v>
      </c>
      <c r="FJ30" s="17">
        <f t="shared" si="368"/>
        <v>176.85992083614425</v>
      </c>
      <c r="FK30" s="17">
        <f t="shared" ref="FK30:FL30" si="369">FK27+FK29</f>
        <v>180.3869785639269</v>
      </c>
      <c r="FL30" s="17">
        <f t="shared" si="369"/>
        <v>180.74646035007623</v>
      </c>
      <c r="FM30" s="17">
        <f t="shared" ref="FM30:FN30" si="370">FM27+FM29</f>
        <v>175.39122322120261</v>
      </c>
      <c r="FN30" s="17">
        <f t="shared" si="370"/>
        <v>175.52888259456216</v>
      </c>
      <c r="FO30" s="17">
        <f t="shared" ref="FO30:FP30" si="371">FO27+FO29</f>
        <v>177.75207297748858</v>
      </c>
      <c r="FP30" s="17">
        <f t="shared" si="371"/>
        <v>180.02658998613663</v>
      </c>
      <c r="FQ30" s="17">
        <f t="shared" ref="FQ30:FR30" si="372">FQ27+FQ29</f>
        <v>185.54024635713472</v>
      </c>
      <c r="FR30" s="17">
        <f t="shared" si="372"/>
        <v>188.03386176158642</v>
      </c>
      <c r="FS30" s="17">
        <f t="shared" ref="FS30:FT30" si="373">FS27+FS29</f>
        <v>185.81125402848946</v>
      </c>
      <c r="FT30" s="17">
        <f t="shared" si="373"/>
        <v>188.01863362255574</v>
      </c>
      <c r="FU30" s="17">
        <f t="shared" ref="FU30:FV30" si="374">FU27+FU29</f>
        <v>197.60787548682396</v>
      </c>
      <c r="FV30" s="17">
        <f t="shared" si="374"/>
        <v>200.23381046758743</v>
      </c>
      <c r="FW30" s="17">
        <f t="shared" ref="FW30:FX30" si="375">FW27+FW29</f>
        <v>200.48129648349607</v>
      </c>
      <c r="FX30" s="17">
        <f t="shared" si="375"/>
        <v>200.3258996488174</v>
      </c>
      <c r="FY30" s="17">
        <f t="shared" ref="FY30:FZ30" si="376">FY27+FY29</f>
        <v>202.61168072793015</v>
      </c>
      <c r="FZ30" s="17">
        <f t="shared" si="376"/>
        <v>212.26295283850567</v>
      </c>
      <c r="GA30" s="17">
        <f t="shared" ref="GA30:GB30" si="377">GA27+GA29</f>
        <v>211.84988108237576</v>
      </c>
      <c r="GB30" s="17">
        <f t="shared" si="377"/>
        <v>211.43052844683513</v>
      </c>
      <c r="GC30" s="17">
        <f t="shared" ref="GC30:GD30" si="378">GC27+GC29</f>
        <v>214.00519489937545</v>
      </c>
      <c r="GD30" s="17">
        <f t="shared" si="378"/>
        <v>218.26886153485549</v>
      </c>
      <c r="GE30" s="17">
        <f t="shared" ref="GE30:GF30" si="379">GE27+GE29</f>
        <v>219.19029565403156</v>
      </c>
      <c r="GF30" s="17">
        <f t="shared" si="379"/>
        <v>222.87734818124022</v>
      </c>
      <c r="GG30" s="17">
        <f t="shared" ref="GG30:GH30" si="380">GG27+GG29</f>
        <v>223.9396226500541</v>
      </c>
      <c r="GH30" s="17">
        <f t="shared" si="380"/>
        <v>215.09514126013084</v>
      </c>
      <c r="GI30" s="17">
        <f t="shared" ref="GI30:GJ30" si="381">GI27+GI29</f>
        <v>216.06686778382453</v>
      </c>
      <c r="GJ30" s="17">
        <f t="shared" si="381"/>
        <v>218.19572314423095</v>
      </c>
      <c r="GK30" s="17">
        <f t="shared" ref="GK30:GL30" si="382">GK27+GK29</f>
        <v>216.88923075873595</v>
      </c>
      <c r="GL30" s="17">
        <f t="shared" si="382"/>
        <v>218.04548987573037</v>
      </c>
      <c r="GM30" s="17">
        <f t="shared" ref="GM30:GN30" si="383">GM27+GM29</f>
        <v>218.32854733787434</v>
      </c>
      <c r="GN30" s="17">
        <f t="shared" si="383"/>
        <v>216.85146694055555</v>
      </c>
      <c r="GO30" s="17">
        <f t="shared" ref="GO30:GP30" si="384">GO27+GO29</f>
        <v>217.58557770103516</v>
      </c>
      <c r="GP30" s="17">
        <f t="shared" si="384"/>
        <v>214.94120399685573</v>
      </c>
      <c r="GQ30" s="17">
        <f t="shared" ref="GQ30:GR30" si="385">GQ27+GQ29</f>
        <v>214.26387865163457</v>
      </c>
      <c r="GR30" s="17">
        <f t="shared" si="385"/>
        <v>212.03820929995999</v>
      </c>
      <c r="GS30" s="17">
        <f t="shared" ref="GS30:GT30" si="386">GS27+GS29</f>
        <v>216.36665874291771</v>
      </c>
      <c r="GT30" s="17">
        <f t="shared" si="386"/>
        <v>214.74319300846381</v>
      </c>
      <c r="GU30" s="17">
        <f t="shared" ref="GU30:GV30" si="387">GU27+GU29</f>
        <v>214.17543321156995</v>
      </c>
      <c r="GV30" s="17">
        <f t="shared" si="387"/>
        <v>212.69422506795908</v>
      </c>
      <c r="GW30" s="17">
        <f t="shared" ref="GW30:GX30" si="388">GW27+GW29</f>
        <v>205.40933679512872</v>
      </c>
      <c r="GX30" s="17">
        <f t="shared" si="388"/>
        <v>208.58558224352856</v>
      </c>
      <c r="GY30" s="17">
        <f t="shared" ref="GY30:GZ30" si="389">GY27+GY29</f>
        <v>205.83508248186109</v>
      </c>
      <c r="GZ30" s="17">
        <f t="shared" si="389"/>
        <v>207.46586467583955</v>
      </c>
      <c r="HA30" s="17">
        <f t="shared" ref="HA30:HB30" si="390">HA27+HA29</f>
        <v>195.82980141580464</v>
      </c>
      <c r="HB30" s="17">
        <f t="shared" si="390"/>
        <v>180.93521021843466</v>
      </c>
      <c r="HC30" s="17">
        <f t="shared" ref="HC30:HD30" si="391">HC27+HC29</f>
        <v>173.03485654703417</v>
      </c>
      <c r="HD30" s="17">
        <f t="shared" si="391"/>
        <v>174.29385953825374</v>
      </c>
      <c r="HE30" s="17">
        <f t="shared" ref="HE30" si="392">HE27+HE29</f>
        <v>169.41557059859196</v>
      </c>
      <c r="HF30" s="17">
        <f t="shared" ref="HF30:HL30" si="393">HF27+HF29</f>
        <v>167.14160052426959</v>
      </c>
      <c r="HG30" s="17">
        <f t="shared" si="393"/>
        <v>174.80329565828995</v>
      </c>
      <c r="HH30" s="17">
        <f t="shared" si="393"/>
        <v>172.98440122288372</v>
      </c>
      <c r="HI30" s="17">
        <f t="shared" si="393"/>
        <v>172.59083877205435</v>
      </c>
      <c r="HJ30" s="17">
        <f t="shared" si="393"/>
        <v>174.02910283498116</v>
      </c>
      <c r="HK30" s="17">
        <f t="shared" si="393"/>
        <v>174.05633487690787</v>
      </c>
      <c r="HL30" s="17">
        <f t="shared" si="393"/>
        <v>171.91846677476482</v>
      </c>
      <c r="HM30" s="17">
        <f t="shared" ref="HM30:HN30" si="394">HM27+HM29</f>
        <v>167.90088731841635</v>
      </c>
      <c r="HN30" s="17">
        <f t="shared" si="394"/>
        <v>167.79995458314707</v>
      </c>
      <c r="HO30" s="17">
        <f t="shared" ref="HO30:HP30" si="395">HO27+HO29</f>
        <v>172.50847492428522</v>
      </c>
      <c r="HP30" s="17">
        <f t="shared" si="395"/>
        <v>166.60674325768753</v>
      </c>
      <c r="HQ30" s="17">
        <f t="shared" ref="HQ30:HR30" si="396">HQ27+HQ29</f>
        <v>169.46770612492233</v>
      </c>
      <c r="HR30" s="17">
        <f t="shared" si="396"/>
        <v>167.22642168287058</v>
      </c>
      <c r="HS30" s="17">
        <f t="shared" ref="HS30:HT30" si="397">HS27+HS29</f>
        <v>167.63355379174277</v>
      </c>
      <c r="HT30" s="17">
        <f t="shared" si="397"/>
        <v>786.65371762393954</v>
      </c>
      <c r="HU30" s="17">
        <f t="shared" ref="HU30" si="398">HU27+HU29</f>
        <v>786.84473459871003</v>
      </c>
      <c r="HV30" s="17">
        <f>HV27+HV29</f>
        <v>784.64749650093052</v>
      </c>
      <c r="HW30" s="17">
        <f>HW27+HW29</f>
        <v>788.59653077388168</v>
      </c>
      <c r="HX30" s="17">
        <f t="shared" ref="HX30:HY30" si="399">HX27+HX29</f>
        <v>784.10327281954483</v>
      </c>
      <c r="HY30" s="17">
        <f t="shared" si="399"/>
        <v>770.46150575851618</v>
      </c>
      <c r="HZ30" s="17">
        <f t="shared" ref="HZ30:IA30" si="400">HZ27+HZ29</f>
        <v>770.15220488277259</v>
      </c>
      <c r="IA30" s="17">
        <f t="shared" si="400"/>
        <v>757.15522704638943</v>
      </c>
      <c r="IB30" s="17">
        <f t="shared" ref="IB30:IC30" si="401">IB27+IB29</f>
        <v>151.95114958025519</v>
      </c>
      <c r="IC30" s="17">
        <f t="shared" si="401"/>
        <v>150.94333907266207</v>
      </c>
      <c r="ID30" s="17" t="e">
        <f t="shared" ref="ID30" si="402">ID27+ID29</f>
        <v>#REF!</v>
      </c>
      <c r="IE30" s="17">
        <f t="shared" ref="IE30:IF30" si="403">IE27+IE29</f>
        <v>150.58539514594551</v>
      </c>
      <c r="IF30" s="17">
        <f t="shared" si="403"/>
        <v>149.19336972433291</v>
      </c>
      <c r="IG30" s="17">
        <f t="shared" ref="IG30:IH30" si="404">IG27+IG29</f>
        <v>152.16564455760988</v>
      </c>
      <c r="IH30" s="17">
        <f t="shared" si="404"/>
        <v>155.38498805406951</v>
      </c>
      <c r="II30" s="17">
        <f t="shared" ref="II30" si="405">II27+II29</f>
        <v>152.62068884251062</v>
      </c>
      <c r="IJ30" s="17">
        <f t="shared" ref="IJ30:IK30" si="406">IJ27+IJ29</f>
        <v>149.06294759659414</v>
      </c>
      <c r="IK30" s="17">
        <f t="shared" si="406"/>
        <v>160.00785125550956</v>
      </c>
      <c r="IL30" s="17">
        <v>157.721772160792</v>
      </c>
      <c r="IM30" s="17">
        <v>151.39990075400425</v>
      </c>
      <c r="IN30" s="17">
        <v>154.30167852314159</v>
      </c>
      <c r="IO30" s="17">
        <v>154.6983811650758</v>
      </c>
      <c r="IP30" s="17">
        <v>145.51418845198339</v>
      </c>
      <c r="IQ30" s="17">
        <v>143.30574160739678</v>
      </c>
      <c r="IR30" s="17">
        <v>136.09462715092619</v>
      </c>
      <c r="IS30" s="17">
        <v>137.17279736231518</v>
      </c>
      <c r="IT30" s="17">
        <v>138.87485684051009</v>
      </c>
      <c r="IU30" s="17">
        <v>135.73025972750148</v>
      </c>
      <c r="IV30" s="17">
        <v>130.40596506596009</v>
      </c>
      <c r="IW30" s="17">
        <v>129.18060856272174</v>
      </c>
      <c r="IX30" s="17">
        <v>131.99874357512812</v>
      </c>
      <c r="IY30" s="17">
        <v>130.00935689385886</v>
      </c>
      <c r="IZ30" s="17">
        <v>130.47486830711537</v>
      </c>
      <c r="JA30" s="17">
        <v>130.72209152017075</v>
      </c>
      <c r="JB30" s="17">
        <v>132.22500842964732</v>
      </c>
      <c r="JC30" s="17">
        <v>134.56588139306928</v>
      </c>
      <c r="JD30" s="17">
        <v>134.03761251252399</v>
      </c>
      <c r="JE30" s="17">
        <v>133.55679634500046</v>
      </c>
      <c r="JF30" s="17">
        <v>134.84292584054907</v>
      </c>
      <c r="JG30" s="17">
        <v>135.64563386015254</v>
      </c>
      <c r="JH30" s="17">
        <v>131.4668687706488</v>
      </c>
      <c r="JI30" s="17">
        <v>132.69444389632113</v>
      </c>
      <c r="JJ30" s="17">
        <v>128.73436909004405</v>
      </c>
      <c r="JK30" s="17">
        <v>126.06932442891026</v>
      </c>
      <c r="JL30" s="17">
        <v>128.7564449699025</v>
      </c>
      <c r="JM30" s="17">
        <v>130.27813798332602</v>
      </c>
      <c r="JN30" s="17">
        <v>131.34118383241503</v>
      </c>
      <c r="JO30" s="17">
        <v>133.44600552719876</v>
      </c>
      <c r="JP30" s="17">
        <v>137.76418834638929</v>
      </c>
      <c r="JQ30" s="17">
        <v>141.70571368396375</v>
      </c>
      <c r="JR30" s="17">
        <v>142.08681573957361</v>
      </c>
      <c r="JS30" s="17">
        <v>141.84449240783303</v>
      </c>
      <c r="JT30" s="17">
        <v>136.35941868452201</v>
      </c>
      <c r="JU30" s="17" t="e">
        <f t="shared" ref="JU30" si="407">JU27+JU29</f>
        <v>#REF!</v>
      </c>
      <c r="JV30" s="17">
        <v>134.23081817007221</v>
      </c>
      <c r="JW30" s="17">
        <v>170.43034085835845</v>
      </c>
      <c r="JX30" s="17">
        <v>168.80373219449513</v>
      </c>
      <c r="JY30" s="17">
        <v>146.58821864479208</v>
      </c>
      <c r="JZ30" s="17">
        <v>134.86760573477991</v>
      </c>
      <c r="KA30" s="17">
        <v>132.41534621482475</v>
      </c>
      <c r="KB30" s="17">
        <v>134.64728071596446</v>
      </c>
      <c r="KC30" s="17">
        <v>135.08448895934646</v>
      </c>
      <c r="KD30" s="17">
        <v>132.82732407368812</v>
      </c>
      <c r="KE30" s="17">
        <v>133.17438685231932</v>
      </c>
      <c r="KF30" s="17">
        <v>134.01518252528925</v>
      </c>
      <c r="KG30" s="17">
        <v>136.57885047927033</v>
      </c>
      <c r="KH30" s="17">
        <v>137.07593999079916</v>
      </c>
      <c r="KI30" s="17">
        <v>140.82102782117585</v>
      </c>
      <c r="KJ30" s="17">
        <v>135.00291574168847</v>
      </c>
      <c r="KK30" s="17">
        <v>134.45438808325324</v>
      </c>
      <c r="KL30" s="17">
        <v>136.90228417032162</v>
      </c>
      <c r="KM30" s="17">
        <v>136.44140841973746</v>
      </c>
      <c r="KN30" s="17">
        <v>136.86717579642774</v>
      </c>
      <c r="KO30" s="17">
        <v>131.66246542800101</v>
      </c>
      <c r="KP30" s="17">
        <v>143.46938260755894</v>
      </c>
      <c r="KQ30" s="17">
        <v>144.75504407355388</v>
      </c>
      <c r="KR30" s="17">
        <v>143.25461436485813</v>
      </c>
      <c r="KS30" s="17">
        <v>154.35222836793881</v>
      </c>
      <c r="KT30" s="17">
        <v>142.34129427840531</v>
      </c>
      <c r="KU30" s="17">
        <v>141.91716936129257</v>
      </c>
      <c r="KV30" s="17">
        <v>142.07982102723375</v>
      </c>
      <c r="KW30" s="17">
        <v>147.64033170006138</v>
      </c>
      <c r="KX30" s="17">
        <v>122.2646661987412</v>
      </c>
      <c r="KY30" s="17">
        <v>118.85716060967471</v>
      </c>
      <c r="KZ30" s="17">
        <v>119.0147061863141</v>
      </c>
      <c r="LA30" s="17">
        <v>118.8662768549207</v>
      </c>
      <c r="LB30" s="17">
        <v>105.75443235708688</v>
      </c>
      <c r="LC30" s="17">
        <v>120.24916118762306</v>
      </c>
      <c r="LD30" s="17">
        <v>118.6075176152268</v>
      </c>
      <c r="LE30" s="17">
        <v>114.74289766723479</v>
      </c>
      <c r="LF30" s="17">
        <v>115.30108659718111</v>
      </c>
      <c r="LG30" s="17">
        <v>118.84987242595092</v>
      </c>
      <c r="LH30" s="17">
        <v>119.62646810272882</v>
      </c>
      <c r="LI30" s="17">
        <v>120.3316343552948</v>
      </c>
      <c r="LJ30" s="17">
        <v>121.721588058206</v>
      </c>
      <c r="LK30" s="17">
        <v>122.53745835922325</v>
      </c>
      <c r="LL30" s="17">
        <v>122.94979827388336</v>
      </c>
      <c r="LM30" s="17">
        <v>121.533063650896</v>
      </c>
      <c r="LN30" s="17">
        <v>121.53646892029447</v>
      </c>
      <c r="LO30" s="17">
        <v>121.28031716711179</v>
      </c>
      <c r="LP30" s="17">
        <v>120.10748588559366</v>
      </c>
      <c r="LQ30" s="17">
        <f t="shared" ref="LQ30:LR30" si="408">LQ27+LQ29</f>
        <v>123.70281959278265</v>
      </c>
      <c r="LR30" s="17">
        <f t="shared" si="408"/>
        <v>121.53928299058246</v>
      </c>
      <c r="LS30" s="17">
        <f t="shared" ref="LS30" si="409">LS27+LS29</f>
        <v>115.27879940205631</v>
      </c>
      <c r="LT30" s="17">
        <v>99.286104447506617</v>
      </c>
      <c r="LU30" s="17">
        <v>107.93872424754095</v>
      </c>
      <c r="LV30" s="17">
        <v>107.45999763298644</v>
      </c>
      <c r="LW30" s="17">
        <v>108.1990587772367</v>
      </c>
      <c r="LX30" s="17">
        <v>106.83842952484386</v>
      </c>
      <c r="LY30" s="17">
        <v>108.4255402381542</v>
      </c>
      <c r="LZ30" s="17">
        <v>110.13738406588426</v>
      </c>
      <c r="MA30" s="17">
        <v>105.57049645630724</v>
      </c>
      <c r="MB30" s="17">
        <v>111.94993969429892</v>
      </c>
      <c r="MC30" s="17">
        <v>111.24930400124819</v>
      </c>
      <c r="MD30" s="17">
        <v>117.94649738296002</v>
      </c>
      <c r="ME30" s="17">
        <v>117.57350819455871</v>
      </c>
      <c r="MF30" s="17">
        <v>117.92393333000953</v>
      </c>
      <c r="MG30" s="17">
        <v>118.76885197911569</v>
      </c>
      <c r="MH30" s="17">
        <v>120.63488450720955</v>
      </c>
      <c r="MI30" s="17">
        <v>121.29072097952444</v>
      </c>
      <c r="MJ30" s="17">
        <v>117.77009255774989</v>
      </c>
      <c r="MK30" s="17">
        <v>115.607425706508</v>
      </c>
      <c r="ML30" s="17">
        <v>113.65417980987667</v>
      </c>
      <c r="MM30" s="17">
        <v>113.58357257538337</v>
      </c>
      <c r="MN30" s="17">
        <v>107.95289970229594</v>
      </c>
      <c r="MO30" s="17">
        <v>112.11308801849029</v>
      </c>
      <c r="MP30" s="17">
        <v>111.36081754500745</v>
      </c>
      <c r="MQ30" s="17">
        <v>107.0009338731074</v>
      </c>
      <c r="MR30" s="17">
        <v>106.04066250998166</v>
      </c>
      <c r="MS30" s="17">
        <v>107.27664448781388</v>
      </c>
      <c r="MT30" s="17">
        <v>105.05009279773527</v>
      </c>
      <c r="MU30" s="17">
        <v>107.74296686410281</v>
      </c>
      <c r="MV30" s="17">
        <v>107.18963550479054</v>
      </c>
      <c r="MW30" s="17">
        <v>106.02074195474768</v>
      </c>
      <c r="MX30" s="17">
        <v>106.52661570330649</v>
      </c>
      <c r="MY30" s="17">
        <v>107.66311107613727</v>
      </c>
      <c r="MZ30" s="17">
        <v>104.20263146084442</v>
      </c>
      <c r="NA30" s="17">
        <v>103.30055833217807</v>
      </c>
      <c r="NB30" s="17">
        <v>102.36297325884813</v>
      </c>
      <c r="NC30" s="17">
        <v>103.44677478386437</v>
      </c>
      <c r="ND30" s="17">
        <v>107.39276392156843</v>
      </c>
      <c r="NE30" s="17">
        <v>107.05018946099732</v>
      </c>
      <c r="NF30" s="17">
        <v>100.10190429942521</v>
      </c>
      <c r="NG30" s="17">
        <v>98.200816957831208</v>
      </c>
      <c r="NH30" s="17">
        <v>100.49428249699406</v>
      </c>
      <c r="NI30" s="17">
        <v>102.31936439114035</v>
      </c>
      <c r="NJ30" s="17">
        <v>100.02246904320465</v>
      </c>
      <c r="NK30" s="17">
        <v>95.963631809789447</v>
      </c>
      <c r="NL30" s="17">
        <v>93.166439188907333</v>
      </c>
      <c r="NM30" s="17">
        <v>88.834010031292863</v>
      </c>
      <c r="NN30" s="17">
        <v>88.971706840285776</v>
      </c>
      <c r="NO30" s="17">
        <v>89.622604403340034</v>
      </c>
      <c r="NP30" s="17">
        <v>91.209035047277894</v>
      </c>
      <c r="NQ30" s="17">
        <v>92.061308990812407</v>
      </c>
      <c r="NR30" s="17">
        <v>95.525843610109831</v>
      </c>
      <c r="NS30" s="17">
        <v>97.88332031118118</v>
      </c>
      <c r="NT30" s="17">
        <v>100.49846259919094</v>
      </c>
      <c r="NU30" s="17">
        <v>101.11617402687824</v>
      </c>
      <c r="NV30" s="17">
        <v>99.754100938194469</v>
      </c>
      <c r="NW30" s="17">
        <v>99.255542107730449</v>
      </c>
      <c r="NX30" s="17">
        <v>103.00926702827222</v>
      </c>
      <c r="NY30" s="17">
        <v>104.85017455703949</v>
      </c>
      <c r="NZ30" s="17">
        <v>107.62704553571358</v>
      </c>
      <c r="OA30" s="17">
        <v>109.95765243408806</v>
      </c>
      <c r="OB30" s="17">
        <v>106.1940349636636</v>
      </c>
      <c r="OC30" s="17">
        <v>107.0936361674045</v>
      </c>
      <c r="OD30" s="17">
        <v>109.5451270241537</v>
      </c>
      <c r="OE30" s="17">
        <v>111.54447825456673</v>
      </c>
      <c r="OF30" s="17">
        <v>108.73114101809736</v>
      </c>
      <c r="OG30" s="17">
        <v>112.29037326497648</v>
      </c>
      <c r="OH30" s="17">
        <v>114.268421280886</v>
      </c>
      <c r="OI30" s="17">
        <v>116.73579412946989</v>
      </c>
      <c r="OJ30" s="17">
        <v>114.61520364037463</v>
      </c>
      <c r="OK30" s="17">
        <v>109.194034033675</v>
      </c>
      <c r="OL30" s="17">
        <v>114.67910876864947</v>
      </c>
      <c r="OM30" s="17">
        <v>112.41307524380134</v>
      </c>
      <c r="ON30" s="17">
        <v>117.99562060846901</v>
      </c>
      <c r="OO30" s="17">
        <v>121.73718435677</v>
      </c>
      <c r="OP30" s="17">
        <v>120.04915456168902</v>
      </c>
      <c r="OQ30" s="17">
        <v>125.89520415783576</v>
      </c>
      <c r="OR30" s="17">
        <v>102.69604255540355</v>
      </c>
      <c r="OS30" s="17">
        <v>129.79892307175956</v>
      </c>
      <c r="OT30" s="17">
        <v>127.8537207602272</v>
      </c>
      <c r="OU30" s="17">
        <v>129.21796169391664</v>
      </c>
      <c r="OV30" s="17">
        <v>138.10240251064536</v>
      </c>
      <c r="OW30" s="17">
        <v>136.61438084028416</v>
      </c>
      <c r="OX30" s="17">
        <v>137.71109881725658</v>
      </c>
      <c r="OY30" s="17">
        <v>129.65650050429267</v>
      </c>
      <c r="OZ30" s="17">
        <v>129.64607822213176</v>
      </c>
      <c r="PA30" s="17">
        <v>125.62060552882332</v>
      </c>
      <c r="PB30" s="17">
        <v>124.66411540993433</v>
      </c>
      <c r="PC30" s="17">
        <v>126.17832743047731</v>
      </c>
      <c r="PD30" s="17">
        <v>122.57923447442757</v>
      </c>
      <c r="PE30" s="17">
        <v>120.10233190326235</v>
      </c>
      <c r="PF30" s="17">
        <v>125.04554224436529</v>
      </c>
      <c r="PG30" s="17">
        <v>127.84823124534819</v>
      </c>
      <c r="PH30" s="17">
        <v>130.40984628865976</v>
      </c>
      <c r="PI30" s="17">
        <v>130.72058162994824</v>
      </c>
      <c r="PJ30" s="17">
        <v>131.52527459563481</v>
      </c>
      <c r="PK30" s="17">
        <v>126.96767348627576</v>
      </c>
      <c r="PL30" s="17">
        <v>126.68516409369732</v>
      </c>
      <c r="PM30" s="17">
        <v>127.57088052984072</v>
      </c>
      <c r="PN30" s="17">
        <v>126.73882775640115</v>
      </c>
      <c r="PO30" s="17">
        <v>118.13463176563855</v>
      </c>
      <c r="PP30" s="17">
        <v>131.71178682285952</v>
      </c>
      <c r="PQ30" s="17">
        <v>125.74912462302429</v>
      </c>
      <c r="PR30" s="17">
        <v>132.00322790290926</v>
      </c>
      <c r="PS30" s="17">
        <v>120.72124004644505</v>
      </c>
      <c r="PT30" s="17">
        <v>123.95413458501405</v>
      </c>
      <c r="PU30" s="17">
        <v>107.52414989496717</v>
      </c>
      <c r="PV30" s="17">
        <v>105.57437677430052</v>
      </c>
      <c r="PW30" s="17">
        <v>108.916817181143</v>
      </c>
      <c r="PX30" s="17">
        <v>107.413052832684</v>
      </c>
      <c r="PY30" s="17">
        <v>108.33011846376205</v>
      </c>
      <c r="PZ30" s="17">
        <v>109.5920992530548</v>
      </c>
      <c r="QA30" s="17">
        <v>115.38416694467729</v>
      </c>
      <c r="QB30" s="17">
        <v>114.97266041290445</v>
      </c>
      <c r="QC30" s="17">
        <v>108.66969911845614</v>
      </c>
      <c r="QD30" s="17">
        <v>116.69326644931043</v>
      </c>
      <c r="QE30" s="17">
        <v>121.84626376136337</v>
      </c>
      <c r="QF30" s="17">
        <v>130.13701281200557</v>
      </c>
      <c r="QG30" s="17">
        <v>129.25404068635194</v>
      </c>
      <c r="QH30" s="17">
        <v>122.41673689731407</v>
      </c>
      <c r="QI30" s="17">
        <v>126.41143642408032</v>
      </c>
      <c r="QJ30" s="17">
        <v>126.48907363270966</v>
      </c>
      <c r="QK30" s="17">
        <v>125.67749195989681</v>
      </c>
      <c r="QL30" s="17">
        <v>126.4647970169935</v>
      </c>
      <c r="QM30" s="17">
        <v>121.63901758521044</v>
      </c>
      <c r="QN30" s="17">
        <v>120.50326249238648</v>
      </c>
      <c r="QO30" s="17">
        <v>125.75685695603472</v>
      </c>
      <c r="QP30" s="17">
        <v>126.51132835020857</v>
      </c>
      <c r="QQ30" s="17">
        <v>120.63506454574973</v>
      </c>
      <c r="QR30" s="17">
        <v>121.1270621843139</v>
      </c>
      <c r="QS30" s="17">
        <v>122.33484244346316</v>
      </c>
      <c r="QT30" s="17">
        <v>125.22909762092624</v>
      </c>
      <c r="QU30" s="17">
        <v>126.42505094996109</v>
      </c>
      <c r="QV30" s="17">
        <v>124.59453148157095</v>
      </c>
      <c r="QW30" s="17">
        <v>124.36864304590367</v>
      </c>
      <c r="QX30" s="17">
        <v>113.42552173254577</v>
      </c>
      <c r="QY30" s="17">
        <v>112.74256217363222</v>
      </c>
      <c r="QZ30" s="17">
        <v>110.01113776937562</v>
      </c>
      <c r="RA30" s="17">
        <v>108.7901762776029</v>
      </c>
      <c r="RB30" s="17">
        <v>109.24049316570948</v>
      </c>
      <c r="RC30" s="17">
        <v>109.49741396005999</v>
      </c>
      <c r="RD30" s="17">
        <v>108.45617381826763</v>
      </c>
      <c r="RE30" s="17">
        <v>112.22011308130384</v>
      </c>
      <c r="RF30" s="17">
        <v>110.14660164515212</v>
      </c>
      <c r="RG30" s="17">
        <f>RG27+RG29</f>
        <v>98.874396534048813</v>
      </c>
      <c r="RH30" s="17">
        <v>104.10592111998035</v>
      </c>
      <c r="RI30" s="17">
        <v>103.5361767285187</v>
      </c>
      <c r="RJ30" s="17">
        <v>105.39022757650457</v>
      </c>
      <c r="RK30" s="17">
        <v>108.15701950624741</v>
      </c>
      <c r="RL30" s="17">
        <v>107.30730063830715</v>
      </c>
      <c r="RM30" s="17">
        <v>109.2767628874347</v>
      </c>
      <c r="RN30" s="17">
        <v>111.6401652734688</v>
      </c>
      <c r="RO30" s="17">
        <v>110.95800626903518</v>
      </c>
      <c r="RP30" s="17">
        <v>114.04203277380947</v>
      </c>
      <c r="RQ30" s="17">
        <v>110.74045635364956</v>
      </c>
      <c r="RR30" s="17">
        <v>115.14319356423796</v>
      </c>
      <c r="RS30" s="17">
        <v>110.63791764017174</v>
      </c>
      <c r="RT30" s="17">
        <v>111.83713288700503</v>
      </c>
      <c r="RU30" s="17">
        <v>110.14818616909268</v>
      </c>
      <c r="RV30" s="17">
        <v>111.18302832150366</v>
      </c>
      <c r="RW30" s="17">
        <v>104.52809995495844</v>
      </c>
      <c r="RX30" s="17">
        <v>103.5388036183718</v>
      </c>
      <c r="RY30" s="17">
        <v>102.21608231714274</v>
      </c>
      <c r="RZ30" s="17">
        <v>104.59627818119667</v>
      </c>
      <c r="SA30" s="17">
        <v>100.54997109911208</v>
      </c>
      <c r="SB30" s="17">
        <v>101.04694157629194</v>
      </c>
      <c r="SC30" s="17">
        <v>99.723842463381885</v>
      </c>
      <c r="SD30" s="17">
        <v>100.11756968762832</v>
      </c>
      <c r="SE30" s="17">
        <v>100.11249782394711</v>
      </c>
      <c r="SF30" s="17">
        <f>SF27+SF29</f>
        <v>79.423238628499533</v>
      </c>
      <c r="SG30" s="17">
        <v>103.43418057351188</v>
      </c>
      <c r="SH30" s="17">
        <v>103.89522655823752</v>
      </c>
      <c r="SI30" s="17">
        <v>102.30672491036067</v>
      </c>
      <c r="SJ30" s="17">
        <v>101.84417119998068</v>
      </c>
      <c r="SK30" s="17">
        <v>100.70181518243383</v>
      </c>
      <c r="SL30" s="17">
        <v>101.53107545112914</v>
      </c>
      <c r="SM30" s="17">
        <v>98.922168877668895</v>
      </c>
      <c r="SN30" s="17">
        <v>99.710050076917483</v>
      </c>
      <c r="SO30" s="17">
        <v>100.46841171858875</v>
      </c>
      <c r="SP30" s="17">
        <v>99.842711209327959</v>
      </c>
      <c r="SQ30" s="17">
        <v>89.794904982952872</v>
      </c>
      <c r="SR30" s="17">
        <v>107.98023842883241</v>
      </c>
      <c r="SS30" s="17">
        <v>98.062492476281975</v>
      </c>
      <c r="ST30" s="17">
        <v>94.457717165171601</v>
      </c>
      <c r="SU30" s="17">
        <v>107.0086528066924</v>
      </c>
      <c r="SV30" s="17">
        <v>108.57390020851118</v>
      </c>
      <c r="SW30" s="17">
        <v>106.58939632073711</v>
      </c>
      <c r="SX30" s="17">
        <v>114.31169284779372</v>
      </c>
      <c r="SY30" s="17">
        <v>116.38863924626456</v>
      </c>
      <c r="SZ30" s="17">
        <v>119.0115760560867</v>
      </c>
      <c r="TA30" s="17">
        <v>120.06346419989806</v>
      </c>
      <c r="TB30" s="17">
        <v>122.50133884525256</v>
      </c>
      <c r="TC30" s="17">
        <v>120.5857389985009</v>
      </c>
      <c r="TD30" s="17">
        <v>122.24393270119171</v>
      </c>
      <c r="TE30" s="17">
        <f>TE27+TE29</f>
        <v>103.21870967537662</v>
      </c>
      <c r="TF30" s="17">
        <v>130.40566617019905</v>
      </c>
      <c r="TG30" s="17">
        <v>133.79369561378789</v>
      </c>
      <c r="TH30" s="17">
        <v>134.44034117058905</v>
      </c>
      <c r="TI30" s="17">
        <v>129.46455767699479</v>
      </c>
      <c r="TJ30" s="17">
        <v>131.334483113538</v>
      </c>
      <c r="TK30" s="17">
        <v>130.88800891494171</v>
      </c>
      <c r="TL30" s="17">
        <v>138.29169250804441</v>
      </c>
      <c r="TM30" s="17">
        <v>137.48504718713224</v>
      </c>
      <c r="TN30" s="17">
        <v>137.73089922436876</v>
      </c>
      <c r="TO30" s="17">
        <v>137.115097732972</v>
      </c>
      <c r="TP30" s="17">
        <v>138.60403312700097</v>
      </c>
      <c r="TQ30" s="17">
        <v>142.61047426546997</v>
      </c>
      <c r="TR30" s="17">
        <v>139.60469242747291</v>
      </c>
      <c r="TS30" s="17">
        <v>139.95643247328903</v>
      </c>
      <c r="TT30" s="17">
        <v>138.29815256620498</v>
      </c>
      <c r="TU30" s="17">
        <v>138.88275417424555</v>
      </c>
      <c r="TV30" s="17">
        <v>139.87845308227534</v>
      </c>
      <c r="TW30" s="17">
        <v>143.10756069255086</v>
      </c>
      <c r="TX30" s="17">
        <v>141.96330059932808</v>
      </c>
      <c r="TY30" s="17">
        <v>145.20592456958306</v>
      </c>
      <c r="TZ30" s="17">
        <v>149.92275584525296</v>
      </c>
      <c r="UA30" s="17">
        <v>155.9909968348594</v>
      </c>
      <c r="UB30" s="17">
        <v>146.03457208472742</v>
      </c>
      <c r="UC30" s="17">
        <v>130.23483396338995</v>
      </c>
      <c r="UD30" s="17">
        <v>128.50628816841478</v>
      </c>
      <c r="UE30" s="17">
        <v>131.18677107262201</v>
      </c>
      <c r="UF30" s="17">
        <v>130.00089752955864</v>
      </c>
      <c r="UG30" s="17">
        <v>132.91254180118059</v>
      </c>
      <c r="UH30" s="17">
        <v>132.83826066939525</v>
      </c>
      <c r="UI30" s="17">
        <v>127.78344708737882</v>
      </c>
      <c r="UJ30" s="17">
        <v>127.59200392701331</v>
      </c>
      <c r="UK30" s="17">
        <v>137.88864154434572</v>
      </c>
      <c r="UL30" s="17">
        <v>135.1106301467685</v>
      </c>
      <c r="UM30" s="17">
        <v>135.4776765783686</v>
      </c>
      <c r="UN30" s="17">
        <v>125.31931926899892</v>
      </c>
      <c r="UO30" s="17">
        <v>104.62149056448493</v>
      </c>
      <c r="UP30" s="17">
        <v>123.4915161491376</v>
      </c>
      <c r="UQ30" s="17">
        <v>122.12501787449743</v>
      </c>
      <c r="UR30" s="17">
        <v>121.59590114933164</v>
      </c>
      <c r="US30" s="17">
        <v>120.93021214831224</v>
      </c>
      <c r="UT30" s="17">
        <v>124.34987331022866</v>
      </c>
      <c r="UU30" s="17">
        <v>120.32733593465694</v>
      </c>
      <c r="UV30" s="17">
        <v>96.173819707812825</v>
      </c>
      <c r="UW30" s="17">
        <f t="shared" ref="UW30:VA30" si="410">UW27+UW29</f>
        <v>133.14371222811548</v>
      </c>
      <c r="UX30" s="17">
        <f t="shared" si="410"/>
        <v>137.81168555642009</v>
      </c>
      <c r="UY30" s="17">
        <f t="shared" si="410"/>
        <v>135.68412557483256</v>
      </c>
      <c r="UZ30" s="17">
        <f t="shared" si="410"/>
        <v>132.9886801196829</v>
      </c>
      <c r="VA30" s="17">
        <f t="shared" si="410"/>
        <v>133.47159680259097</v>
      </c>
      <c r="VB30" s="17">
        <v>124.03846706480847</v>
      </c>
      <c r="VC30" s="17">
        <v>124.51028766829904</v>
      </c>
      <c r="VD30" s="17">
        <v>120.96745692864727</v>
      </c>
      <c r="VE30" s="17">
        <v>117.58309840268393</v>
      </c>
      <c r="VF30" s="17">
        <v>106.05269298970941</v>
      </c>
      <c r="VG30" s="17">
        <v>108.09533872537092</v>
      </c>
      <c r="VH30" s="17">
        <v>104.91943753284224</v>
      </c>
      <c r="VI30" s="17">
        <v>108.51352605985916</v>
      </c>
      <c r="VJ30" s="17">
        <f t="shared" ref="VJ30" si="411">VJ27+VJ29</f>
        <v>98.29648864231541</v>
      </c>
      <c r="VK30" s="17">
        <v>100.55365649857278</v>
      </c>
      <c r="VL30" s="17">
        <v>101.11032234359277</v>
      </c>
      <c r="VM30" s="17">
        <v>97.809275988599524</v>
      </c>
      <c r="VN30" s="17">
        <v>93.690976617634561</v>
      </c>
      <c r="VO30" s="17">
        <v>92.500398637621785</v>
      </c>
      <c r="VP30" s="17">
        <v>93.105340999402941</v>
      </c>
      <c r="VQ30" s="17">
        <v>92.097355331107352</v>
      </c>
      <c r="VR30" s="17">
        <v>90.147233318973818</v>
      </c>
      <c r="VS30" s="17">
        <v>90.780345722229441</v>
      </c>
      <c r="VT30" s="17">
        <v>88.976842813599859</v>
      </c>
      <c r="VU30" s="17">
        <v>89.487851699768285</v>
      </c>
      <c r="VV30" s="17">
        <v>86.910347412625356</v>
      </c>
      <c r="VW30" s="17">
        <v>84.477711916579011</v>
      </c>
      <c r="VX30" s="17">
        <v>83.101400280827761</v>
      </c>
      <c r="VY30" s="17">
        <v>75.091265152669081</v>
      </c>
      <c r="VZ30" s="17">
        <v>76.646708682120931</v>
      </c>
      <c r="WA30" s="17">
        <v>77.497920307324719</v>
      </c>
      <c r="WB30" s="17">
        <v>84.552728580205269</v>
      </c>
      <c r="WC30" s="17">
        <v>95.673922928605336</v>
      </c>
      <c r="WD30" s="17">
        <v>88.321147525933199</v>
      </c>
      <c r="WE30" s="17">
        <v>91.186080007942351</v>
      </c>
      <c r="WF30" s="17">
        <v>84.629450318358309</v>
      </c>
      <c r="WG30" s="17">
        <v>79.773644848231072</v>
      </c>
      <c r="WH30" s="17">
        <v>74.70444743046275</v>
      </c>
      <c r="WI30" s="17">
        <v>75.663541145684931</v>
      </c>
      <c r="WJ30" s="17">
        <v>76.610410726578806</v>
      </c>
      <c r="WK30" s="17">
        <v>76.581087484953358</v>
      </c>
      <c r="WL30" s="17">
        <v>79.243363668148362</v>
      </c>
      <c r="WM30" s="17">
        <v>80.363940615563877</v>
      </c>
      <c r="WN30" s="17">
        <v>73.338273215084399</v>
      </c>
      <c r="WO30" s="17">
        <v>72.149394811650126</v>
      </c>
      <c r="WP30" s="17">
        <v>73.885891249980403</v>
      </c>
      <c r="WQ30" s="17">
        <v>73.623374912517079</v>
      </c>
      <c r="WR30" s="17">
        <f t="shared" ref="WR30" si="412">WR27+WR29</f>
        <v>87.648778481158899</v>
      </c>
      <c r="WS30" s="17">
        <v>73.26813501768423</v>
      </c>
      <c r="WT30" s="17">
        <v>73.42771493952138</v>
      </c>
      <c r="WU30" s="17">
        <v>81.565274886312125</v>
      </c>
      <c r="WV30" s="17">
        <v>79.409601465129882</v>
      </c>
      <c r="WW30" s="17">
        <v>85.562778490496299</v>
      </c>
      <c r="WX30" s="17">
        <v>83.177750377434222</v>
      </c>
      <c r="WY30" s="17">
        <v>81.580646945421961</v>
      </c>
      <c r="WZ30" s="17">
        <v>76.75263064015671</v>
      </c>
      <c r="XA30" s="17">
        <v>79.208628747307543</v>
      </c>
      <c r="XB30" s="17">
        <v>83.161815242308251</v>
      </c>
      <c r="XC30" s="17">
        <v>74.416097931434479</v>
      </c>
      <c r="XD30" s="17">
        <v>79.08519037947319</v>
      </c>
      <c r="XE30" s="17">
        <v>76.877641623841797</v>
      </c>
      <c r="XF30" s="17">
        <v>78.573614087948997</v>
      </c>
      <c r="XG30" s="17">
        <v>45.771561748646853</v>
      </c>
      <c r="XH30" s="17">
        <v>71.073128430250478</v>
      </c>
      <c r="XI30" s="17">
        <v>73.511727604709037</v>
      </c>
      <c r="XJ30" s="17">
        <v>73.303600328104508</v>
      </c>
      <c r="XK30" s="17">
        <v>69.061362949000866</v>
      </c>
      <c r="XL30" s="17">
        <v>67.693573947628579</v>
      </c>
      <c r="XM30" s="17">
        <v>68.916697404246079</v>
      </c>
      <c r="XN30" s="17">
        <v>72.672758841741953</v>
      </c>
      <c r="XO30" s="17">
        <v>79.045398163580671</v>
      </c>
      <c r="XP30" s="17">
        <v>81.723872717160361</v>
      </c>
      <c r="XQ30" s="17">
        <v>78.905222559503187</v>
      </c>
      <c r="XR30" s="17">
        <v>72.943573395215552</v>
      </c>
      <c r="XS30" s="17">
        <v>69.639755643337224</v>
      </c>
      <c r="XT30" s="17">
        <f t="shared" ref="XT30" si="413">XT27+XT29</f>
        <v>97.450428512005274</v>
      </c>
      <c r="XU30" s="17">
        <v>75.038204551616019</v>
      </c>
      <c r="XV30" s="17">
        <v>75.171869212237397</v>
      </c>
      <c r="XW30" s="17">
        <v>62.640691723896552</v>
      </c>
      <c r="XX30" s="17">
        <v>77.872802865917521</v>
      </c>
      <c r="XY30" s="17">
        <v>76.612279481458131</v>
      </c>
      <c r="XZ30" s="17">
        <v>80.882026963249771</v>
      </c>
      <c r="YA30" s="17">
        <v>82.388487632470955</v>
      </c>
      <c r="YB30" s="17">
        <v>85.612407646612908</v>
      </c>
      <c r="YC30" s="17">
        <v>82.125510344830815</v>
      </c>
      <c r="YD30" s="17">
        <v>69.271048780236328</v>
      </c>
      <c r="YE30" s="17">
        <v>86.60995874596162</v>
      </c>
      <c r="YF30" s="17">
        <v>90.144499662872889</v>
      </c>
      <c r="YG30" s="17">
        <v>82.982784182003527</v>
      </c>
      <c r="YH30" s="17">
        <v>84.330619821535777</v>
      </c>
      <c r="YI30" s="17">
        <v>92.452690094495722</v>
      </c>
      <c r="YJ30" s="17">
        <v>94.80604385869978</v>
      </c>
      <c r="YK30" s="17">
        <v>97.662000739967226</v>
      </c>
      <c r="YL30" s="17">
        <v>100.250148439464</v>
      </c>
      <c r="YM30" s="17">
        <f t="shared" ref="YM30" si="414">YM27+YM29</f>
        <v>117.45042308826453</v>
      </c>
      <c r="YN30" s="17">
        <v>98.492562651180904</v>
      </c>
      <c r="YO30" s="17">
        <v>99.773568534751973</v>
      </c>
      <c r="YP30" s="17">
        <v>99.33832718170963</v>
      </c>
      <c r="YQ30" s="17">
        <v>102.95594266506305</v>
      </c>
      <c r="YR30" s="17">
        <v>106.17446116882691</v>
      </c>
      <c r="YS30" s="17">
        <v>102.35065030938974</v>
      </c>
      <c r="YT30" s="17">
        <v>102.46033123706613</v>
      </c>
      <c r="YU30" s="17">
        <v>104.55788003093718</v>
      </c>
      <c r="YV30" s="17">
        <v>106.87970789638943</v>
      </c>
      <c r="YW30" s="17">
        <v>105.06966560478598</v>
      </c>
      <c r="YX30" s="17">
        <v>105.55651634075798</v>
      </c>
      <c r="YY30" s="17">
        <v>101.03453713532883</v>
      </c>
      <c r="YZ30" s="17">
        <v>69.927764331394542</v>
      </c>
      <c r="ZA30" s="17">
        <v>100.99340603370628</v>
      </c>
      <c r="ZB30" s="17">
        <v>111.08398375227881</v>
      </c>
      <c r="ZC30" s="17">
        <v>105.73824005069021</v>
      </c>
      <c r="ZD30" s="17">
        <f t="shared" ref="ZD30" si="415">ZD27+ZD29</f>
        <v>107.33421926624581</v>
      </c>
    </row>
    <row r="32" spans="1:680" ht="15.6">
      <c r="A32" s="12" t="s">
        <v>118</v>
      </c>
      <c r="B32" s="2"/>
      <c r="C32" s="2"/>
      <c r="IC32" s="811"/>
      <c r="ID32" s="811"/>
      <c r="IE32" s="811"/>
      <c r="IF32" s="811"/>
      <c r="IG32" s="811"/>
      <c r="IH32" s="811"/>
      <c r="II32" s="811"/>
      <c r="IJ32" s="811"/>
      <c r="IK32" s="811"/>
      <c r="IL32" s="811"/>
      <c r="IM32" s="811"/>
      <c r="IN32" s="811"/>
      <c r="IO32" s="811"/>
      <c r="IP32" s="811"/>
      <c r="IQ32" s="811"/>
      <c r="IR32" s="811"/>
      <c r="IS32" s="811"/>
      <c r="IT32" s="811"/>
      <c r="IU32" s="811"/>
      <c r="IV32" s="811"/>
      <c r="IW32" s="811"/>
      <c r="IX32" s="811"/>
      <c r="IY32" s="811"/>
      <c r="IZ32" s="811"/>
      <c r="JA32" s="811"/>
      <c r="JB32" s="811"/>
      <c r="JC32" s="811"/>
      <c r="JD32" s="811"/>
      <c r="JE32" s="811"/>
      <c r="JF32" s="811"/>
      <c r="JG32" s="811"/>
      <c r="JH32" s="811"/>
      <c r="JI32" s="811"/>
      <c r="JJ32" s="811"/>
      <c r="JK32" s="811"/>
      <c r="JL32" s="811"/>
      <c r="JM32" s="811"/>
      <c r="JN32" s="811"/>
      <c r="JO32" s="811"/>
      <c r="JP32" s="811"/>
      <c r="JQ32" s="811"/>
      <c r="JR32" s="811"/>
      <c r="JS32" s="811"/>
      <c r="JT32" s="811"/>
      <c r="JU32" s="811"/>
      <c r="JV32" s="811"/>
      <c r="JW32" s="811"/>
      <c r="JX32" s="811"/>
      <c r="JY32" s="811"/>
      <c r="JZ32" s="811"/>
      <c r="KA32" s="811"/>
      <c r="KB32" s="811"/>
      <c r="KC32" s="811"/>
      <c r="KD32" s="811"/>
      <c r="KE32" s="811"/>
      <c r="KF32" s="811"/>
      <c r="KG32" s="811"/>
      <c r="KH32" s="811"/>
      <c r="KI32" s="811"/>
      <c r="KJ32" s="811"/>
      <c r="KK32" s="811"/>
      <c r="KL32" s="811"/>
      <c r="KM32" s="811"/>
      <c r="KN32" s="811"/>
      <c r="KO32" s="811"/>
      <c r="KP32" s="811"/>
      <c r="KQ32" s="811"/>
      <c r="KR32" s="811"/>
      <c r="KS32" s="811"/>
      <c r="KT32" s="811"/>
      <c r="KU32" s="811"/>
      <c r="KV32" s="811"/>
      <c r="KW32" s="811"/>
      <c r="KX32" s="811"/>
      <c r="KY32" s="811"/>
      <c r="KZ32" s="811"/>
      <c r="LA32" s="811"/>
      <c r="LB32" s="811"/>
      <c r="LC32" s="811"/>
      <c r="LD32" s="811"/>
      <c r="LE32" s="811"/>
      <c r="LF32" s="811"/>
      <c r="LG32" s="811"/>
      <c r="LH32" s="811"/>
      <c r="LI32" s="811"/>
      <c r="LJ32" s="811"/>
      <c r="LK32" s="811"/>
      <c r="LL32" s="811"/>
      <c r="LM32" s="811"/>
      <c r="LN32" s="811"/>
      <c r="LO32" s="811"/>
      <c r="LP32" s="811"/>
      <c r="LQ32" s="811"/>
      <c r="LR32" s="811"/>
      <c r="LS32" s="811"/>
      <c r="LT32" s="811"/>
      <c r="LU32" s="811"/>
      <c r="LV32" s="811"/>
      <c r="LW32" s="811"/>
      <c r="LX32" s="811"/>
      <c r="LY32" s="811"/>
      <c r="LZ32" s="811"/>
      <c r="MA32" s="811"/>
      <c r="MB32" s="811"/>
      <c r="MC32" s="811"/>
      <c r="MD32" s="811"/>
      <c r="ME32" s="811"/>
      <c r="MF32" s="811"/>
      <c r="MG32" s="811"/>
      <c r="MH32" s="811"/>
      <c r="MI32" s="811"/>
      <c r="MJ32" s="811"/>
      <c r="MK32" s="811"/>
      <c r="ML32" s="811"/>
      <c r="MM32" s="811"/>
      <c r="MN32" s="811"/>
      <c r="MO32" s="811"/>
      <c r="MP32" s="811"/>
      <c r="MQ32" s="811"/>
      <c r="MR32" s="811"/>
      <c r="MS32" s="811"/>
      <c r="MT32" s="811"/>
      <c r="MU32" s="811"/>
      <c r="MV32" s="811"/>
      <c r="MW32" s="811"/>
      <c r="MX32" s="811"/>
      <c r="MY32" s="811"/>
      <c r="MZ32" s="811"/>
      <c r="NA32" s="811"/>
      <c r="NB32" s="811"/>
      <c r="NC32" s="811"/>
      <c r="ND32" s="811"/>
      <c r="NE32" s="811"/>
      <c r="NF32" s="811"/>
      <c r="NG32" s="811"/>
      <c r="NH32" s="811"/>
      <c r="NI32" s="811"/>
      <c r="NJ32" s="811"/>
      <c r="NK32" s="811"/>
      <c r="NL32" s="811"/>
      <c r="NM32" s="811"/>
      <c r="NN32" s="811"/>
      <c r="NO32" s="811"/>
      <c r="NP32" s="811"/>
      <c r="NQ32" s="811"/>
      <c r="NR32" s="811"/>
      <c r="NS32" s="811"/>
      <c r="NT32" s="811"/>
      <c r="NU32" s="811"/>
      <c r="NV32" s="811"/>
      <c r="NW32" s="811"/>
      <c r="NX32" s="811"/>
      <c r="NY32" s="811"/>
      <c r="NZ32" s="811"/>
      <c r="OA32" s="811"/>
      <c r="OB32" s="811"/>
      <c r="OC32" s="811"/>
      <c r="OD32" s="811"/>
      <c r="OE32" s="811"/>
      <c r="OF32" s="811"/>
      <c r="OG32" s="811"/>
      <c r="OH32" s="811"/>
      <c r="OI32" s="811"/>
      <c r="OJ32" s="811"/>
      <c r="OK32" s="811"/>
      <c r="OL32" s="811"/>
      <c r="OM32" s="811"/>
      <c r="ON32" s="811"/>
      <c r="OO32" s="811"/>
      <c r="OP32" s="811"/>
      <c r="OQ32" s="811"/>
      <c r="OR32" s="811"/>
      <c r="OS32" s="811"/>
      <c r="OT32" s="811"/>
      <c r="OU32" s="811"/>
      <c r="OV32" s="811"/>
      <c r="OW32" s="811"/>
      <c r="OX32" s="811"/>
      <c r="OY32" s="811"/>
      <c r="OZ32" s="811"/>
      <c r="PA32" s="811"/>
      <c r="PB32" s="811"/>
      <c r="PC32" s="811"/>
      <c r="PD32" s="811"/>
      <c r="PE32" s="811"/>
      <c r="PF32" s="811"/>
      <c r="PG32" s="811"/>
      <c r="PH32" s="811"/>
      <c r="PI32" s="811"/>
      <c r="PJ32" s="811"/>
      <c r="PK32" s="811"/>
      <c r="PL32" s="811"/>
      <c r="PM32" s="811"/>
      <c r="PN32" s="811"/>
      <c r="PO32" s="811"/>
      <c r="PP32" s="811"/>
      <c r="PQ32" s="811"/>
      <c r="PR32" s="811"/>
      <c r="PS32" s="811"/>
      <c r="PT32" s="811"/>
      <c r="PU32" s="811"/>
      <c r="PV32" s="811"/>
      <c r="PW32" s="811"/>
      <c r="PX32" s="811"/>
      <c r="PY32" s="811"/>
      <c r="PZ32" s="811"/>
      <c r="QA32" s="811"/>
      <c r="QB32" s="811"/>
      <c r="QC32" s="811"/>
      <c r="QD32" s="811"/>
      <c r="QE32" s="811"/>
      <c r="QF32" s="811"/>
      <c r="QG32" s="811"/>
      <c r="QH32" s="811"/>
      <c r="QI32" s="811"/>
      <c r="QJ32" s="811"/>
      <c r="QK32" s="811"/>
      <c r="QL32" s="811"/>
      <c r="QM32" s="811"/>
      <c r="QN32" s="811"/>
      <c r="QO32" s="811"/>
      <c r="QP32" s="811"/>
      <c r="QQ32" s="811"/>
      <c r="QR32" s="811"/>
      <c r="QS32" s="811"/>
      <c r="QT32" s="811"/>
      <c r="QU32" s="811"/>
      <c r="QV32" s="811"/>
      <c r="QW32" s="811"/>
      <c r="QX32" s="811"/>
      <c r="QY32" s="811"/>
      <c r="QZ32" s="811"/>
      <c r="RA32" s="811"/>
      <c r="RB32" s="811"/>
      <c r="RC32" s="811"/>
      <c r="RD32" s="811"/>
      <c r="RE32" s="811"/>
      <c r="RF32" s="811"/>
      <c r="RG32" s="811"/>
      <c r="RH32" s="811"/>
      <c r="RI32" s="811"/>
      <c r="RJ32" s="811"/>
      <c r="RK32" s="811"/>
      <c r="RL32" s="811"/>
      <c r="RM32" s="811"/>
      <c r="RN32" s="811"/>
      <c r="RO32" s="811"/>
      <c r="RP32" s="811"/>
      <c r="RQ32" s="811"/>
      <c r="RR32" s="811"/>
      <c r="RS32" s="811"/>
      <c r="RT32" s="811"/>
      <c r="RU32" s="811"/>
      <c r="RV32" s="811"/>
      <c r="RW32" s="811"/>
      <c r="RX32" s="811"/>
      <c r="RY32" s="811"/>
      <c r="RZ32" s="811"/>
      <c r="SA32" s="811"/>
      <c r="SB32" s="811"/>
      <c r="SC32" s="811"/>
      <c r="SD32" s="811"/>
      <c r="SE32" s="811"/>
      <c r="SF32" s="811"/>
      <c r="SG32" s="811"/>
      <c r="SH32" s="811"/>
      <c r="SI32" s="811"/>
      <c r="SJ32" s="811"/>
      <c r="SK32" s="811"/>
      <c r="SL32" s="811"/>
      <c r="SM32" s="811"/>
      <c r="SN32" s="811"/>
      <c r="SO32" s="811"/>
      <c r="SP32" s="811"/>
      <c r="SQ32" s="811"/>
      <c r="SR32" s="811"/>
      <c r="SS32" s="811"/>
      <c r="ST32" s="811"/>
      <c r="SU32" s="811"/>
      <c r="SV32" s="811"/>
      <c r="SW32" s="811"/>
      <c r="SX32" s="811"/>
      <c r="SY32" s="811"/>
      <c r="SZ32" s="811"/>
      <c r="TA32" s="811"/>
      <c r="TB32" s="811"/>
      <c r="TC32" s="811"/>
      <c r="TD32" s="811"/>
      <c r="TE32" s="811"/>
      <c r="TF32" s="811"/>
      <c r="TG32" s="811"/>
      <c r="TH32" s="811"/>
      <c r="TI32" s="811"/>
      <c r="TJ32" s="811"/>
      <c r="TK32" s="811"/>
      <c r="TL32" s="811"/>
      <c r="TM32" s="811"/>
      <c r="TN32" s="811"/>
      <c r="TO32" s="811"/>
      <c r="TP32" s="811"/>
      <c r="TQ32" s="811"/>
      <c r="TR32" s="811"/>
      <c r="TS32" s="811"/>
      <c r="TT32" s="811"/>
      <c r="TU32" s="811"/>
      <c r="TV32" s="811"/>
      <c r="TW32" s="811"/>
      <c r="TX32" s="811"/>
      <c r="TY32" s="811"/>
      <c r="TZ32" s="811"/>
      <c r="UA32" s="811"/>
      <c r="UB32" s="811"/>
      <c r="UC32" s="811"/>
      <c r="UD32" s="811"/>
      <c r="UE32" s="811"/>
      <c r="UF32" s="811"/>
      <c r="UG32" s="811"/>
      <c r="UH32" s="811"/>
      <c r="UI32" s="811"/>
      <c r="UJ32" s="811"/>
      <c r="UK32" s="811"/>
      <c r="UL32" s="811"/>
      <c r="UM32" s="811"/>
      <c r="UN32" s="811"/>
      <c r="UO32" s="811"/>
      <c r="UP32" s="811"/>
      <c r="UQ32" s="811"/>
      <c r="UR32" s="811"/>
      <c r="US32" s="811"/>
      <c r="UT32" s="811"/>
      <c r="UU32" s="811"/>
      <c r="UV32" s="811"/>
      <c r="UW32" s="811"/>
      <c r="UX32" s="811"/>
      <c r="UY32" s="811"/>
      <c r="UZ32" s="811"/>
      <c r="VA32" s="811"/>
      <c r="VB32" s="811"/>
      <c r="VC32" s="811"/>
      <c r="VD32" s="811"/>
      <c r="VE32" s="811"/>
      <c r="VF32" s="811"/>
      <c r="VG32" s="811"/>
      <c r="VH32" s="811"/>
      <c r="VI32" s="811"/>
      <c r="VJ32" s="811"/>
      <c r="VK32" s="811"/>
      <c r="VL32" s="811"/>
      <c r="VM32" s="811"/>
      <c r="VN32" s="811"/>
      <c r="VO32" s="811"/>
      <c r="VP32" s="811"/>
      <c r="VQ32" s="811"/>
      <c r="VR32" s="811"/>
      <c r="VS32" s="811"/>
      <c r="VT32" s="811"/>
      <c r="VU32" s="811"/>
      <c r="VV32" s="811"/>
      <c r="VW32" s="811"/>
      <c r="VX32" s="811"/>
      <c r="VY32" s="811"/>
      <c r="VZ32" s="811"/>
      <c r="WA32" s="811"/>
      <c r="WB32" s="811"/>
      <c r="WC32" s="811"/>
      <c r="WD32" s="811"/>
      <c r="WE32" s="811"/>
      <c r="WF32" s="811"/>
      <c r="WG32" s="811"/>
      <c r="WH32" s="811"/>
      <c r="WI32" s="811"/>
      <c r="WJ32" s="811"/>
      <c r="WK32" s="811"/>
      <c r="WL32" s="811"/>
      <c r="WM32" s="811"/>
      <c r="WN32" s="811"/>
      <c r="WO32" s="811"/>
      <c r="WP32" s="811"/>
      <c r="WQ32" s="811"/>
      <c r="WR32" s="811"/>
      <c r="WS32" s="811"/>
      <c r="WT32" s="811"/>
      <c r="WU32" s="811"/>
      <c r="WV32" s="811"/>
      <c r="WW32" s="811"/>
      <c r="WX32" s="811"/>
      <c r="WY32" s="811"/>
      <c r="WZ32" s="811"/>
      <c r="XA32" s="811"/>
      <c r="XB32" s="811"/>
      <c r="XC32" s="811"/>
      <c r="XD32" s="811"/>
      <c r="XE32" s="811"/>
      <c r="XF32" s="811"/>
      <c r="XG32" s="811"/>
      <c r="XH32" s="811"/>
      <c r="XI32" s="811"/>
      <c r="XJ32" s="811"/>
      <c r="XK32" s="811"/>
      <c r="XL32" s="811"/>
      <c r="XM32" s="811"/>
      <c r="XN32" s="811"/>
      <c r="XO32" s="811"/>
      <c r="XP32" s="811"/>
      <c r="XQ32" s="811"/>
      <c r="XR32" s="811"/>
      <c r="XS32" s="811"/>
      <c r="XT32" s="811"/>
      <c r="XU32" s="811"/>
      <c r="XV32" s="811"/>
      <c r="XW32" s="811"/>
      <c r="XX32" s="811"/>
      <c r="XY32" s="811"/>
      <c r="XZ32" s="811"/>
      <c r="YA32" s="811"/>
      <c r="YB32" s="811"/>
      <c r="YC32" s="811"/>
      <c r="YD32" s="811"/>
      <c r="YE32" s="811"/>
      <c r="YF32" s="811"/>
      <c r="YG32" s="811"/>
      <c r="YH32" s="811"/>
      <c r="YI32" s="811"/>
      <c r="YJ32" s="811"/>
      <c r="YK32" s="811"/>
      <c r="YL32" s="811"/>
      <c r="YM32" s="811"/>
      <c r="YN32" s="811"/>
      <c r="YO32" s="811"/>
      <c r="YP32" s="811"/>
      <c r="YQ32" s="811"/>
      <c r="YR32" s="811"/>
      <c r="YS32" s="811"/>
      <c r="YT32" s="811"/>
      <c r="YU32" s="811"/>
      <c r="YV32" s="811"/>
      <c r="YW32" s="811"/>
      <c r="YX32" s="811"/>
      <c r="YY32" s="811"/>
      <c r="YZ32" s="811"/>
      <c r="ZA32" s="811"/>
      <c r="ZB32" s="811"/>
      <c r="ZC32" s="811"/>
      <c r="ZD32" s="811"/>
    </row>
    <row r="33" spans="1:680" s="132" customFormat="1" ht="26.4">
      <c r="A33" s="13" t="s">
        <v>3</v>
      </c>
      <c r="B33" s="13" t="s">
        <v>4</v>
      </c>
      <c r="C33" s="13" t="s">
        <v>0</v>
      </c>
      <c r="D33" s="13" t="s">
        <v>82</v>
      </c>
      <c r="GZ33" s="641"/>
      <c r="HA33" s="641"/>
      <c r="HB33" s="641"/>
      <c r="HC33" s="642"/>
      <c r="HD33" s="642"/>
      <c r="HE33" s="642"/>
      <c r="HF33" s="1"/>
      <c r="HG33" s="642"/>
      <c r="HH33" s="642"/>
      <c r="HI33" s="642"/>
      <c r="HJ33" s="642"/>
      <c r="HK33" s="642"/>
      <c r="HL33" s="642"/>
      <c r="HM33" s="642"/>
      <c r="HN33" s="642"/>
      <c r="HO33" s="649"/>
      <c r="HP33" s="649"/>
      <c r="HQ33" s="649"/>
      <c r="HR33" s="649"/>
      <c r="HS33" s="649"/>
      <c r="HT33" s="13" t="s">
        <v>86</v>
      </c>
      <c r="HU33" s="649"/>
      <c r="HV33" s="649"/>
      <c r="HW33" s="649"/>
      <c r="HX33" s="649"/>
      <c r="HY33" s="649"/>
      <c r="HZ33" s="649"/>
      <c r="IA33" s="649"/>
      <c r="IB33" s="1"/>
      <c r="IC33" s="654"/>
      <c r="ID33" s="654"/>
      <c r="IE33" s="654"/>
      <c r="IF33" s="654"/>
      <c r="IG33" s="654"/>
      <c r="IH33" s="654"/>
      <c r="II33" s="654"/>
      <c r="IJ33" s="654"/>
      <c r="IK33" s="654"/>
      <c r="IL33" s="654"/>
      <c r="IM33" s="654"/>
      <c r="IN33" s="654"/>
      <c r="IO33" s="654"/>
      <c r="IP33" s="654"/>
      <c r="IQ33" s="654"/>
      <c r="IR33" s="654"/>
      <c r="IS33" s="654"/>
      <c r="IT33" s="654"/>
      <c r="IU33" s="654"/>
      <c r="IV33" s="654"/>
      <c r="IW33" s="654"/>
      <c r="IX33" s="654"/>
      <c r="IY33" s="654"/>
      <c r="IZ33" s="654"/>
      <c r="JA33" s="654"/>
      <c r="JB33" s="654"/>
      <c r="JC33" s="654"/>
      <c r="JD33" s="654"/>
      <c r="JE33" s="654"/>
      <c r="JF33" s="654"/>
      <c r="JG33" s="654"/>
      <c r="JH33" s="654"/>
      <c r="JI33" s="654"/>
      <c r="JJ33" s="654"/>
      <c r="JK33" s="654"/>
      <c r="JL33" s="654"/>
      <c r="JM33" s="654"/>
      <c r="JN33" s="654"/>
      <c r="JO33" s="654"/>
      <c r="JP33" s="654"/>
      <c r="JQ33" s="654"/>
      <c r="JR33" s="654"/>
      <c r="JS33" s="654"/>
      <c r="JT33" s="654"/>
      <c r="JU33" s="654"/>
      <c r="JV33" s="654"/>
      <c r="JW33" s="654"/>
      <c r="JX33" s="654"/>
      <c r="JY33" s="654"/>
      <c r="JZ33" s="654"/>
      <c r="KA33" s="654"/>
      <c r="KB33" s="654"/>
      <c r="KC33" s="654"/>
      <c r="KD33" s="654"/>
      <c r="KE33" s="654"/>
      <c r="KF33" s="654"/>
      <c r="KG33" s="654"/>
      <c r="KH33" s="654"/>
      <c r="KI33" s="654"/>
      <c r="KJ33" s="654"/>
      <c r="KK33" s="654"/>
      <c r="KL33" s="654"/>
      <c r="KM33" s="654"/>
      <c r="KN33" s="654"/>
      <c r="KO33" s="654"/>
      <c r="KP33" s="654"/>
      <c r="KQ33" s="654"/>
      <c r="KR33" s="654"/>
      <c r="KS33" s="654"/>
      <c r="KT33" s="654"/>
      <c r="KU33" s="654"/>
      <c r="KV33" s="654"/>
      <c r="KW33" s="654"/>
      <c r="KX33" s="654"/>
      <c r="KY33" s="654"/>
      <c r="KZ33" s="654"/>
      <c r="LA33" s="654"/>
      <c r="LB33" s="654"/>
      <c r="LC33" s="654"/>
      <c r="LD33" s="654"/>
      <c r="LE33" s="654"/>
      <c r="LF33" s="654"/>
      <c r="LG33" s="654"/>
      <c r="LH33" s="654"/>
      <c r="LI33" s="654"/>
      <c r="LJ33" s="654"/>
      <c r="LK33" s="654"/>
      <c r="LL33" s="654"/>
      <c r="LM33" s="654"/>
      <c r="LN33" s="654"/>
      <c r="LO33" s="654"/>
      <c r="LP33" s="654"/>
      <c r="LQ33" s="654"/>
      <c r="LR33" s="654"/>
      <c r="LS33" s="654"/>
      <c r="LT33" s="654"/>
      <c r="LU33" s="654"/>
      <c r="LV33" s="654"/>
      <c r="LW33" s="654"/>
      <c r="LX33" s="654"/>
      <c r="LY33" s="654"/>
      <c r="LZ33" s="654"/>
      <c r="MA33" s="654"/>
      <c r="MB33" s="654"/>
      <c r="MC33" s="1"/>
      <c r="VB33" s="1182"/>
      <c r="VC33" s="1182"/>
      <c r="VD33" s="1182"/>
      <c r="VE33" s="1182"/>
      <c r="VF33" s="1182"/>
      <c r="VG33" s="1182"/>
      <c r="VH33" s="1182"/>
      <c r="VI33" s="1182"/>
      <c r="VJ33" s="1182"/>
      <c r="VK33" s="1182"/>
      <c r="VL33" s="1182"/>
      <c r="VM33" s="1182"/>
      <c r="VN33" s="1182"/>
      <c r="VO33" s="1182"/>
      <c r="VP33" s="1182"/>
      <c r="VQ33" s="1182"/>
      <c r="VR33" s="1182"/>
      <c r="VS33" s="1182"/>
      <c r="VT33" s="1182"/>
      <c r="VU33" s="1182"/>
      <c r="VV33" s="1182"/>
      <c r="VW33" s="1182"/>
      <c r="VX33" s="1182"/>
      <c r="VY33" s="1182"/>
      <c r="VZ33" s="1182"/>
      <c r="WA33" s="1182"/>
      <c r="WB33" s="1182"/>
      <c r="WC33" s="1182"/>
      <c r="WD33" s="1182"/>
      <c r="WE33" s="1182"/>
      <c r="WF33" s="1182"/>
      <c r="WG33" s="1182"/>
      <c r="WH33" s="1182"/>
      <c r="WI33" s="1182"/>
      <c r="WJ33" s="1182"/>
      <c r="WK33" s="1182"/>
      <c r="WL33" s="1182"/>
      <c r="WM33" s="1182"/>
      <c r="WN33" s="1182"/>
      <c r="WO33" s="1182"/>
      <c r="WP33" s="1182"/>
      <c r="WQ33" s="1182"/>
      <c r="WR33" s="1182"/>
      <c r="WS33" s="1182"/>
      <c r="WT33" s="1182"/>
      <c r="WU33" s="1182"/>
      <c r="WV33" s="1182"/>
      <c r="WW33" s="1182"/>
      <c r="WX33" s="1182"/>
      <c r="WY33" s="1182"/>
      <c r="WZ33" s="1182"/>
      <c r="XA33" s="1182"/>
      <c r="XB33" s="1182"/>
      <c r="XC33" s="1182"/>
      <c r="XD33" s="1182"/>
      <c r="XE33" s="1182"/>
      <c r="XF33" s="1182"/>
      <c r="XG33" s="1182"/>
      <c r="XH33" s="1182"/>
      <c r="XI33" s="1182"/>
      <c r="XJ33" s="1182"/>
      <c r="XK33" s="1182"/>
      <c r="XL33" s="1182"/>
      <c r="XM33" s="1182"/>
      <c r="XN33" s="1182"/>
      <c r="XO33" s="1182"/>
      <c r="XP33" s="1182"/>
      <c r="XQ33" s="1182"/>
      <c r="XR33" s="1182"/>
      <c r="XS33" s="1182"/>
      <c r="XT33" s="1182"/>
      <c r="XU33" s="1182"/>
      <c r="XV33" s="1182"/>
      <c r="XW33" s="1182"/>
      <c r="XX33" s="1182"/>
      <c r="XY33" s="1182"/>
      <c r="XZ33" s="1182"/>
      <c r="YA33" s="1182"/>
      <c r="YB33" s="1182"/>
      <c r="YC33" s="1182"/>
      <c r="YD33" s="1182"/>
      <c r="YE33" s="1182"/>
      <c r="YF33" s="1182"/>
      <c r="YG33" s="1182"/>
      <c r="YH33" s="1182"/>
      <c r="YI33" s="1182"/>
      <c r="YJ33" s="1182"/>
      <c r="YK33" s="1182"/>
      <c r="YL33" s="1182"/>
      <c r="YM33" s="1182"/>
      <c r="YN33" s="1182"/>
      <c r="YO33" s="1182"/>
      <c r="YP33" s="1182"/>
      <c r="YQ33" s="1182"/>
      <c r="YR33" s="1182"/>
      <c r="YS33" s="1182"/>
      <c r="YT33" s="1182"/>
      <c r="YU33" s="1182"/>
      <c r="YV33" s="1182"/>
      <c r="YW33" s="1182"/>
      <c r="YX33" s="1182"/>
      <c r="YY33" s="1182"/>
      <c r="YZ33" s="1182"/>
      <c r="ZA33" s="1182"/>
      <c r="ZB33" s="1182"/>
      <c r="ZC33" s="1182"/>
      <c r="ZD33" s="1182"/>
    </row>
    <row r="34" spans="1:680" ht="13.95" customHeight="1">
      <c r="A34" s="1164">
        <v>45869</v>
      </c>
      <c r="B34" s="1165">
        <v>45898</v>
      </c>
      <c r="C34" s="1166">
        <v>0.1774</v>
      </c>
      <c r="D34" s="1167">
        <v>400</v>
      </c>
      <c r="GZ34" s="641"/>
      <c r="HA34" s="641"/>
      <c r="HB34" s="641"/>
      <c r="HC34" s="641"/>
      <c r="HD34" s="641"/>
      <c r="HE34" s="641"/>
      <c r="HF34" s="641"/>
      <c r="HG34" s="641"/>
      <c r="HH34" s="641"/>
      <c r="HI34" s="641"/>
      <c r="HJ34" s="641"/>
      <c r="HK34" s="641"/>
      <c r="HL34" s="641"/>
      <c r="HM34" s="641"/>
      <c r="HN34" s="641"/>
      <c r="HO34" s="641"/>
      <c r="HP34" s="641"/>
      <c r="HQ34" s="641"/>
      <c r="HR34" s="649"/>
      <c r="HS34" s="641"/>
      <c r="HT34" s="939"/>
      <c r="PC34" s="132"/>
      <c r="XE34" s="1182"/>
    </row>
    <row r="35" spans="1:680" ht="13.95" customHeight="1">
      <c r="A35" s="1164">
        <v>45869</v>
      </c>
      <c r="B35" s="1165">
        <v>45889</v>
      </c>
      <c r="C35" s="1166">
        <v>0.1774</v>
      </c>
      <c r="D35" s="1167">
        <v>200</v>
      </c>
      <c r="GZ35" s="641"/>
      <c r="HA35" s="641"/>
      <c r="HB35" s="641"/>
      <c r="HC35" s="641"/>
      <c r="HD35" s="641"/>
      <c r="HE35" s="641"/>
      <c r="HF35" s="641"/>
      <c r="HG35" s="641"/>
      <c r="HH35" s="641"/>
      <c r="HI35" s="641"/>
      <c r="HJ35" s="641"/>
      <c r="HK35" s="641"/>
      <c r="HL35" s="641"/>
      <c r="HM35" s="641"/>
      <c r="HN35" s="641"/>
      <c r="HO35" s="641"/>
      <c r="HP35" s="641"/>
      <c r="HQ35" s="641"/>
      <c r="HR35" s="649"/>
      <c r="HS35" s="641"/>
      <c r="HT35" s="939"/>
      <c r="PC35" s="132"/>
      <c r="XE35" s="1182"/>
    </row>
    <row r="36" spans="1:680" ht="13.95" customHeight="1">
      <c r="A36" s="1164">
        <v>45869</v>
      </c>
      <c r="B36" s="1165">
        <v>45894</v>
      </c>
      <c r="C36" s="1166">
        <v>0.1774</v>
      </c>
      <c r="D36" s="1167">
        <v>300</v>
      </c>
      <c r="GZ36" s="641"/>
      <c r="HA36" s="641"/>
      <c r="HB36" s="641"/>
      <c r="HC36" s="641"/>
      <c r="HD36" s="641"/>
      <c r="HE36" s="641"/>
      <c r="HF36" s="641"/>
      <c r="HG36" s="641"/>
      <c r="HH36" s="641"/>
      <c r="HI36" s="641"/>
      <c r="HJ36" s="641"/>
      <c r="HK36" s="641"/>
      <c r="HL36" s="641"/>
      <c r="HM36" s="641"/>
      <c r="HN36" s="641"/>
      <c r="HO36" s="641"/>
      <c r="HP36" s="641"/>
      <c r="HQ36" s="641"/>
      <c r="HR36" s="649"/>
      <c r="HS36" s="641"/>
      <c r="HT36" s="939"/>
      <c r="PC36" s="132"/>
      <c r="XE36" s="1182"/>
    </row>
    <row r="37" spans="1:680" ht="13.95" customHeight="1">
      <c r="A37" s="1164">
        <v>45869</v>
      </c>
      <c r="B37" s="1165">
        <v>45896</v>
      </c>
      <c r="C37" s="1166">
        <v>0.1774</v>
      </c>
      <c r="D37" s="1167">
        <v>500</v>
      </c>
      <c r="GZ37" s="641"/>
      <c r="HA37" s="641"/>
      <c r="HB37" s="641"/>
      <c r="HC37" s="641"/>
      <c r="HD37" s="641"/>
      <c r="HE37" s="641"/>
      <c r="HF37" s="641"/>
      <c r="HG37" s="641"/>
      <c r="HH37" s="641"/>
      <c r="HI37" s="641"/>
      <c r="HJ37" s="641"/>
      <c r="HK37" s="641"/>
      <c r="HL37" s="641"/>
      <c r="HM37" s="641"/>
      <c r="HN37" s="641"/>
      <c r="HO37" s="641"/>
      <c r="HP37" s="641"/>
      <c r="HQ37" s="641"/>
      <c r="HR37" s="649"/>
      <c r="HS37" s="641"/>
      <c r="HT37" s="939"/>
      <c r="PC37" s="132"/>
      <c r="XE37" s="1182"/>
    </row>
    <row r="38" spans="1:680" ht="13.95" customHeight="1">
      <c r="A38" s="1164">
        <v>45847</v>
      </c>
      <c r="B38" s="1165">
        <v>45890</v>
      </c>
      <c r="C38" s="1166">
        <v>0.192</v>
      </c>
      <c r="D38" s="1167">
        <v>200</v>
      </c>
      <c r="GZ38" s="641"/>
      <c r="HA38" s="641"/>
      <c r="HB38" s="641"/>
      <c r="HC38" s="641"/>
      <c r="HD38" s="641"/>
      <c r="HE38" s="641"/>
      <c r="HF38" s="641"/>
      <c r="HG38" s="641"/>
      <c r="HH38" s="641"/>
      <c r="HI38" s="641"/>
      <c r="HJ38" s="641"/>
      <c r="HK38" s="641"/>
      <c r="HL38" s="641"/>
      <c r="HM38" s="641"/>
      <c r="HN38" s="641"/>
      <c r="HO38" s="641"/>
      <c r="HP38" s="641"/>
      <c r="HQ38" s="641"/>
      <c r="HR38" s="649"/>
      <c r="HS38" s="641"/>
      <c r="HT38" s="939"/>
      <c r="PC38" s="132"/>
      <c r="XE38" s="1182"/>
    </row>
    <row r="39" spans="1:680" ht="13.95" customHeight="1">
      <c r="A39" s="1164">
        <v>45849</v>
      </c>
      <c r="B39" s="1165">
        <v>45884</v>
      </c>
      <c r="C39" s="1166">
        <v>0.192</v>
      </c>
      <c r="D39" s="1167">
        <v>300</v>
      </c>
      <c r="GZ39" s="641"/>
      <c r="HA39" s="641"/>
      <c r="HB39" s="641"/>
      <c r="HC39" s="641"/>
      <c r="HD39" s="641"/>
      <c r="HE39" s="641"/>
      <c r="HF39" s="641"/>
      <c r="HG39" s="641"/>
      <c r="HH39" s="641"/>
      <c r="HI39" s="641"/>
      <c r="HJ39" s="641"/>
      <c r="HK39" s="641"/>
      <c r="HL39" s="641"/>
      <c r="HM39" s="641"/>
      <c r="HN39" s="641"/>
      <c r="HO39" s="641"/>
      <c r="HP39" s="641"/>
      <c r="HQ39" s="641"/>
      <c r="HR39" s="649"/>
      <c r="HS39" s="641"/>
      <c r="HT39" s="939"/>
      <c r="PC39" s="132"/>
      <c r="XE39" s="1182"/>
    </row>
    <row r="40" spans="1:680" ht="13.95" customHeight="1">
      <c r="A40" s="1164">
        <v>45849</v>
      </c>
      <c r="B40" s="1165">
        <v>45894</v>
      </c>
      <c r="C40" s="1166">
        <v>0.192</v>
      </c>
      <c r="D40" s="1167">
        <v>250</v>
      </c>
      <c r="GZ40" s="641"/>
      <c r="HA40" s="641"/>
      <c r="HB40" s="641"/>
      <c r="HC40" s="641"/>
      <c r="HD40" s="641"/>
      <c r="HE40" s="641"/>
      <c r="HF40" s="641"/>
      <c r="HG40" s="641"/>
      <c r="HH40" s="641"/>
      <c r="HI40" s="641"/>
      <c r="HJ40" s="641"/>
      <c r="HK40" s="641"/>
      <c r="HL40" s="641"/>
      <c r="HM40" s="641"/>
      <c r="HN40" s="641"/>
      <c r="HO40" s="641"/>
      <c r="HP40" s="641"/>
      <c r="HQ40" s="641"/>
      <c r="HR40" s="649"/>
      <c r="HS40" s="641"/>
      <c r="HT40" s="939"/>
      <c r="PC40" s="132"/>
      <c r="XE40" s="1182"/>
    </row>
    <row r="41" spans="1:680">
      <c r="A41" s="1164">
        <v>45863</v>
      </c>
      <c r="B41" s="1165">
        <v>45898</v>
      </c>
      <c r="C41" s="1166">
        <v>0.1716</v>
      </c>
      <c r="D41" s="1167">
        <v>200</v>
      </c>
      <c r="GZ41" s="641"/>
      <c r="HA41" s="641"/>
      <c r="HB41" s="641"/>
      <c r="HC41" s="641"/>
      <c r="HD41" s="641"/>
      <c r="HE41" s="641"/>
      <c r="HF41" s="641"/>
      <c r="HG41" s="641"/>
      <c r="HH41" s="641"/>
      <c r="HI41" s="641"/>
      <c r="HJ41" s="641"/>
      <c r="HK41" s="641"/>
      <c r="HL41" s="641"/>
      <c r="HM41" s="641"/>
      <c r="HN41" s="641"/>
      <c r="HO41" s="641"/>
      <c r="HP41" s="641"/>
      <c r="HQ41" s="641"/>
      <c r="HR41" s="649"/>
      <c r="HS41" s="641"/>
      <c r="HT41" s="939"/>
      <c r="PC41" s="132"/>
      <c r="XE41" s="1182"/>
    </row>
    <row r="42" spans="1:680">
      <c r="A42" s="1164">
        <v>45870</v>
      </c>
      <c r="B42" s="1165">
        <v>45912</v>
      </c>
      <c r="C42" s="1166">
        <v>0.17780000000000001</v>
      </c>
      <c r="D42" s="1167">
        <v>1000</v>
      </c>
      <c r="GZ42" s="641"/>
      <c r="HA42" s="641"/>
      <c r="HB42" s="641"/>
      <c r="HC42" s="641"/>
      <c r="HD42" s="641"/>
      <c r="HE42" s="641"/>
      <c r="HF42" s="641"/>
      <c r="HG42" s="641"/>
      <c r="HH42" s="641"/>
      <c r="HI42" s="641"/>
      <c r="HJ42" s="641"/>
      <c r="HK42" s="641"/>
      <c r="HL42" s="641"/>
      <c r="HM42" s="641"/>
      <c r="HN42" s="641"/>
      <c r="HO42" s="641"/>
      <c r="HP42" s="641"/>
      <c r="HQ42" s="641"/>
      <c r="HR42" s="649"/>
      <c r="HS42" s="641"/>
      <c r="HT42" s="939"/>
      <c r="PC42" s="132"/>
      <c r="XE42" s="1182"/>
    </row>
    <row r="43" spans="1:680">
      <c r="A43" s="1164"/>
      <c r="B43" s="1165"/>
      <c r="C43" s="1166"/>
      <c r="D43" s="1167"/>
      <c r="GZ43" s="641"/>
      <c r="HA43" s="641"/>
      <c r="HB43" s="641"/>
      <c r="HC43" s="641"/>
      <c r="HD43" s="641"/>
      <c r="HE43" s="641"/>
      <c r="HF43" s="641"/>
      <c r="HG43" s="641"/>
      <c r="HH43" s="641"/>
      <c r="HI43" s="641"/>
      <c r="HJ43" s="641"/>
      <c r="HK43" s="641"/>
      <c r="HL43" s="641"/>
      <c r="HM43" s="641"/>
      <c r="HN43" s="641"/>
      <c r="HO43" s="641"/>
      <c r="HP43" s="641"/>
      <c r="HQ43" s="641"/>
      <c r="HR43" s="649"/>
      <c r="HS43" s="641"/>
      <c r="HT43" s="939"/>
      <c r="PC43" s="132"/>
    </row>
    <row r="44" spans="1:680">
      <c r="A44" s="1164">
        <v>45863</v>
      </c>
      <c r="B44" s="1165">
        <v>45894</v>
      </c>
      <c r="C44" s="1166">
        <v>0.17499999999999999</v>
      </c>
      <c r="D44" s="1167">
        <v>235</v>
      </c>
      <c r="GZ44" s="641"/>
      <c r="HA44" s="641"/>
      <c r="HB44" s="641"/>
      <c r="HC44" s="641"/>
      <c r="HD44" s="641"/>
      <c r="HE44" s="641"/>
      <c r="HF44" s="641"/>
      <c r="HG44" s="641"/>
      <c r="HH44" s="641"/>
      <c r="HI44" s="641"/>
      <c r="HJ44" s="641"/>
      <c r="HK44" s="641"/>
      <c r="HL44" s="641"/>
      <c r="HM44" s="641"/>
      <c r="HN44" s="641"/>
      <c r="HO44" s="641"/>
      <c r="HP44" s="641"/>
      <c r="HQ44" s="641"/>
      <c r="HR44" s="649"/>
      <c r="HS44" s="641"/>
      <c r="HT44" s="939"/>
      <c r="PC44" s="132"/>
    </row>
    <row r="45" spans="1:680">
      <c r="A45" s="1164">
        <v>45877</v>
      </c>
      <c r="B45" s="1165">
        <v>45905</v>
      </c>
      <c r="C45" s="1166">
        <v>0.17549999999999999</v>
      </c>
      <c r="D45" s="1167">
        <v>200</v>
      </c>
      <c r="GZ45" s="641"/>
      <c r="HA45" s="641"/>
      <c r="HB45" s="641"/>
      <c r="HC45" s="641"/>
      <c r="HD45" s="641"/>
      <c r="HE45" s="641"/>
      <c r="HF45" s="641"/>
      <c r="HG45" s="641"/>
      <c r="HH45" s="641"/>
      <c r="HI45" s="641"/>
      <c r="HJ45" s="641"/>
      <c r="HK45" s="641"/>
      <c r="HL45" s="641"/>
      <c r="HM45" s="641"/>
      <c r="HN45" s="641"/>
      <c r="HO45" s="641"/>
      <c r="HP45" s="641"/>
      <c r="HQ45" s="641"/>
      <c r="HR45" s="649"/>
      <c r="HS45" s="641"/>
      <c r="HT45" s="939"/>
      <c r="PC45" s="132"/>
    </row>
    <row r="46" spans="1:680">
      <c r="A46" s="1164"/>
      <c r="B46" s="1165"/>
      <c r="C46" s="1166"/>
      <c r="D46" s="1167"/>
      <c r="GZ46" s="641"/>
      <c r="HA46" s="641"/>
      <c r="HB46" s="641"/>
      <c r="HC46" s="641"/>
      <c r="HD46" s="641"/>
      <c r="HE46" s="641"/>
      <c r="HF46" s="641"/>
      <c r="HG46" s="641"/>
      <c r="HH46" s="641"/>
      <c r="HI46" s="641"/>
      <c r="HJ46" s="641"/>
      <c r="HK46" s="641"/>
      <c r="HL46" s="641"/>
      <c r="HM46" s="641"/>
      <c r="HN46" s="641"/>
      <c r="HO46" s="641"/>
      <c r="HP46" s="641"/>
      <c r="HQ46" s="641"/>
      <c r="HR46" s="649"/>
      <c r="HS46" s="641"/>
      <c r="HT46" s="939"/>
      <c r="PC46" s="132"/>
    </row>
    <row r="47" spans="1:680">
      <c r="A47" s="1164">
        <v>45873</v>
      </c>
      <c r="B47" s="1165">
        <v>45894</v>
      </c>
      <c r="C47" s="1166">
        <v>0.17249999999999999</v>
      </c>
      <c r="D47" s="1167">
        <v>458</v>
      </c>
      <c r="GZ47" s="641"/>
      <c r="HA47" s="641"/>
      <c r="HB47" s="641"/>
      <c r="HC47" s="641"/>
      <c r="HD47" s="641"/>
      <c r="HE47" s="641"/>
      <c r="HF47" s="641"/>
      <c r="HG47" s="641"/>
      <c r="HH47" s="641"/>
      <c r="HI47" s="641"/>
      <c r="HJ47" s="641"/>
      <c r="HK47" s="641"/>
      <c r="HL47" s="641"/>
      <c r="HM47" s="641"/>
      <c r="HN47" s="641"/>
      <c r="HO47" s="641"/>
      <c r="HP47" s="641"/>
      <c r="HQ47" s="641"/>
      <c r="HR47" s="649"/>
      <c r="HS47" s="641"/>
      <c r="HT47" s="939"/>
      <c r="PC47" s="132"/>
    </row>
    <row r="48" spans="1:680">
      <c r="A48" s="1322" t="s">
        <v>14</v>
      </c>
      <c r="B48" s="1323"/>
      <c r="C48" s="409">
        <f>(SUMPRODUCT(C34:C47,D34:D47))/D48</f>
        <v>0.17905020032995522</v>
      </c>
      <c r="D48" s="667">
        <f>SUM(D34:D47)</f>
        <v>4243</v>
      </c>
      <c r="BJ48" s="484"/>
      <c r="HT48" s="940"/>
    </row>
    <row r="49" spans="1:680" ht="15.6">
      <c r="A49" s="12" t="s">
        <v>467</v>
      </c>
      <c r="B49" s="2"/>
      <c r="C49" s="2"/>
    </row>
    <row r="50" spans="1:680" s="132" customFormat="1" ht="26.4">
      <c r="A50" s="13" t="s">
        <v>3</v>
      </c>
      <c r="B50" s="13" t="s">
        <v>4</v>
      </c>
      <c r="C50" s="13" t="s">
        <v>0</v>
      </c>
      <c r="D50" s="13" t="s">
        <v>468</v>
      </c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</row>
    <row r="51" spans="1:680">
      <c r="A51" s="1299"/>
      <c r="B51" s="1165"/>
      <c r="C51" s="1166"/>
      <c r="D51" s="1168"/>
      <c r="QJ51" s="132"/>
      <c r="QK51" s="132"/>
      <c r="QL51" s="132"/>
      <c r="QM51" s="132"/>
      <c r="QN51" s="132"/>
      <c r="QO51" s="132"/>
      <c r="QP51" s="132"/>
      <c r="QQ51" s="132"/>
      <c r="QR51" s="132"/>
      <c r="QS51" s="132"/>
      <c r="QT51" s="132"/>
      <c r="QU51" s="132"/>
      <c r="QV51" s="132"/>
      <c r="QW51" s="132"/>
      <c r="QX51" s="132"/>
      <c r="QY51" s="132"/>
      <c r="QZ51" s="132"/>
      <c r="RA51" s="132"/>
      <c r="RB51" s="132"/>
      <c r="RC51" s="132"/>
      <c r="RD51" s="132"/>
      <c r="RE51" s="132"/>
      <c r="RF51" s="132"/>
      <c r="RG51" s="132"/>
      <c r="RH51" s="132"/>
      <c r="RI51" s="132"/>
      <c r="RJ51" s="132"/>
      <c r="RK51" s="132"/>
      <c r="RL51" s="132"/>
      <c r="RM51" s="132"/>
      <c r="RN51" s="132"/>
      <c r="RO51" s="132"/>
      <c r="RP51" s="132"/>
      <c r="RQ51" s="132"/>
      <c r="RR51" s="132"/>
      <c r="RS51" s="132"/>
      <c r="RT51" s="132"/>
      <c r="RU51" s="132"/>
      <c r="RV51" s="132"/>
      <c r="RW51" s="132"/>
      <c r="RX51" s="132"/>
      <c r="RY51" s="132"/>
      <c r="RZ51" s="132"/>
      <c r="SA51" s="132"/>
      <c r="SB51" s="132"/>
      <c r="SC51" s="132"/>
      <c r="SD51" s="132"/>
      <c r="SE51" s="132"/>
      <c r="SF51" s="132"/>
      <c r="SG51" s="132"/>
      <c r="SH51" s="132"/>
      <c r="SI51" s="132"/>
      <c r="SJ51" s="132"/>
      <c r="SK51" s="132"/>
      <c r="SL51" s="132"/>
      <c r="SM51" s="132"/>
      <c r="SN51" s="132"/>
      <c r="SO51" s="132"/>
      <c r="SP51" s="132"/>
      <c r="SQ51" s="132"/>
      <c r="SR51" s="132"/>
      <c r="SS51" s="132"/>
      <c r="ST51" s="132"/>
      <c r="SU51" s="132"/>
      <c r="SV51" s="132"/>
      <c r="SW51" s="132"/>
      <c r="SX51" s="132"/>
      <c r="SY51" s="132"/>
      <c r="SZ51" s="132"/>
      <c r="TA51" s="132"/>
      <c r="TB51" s="132"/>
      <c r="TC51" s="132"/>
      <c r="TD51" s="132"/>
      <c r="TE51" s="132"/>
      <c r="TF51" s="132"/>
      <c r="TG51" s="132"/>
      <c r="TH51" s="132"/>
      <c r="TI51" s="132"/>
      <c r="TJ51" s="132"/>
      <c r="TK51" s="132"/>
      <c r="TL51" s="132"/>
      <c r="TM51" s="132"/>
      <c r="TN51" s="132"/>
      <c r="TO51" s="132"/>
      <c r="TP51" s="132"/>
      <c r="TQ51" s="132"/>
      <c r="TR51" s="132"/>
      <c r="TS51" s="132"/>
      <c r="TT51" s="132"/>
      <c r="TU51" s="132"/>
      <c r="TV51" s="132"/>
      <c r="TW51" s="132"/>
      <c r="TX51" s="132"/>
      <c r="TY51" s="132"/>
      <c r="TZ51" s="132"/>
      <c r="UA51" s="132"/>
      <c r="UB51" s="132"/>
      <c r="UC51" s="132"/>
      <c r="UD51" s="132"/>
      <c r="UE51" s="132"/>
      <c r="UF51" s="132"/>
      <c r="UG51" s="132"/>
      <c r="UH51" s="132"/>
      <c r="UI51" s="132"/>
      <c r="UJ51" s="132"/>
      <c r="UK51" s="132"/>
      <c r="UL51" s="132"/>
      <c r="UM51" s="132"/>
      <c r="UN51" s="132"/>
      <c r="UO51" s="132"/>
      <c r="UP51" s="132"/>
      <c r="UQ51" s="132"/>
      <c r="UT51" s="132"/>
      <c r="UU51" s="132"/>
      <c r="UV51" s="132"/>
      <c r="UW51" s="132"/>
      <c r="UX51" s="132"/>
      <c r="UY51" s="132"/>
      <c r="UZ51" s="132"/>
      <c r="VA51" s="132"/>
      <c r="VB51" s="132"/>
      <c r="VC51" s="132"/>
      <c r="VD51" s="132"/>
      <c r="VE51" s="132"/>
      <c r="VF51" s="132"/>
      <c r="VG51" s="132"/>
      <c r="VH51" s="132"/>
      <c r="VI51" s="132"/>
      <c r="VJ51" s="132"/>
      <c r="VK51" s="132"/>
      <c r="VL51" s="132"/>
      <c r="VM51" s="132"/>
      <c r="VN51" s="132"/>
      <c r="VO51" s="132"/>
      <c r="VP51" s="132"/>
      <c r="VQ51" s="132"/>
      <c r="VR51" s="132"/>
      <c r="VS51" s="132"/>
      <c r="VT51" s="132"/>
      <c r="VU51" s="132"/>
      <c r="VV51" s="132"/>
      <c r="VW51" s="132"/>
      <c r="VX51" s="132"/>
      <c r="VY51" s="132"/>
      <c r="VZ51" s="132"/>
      <c r="WA51" s="132"/>
      <c r="WB51" s="132"/>
      <c r="WC51" s="132"/>
      <c r="WD51" s="132"/>
      <c r="WE51" s="132"/>
      <c r="WF51" s="132"/>
      <c r="WG51" s="132"/>
      <c r="WH51" s="132"/>
      <c r="WI51" s="132"/>
      <c r="WJ51" s="132"/>
      <c r="WK51" s="132"/>
      <c r="WL51" s="132"/>
      <c r="WM51" s="132"/>
      <c r="WN51" s="132"/>
      <c r="WO51" s="132"/>
      <c r="WP51" s="132"/>
      <c r="WQ51" s="132"/>
      <c r="WR51" s="132"/>
      <c r="WS51" s="132"/>
      <c r="WT51" s="132"/>
      <c r="WU51" s="132"/>
      <c r="WV51" s="132"/>
      <c r="WW51" s="132"/>
      <c r="WX51" s="132"/>
      <c r="WY51" s="132"/>
      <c r="WZ51" s="132"/>
      <c r="XA51" s="132"/>
      <c r="XB51" s="132"/>
      <c r="XC51" s="132"/>
      <c r="XD51" s="132"/>
      <c r="XE51" s="132"/>
      <c r="XF51" s="132"/>
      <c r="XG51" s="132"/>
      <c r="XH51" s="132"/>
      <c r="XI51" s="132"/>
      <c r="XJ51" s="132"/>
      <c r="XK51" s="132"/>
      <c r="XL51" s="132"/>
      <c r="XM51" s="132"/>
      <c r="XN51" s="132"/>
      <c r="XO51" s="132"/>
      <c r="XP51" s="132"/>
      <c r="XQ51" s="132"/>
      <c r="XR51" s="132"/>
      <c r="XS51" s="132"/>
      <c r="XT51" s="132"/>
      <c r="XU51" s="132"/>
      <c r="XV51" s="132"/>
      <c r="XW51" s="132"/>
      <c r="XX51" s="132"/>
      <c r="XY51" s="132"/>
      <c r="XZ51" s="132"/>
      <c r="YA51" s="132"/>
      <c r="YB51" s="132"/>
      <c r="YC51" s="132"/>
      <c r="YD51" s="132"/>
      <c r="YE51" s="132"/>
      <c r="YF51" s="132"/>
      <c r="YG51" s="132"/>
      <c r="YH51" s="132"/>
      <c r="YI51" s="132"/>
      <c r="YJ51" s="132"/>
      <c r="YK51" s="132"/>
      <c r="YL51" s="132"/>
      <c r="YM51" s="132"/>
      <c r="YN51" s="132"/>
      <c r="YO51" s="132"/>
      <c r="YP51" s="132"/>
      <c r="YQ51" s="132"/>
      <c r="YR51" s="132"/>
      <c r="YS51" s="132"/>
      <c r="YT51" s="132"/>
      <c r="YU51" s="132"/>
      <c r="YV51" s="132"/>
      <c r="YW51" s="132"/>
      <c r="YX51" s="132"/>
      <c r="YY51" s="132"/>
      <c r="YZ51" s="132"/>
      <c r="ZA51" s="132"/>
      <c r="ZB51" s="132"/>
      <c r="ZC51" s="132"/>
      <c r="ZD51" s="132"/>
    </row>
    <row r="52" spans="1:680">
      <c r="A52" s="1246"/>
      <c r="B52" s="662"/>
      <c r="C52" s="663"/>
      <c r="D52" s="664"/>
    </row>
    <row r="53" spans="1:680">
      <c r="A53" s="1318" t="s">
        <v>14</v>
      </c>
      <c r="B53" s="1318"/>
      <c r="C53" s="409" t="str">
        <f>IF(D53=0,"-",(SUMPRODUCT(C51:C52,D51:D52))/D53)</f>
        <v>-</v>
      </c>
      <c r="D53" s="588">
        <f>SUM(D51:D52)</f>
        <v>0</v>
      </c>
    </row>
    <row r="54" spans="1:680" ht="15.6">
      <c r="A54" s="12" t="s">
        <v>586</v>
      </c>
      <c r="B54" s="2"/>
      <c r="C54" s="2"/>
    </row>
    <row r="55" spans="1:680" ht="26.4">
      <c r="A55" s="13" t="s">
        <v>3</v>
      </c>
      <c r="B55" s="13" t="s">
        <v>4</v>
      </c>
      <c r="C55" s="13" t="s">
        <v>0</v>
      </c>
      <c r="D55" s="13" t="s">
        <v>587</v>
      </c>
    </row>
    <row r="56" spans="1:680">
      <c r="A56" s="1164">
        <v>45727</v>
      </c>
      <c r="B56" s="1165">
        <v>45908</v>
      </c>
      <c r="C56" s="1166">
        <v>7.4999999999999997E-3</v>
      </c>
      <c r="D56" s="1168">
        <v>2.5578449999999999</v>
      </c>
    </row>
    <row r="57" spans="1:680">
      <c r="A57" s="661"/>
      <c r="B57" s="662"/>
      <c r="C57" s="663"/>
      <c r="D57" s="664"/>
    </row>
    <row r="58" spans="1:680">
      <c r="A58" s="1318" t="s">
        <v>14</v>
      </c>
      <c r="B58" s="1318"/>
      <c r="C58" s="1171">
        <v>0</v>
      </c>
      <c r="D58" s="1171">
        <v>0</v>
      </c>
    </row>
    <row r="59" spans="1:680" ht="15.6">
      <c r="A59" s="12" t="s">
        <v>570</v>
      </c>
      <c r="B59" s="2"/>
      <c r="C59" s="2"/>
    </row>
    <row r="60" spans="1:680" ht="26.4">
      <c r="A60" s="13" t="s">
        <v>3</v>
      </c>
      <c r="B60" s="13" t="s">
        <v>4</v>
      </c>
      <c r="C60" s="13" t="s">
        <v>0</v>
      </c>
      <c r="D60" s="13" t="s">
        <v>571</v>
      </c>
    </row>
    <row r="61" spans="1:680">
      <c r="A61" s="1164"/>
      <c r="B61" s="1165"/>
      <c r="C61" s="1166"/>
      <c r="D61" s="1168"/>
    </row>
    <row r="62" spans="1:680">
      <c r="A62" s="661"/>
      <c r="B62" s="662"/>
      <c r="C62" s="663"/>
      <c r="D62" s="664"/>
    </row>
    <row r="63" spans="1:680">
      <c r="A63" s="1318" t="s">
        <v>14</v>
      </c>
      <c r="B63" s="1318"/>
      <c r="C63" s="1171">
        <f>IF(D63=0,0,(SUMPRODUCT(C61:C62,D61:D62))/D63)</f>
        <v>0</v>
      </c>
      <c r="D63" s="1171">
        <f>SUM(D61:D62)</f>
        <v>0</v>
      </c>
    </row>
  </sheetData>
  <sortState xmlns:xlrd2="http://schemas.microsoft.com/office/spreadsheetml/2017/richdata2" ref="A44:D45">
    <sortCondition ref="A44:A45"/>
  </sortState>
  <mergeCells count="39">
    <mergeCell ref="CW5:CW6"/>
    <mergeCell ref="BV5:BV6"/>
    <mergeCell ref="BT5:BT6"/>
    <mergeCell ref="BU5:BU6"/>
    <mergeCell ref="BS5:BS6"/>
    <mergeCell ref="BW5:BW6"/>
    <mergeCell ref="BR5:BR6"/>
    <mergeCell ref="BQ5:BQ6"/>
    <mergeCell ref="BP5:BP6"/>
    <mergeCell ref="A4:C4"/>
    <mergeCell ref="BM5:BM6"/>
    <mergeCell ref="BL5:BL6"/>
    <mergeCell ref="BK5:BK6"/>
    <mergeCell ref="BJ5:BJ6"/>
    <mergeCell ref="BI5:BI6"/>
    <mergeCell ref="BH5:BH6"/>
    <mergeCell ref="BG5:BG6"/>
    <mergeCell ref="BF5:BF6"/>
    <mergeCell ref="BE5:BE6"/>
    <mergeCell ref="BA5:BA6"/>
    <mergeCell ref="AX5:AX6"/>
    <mergeCell ref="BD5:BD6"/>
    <mergeCell ref="A3:C3"/>
    <mergeCell ref="A48:B48"/>
    <mergeCell ref="A30:C30"/>
    <mergeCell ref="A29:C29"/>
    <mergeCell ref="A28:C28"/>
    <mergeCell ref="A27:C27"/>
    <mergeCell ref="A7:B9"/>
    <mergeCell ref="A58:B58"/>
    <mergeCell ref="A63:B63"/>
    <mergeCell ref="BO5:BO6"/>
    <mergeCell ref="BN5:BN6"/>
    <mergeCell ref="A53:B53"/>
    <mergeCell ref="BC5:BC6"/>
    <mergeCell ref="BB5:BB6"/>
    <mergeCell ref="AW5:AW6"/>
    <mergeCell ref="AZ5:AZ6"/>
    <mergeCell ref="AY5:AY6"/>
  </mergeCells>
  <hyperlinks>
    <hyperlink ref="ZE8" r:id="rId1" display="http://cbr.ru/eng/" xr:uid="{00000000-0004-0000-0000-000000000000}"/>
  </hyperlinks>
  <pageMargins left="0.70866141732283472" right="0.70866141732283472" top="0.74803149606299213" bottom="0.74803149606299213" header="0.31496062992125984" footer="0.31496062992125984"/>
  <pageSetup orientation="landscape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70"/>
  <sheetViews>
    <sheetView showGridLines="0" showZeros="0" zoomScale="66" zoomScaleNormal="60" workbookViewId="0">
      <selection activeCell="F48" sqref="F48"/>
    </sheetView>
  </sheetViews>
  <sheetFormatPr defaultColWidth="8.77734375" defaultRowHeight="14.4"/>
  <cols>
    <col min="1" max="1" width="2.21875" style="19" customWidth="1"/>
    <col min="2" max="2" width="39.77734375" style="20" customWidth="1"/>
    <col min="3" max="3" width="9.21875" style="25" customWidth="1"/>
    <col min="4" max="4" width="10.6640625" style="38" bestFit="1" customWidth="1"/>
    <col min="5" max="5" width="17.77734375" style="25" customWidth="1"/>
    <col min="6" max="6" width="15.21875" style="25" customWidth="1"/>
    <col min="7" max="7" width="16.21875" style="25" customWidth="1"/>
    <col min="8" max="8" width="17.21875" style="25" customWidth="1"/>
    <col min="9" max="9" width="15.21875" style="25" customWidth="1"/>
    <col min="10" max="11" width="12.6640625" style="25" customWidth="1"/>
    <col min="12" max="12" width="14.6640625" style="25" customWidth="1"/>
    <col min="13" max="17" width="12.6640625" style="25" customWidth="1"/>
    <col min="18" max="18" width="13.21875" style="19" customWidth="1"/>
    <col min="19" max="16384" width="8.77734375" style="19"/>
  </cols>
  <sheetData>
    <row r="1" spans="1:17" ht="17.399999999999999">
      <c r="B1" s="85" t="s">
        <v>81</v>
      </c>
      <c r="E1" s="67"/>
      <c r="F1" s="19"/>
    </row>
    <row r="2" spans="1:17" ht="15.6">
      <c r="B2" s="86">
        <v>45880</v>
      </c>
      <c r="D2" s="84" t="s">
        <v>20</v>
      </c>
      <c r="E2" s="27">
        <f>SUMIF(Daily!3:3,'Cash in bank report'!B2,Daily!7:7)</f>
        <v>79.779600000000002</v>
      </c>
      <c r="F2" s="28" t="s">
        <v>44</v>
      </c>
    </row>
    <row r="3" spans="1:17" ht="15.6">
      <c r="A3" s="18"/>
      <c r="B3" s="18"/>
      <c r="D3" s="25"/>
      <c r="E3" s="27">
        <f>SUMIF(Daily!3:3,'Cash in bank report'!B2,Daily!8:8)</f>
        <v>92.88</v>
      </c>
      <c r="F3" s="28" t="s">
        <v>80</v>
      </c>
      <c r="I3" s="655"/>
    </row>
    <row r="4" spans="1:17" ht="15.6">
      <c r="A4" s="18"/>
      <c r="B4" s="18"/>
      <c r="D4" s="25"/>
      <c r="E4" s="27">
        <f>SUMIF(Daily!3:3,'Cash in bank report'!B2,Daily!9:9)</f>
        <v>11.0665</v>
      </c>
      <c r="F4" s="28" t="s">
        <v>470</v>
      </c>
      <c r="I4" s="655"/>
    </row>
    <row r="5" spans="1:17" ht="15.6">
      <c r="A5" s="18"/>
      <c r="B5" s="18"/>
      <c r="D5" s="25"/>
      <c r="E5" s="27">
        <v>2.46766</v>
      </c>
      <c r="F5" s="28" t="s">
        <v>708</v>
      </c>
      <c r="I5" s="655"/>
    </row>
    <row r="6" spans="1:17" ht="16.2" customHeight="1">
      <c r="B6" s="26" t="s">
        <v>540</v>
      </c>
      <c r="C6" s="26" t="s">
        <v>69</v>
      </c>
      <c r="D6" s="26" t="s">
        <v>14</v>
      </c>
      <c r="E6" s="26" t="s">
        <v>21</v>
      </c>
      <c r="F6" s="26" t="s">
        <v>58</v>
      </c>
      <c r="G6" s="26" t="s">
        <v>41</v>
      </c>
      <c r="H6" s="26" t="s">
        <v>43</v>
      </c>
      <c r="I6" s="69"/>
      <c r="J6" s="19"/>
      <c r="K6" s="19"/>
      <c r="L6" s="19"/>
      <c r="M6" s="19"/>
      <c r="N6" s="19"/>
      <c r="O6" s="19"/>
      <c r="P6" s="19"/>
      <c r="Q6" s="19"/>
    </row>
    <row r="7" spans="1:17" ht="16.2" customHeight="1">
      <c r="B7" s="73" t="s">
        <v>78</v>
      </c>
      <c r="C7" s="45" t="s">
        <v>46</v>
      </c>
      <c r="D7" s="46">
        <f>SUM(E7:H7)</f>
        <v>7492.29605376787</v>
      </c>
      <c r="E7" s="74">
        <f>D19</f>
        <v>752.99224331000005</v>
      </c>
      <c r="F7" s="74">
        <f>D28</f>
        <v>983.1094912100001</v>
      </c>
      <c r="G7" s="74">
        <f>D37</f>
        <v>810.37536354999986</v>
      </c>
      <c r="H7" s="75">
        <f>D48</f>
        <v>4945.8189556978705</v>
      </c>
      <c r="I7" s="70"/>
      <c r="J7" s="19"/>
      <c r="K7" s="19"/>
      <c r="L7" s="19"/>
      <c r="M7" s="19"/>
      <c r="N7" s="19"/>
      <c r="O7" s="19"/>
      <c r="P7" s="19"/>
      <c r="Q7" s="19"/>
    </row>
    <row r="8" spans="1:17" ht="16.2" customHeight="1">
      <c r="B8" s="76" t="s">
        <v>74</v>
      </c>
      <c r="C8" s="42" t="s">
        <v>46</v>
      </c>
      <c r="D8" s="31">
        <f>SUM(E8:H8)</f>
        <v>234.01319258160001</v>
      </c>
      <c r="E8" s="77">
        <f>+D23*E2</f>
        <v>0</v>
      </c>
      <c r="F8" s="77">
        <f>+D32*E2</f>
        <v>0</v>
      </c>
      <c r="G8" s="77">
        <f>+D41*E2</f>
        <v>0</v>
      </c>
      <c r="H8" s="82">
        <f>(D51+D56)*E2</f>
        <v>234.01319258160001</v>
      </c>
      <c r="I8" s="70"/>
      <c r="J8" s="19"/>
      <c r="K8" s="19"/>
      <c r="L8" s="19"/>
      <c r="M8" s="19"/>
      <c r="N8" s="19"/>
      <c r="O8" s="19"/>
      <c r="P8" s="19"/>
      <c r="Q8" s="19"/>
    </row>
    <row r="9" spans="1:17" ht="16.2" customHeight="1">
      <c r="B9" s="76" t="s">
        <v>75</v>
      </c>
      <c r="C9" s="42" t="s">
        <v>46</v>
      </c>
      <c r="D9" s="31">
        <f>SUM(E9:H9)</f>
        <v>237.57264359999999</v>
      </c>
      <c r="E9" s="77">
        <f>+E14*E2</f>
        <v>0</v>
      </c>
      <c r="F9" s="77">
        <f>+F14*E2</f>
        <v>0</v>
      </c>
      <c r="G9" s="77">
        <f>+G14*E2</f>
        <v>0</v>
      </c>
      <c r="H9" s="82">
        <f>(D52+D57)*E2</f>
        <v>237.57264359999999</v>
      </c>
      <c r="I9" s="70"/>
      <c r="J9" s="19"/>
      <c r="K9" s="19"/>
      <c r="L9" s="19"/>
      <c r="M9" s="19"/>
      <c r="N9" s="19"/>
      <c r="O9" s="19"/>
      <c r="P9" s="19"/>
      <c r="Q9" s="19"/>
    </row>
    <row r="10" spans="1:17" ht="16.2" customHeight="1">
      <c r="B10" s="23" t="s">
        <v>557</v>
      </c>
      <c r="C10" s="54" t="s">
        <v>46</v>
      </c>
      <c r="D10" s="34">
        <f>SUM(E10:H10)</f>
        <v>599.19918942391496</v>
      </c>
      <c r="E10" s="47">
        <f>D25*E2</f>
        <v>0</v>
      </c>
      <c r="F10" s="35"/>
      <c r="G10" s="35">
        <f>D43*E2</f>
        <v>0</v>
      </c>
      <c r="H10" s="71">
        <f>(D58+D53)*E2</f>
        <v>599.19918942391496</v>
      </c>
      <c r="I10" s="70"/>
      <c r="J10" s="19"/>
      <c r="K10" s="19"/>
      <c r="L10" s="19"/>
      <c r="M10" s="19"/>
      <c r="N10" s="19"/>
      <c r="O10" s="19"/>
      <c r="P10" s="19"/>
      <c r="Q10" s="19"/>
    </row>
    <row r="11" spans="1:17" ht="16.2" customHeight="1" thickBot="1">
      <c r="B11" s="61" t="s">
        <v>76</v>
      </c>
      <c r="C11" s="58" t="s">
        <v>46</v>
      </c>
      <c r="D11" s="72">
        <f>SUM(E11:H11)</f>
        <v>8563.0810793733854</v>
      </c>
      <c r="E11" s="72">
        <f>SUM(E7:E10)</f>
        <v>752.99224331000005</v>
      </c>
      <c r="F11" s="72">
        <f t="shared" ref="F11:G11" si="0">SUM(F7:F10)</f>
        <v>983.1094912100001</v>
      </c>
      <c r="G11" s="72">
        <f t="shared" si="0"/>
        <v>810.37536354999986</v>
      </c>
      <c r="H11" s="72">
        <f>SUM(H7:H10)</f>
        <v>6016.6039813033858</v>
      </c>
      <c r="I11" s="70"/>
      <c r="J11" s="19"/>
      <c r="K11" s="19"/>
      <c r="L11" s="19"/>
      <c r="M11" s="19"/>
      <c r="N11" s="19"/>
      <c r="O11" s="19"/>
      <c r="P11" s="19"/>
      <c r="Q11" s="19"/>
    </row>
    <row r="12" spans="1:17" ht="16.2" customHeight="1" thickTop="1">
      <c r="B12" s="73" t="s">
        <v>79</v>
      </c>
      <c r="C12" s="45" t="s">
        <v>68</v>
      </c>
      <c r="D12" s="78">
        <f>D7/$E$2</f>
        <v>93.912429415137069</v>
      </c>
      <c r="E12" s="79">
        <f>E7/$E$2</f>
        <v>9.438405849490346</v>
      </c>
      <c r="F12" s="79">
        <f>F7/$E$2</f>
        <v>12.322818003725263</v>
      </c>
      <c r="G12" s="79">
        <f>G7/$E$2</f>
        <v>10.157676442975395</v>
      </c>
      <c r="H12" s="80">
        <f>H7/$E$2</f>
        <v>61.993529118946078</v>
      </c>
      <c r="I12" s="70"/>
      <c r="J12" s="19"/>
      <c r="K12" s="19"/>
      <c r="L12" s="19"/>
      <c r="M12" s="19"/>
      <c r="N12" s="19"/>
      <c r="O12" s="19"/>
      <c r="P12" s="19"/>
      <c r="Q12" s="19"/>
    </row>
    <row r="13" spans="1:17" ht="16.2" customHeight="1">
      <c r="B13" s="76" t="s">
        <v>70</v>
      </c>
      <c r="C13" s="42" t="s">
        <v>68</v>
      </c>
      <c r="D13" s="29">
        <f>D8/$E$2</f>
        <v>2.933246</v>
      </c>
      <c r="E13" s="81">
        <f>+D23</f>
        <v>0</v>
      </c>
      <c r="F13" s="81">
        <f>+D32</f>
        <v>0</v>
      </c>
      <c r="G13" s="81">
        <f>+D41</f>
        <v>0</v>
      </c>
      <c r="H13" s="83">
        <f>H8/$E$2</f>
        <v>2.933246</v>
      </c>
      <c r="I13" s="70"/>
      <c r="J13" s="19"/>
      <c r="K13" s="19"/>
      <c r="L13" s="19"/>
      <c r="M13" s="19"/>
      <c r="N13" s="19"/>
      <c r="O13" s="19"/>
      <c r="P13" s="19"/>
      <c r="Q13" s="19"/>
    </row>
    <row r="14" spans="1:17" ht="16.2" customHeight="1">
      <c r="B14" s="76" t="s">
        <v>72</v>
      </c>
      <c r="C14" s="42" t="s">
        <v>68</v>
      </c>
      <c r="D14" s="29">
        <f>D9/$E$2</f>
        <v>2.9778620549614185</v>
      </c>
      <c r="E14" s="81">
        <f>+D24</f>
        <v>0</v>
      </c>
      <c r="F14" s="81">
        <f>+D33</f>
        <v>0</v>
      </c>
      <c r="G14" s="81"/>
      <c r="H14" s="83">
        <f>H9/$E$2</f>
        <v>2.9778620549614185</v>
      </c>
      <c r="I14" s="70"/>
      <c r="J14" s="19"/>
      <c r="K14" s="19"/>
      <c r="L14" s="19"/>
      <c r="M14" s="19"/>
      <c r="N14" s="19"/>
      <c r="O14" s="19"/>
      <c r="P14" s="19"/>
      <c r="Q14" s="19"/>
    </row>
    <row r="15" spans="1:17" ht="16.2" customHeight="1">
      <c r="B15" s="23" t="s">
        <v>466</v>
      </c>
      <c r="C15" s="42" t="s">
        <v>68</v>
      </c>
      <c r="D15" s="52">
        <f>D10/$E$2</f>
        <v>7.5106817961473222</v>
      </c>
      <c r="E15" s="83">
        <f>E10/$E$2</f>
        <v>0</v>
      </c>
      <c r="F15" s="47"/>
      <c r="G15" s="47">
        <f>G10/E2</f>
        <v>0</v>
      </c>
      <c r="H15" s="83">
        <f>H10/$E$2</f>
        <v>7.5106817961473222</v>
      </c>
      <c r="I15" s="70"/>
      <c r="J15" s="19"/>
      <c r="K15" s="19"/>
      <c r="L15" s="19"/>
      <c r="M15" s="19"/>
      <c r="N15" s="19"/>
      <c r="O15" s="19"/>
      <c r="P15" s="19"/>
      <c r="Q15" s="19"/>
    </row>
    <row r="16" spans="1:17" ht="16.2" customHeight="1" thickBot="1">
      <c r="B16" s="61" t="s">
        <v>77</v>
      </c>
      <c r="C16" s="58" t="s">
        <v>68</v>
      </c>
      <c r="D16" s="59">
        <f>D11/$E$2</f>
        <v>107.33421926624582</v>
      </c>
      <c r="E16" s="62">
        <f t="shared" ref="E16:G16" si="1">SUM(E12:E15)</f>
        <v>9.438405849490346</v>
      </c>
      <c r="F16" s="62">
        <f t="shared" si="1"/>
        <v>12.322818003725263</v>
      </c>
      <c r="G16" s="62">
        <f t="shared" si="1"/>
        <v>10.157676442975395</v>
      </c>
      <c r="H16" s="62">
        <f>SUM(H12:H15)</f>
        <v>75.415318970054827</v>
      </c>
      <c r="I16" s="70"/>
      <c r="J16" s="19"/>
      <c r="K16" s="19"/>
      <c r="L16" s="19"/>
      <c r="M16" s="19"/>
      <c r="N16" s="19"/>
      <c r="O16" s="19"/>
      <c r="P16" s="19"/>
      <c r="Q16" s="19"/>
    </row>
    <row r="17" spans="2:17" s="60" customFormat="1" ht="15" thickTop="1">
      <c r="B17" s="64"/>
      <c r="C17" s="64" t="s">
        <v>83</v>
      </c>
      <c r="D17" s="64">
        <f>SUMIF(Daily!3:3,'Cash in bank report'!B2,Daily!30:30)-D16</f>
        <v>0</v>
      </c>
      <c r="E17" s="65"/>
      <c r="F17" s="65"/>
      <c r="G17" s="66"/>
      <c r="H17" s="66"/>
      <c r="I17" s="68"/>
      <c r="J17" s="63"/>
      <c r="K17" s="63"/>
      <c r="L17" s="63"/>
      <c r="M17" s="63"/>
      <c r="N17" s="63"/>
      <c r="O17" s="63"/>
      <c r="P17" s="63"/>
      <c r="Q17" s="63"/>
    </row>
    <row r="18" spans="2:17">
      <c r="B18" s="26" t="s">
        <v>47</v>
      </c>
      <c r="C18" s="26" t="s">
        <v>69</v>
      </c>
      <c r="D18" s="26" t="s">
        <v>14</v>
      </c>
      <c r="E18" s="26" t="s">
        <v>21</v>
      </c>
      <c r="F18" s="26" t="s">
        <v>22</v>
      </c>
      <c r="G18" s="26" t="s">
        <v>23</v>
      </c>
      <c r="H18" s="26" t="s">
        <v>24</v>
      </c>
      <c r="I18" s="26" t="s">
        <v>25</v>
      </c>
      <c r="J18" s="26" t="s">
        <v>26</v>
      </c>
      <c r="K18" s="38"/>
    </row>
    <row r="19" spans="2:17">
      <c r="B19" s="21" t="s">
        <v>48</v>
      </c>
      <c r="C19" s="42" t="s">
        <v>46</v>
      </c>
      <c r="D19" s="31">
        <f>SUM(E19:J19)</f>
        <v>752.99224331000005</v>
      </c>
      <c r="E19" s="32">
        <f>SUMIF(Table!$1:$1,'Cash in bank report'!$B$2,Table!5:5)</f>
        <v>169.58485405000002</v>
      </c>
      <c r="F19" s="32">
        <f>SUMIF(Table!$1:$1,'Cash in bank report'!$B$2,Table!6:6)</f>
        <v>98.560954989999999</v>
      </c>
      <c r="G19" s="32">
        <f>SUMIF(Table!$1:$1,'Cash in bank report'!$B$2,Table!7:7)</f>
        <v>4.0233470899999997</v>
      </c>
      <c r="H19" s="32">
        <f>SUMIF(Table!$1:$1,'Cash in bank report'!$B$2,Table!8:8)</f>
        <v>170.86358153999998</v>
      </c>
      <c r="I19" s="32">
        <f>SUMIF(Table!$1:$1,'Cash in bank report'!$B$2,Table!9:9)</f>
        <v>309.95950563999997</v>
      </c>
      <c r="J19" s="32">
        <f>SUMIF(Table!$1:$1,'Cash in bank report'!$B$2,Table!10:10)</f>
        <v>0</v>
      </c>
      <c r="K19" s="39"/>
      <c r="L19" s="33"/>
      <c r="M19" s="33"/>
      <c r="N19" s="33"/>
      <c r="O19" s="33"/>
      <c r="P19" s="33"/>
      <c r="Q19" s="33"/>
    </row>
    <row r="20" spans="2:17">
      <c r="B20" s="22" t="s">
        <v>45</v>
      </c>
      <c r="C20" s="42" t="s">
        <v>68</v>
      </c>
      <c r="D20" s="29">
        <f>SUM(E20:J20)</f>
        <v>9.4384058494903442</v>
      </c>
      <c r="E20" s="30">
        <f>E19/$E$2</f>
        <v>2.125666887901168</v>
      </c>
      <c r="F20" s="41">
        <f>F19/$E$2</f>
        <v>1.2354155070970523</v>
      </c>
      <c r="G20" s="41">
        <f>G19/$E$2</f>
        <v>5.0430775411258011E-2</v>
      </c>
      <c r="H20" s="41">
        <f t="shared" ref="H20:J20" si="2">H19/$E$2</f>
        <v>2.1416951393589336</v>
      </c>
      <c r="I20" s="30">
        <f>I19/$E$2</f>
        <v>3.8851975397219336</v>
      </c>
      <c r="J20" s="30">
        <f t="shared" si="2"/>
        <v>0</v>
      </c>
      <c r="K20" s="39"/>
      <c r="L20" s="33"/>
      <c r="M20" s="33"/>
      <c r="N20" s="33"/>
      <c r="O20" s="33"/>
      <c r="P20" s="33"/>
      <c r="Q20" s="33"/>
    </row>
    <row r="21" spans="2:17">
      <c r="B21" s="50" t="s">
        <v>48</v>
      </c>
      <c r="C21" s="45"/>
      <c r="D21" s="51"/>
      <c r="E21" s="51"/>
      <c r="F21" s="51"/>
      <c r="G21" s="51"/>
      <c r="H21" s="51"/>
      <c r="I21" s="51"/>
      <c r="J21" s="51"/>
      <c r="K21" s="33"/>
      <c r="L21" s="33"/>
      <c r="M21" s="33"/>
      <c r="N21" s="33"/>
      <c r="O21" s="33"/>
      <c r="P21" s="33"/>
      <c r="Q21" s="33"/>
    </row>
    <row r="22" spans="2:17">
      <c r="B22" s="22" t="s">
        <v>71</v>
      </c>
      <c r="C22" s="48" t="s">
        <v>68</v>
      </c>
      <c r="D22" s="49">
        <f>SUM(E22:J22)</f>
        <v>0</v>
      </c>
      <c r="E22" s="135"/>
      <c r="F22" s="135"/>
      <c r="G22" s="135"/>
      <c r="H22" s="135"/>
      <c r="I22" s="135"/>
      <c r="J22" s="135"/>
      <c r="K22" s="33"/>
      <c r="L22" s="33"/>
      <c r="M22" s="33"/>
      <c r="N22" s="33"/>
      <c r="O22" s="33"/>
      <c r="P22" s="33"/>
      <c r="Q22" s="33"/>
    </row>
    <row r="23" spans="2:17">
      <c r="B23" s="22" t="s">
        <v>70</v>
      </c>
      <c r="C23" s="48" t="s">
        <v>68</v>
      </c>
      <c r="D23" s="49">
        <f t="shared" ref="D23:D25" si="3">SUM(E23:J23)</f>
        <v>0</v>
      </c>
      <c r="E23" s="135"/>
      <c r="F23" s="135"/>
      <c r="G23" s="135"/>
      <c r="H23" s="135"/>
      <c r="I23" s="135"/>
      <c r="J23" s="135"/>
      <c r="K23" s="33"/>
      <c r="L23" s="33"/>
      <c r="M23" s="33"/>
      <c r="N23" s="33"/>
      <c r="O23" s="33"/>
      <c r="P23" s="33"/>
      <c r="Q23" s="33"/>
    </row>
    <row r="24" spans="2:17" ht="13.5" customHeight="1">
      <c r="B24" s="646" t="s">
        <v>72</v>
      </c>
      <c r="C24" s="647" t="s">
        <v>68</v>
      </c>
      <c r="D24" s="49">
        <f t="shared" si="3"/>
        <v>0</v>
      </c>
      <c r="E24" s="135"/>
      <c r="F24" s="1156"/>
      <c r="G24" s="1156"/>
      <c r="H24" s="1156"/>
      <c r="I24" s="1157">
        <f>0*E3/E2</f>
        <v>0</v>
      </c>
      <c r="J24" s="1156"/>
      <c r="K24" s="33"/>
      <c r="L24" s="33"/>
      <c r="M24" s="33"/>
      <c r="N24" s="33"/>
      <c r="O24" s="33"/>
      <c r="P24" s="33"/>
      <c r="Q24" s="33"/>
    </row>
    <row r="25" spans="2:17">
      <c r="B25" s="23" t="s">
        <v>466</v>
      </c>
      <c r="C25" s="645" t="s">
        <v>68</v>
      </c>
      <c r="D25" s="52">
        <f t="shared" si="3"/>
        <v>0</v>
      </c>
      <c r="E25" s="1179">
        <f>0/1000000*E4/E2</f>
        <v>0</v>
      </c>
      <c r="F25" s="1159">
        <f>0/1000000*E4/E2</f>
        <v>0</v>
      </c>
      <c r="G25" s="1159"/>
      <c r="H25" s="1159"/>
      <c r="I25" s="1158">
        <f>0/1000000*E4/E2</f>
        <v>0</v>
      </c>
      <c r="J25" s="1159"/>
      <c r="K25" s="40"/>
      <c r="L25" s="33"/>
      <c r="M25" s="33"/>
      <c r="N25" s="33"/>
      <c r="O25" s="33"/>
      <c r="P25" s="33"/>
      <c r="Q25" s="33"/>
    </row>
    <row r="26" spans="2:17">
      <c r="D26" s="411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</row>
    <row r="27" spans="2:17" ht="43.2">
      <c r="B27" s="26" t="s">
        <v>27</v>
      </c>
      <c r="C27" s="26" t="s">
        <v>69</v>
      </c>
      <c r="D27" s="36" t="s">
        <v>14</v>
      </c>
      <c r="E27" s="36" t="s">
        <v>28</v>
      </c>
      <c r="F27" s="36" t="s">
        <v>29</v>
      </c>
      <c r="G27" s="37" t="s">
        <v>51</v>
      </c>
      <c r="H27" s="37" t="s">
        <v>49</v>
      </c>
      <c r="I27" s="37" t="s">
        <v>50</v>
      </c>
      <c r="J27" s="36" t="s">
        <v>30</v>
      </c>
      <c r="K27" s="37" t="s">
        <v>584</v>
      </c>
      <c r="L27" s="37" t="s">
        <v>52</v>
      </c>
      <c r="M27" s="37" t="s">
        <v>53</v>
      </c>
      <c r="N27" s="37" t="s">
        <v>54</v>
      </c>
      <c r="O27" s="37" t="s">
        <v>56</v>
      </c>
      <c r="P27" s="33"/>
      <c r="Q27" s="33"/>
    </row>
    <row r="28" spans="2:17">
      <c r="B28" s="21" t="str">
        <f>B19</f>
        <v>Overnight / Saving account</v>
      </c>
      <c r="C28" s="42" t="s">
        <v>46</v>
      </c>
      <c r="D28" s="31">
        <f>SUM(E28:O28)</f>
        <v>983.1094912100001</v>
      </c>
      <c r="E28" s="32">
        <f>SUMIF(Table!$1:$1,'Cash in bank report'!$B$2,Table!14:14)+700</f>
        <v>702.24127075000001</v>
      </c>
      <c r="F28" s="32">
        <f>SUMIF(Table!$1:$1,'Cash in bank report'!$B$2,Table!15:15)</f>
        <v>5.6867522300000006</v>
      </c>
      <c r="G28" s="32">
        <f>SUMIF(Table!$1:$1,'Cash in bank report'!$B$2,Table!16:16)</f>
        <v>129.38589662999999</v>
      </c>
      <c r="H28" s="32">
        <f>SUMIF(Table!$1:$1,'Cash in bank report'!$B$2,Table!17:17)</f>
        <v>120.17073487</v>
      </c>
      <c r="I28" s="32">
        <f>SUMIF(Table!$1:$1,'Cash in bank report'!$B$2,Table!18:18)</f>
        <v>8.5161639000000005</v>
      </c>
      <c r="J28" s="32">
        <f>SUMIF(Table!$1:$1,'Cash in bank report'!$B$2,Table!19:19)</f>
        <v>4.06511041</v>
      </c>
      <c r="K28" s="32">
        <f>SUMIF(Table!$1:$1,'Cash in bank report'!$B$2,Table!20:20)</f>
        <v>0.19697729</v>
      </c>
      <c r="L28" s="32">
        <f>SUMIF(Table!$1:$1,'Cash in bank report'!$B$2,Table!21:21)</f>
        <v>5.3020831900000003</v>
      </c>
      <c r="M28" s="32">
        <f>SUMIF(Table!$1:$1,'Cash in bank report'!$B$2,Table!22:22)</f>
        <v>0.48745612999999999</v>
      </c>
      <c r="N28" s="32">
        <f>SUMIF(Table!$1:$1,'Cash in bank report'!$B$2,Table!23:23)</f>
        <v>2.7620942200000003</v>
      </c>
      <c r="O28" s="32">
        <f>SUMIF(Table!$1:$1,'Cash in bank report'!$B$2,Table!13:13)</f>
        <v>4.2949515900000002</v>
      </c>
      <c r="P28" s="33"/>
      <c r="Q28" s="33"/>
    </row>
    <row r="29" spans="2:17">
      <c r="B29" s="22" t="s">
        <v>45</v>
      </c>
      <c r="C29" s="42" t="s">
        <v>68</v>
      </c>
      <c r="D29" s="29">
        <f>SUM(E29:O29)</f>
        <v>12.322818003725263</v>
      </c>
      <c r="E29" s="30">
        <f>E28/$E$2</f>
        <v>8.8022661275564182</v>
      </c>
      <c r="F29" s="41">
        <f t="shared" ref="F29:N29" si="4">F28/$E$2</f>
        <v>7.1280781427833687E-2</v>
      </c>
      <c r="G29" s="30">
        <f t="shared" si="4"/>
        <v>1.6217917441300782</v>
      </c>
      <c r="H29" s="30">
        <f t="shared" si="4"/>
        <v>1.5062839982902898</v>
      </c>
      <c r="I29" s="30">
        <f t="shared" si="4"/>
        <v>0.10674613435013462</v>
      </c>
      <c r="J29" s="30">
        <f t="shared" si="4"/>
        <v>5.0954259108844865E-2</v>
      </c>
      <c r="K29" s="41">
        <f t="shared" si="4"/>
        <v>2.4690182703347723E-3</v>
      </c>
      <c r="L29" s="30">
        <f t="shared" si="4"/>
        <v>6.6459134791350169E-2</v>
      </c>
      <c r="M29" s="41">
        <f t="shared" si="4"/>
        <v>6.1100347707935361E-3</v>
      </c>
      <c r="N29" s="30">
        <f t="shared" si="4"/>
        <v>3.4621560148208316E-2</v>
      </c>
      <c r="O29" s="30">
        <f t="shared" ref="O29" si="5">O28/$E$2</f>
        <v>5.3835210880977091E-2</v>
      </c>
      <c r="P29" s="33"/>
      <c r="Q29" s="33"/>
    </row>
    <row r="30" spans="2:17">
      <c r="B30" s="50" t="s">
        <v>48</v>
      </c>
      <c r="C30" s="4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33"/>
      <c r="Q30" s="33"/>
    </row>
    <row r="31" spans="2:17">
      <c r="B31" s="22" t="s">
        <v>71</v>
      </c>
      <c r="C31" s="48" t="s">
        <v>68</v>
      </c>
      <c r="D31" s="49">
        <f>SUM(E31:N31)</f>
        <v>0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3"/>
      <c r="Q31" s="33"/>
    </row>
    <row r="32" spans="2:17">
      <c r="B32" s="22" t="s">
        <v>70</v>
      </c>
      <c r="C32" s="48" t="s">
        <v>68</v>
      </c>
      <c r="D32" s="49">
        <f>SUM(E32:N32)</f>
        <v>0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3"/>
      <c r="Q32" s="33"/>
    </row>
    <row r="33" spans="2:20">
      <c r="B33" s="23" t="s">
        <v>72</v>
      </c>
      <c r="C33" s="43" t="s">
        <v>68</v>
      </c>
      <c r="D33" s="52">
        <f>SUM(E33:N33)</f>
        <v>0</v>
      </c>
      <c r="E33" s="47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3"/>
      <c r="Q33" s="33"/>
    </row>
    <row r="34" spans="2:20" ht="20.25" customHeight="1">
      <c r="B34" s="24"/>
      <c r="C34" s="44"/>
      <c r="D34" s="1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3"/>
      <c r="Q34" s="33"/>
    </row>
    <row r="35" spans="2:20">
      <c r="D35" s="3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</row>
    <row r="36" spans="2:20" ht="39.450000000000003" customHeight="1">
      <c r="B36" s="26" t="s">
        <v>32</v>
      </c>
      <c r="C36" s="26" t="s">
        <v>69</v>
      </c>
      <c r="D36" s="36" t="s">
        <v>14</v>
      </c>
      <c r="E36" s="36" t="s">
        <v>33</v>
      </c>
      <c r="F36" s="36" t="s">
        <v>34</v>
      </c>
      <c r="G36" s="36" t="s">
        <v>35</v>
      </c>
      <c r="H36" s="36" t="s">
        <v>36</v>
      </c>
      <c r="I36" s="36" t="s">
        <v>37</v>
      </c>
      <c r="J36" s="36" t="s">
        <v>38</v>
      </c>
      <c r="K36" s="36" t="s">
        <v>39</v>
      </c>
      <c r="L36" s="36" t="s">
        <v>40</v>
      </c>
      <c r="M36" s="37" t="s">
        <v>57</v>
      </c>
      <c r="N36" s="36" t="s">
        <v>460</v>
      </c>
      <c r="O36" s="36" t="s">
        <v>42</v>
      </c>
      <c r="P36" s="37" t="s">
        <v>55</v>
      </c>
      <c r="Q36" s="37" t="s">
        <v>61</v>
      </c>
      <c r="R36" s="37" t="s">
        <v>585</v>
      </c>
    </row>
    <row r="37" spans="2:20">
      <c r="B37" s="21" t="str">
        <f>B28</f>
        <v>Overnight / Saving account</v>
      </c>
      <c r="C37" s="42" t="s">
        <v>46</v>
      </c>
      <c r="D37" s="31">
        <f>SUM(E37:R37)</f>
        <v>810.37536354999986</v>
      </c>
      <c r="E37" s="202">
        <f>SUMIF(Table!$1:$1,'Cash in bank report'!$B$2,Table!27:27)</f>
        <v>53.399000000000001</v>
      </c>
      <c r="F37" s="202">
        <f>SUMIF(Table!$1:$1,'Cash in bank report'!$B$2,Table!28:28)</f>
        <v>474.1</v>
      </c>
      <c r="G37" s="32">
        <f>SUMIF(Table!$1:$1,'Cash in bank report'!$B$2,Table!29:29)</f>
        <v>4.1503635499999998</v>
      </c>
      <c r="H37" s="32">
        <f>SUMIF(Table!$1:$1,'Cash in bank report'!$B$2,Table!30:30)</f>
        <v>1.5</v>
      </c>
      <c r="I37" s="32">
        <f>SUMIF(Table!$1:$1,'Cash in bank report'!$B$2,Table!31:31)</f>
        <v>73.260999999999996</v>
      </c>
      <c r="J37" s="32">
        <f>SUMIF(Table!$1:$1,'Cash in bank report'!$B$2,Table!32:32)</f>
        <v>52.664999999999999</v>
      </c>
      <c r="K37" s="32">
        <f>SUMIF(Table!$1:$1,'Cash in bank report'!$B$2,Table!33:33)</f>
        <v>11.6</v>
      </c>
      <c r="L37" s="32">
        <f>SUMIF(Table!$1:$1,'Cash in bank report'!$B$2,Table!34:34)</f>
        <v>51.4</v>
      </c>
      <c r="M37" s="32">
        <f>SUMIF(Table!$1:$1,'Cash in bank report'!$B$2,Table!35:35)</f>
        <v>56.5</v>
      </c>
      <c r="N37" s="32">
        <f>SUMIF(Table!$1:$1,'Cash in bank report'!$B$2,Table!36:36)</f>
        <v>0</v>
      </c>
      <c r="O37" s="32">
        <f>SUMIF(Table!$1:$1,'Cash in bank report'!$B$2,Table!37:37)</f>
        <v>0</v>
      </c>
      <c r="P37" s="32">
        <f>SUMIF(Table!$1:$1,'Cash in bank report'!$B$2,Table!39:39)</f>
        <v>0</v>
      </c>
      <c r="Q37" s="32">
        <f>SUMIF(Table!$1:$1,'Cash in bank report'!$B$2,Table!40:40)</f>
        <v>5</v>
      </c>
      <c r="R37" s="32">
        <f>SUMIF(Table!$1:$1,'Cash in bank report'!$B$2,Table!38:38)</f>
        <v>26.8</v>
      </c>
    </row>
    <row r="38" spans="2:20">
      <c r="B38" s="22" t="s">
        <v>45</v>
      </c>
      <c r="C38" s="42" t="s">
        <v>68</v>
      </c>
      <c r="D38" s="29">
        <f t="shared" ref="D38:D43" si="6">SUM(E38:R38)</f>
        <v>10.157676442975397</v>
      </c>
      <c r="E38" s="30">
        <f t="shared" ref="E38:Q38" si="7">E37/$E$2</f>
        <v>0.66933150830538135</v>
      </c>
      <c r="F38" s="30">
        <f t="shared" si="7"/>
        <v>5.9426219233989643</v>
      </c>
      <c r="G38" s="30">
        <f t="shared" si="7"/>
        <v>5.2022867374617067E-2</v>
      </c>
      <c r="H38" s="30">
        <f t="shared" si="7"/>
        <v>1.8801798956124122E-2</v>
      </c>
      <c r="I38" s="30">
        <f t="shared" si="7"/>
        <v>0.9182923955497394</v>
      </c>
      <c r="J38" s="30">
        <f t="shared" si="7"/>
        <v>0.66013116134951788</v>
      </c>
      <c r="K38" s="30">
        <f t="shared" si="7"/>
        <v>0.14540057859402652</v>
      </c>
      <c r="L38" s="41">
        <f t="shared" si="7"/>
        <v>0.64427497756318652</v>
      </c>
      <c r="M38" s="30">
        <f t="shared" si="7"/>
        <v>0.70820109401400855</v>
      </c>
      <c r="N38" s="30">
        <f t="shared" si="7"/>
        <v>0</v>
      </c>
      <c r="O38" s="41">
        <f t="shared" si="7"/>
        <v>0</v>
      </c>
      <c r="P38" s="30">
        <f t="shared" si="7"/>
        <v>0</v>
      </c>
      <c r="Q38" s="30">
        <f t="shared" si="7"/>
        <v>6.267266318708041E-2</v>
      </c>
      <c r="R38" s="30">
        <f t="shared" ref="R38" si="8">R37/$E$2</f>
        <v>0.33592547468275097</v>
      </c>
    </row>
    <row r="39" spans="2:20">
      <c r="B39" s="50" t="s">
        <v>48</v>
      </c>
      <c r="C39" s="45"/>
      <c r="D39" s="51">
        <f t="shared" si="6"/>
        <v>0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</row>
    <row r="40" spans="2:20" hidden="1">
      <c r="B40" s="22" t="s">
        <v>71</v>
      </c>
      <c r="C40" s="48" t="s">
        <v>68</v>
      </c>
      <c r="D40" s="49">
        <f t="shared" si="6"/>
        <v>0</v>
      </c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20">
      <c r="B41" s="22" t="s">
        <v>70</v>
      </c>
      <c r="C41" s="48" t="s">
        <v>68</v>
      </c>
      <c r="D41" s="49">
        <f t="shared" si="6"/>
        <v>0</v>
      </c>
      <c r="E41" s="135"/>
      <c r="F41" s="30">
        <f>0*E5/E2</f>
        <v>0</v>
      </c>
      <c r="G41" s="30">
        <f>0*E5/E2</f>
        <v>0</v>
      </c>
      <c r="H41" s="30"/>
      <c r="I41" s="30"/>
      <c r="J41" s="30"/>
      <c r="K41" s="30"/>
      <c r="L41" s="30">
        <f>0/10*24.7568/E2</f>
        <v>0</v>
      </c>
      <c r="M41" s="30"/>
      <c r="N41" s="677"/>
      <c r="O41" s="30"/>
      <c r="P41" s="30"/>
      <c r="Q41" s="30"/>
      <c r="R41" s="30"/>
    </row>
    <row r="42" spans="2:20" ht="15" customHeight="1">
      <c r="B42" s="22" t="s">
        <v>72</v>
      </c>
      <c r="C42" s="48" t="s">
        <v>68</v>
      </c>
      <c r="D42" s="49">
        <f t="shared" si="6"/>
        <v>0</v>
      </c>
      <c r="E42" s="135">
        <f>0*E3/E2</f>
        <v>0</v>
      </c>
      <c r="F42" s="30"/>
      <c r="G42" s="30"/>
      <c r="H42" s="30"/>
      <c r="I42" s="30"/>
      <c r="J42" s="30"/>
      <c r="K42" s="30"/>
      <c r="L42" s="30"/>
      <c r="M42" s="30"/>
      <c r="N42" s="677"/>
      <c r="O42" s="30"/>
      <c r="P42" s="30"/>
      <c r="Q42" s="30"/>
      <c r="R42" s="30"/>
    </row>
    <row r="43" spans="2:20" ht="15" customHeight="1">
      <c r="B43" s="23" t="s">
        <v>466</v>
      </c>
      <c r="C43" s="43" t="s">
        <v>68</v>
      </c>
      <c r="D43" s="52">
        <f t="shared" si="6"/>
        <v>0</v>
      </c>
      <c r="E43" s="1180">
        <f>0*E4/E2</f>
        <v>0</v>
      </c>
      <c r="F43" s="1169"/>
      <c r="G43" s="35">
        <f>0/1000*E4/E2</f>
        <v>0</v>
      </c>
      <c r="H43" s="1169">
        <f>0*E4/E2</f>
        <v>0</v>
      </c>
      <c r="I43" s="35"/>
      <c r="J43" s="35"/>
      <c r="K43" s="35"/>
      <c r="L43" s="1150">
        <f>0*E4/E2</f>
        <v>0</v>
      </c>
      <c r="M43" s="35"/>
      <c r="N43" s="962"/>
      <c r="O43" s="35"/>
      <c r="P43" s="35"/>
      <c r="Q43" s="35"/>
      <c r="R43" s="35"/>
    </row>
    <row r="44" spans="2:20" ht="12" customHeight="1">
      <c r="D44" s="39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2:20">
      <c r="B45" s="643" t="s">
        <v>43</v>
      </c>
      <c r="C45" s="643" t="s">
        <v>69</v>
      </c>
      <c r="D45" s="644" t="s">
        <v>14</v>
      </c>
      <c r="E45" s="644" t="s">
        <v>59</v>
      </c>
      <c r="F45" s="644" t="s">
        <v>60</v>
      </c>
      <c r="G45" s="644" t="s">
        <v>558</v>
      </c>
      <c r="H45" s="644" t="s">
        <v>212</v>
      </c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2:20">
      <c r="B46" s="55" t="s">
        <v>48</v>
      </c>
      <c r="C46" s="45" t="s">
        <v>46</v>
      </c>
      <c r="D46" s="46">
        <f>SUM(E46:H46)</f>
        <v>702.81895569787014</v>
      </c>
      <c r="E46" s="32">
        <f>SUMIF(Table!$1:$1,'Cash in bank report'!$B$2,Table!45:45)</f>
        <v>568.421201</v>
      </c>
      <c r="F46" s="32">
        <f>SUMIF(Table!$1:$1,'Cash in bank report'!$B$2,Table!46:46)</f>
        <v>113.60801106787001</v>
      </c>
      <c r="G46" s="32">
        <f>SUMIF(Table!$1:$1,'Cash in bank report'!$B$2,Table!48:48)</f>
        <v>19.50282503</v>
      </c>
      <c r="H46" s="32">
        <f>SUMIF(Table!$1:$1,'Cash in bank report'!$B$2,Table!47:47)</f>
        <v>1.2869185999999999</v>
      </c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2:20">
      <c r="B47" s="56" t="s">
        <v>6</v>
      </c>
      <c r="C47" s="48" t="s">
        <v>46</v>
      </c>
      <c r="D47" s="57">
        <f>SUM(E47:H47)</f>
        <v>4243</v>
      </c>
      <c r="E47" s="1300">
        <f>Daily!D48-F47-G47</f>
        <v>3350</v>
      </c>
      <c r="F47" s="1300">
        <f>SUM(Daily!D44:D45)</f>
        <v>435</v>
      </c>
      <c r="G47" s="1300">
        <f>SUM(Daily!D47:D47)</f>
        <v>458</v>
      </c>
      <c r="H47" s="115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2:20">
      <c r="B48" s="53" t="s">
        <v>73</v>
      </c>
      <c r="C48" s="54" t="s">
        <v>46</v>
      </c>
      <c r="D48" s="34">
        <f>SUM(D46:D47)</f>
        <v>4945.8189556978705</v>
      </c>
      <c r="E48" s="35">
        <f>SUM(E46:E47)</f>
        <v>3918.4212010000001</v>
      </c>
      <c r="F48" s="35">
        <f>SUM(F46:F47)</f>
        <v>548.60801106787005</v>
      </c>
      <c r="G48" s="35">
        <f>SUM(G46:G47)</f>
        <v>477.50282503</v>
      </c>
      <c r="H48" s="35">
        <f>SUM(H46:H47)</f>
        <v>1.2869185999999999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2:20">
      <c r="B49" s="50" t="s">
        <v>48</v>
      </c>
      <c r="C49" s="45"/>
      <c r="D49" s="51"/>
      <c r="E49" s="51"/>
      <c r="F49" s="51"/>
      <c r="G49" s="51"/>
      <c r="H49" s="51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2:20">
      <c r="B50" s="22" t="s">
        <v>71</v>
      </c>
      <c r="C50" s="48" t="s">
        <v>68</v>
      </c>
      <c r="D50" s="49"/>
      <c r="E50" s="30"/>
      <c r="F50" s="30"/>
      <c r="G50" s="30"/>
      <c r="H50" s="3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2:20">
      <c r="B51" s="22" t="s">
        <v>70</v>
      </c>
      <c r="C51" s="48" t="s">
        <v>68</v>
      </c>
      <c r="D51" s="49">
        <f>SUM(E51:H51)</f>
        <v>2.933246</v>
      </c>
      <c r="E51" s="1295">
        <f>2933246/1000000</f>
        <v>2.933246</v>
      </c>
      <c r="F51" s="1154">
        <v>0</v>
      </c>
      <c r="G51" s="1173">
        <f>0/1000000*E5/E2</f>
        <v>0</v>
      </c>
      <c r="H51" s="1154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2:20">
      <c r="B52" s="656" t="s">
        <v>72</v>
      </c>
      <c r="C52" s="658" t="s">
        <v>68</v>
      </c>
      <c r="D52" s="1172">
        <f>SUM(E52:H52)</f>
        <v>0</v>
      </c>
      <c r="E52" s="1181">
        <f>0*E3/E2</f>
        <v>0</v>
      </c>
      <c r="F52" s="1306">
        <f>0*E3/E2</f>
        <v>0</v>
      </c>
      <c r="G52" s="1155"/>
      <c r="H52" s="1155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2:20">
      <c r="B53" s="23" t="s">
        <v>466</v>
      </c>
      <c r="C53" s="43" t="s">
        <v>68</v>
      </c>
      <c r="D53" s="52">
        <f>SUM(E53:H53)</f>
        <v>7.5106817961473222</v>
      </c>
      <c r="E53" s="1296">
        <f>52138166/1000000*E4/E2</f>
        <v>7.2322625588370952</v>
      </c>
      <c r="F53" s="1298">
        <f>202572/1000000*E4/E2</f>
        <v>2.8099451965164023E-2</v>
      </c>
      <c r="G53" s="1296">
        <f>1099137.93/1000000*E4/E2</f>
        <v>0.1524651653097408</v>
      </c>
      <c r="H53" s="1296">
        <f>705444.58/1000000*E4/E2</f>
        <v>9.7854620035322304E-2</v>
      </c>
      <c r="I53" s="33"/>
      <c r="J53" s="33"/>
      <c r="K53" s="33"/>
      <c r="L53" s="33"/>
      <c r="M53" s="33"/>
      <c r="N53" s="33"/>
      <c r="O53" s="33"/>
      <c r="P53" s="33"/>
      <c r="Q53" s="33"/>
    </row>
    <row r="54" spans="2:20">
      <c r="B54" s="21" t="s">
        <v>6</v>
      </c>
      <c r="C54" s="42"/>
      <c r="D54" s="657"/>
      <c r="E54" s="678"/>
      <c r="F54" s="678"/>
      <c r="G54" s="678"/>
      <c r="H54" s="678"/>
      <c r="I54" s="33"/>
      <c r="J54" s="33"/>
      <c r="K54" s="33"/>
      <c r="L54" s="33"/>
      <c r="M54" s="33"/>
      <c r="N54" s="33"/>
      <c r="O54" s="33"/>
      <c r="P54" s="33"/>
      <c r="Q54" s="33"/>
    </row>
    <row r="55" spans="2:20">
      <c r="B55" s="22" t="s">
        <v>71</v>
      </c>
      <c r="C55" s="48" t="s">
        <v>68</v>
      </c>
      <c r="D55" s="49">
        <f>SUM(E55:H55)</f>
        <v>53.184021980556437</v>
      </c>
      <c r="E55" s="677">
        <f>E47/$E$2</f>
        <v>41.990684335343872</v>
      </c>
      <c r="F55" s="677">
        <f>F47/$E$2</f>
        <v>5.4525216972759951</v>
      </c>
      <c r="G55" s="677">
        <f>G47/$E$2</f>
        <v>5.7408159479365652</v>
      </c>
      <c r="H55" s="677">
        <f>H47/$E$2</f>
        <v>0</v>
      </c>
      <c r="I55" s="33"/>
      <c r="J55" s="33"/>
      <c r="K55" s="33"/>
      <c r="L55" s="33"/>
      <c r="M55" s="33"/>
      <c r="N55" s="33"/>
      <c r="O55" s="33"/>
      <c r="P55" s="33"/>
      <c r="Q55" s="33"/>
    </row>
    <row r="56" spans="2:20">
      <c r="B56" s="22" t="s">
        <v>70</v>
      </c>
      <c r="C56" s="48" t="s">
        <v>68</v>
      </c>
      <c r="D56" s="660">
        <f>SUM(E56:H56)</f>
        <v>0</v>
      </c>
      <c r="E56" s="1163">
        <f>SUMIF(Daily!$3:$3,'Cash in bank report'!$B$2,Daily!17:17)</f>
        <v>0</v>
      </c>
      <c r="F56" s="809"/>
      <c r="G56" s="809"/>
      <c r="H56" s="809"/>
      <c r="I56" s="33"/>
      <c r="J56" s="33"/>
      <c r="K56" s="33"/>
      <c r="L56" s="33"/>
      <c r="M56" s="33"/>
      <c r="N56" s="33"/>
      <c r="O56" s="33"/>
      <c r="P56" s="33"/>
      <c r="Q56" s="33"/>
    </row>
    <row r="57" spans="2:20">
      <c r="B57" s="656" t="s">
        <v>72</v>
      </c>
      <c r="C57" s="658" t="s">
        <v>68</v>
      </c>
      <c r="D57" s="659">
        <f>SUM(E57:H57)</f>
        <v>2.9778620549614185</v>
      </c>
      <c r="E57" s="1297">
        <f>SUMIF(Daily!3:3,'Cash in bank report'!B2,Daily!21:21)</f>
        <v>2.9778620549614185</v>
      </c>
      <c r="F57" s="810"/>
      <c r="G57" s="810"/>
      <c r="H57" s="81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2:20">
      <c r="B58" s="23" t="s">
        <v>466</v>
      </c>
      <c r="C58" s="43" t="s">
        <v>68</v>
      </c>
      <c r="D58" s="52">
        <f>SUM(E58:H58)</f>
        <v>0</v>
      </c>
      <c r="E58" s="808"/>
      <c r="F58" s="1296">
        <f>Daily!$D$53*E4/E2</f>
        <v>0</v>
      </c>
      <c r="G58" s="808"/>
      <c r="H58" s="808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2:20">
      <c r="D59" s="1272"/>
      <c r="E59" s="1273"/>
      <c r="F59" s="38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2:20">
      <c r="D60" s="39"/>
      <c r="E60" s="39"/>
      <c r="F60" s="39"/>
      <c r="G60" s="1151"/>
      <c r="H60" s="1151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2:20">
      <c r="D61" s="39"/>
      <c r="E61" s="33"/>
      <c r="F61" s="38"/>
      <c r="G61" s="1152"/>
      <c r="H61" s="1152"/>
    </row>
    <row r="62" spans="2:20">
      <c r="D62" s="39"/>
      <c r="E62" s="33"/>
    </row>
    <row r="63" spans="2:20">
      <c r="D63" s="39"/>
      <c r="E63" s="33"/>
    </row>
    <row r="64" spans="2:20">
      <c r="D64" s="39"/>
      <c r="E64" s="33"/>
    </row>
    <row r="65" spans="4:5">
      <c r="D65" s="39"/>
      <c r="E65" s="33"/>
    </row>
    <row r="66" spans="4:5">
      <c r="D66" s="39"/>
    </row>
    <row r="67" spans="4:5">
      <c r="D67" s="39"/>
    </row>
    <row r="68" spans="4:5">
      <c r="D68" s="39"/>
    </row>
    <row r="69" spans="4:5">
      <c r="D69" s="39"/>
    </row>
    <row r="70" spans="4:5">
      <c r="D70" s="39"/>
    </row>
  </sheetData>
  <pageMargins left="0.7" right="0.7" top="0.75" bottom="0.75" header="0.3" footer="0.3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YH56"/>
  <sheetViews>
    <sheetView showGridLines="0" zoomScale="80" zoomScaleNormal="80" zoomScaleSheetLayoutView="70" workbookViewId="0">
      <pane xSplit="2" ySplit="1" topLeftCell="YE2" activePane="bottomRight" state="frozen"/>
      <selection activeCell="HA1" sqref="HA1:HA1048576"/>
      <selection pane="topRight" activeCell="HA1" sqref="HA1:HA1048576"/>
      <selection pane="bottomLeft" activeCell="HA1" sqref="HA1:HA1048576"/>
      <selection pane="bottomRight" activeCell="YH48" sqref="YH48"/>
    </sheetView>
  </sheetViews>
  <sheetFormatPr defaultColWidth="9.21875" defaultRowHeight="14.4" outlineLevelCol="1"/>
  <cols>
    <col min="2" max="2" width="30.21875" style="917" bestFit="1" customWidth="1"/>
    <col min="3" max="3" width="9.77734375" hidden="1" customWidth="1" outlineLevel="1"/>
    <col min="4" max="18" width="9.77734375" style="131" hidden="1" customWidth="1" outlineLevel="1"/>
    <col min="19" max="41" width="10" style="131" hidden="1" customWidth="1" outlineLevel="1"/>
    <col min="42" max="44" width="10" hidden="1" customWidth="1" outlineLevel="1"/>
    <col min="45" max="46" width="10.6640625" hidden="1" customWidth="1" outlineLevel="1"/>
    <col min="47" max="54" width="10.21875" hidden="1" customWidth="1" outlineLevel="1"/>
    <col min="55" max="57" width="11.77734375" hidden="1" customWidth="1" outlineLevel="1"/>
    <col min="58" max="66" width="10.21875" hidden="1" customWidth="1" outlineLevel="1"/>
    <col min="67" max="115" width="13.21875" hidden="1" customWidth="1" outlineLevel="1"/>
    <col min="116" max="121" width="14" hidden="1" customWidth="1" outlineLevel="1"/>
    <col min="122" max="150" width="14.21875" hidden="1" customWidth="1" outlineLevel="1"/>
    <col min="151" max="190" width="14.6640625" hidden="1" customWidth="1" outlineLevel="1"/>
    <col min="191" max="191" width="14.6640625" hidden="1" customWidth="1" outlineLevel="1" collapsed="1"/>
    <col min="192" max="232" width="14.6640625" hidden="1" customWidth="1" outlineLevel="1"/>
    <col min="233" max="234" width="14.77734375" hidden="1" customWidth="1" outlineLevel="1"/>
    <col min="235" max="240" width="14.21875" hidden="1" customWidth="1" outlineLevel="1"/>
    <col min="241" max="241" width="14" hidden="1" customWidth="1" outlineLevel="1"/>
    <col min="242" max="243" width="14.21875" hidden="1" customWidth="1" outlineLevel="1"/>
    <col min="244" max="244" width="13" hidden="1" customWidth="1" outlineLevel="1"/>
    <col min="245" max="245" width="12.77734375" hidden="1" customWidth="1" outlineLevel="1"/>
    <col min="246" max="246" width="13.21875" hidden="1" customWidth="1" outlineLevel="1"/>
    <col min="247" max="247" width="12.21875" hidden="1" customWidth="1" outlineLevel="1"/>
    <col min="248" max="248" width="13.21875" hidden="1" customWidth="1" outlineLevel="1"/>
    <col min="249" max="250" width="11.6640625" hidden="1" customWidth="1" outlineLevel="1"/>
    <col min="251" max="252" width="12" hidden="1" customWidth="1" outlineLevel="1"/>
    <col min="253" max="254" width="12.21875" hidden="1" customWidth="1" outlineLevel="1"/>
    <col min="255" max="255" width="11.6640625" hidden="1" customWidth="1" outlineLevel="1"/>
    <col min="256" max="256" width="12" hidden="1" customWidth="1" outlineLevel="1"/>
    <col min="257" max="258" width="11.6640625" hidden="1" customWidth="1" outlineLevel="1"/>
    <col min="259" max="259" width="11.77734375" hidden="1" customWidth="1" outlineLevel="1"/>
    <col min="260" max="261" width="10.21875" hidden="1" customWidth="1" outlineLevel="1"/>
    <col min="262" max="262" width="10.77734375" hidden="1" customWidth="1" outlineLevel="1"/>
    <col min="263" max="263" width="11" hidden="1" customWidth="1" outlineLevel="1"/>
    <col min="264" max="265" width="10.77734375" hidden="1" customWidth="1" outlineLevel="1"/>
    <col min="266" max="266" width="10" hidden="1" customWidth="1" outlineLevel="1"/>
    <col min="267" max="267" width="9.21875" hidden="1" customWidth="1" outlineLevel="1"/>
    <col min="268" max="289" width="0" hidden="1" customWidth="1" outlineLevel="1"/>
    <col min="290" max="290" width="9.6640625" hidden="1" customWidth="1" outlineLevel="1"/>
    <col min="291" max="291" width="0" hidden="1" customWidth="1" outlineLevel="1"/>
    <col min="292" max="293" width="8.77734375" hidden="1" customWidth="1" outlineLevel="1"/>
    <col min="294" max="307" width="0" hidden="1" customWidth="1" outlineLevel="1"/>
    <col min="308" max="314" width="9.6640625" hidden="1" customWidth="1" outlineLevel="1"/>
    <col min="315" max="316" width="9.21875" hidden="1" customWidth="1" outlineLevel="1"/>
    <col min="317" max="317" width="0" hidden="1" customWidth="1" outlineLevel="1"/>
    <col min="318" max="318" width="0" style="970" hidden="1" customWidth="1" outlineLevel="1"/>
    <col min="319" max="356" width="0" hidden="1" customWidth="1" outlineLevel="1"/>
    <col min="357" max="361" width="9.77734375" hidden="1" customWidth="1" outlineLevel="1"/>
    <col min="362" max="374" width="0" hidden="1" customWidth="1" outlineLevel="1"/>
    <col min="375" max="375" width="9.21875" hidden="1" customWidth="1" outlineLevel="1"/>
    <col min="376" max="377" width="0" hidden="1" customWidth="1" outlineLevel="1"/>
    <col min="378" max="378" width="9.21875" hidden="1" customWidth="1" outlineLevel="1"/>
    <col min="379" max="382" width="0" hidden="1" customWidth="1" outlineLevel="1"/>
    <col min="383" max="386" width="10.21875" hidden="1" customWidth="1" outlineLevel="1"/>
    <col min="387" max="401" width="0" hidden="1" customWidth="1" outlineLevel="1"/>
    <col min="402" max="402" width="10.21875" hidden="1" customWidth="1" outlineLevel="1"/>
    <col min="403" max="403" width="10" hidden="1" customWidth="1" outlineLevel="1"/>
    <col min="404" max="413" width="0" hidden="1" customWidth="1" outlineLevel="1"/>
    <col min="414" max="414" width="10.21875" hidden="1" customWidth="1" outlineLevel="1"/>
    <col min="415" max="415" width="10.6640625" hidden="1" customWidth="1" outlineLevel="1"/>
    <col min="416" max="466" width="0" hidden="1" customWidth="1" outlineLevel="1"/>
    <col min="467" max="474" width="10" hidden="1" customWidth="1" outlineLevel="1"/>
    <col min="475" max="475" width="0" hidden="1" customWidth="1" outlineLevel="1"/>
    <col min="476" max="476" width="9.21875" hidden="1" customWidth="1" outlineLevel="1"/>
    <col min="477" max="492" width="0" hidden="1" customWidth="1" outlineLevel="1"/>
    <col min="493" max="493" width="9.21875" hidden="1" customWidth="1" outlineLevel="1"/>
    <col min="494" max="494" width="10.21875" hidden="1" customWidth="1" outlineLevel="1"/>
    <col min="495" max="495" width="9.21875" hidden="1" customWidth="1" outlineLevel="1"/>
    <col min="496" max="503" width="9.77734375" hidden="1" customWidth="1" outlineLevel="1"/>
    <col min="504" max="512" width="0" hidden="1" customWidth="1" outlineLevel="1"/>
    <col min="513" max="513" width="9.21875" collapsed="1"/>
    <col min="515" max="515" width="10" customWidth="1"/>
    <col min="520" max="521" width="10" customWidth="1"/>
    <col min="522" max="522" width="9.77734375" customWidth="1"/>
    <col min="523" max="523" width="9.21875" customWidth="1"/>
    <col min="525" max="525" width="9.77734375" customWidth="1"/>
    <col min="526" max="528" width="9.21875" customWidth="1"/>
    <col min="530" max="531" width="9.21875" customWidth="1"/>
    <col min="532" max="532" width="10" customWidth="1"/>
    <col min="533" max="533" width="9.21875" customWidth="1"/>
    <col min="534" max="534" width="10.21875" customWidth="1"/>
    <col min="535" max="535" width="10" customWidth="1"/>
    <col min="536" max="536" width="9.77734375" customWidth="1"/>
    <col min="537" max="537" width="10" customWidth="1"/>
    <col min="538" max="539" width="9.6640625" customWidth="1"/>
    <col min="540" max="543" width="9.21875" customWidth="1"/>
    <col min="544" max="544" width="9.77734375" customWidth="1"/>
    <col min="545" max="566" width="10.6640625" customWidth="1"/>
    <col min="567" max="583" width="10.77734375" customWidth="1"/>
    <col min="585" max="756" width="10.21875" customWidth="1"/>
  </cols>
  <sheetData>
    <row r="1" spans="2:658" s="941" customFormat="1">
      <c r="B1" s="913"/>
      <c r="C1" s="941">
        <v>44651</v>
      </c>
      <c r="D1" s="941">
        <v>44652</v>
      </c>
      <c r="E1" s="941">
        <v>44655</v>
      </c>
      <c r="F1" s="941">
        <v>44656</v>
      </c>
      <c r="G1" s="941">
        <v>44657</v>
      </c>
      <c r="H1" s="941">
        <v>44658</v>
      </c>
      <c r="I1" s="941">
        <v>44659</v>
      </c>
      <c r="J1" s="941">
        <v>44662</v>
      </c>
      <c r="K1" s="941">
        <v>44663</v>
      </c>
      <c r="L1" s="941">
        <v>44664</v>
      </c>
      <c r="M1" s="941">
        <v>44665</v>
      </c>
      <c r="N1" s="941">
        <f>+M1+1</f>
        <v>44666</v>
      </c>
      <c r="O1" s="941">
        <f>+N1+3</f>
        <v>44669</v>
      </c>
      <c r="P1" s="941">
        <f>+O1+1</f>
        <v>44670</v>
      </c>
      <c r="Q1" s="941">
        <f>+P1+1</f>
        <v>44671</v>
      </c>
      <c r="R1" s="941">
        <f>+Q1+1</f>
        <v>44672</v>
      </c>
      <c r="S1" s="941">
        <f>+R1+1</f>
        <v>44673</v>
      </c>
      <c r="T1" s="941">
        <f>+S1+3</f>
        <v>44676</v>
      </c>
      <c r="U1" s="941">
        <f>+T1+1</f>
        <v>44677</v>
      </c>
      <c r="V1" s="941">
        <f>+U1+1</f>
        <v>44678</v>
      </c>
      <c r="W1" s="941">
        <f>+V1+1</f>
        <v>44679</v>
      </c>
      <c r="X1" s="941">
        <f>+W1+1</f>
        <v>44680</v>
      </c>
      <c r="Y1" s="941">
        <f>+X1+5</f>
        <v>44685</v>
      </c>
      <c r="Z1" s="941">
        <f>+Y1+1</f>
        <v>44686</v>
      </c>
      <c r="AA1" s="941">
        <f>+Z1+1</f>
        <v>44687</v>
      </c>
      <c r="AB1" s="941">
        <f>+AA1+5</f>
        <v>44692</v>
      </c>
      <c r="AC1" s="941">
        <f>+AB1+1</f>
        <v>44693</v>
      </c>
      <c r="AD1" s="941">
        <f>+AC1+1</f>
        <v>44694</v>
      </c>
      <c r="AE1" s="941">
        <f>+AD1+3</f>
        <v>44697</v>
      </c>
      <c r="AF1" s="941">
        <f>+AE1+1</f>
        <v>44698</v>
      </c>
      <c r="AG1" s="941">
        <f>+AF1+1</f>
        <v>44699</v>
      </c>
      <c r="AH1" s="941">
        <f>+AG1+1</f>
        <v>44700</v>
      </c>
      <c r="AI1" s="941">
        <f>+AH1+1</f>
        <v>44701</v>
      </c>
      <c r="AJ1" s="941">
        <f>+AI1+3</f>
        <v>44704</v>
      </c>
      <c r="AK1" s="941">
        <f>+AJ1+1</f>
        <v>44705</v>
      </c>
      <c r="AL1" s="941">
        <f>+AK1+1</f>
        <v>44706</v>
      </c>
      <c r="AM1" s="941">
        <f>+AL1+1</f>
        <v>44707</v>
      </c>
      <c r="AN1" s="941">
        <f>+AM1+1</f>
        <v>44708</v>
      </c>
      <c r="AO1" s="941">
        <f>+AN1+3</f>
        <v>44711</v>
      </c>
      <c r="AP1" s="941">
        <f>+AO1+1</f>
        <v>44712</v>
      </c>
      <c r="AQ1" s="941">
        <f>+AP1+1</f>
        <v>44713</v>
      </c>
      <c r="AR1" s="941">
        <f>+AQ1+1</f>
        <v>44714</v>
      </c>
      <c r="AS1" s="941">
        <f>+AR1+1</f>
        <v>44715</v>
      </c>
      <c r="AT1" s="941">
        <f>+AS1+3</f>
        <v>44718</v>
      </c>
      <c r="AU1" s="941">
        <f>+AT1+1</f>
        <v>44719</v>
      </c>
      <c r="AV1" s="941">
        <f>+AU1+1</f>
        <v>44720</v>
      </c>
      <c r="AW1" s="941">
        <f>+AV1+1</f>
        <v>44721</v>
      </c>
      <c r="AX1" s="941">
        <f>+AW1+1</f>
        <v>44722</v>
      </c>
      <c r="AY1" s="941">
        <f>+AX1+4</f>
        <v>44726</v>
      </c>
      <c r="AZ1" s="941">
        <f>+AY1+1</f>
        <v>44727</v>
      </c>
      <c r="BA1" s="941">
        <f>+AZ1+1</f>
        <v>44728</v>
      </c>
      <c r="BB1" s="941">
        <f t="shared" ref="BB1" si="0">+BA1+1</f>
        <v>44729</v>
      </c>
      <c r="BC1" s="941">
        <f>+BB1+3</f>
        <v>44732</v>
      </c>
      <c r="BD1" s="941">
        <f>+BC1+1</f>
        <v>44733</v>
      </c>
      <c r="BE1" s="941">
        <f>+BD1+1</f>
        <v>44734</v>
      </c>
      <c r="BF1" s="941">
        <f>+BE1+1</f>
        <v>44735</v>
      </c>
      <c r="BG1" s="941">
        <f>+BF1+1</f>
        <v>44736</v>
      </c>
      <c r="BH1" s="941">
        <f>+BG1+3</f>
        <v>44739</v>
      </c>
      <c r="BI1" s="941">
        <f>+BH1+1</f>
        <v>44740</v>
      </c>
      <c r="BJ1" s="941">
        <f>+BI1+1</f>
        <v>44741</v>
      </c>
      <c r="BK1" s="941">
        <f>+BJ1+1</f>
        <v>44742</v>
      </c>
      <c r="BL1" s="941">
        <f>+BK1+1</f>
        <v>44743</v>
      </c>
      <c r="BM1" s="941">
        <f>+BL1+3</f>
        <v>44746</v>
      </c>
      <c r="BN1" s="941">
        <f>+BM1+1</f>
        <v>44747</v>
      </c>
      <c r="BO1" s="941">
        <f>+BN1+1</f>
        <v>44748</v>
      </c>
      <c r="BP1" s="941">
        <f>+BO1+1</f>
        <v>44749</v>
      </c>
      <c r="BQ1" s="941">
        <f>+BP1+1</f>
        <v>44750</v>
      </c>
      <c r="BR1" s="941">
        <f>+BQ1+3</f>
        <v>44753</v>
      </c>
      <c r="BS1" s="941">
        <f>+BR1+1</f>
        <v>44754</v>
      </c>
      <c r="BT1" s="941">
        <f>+BS1+1</f>
        <v>44755</v>
      </c>
      <c r="BU1" s="941">
        <f>+BT1+1</f>
        <v>44756</v>
      </c>
      <c r="BV1" s="941">
        <f>+BU1+1</f>
        <v>44757</v>
      </c>
      <c r="BW1" s="941">
        <f>+BV1+3</f>
        <v>44760</v>
      </c>
      <c r="BX1" s="941">
        <f>+BW1+1</f>
        <v>44761</v>
      </c>
      <c r="BY1" s="941">
        <f>+BX1+1</f>
        <v>44762</v>
      </c>
      <c r="BZ1" s="941">
        <f>+BY1+1</f>
        <v>44763</v>
      </c>
      <c r="CA1" s="941">
        <f>+BZ1+1</f>
        <v>44764</v>
      </c>
      <c r="CB1" s="941">
        <f>+BZ1+4</f>
        <v>44767</v>
      </c>
      <c r="CC1" s="941">
        <f>CB1+1</f>
        <v>44768</v>
      </c>
      <c r="CD1" s="941">
        <f>CC1+1</f>
        <v>44769</v>
      </c>
      <c r="CE1" s="941">
        <f>CD1+1</f>
        <v>44770</v>
      </c>
      <c r="CF1" s="941">
        <f>CE1+1</f>
        <v>44771</v>
      </c>
      <c r="CG1" s="941">
        <f>CF1+3</f>
        <v>44774</v>
      </c>
      <c r="CH1" s="941">
        <f>CG1+1</f>
        <v>44775</v>
      </c>
      <c r="CI1" s="941">
        <f>CH1+1</f>
        <v>44776</v>
      </c>
      <c r="CJ1" s="941">
        <f>CI1+1</f>
        <v>44777</v>
      </c>
      <c r="CK1" s="941">
        <f>CJ1+1</f>
        <v>44778</v>
      </c>
      <c r="CL1" s="941">
        <f>CK1+3</f>
        <v>44781</v>
      </c>
      <c r="CM1" s="941">
        <f>CL1+1</f>
        <v>44782</v>
      </c>
      <c r="CN1" s="941">
        <f>CM1+1</f>
        <v>44783</v>
      </c>
      <c r="CO1" s="941">
        <f>CN1+1</f>
        <v>44784</v>
      </c>
      <c r="CP1" s="941">
        <f>CO1+1</f>
        <v>44785</v>
      </c>
      <c r="CQ1" s="941">
        <f>CP1+3</f>
        <v>44788</v>
      </c>
      <c r="CR1" s="941">
        <f>CQ1+1</f>
        <v>44789</v>
      </c>
      <c r="CS1" s="941">
        <f>CR1+1</f>
        <v>44790</v>
      </c>
      <c r="CT1" s="941">
        <f>CS1+1</f>
        <v>44791</v>
      </c>
      <c r="CU1" s="941">
        <f>CT1+1</f>
        <v>44792</v>
      </c>
      <c r="CV1" s="941">
        <f>CU1+3</f>
        <v>44795</v>
      </c>
      <c r="CW1" s="941">
        <f>CV1+1</f>
        <v>44796</v>
      </c>
      <c r="CX1" s="941">
        <f>CW1+1</f>
        <v>44797</v>
      </c>
      <c r="CY1" s="941">
        <f>CX1+1</f>
        <v>44798</v>
      </c>
      <c r="CZ1" s="941">
        <f>CY1+1</f>
        <v>44799</v>
      </c>
      <c r="DA1" s="941">
        <f>CZ1+3</f>
        <v>44802</v>
      </c>
      <c r="DB1" s="941">
        <f>DA1+1</f>
        <v>44803</v>
      </c>
      <c r="DC1" s="941">
        <f>DB1+1</f>
        <v>44804</v>
      </c>
      <c r="DD1" s="941">
        <f>DC1+1</f>
        <v>44805</v>
      </c>
      <c r="DE1" s="941">
        <f>DD1+1</f>
        <v>44806</v>
      </c>
      <c r="DF1" s="941">
        <f>DE1+3</f>
        <v>44809</v>
      </c>
      <c r="DG1" s="941">
        <f>DF1+1</f>
        <v>44810</v>
      </c>
      <c r="DH1" s="941">
        <f>DG1+1</f>
        <v>44811</v>
      </c>
      <c r="DI1" s="941">
        <f>DH1+1</f>
        <v>44812</v>
      </c>
      <c r="DJ1" s="941">
        <f>DI1+1</f>
        <v>44813</v>
      </c>
      <c r="DK1" s="941">
        <f>DJ1+3</f>
        <v>44816</v>
      </c>
      <c r="DL1" s="941">
        <f>DK1+1</f>
        <v>44817</v>
      </c>
      <c r="DM1" s="941">
        <f>DL1+1</f>
        <v>44818</v>
      </c>
      <c r="DN1" s="941">
        <f>DM1+1</f>
        <v>44819</v>
      </c>
      <c r="DO1" s="941">
        <f>DN1+1</f>
        <v>44820</v>
      </c>
      <c r="DP1" s="941">
        <f>DO1+3</f>
        <v>44823</v>
      </c>
      <c r="DQ1" s="941">
        <f>DP1+1</f>
        <v>44824</v>
      </c>
      <c r="DR1" s="941">
        <f>DQ1+1</f>
        <v>44825</v>
      </c>
      <c r="DS1" s="941">
        <f>DR1+1</f>
        <v>44826</v>
      </c>
      <c r="DT1" s="941">
        <f>DS1+1</f>
        <v>44827</v>
      </c>
      <c r="DU1" s="941">
        <f>DT1+3</f>
        <v>44830</v>
      </c>
      <c r="DV1" s="941">
        <f>DU1+1</f>
        <v>44831</v>
      </c>
      <c r="DW1" s="941">
        <f>DV1+1</f>
        <v>44832</v>
      </c>
      <c r="DX1" s="941">
        <f>DW1+1</f>
        <v>44833</v>
      </c>
      <c r="DY1" s="941">
        <f>DX1+1</f>
        <v>44834</v>
      </c>
      <c r="DZ1" s="941">
        <f>DY1+3</f>
        <v>44837</v>
      </c>
      <c r="EA1" s="941">
        <f>DZ1+1</f>
        <v>44838</v>
      </c>
      <c r="EB1" s="941">
        <f>EA1+1</f>
        <v>44839</v>
      </c>
      <c r="EC1" s="941">
        <f>EB1+1</f>
        <v>44840</v>
      </c>
      <c r="ED1" s="941">
        <f>EC1+1</f>
        <v>44841</v>
      </c>
      <c r="EE1" s="941">
        <f>ED1+3</f>
        <v>44844</v>
      </c>
      <c r="EF1" s="941">
        <f>EE1+1</f>
        <v>44845</v>
      </c>
      <c r="EG1" s="941">
        <f>EF1+1</f>
        <v>44846</v>
      </c>
      <c r="EH1" s="941">
        <f>EG1+1</f>
        <v>44847</v>
      </c>
      <c r="EI1" s="941">
        <f>EH1+1</f>
        <v>44848</v>
      </c>
      <c r="EJ1" s="941">
        <f>EI1+3</f>
        <v>44851</v>
      </c>
      <c r="EK1" s="941">
        <f>EJ1+1</f>
        <v>44852</v>
      </c>
      <c r="EL1" s="941">
        <f>EK1+1</f>
        <v>44853</v>
      </c>
      <c r="EM1" s="941">
        <f>EL1+1</f>
        <v>44854</v>
      </c>
      <c r="EN1" s="941">
        <f>EM1+1</f>
        <v>44855</v>
      </c>
      <c r="EO1" s="941">
        <f>EN1+3</f>
        <v>44858</v>
      </c>
      <c r="EP1" s="941">
        <f>EO1+1</f>
        <v>44859</v>
      </c>
      <c r="EQ1" s="941">
        <f>EP1+1</f>
        <v>44860</v>
      </c>
      <c r="ER1" s="941">
        <f>EQ1+1</f>
        <v>44861</v>
      </c>
      <c r="ES1" s="941">
        <f>ER1+1</f>
        <v>44862</v>
      </c>
      <c r="ET1" s="941">
        <f>ES1+3</f>
        <v>44865</v>
      </c>
      <c r="EU1" s="941">
        <f>ET1+1</f>
        <v>44866</v>
      </c>
      <c r="EV1" s="941">
        <f>EU1+1</f>
        <v>44867</v>
      </c>
      <c r="EW1" s="941">
        <f>EV1+1</f>
        <v>44868</v>
      </c>
      <c r="EX1" s="941">
        <f>EW1+4</f>
        <v>44872</v>
      </c>
      <c r="EY1" s="941">
        <f>EX1+1</f>
        <v>44873</v>
      </c>
      <c r="EZ1" s="941">
        <f>EY1+1</f>
        <v>44874</v>
      </c>
      <c r="FA1" s="941">
        <f>EZ1+1</f>
        <v>44875</v>
      </c>
      <c r="FB1" s="941">
        <f>FA1+1</f>
        <v>44876</v>
      </c>
      <c r="FC1" s="941">
        <f>FB1+3</f>
        <v>44879</v>
      </c>
      <c r="FD1" s="941">
        <f>FC1+1</f>
        <v>44880</v>
      </c>
      <c r="FE1" s="941">
        <f>FD1+1</f>
        <v>44881</v>
      </c>
      <c r="FF1" s="941">
        <f>FE1+1</f>
        <v>44882</v>
      </c>
      <c r="FG1" s="941">
        <f>FF1+1</f>
        <v>44883</v>
      </c>
      <c r="FH1" s="941">
        <f>FG1+3</f>
        <v>44886</v>
      </c>
      <c r="FI1" s="941">
        <f>FH1+1</f>
        <v>44887</v>
      </c>
      <c r="FJ1" s="941">
        <f>FI1+1</f>
        <v>44888</v>
      </c>
      <c r="FK1" s="941">
        <f>FJ1+1</f>
        <v>44889</v>
      </c>
      <c r="FL1" s="941">
        <f>FK1+1</f>
        <v>44890</v>
      </c>
      <c r="FM1" s="941">
        <f>FL1+3</f>
        <v>44893</v>
      </c>
      <c r="FN1" s="941">
        <f>FM1+1</f>
        <v>44894</v>
      </c>
      <c r="FO1" s="941">
        <f>FN1+1</f>
        <v>44895</v>
      </c>
      <c r="FP1" s="941">
        <f>FO1+1</f>
        <v>44896</v>
      </c>
      <c r="FQ1" s="941">
        <f>FP1+1</f>
        <v>44897</v>
      </c>
      <c r="FR1" s="941">
        <f>FQ1+3</f>
        <v>44900</v>
      </c>
      <c r="FS1" s="941">
        <f>FR1+1</f>
        <v>44901</v>
      </c>
      <c r="FT1" s="941">
        <f>FS1+1</f>
        <v>44902</v>
      </c>
      <c r="FU1" s="941">
        <f>FT1+1</f>
        <v>44903</v>
      </c>
      <c r="FV1" s="941">
        <f>FU1+1</f>
        <v>44904</v>
      </c>
      <c r="FW1" s="941">
        <f>FV1+3</f>
        <v>44907</v>
      </c>
      <c r="FX1" s="941">
        <f>FW1+1</f>
        <v>44908</v>
      </c>
      <c r="FY1" s="941">
        <f>FX1+1</f>
        <v>44909</v>
      </c>
      <c r="FZ1" s="941">
        <f>FY1+1</f>
        <v>44910</v>
      </c>
      <c r="GA1" s="941">
        <f>FZ1+1</f>
        <v>44911</v>
      </c>
      <c r="GB1" s="941">
        <f>GA1+3</f>
        <v>44914</v>
      </c>
      <c r="GC1" s="941">
        <f>GB1+1</f>
        <v>44915</v>
      </c>
      <c r="GD1" s="941">
        <f>GC1+1</f>
        <v>44916</v>
      </c>
      <c r="GE1" s="941">
        <f>GD1+1</f>
        <v>44917</v>
      </c>
      <c r="GF1" s="941">
        <f>GE1+1</f>
        <v>44918</v>
      </c>
      <c r="GG1" s="941">
        <f>GF1+3</f>
        <v>44921</v>
      </c>
      <c r="GH1" s="941">
        <f>GG1+1</f>
        <v>44922</v>
      </c>
      <c r="GI1" s="941">
        <v>44937</v>
      </c>
      <c r="GJ1" s="941">
        <v>44938</v>
      </c>
      <c r="GK1" s="941">
        <v>44943</v>
      </c>
      <c r="GL1" s="941">
        <v>44944</v>
      </c>
      <c r="GM1" s="941">
        <v>44945</v>
      </c>
      <c r="GN1" s="941">
        <v>44949</v>
      </c>
      <c r="GO1" s="941">
        <v>44950</v>
      </c>
      <c r="GP1" s="941">
        <v>44951</v>
      </c>
      <c r="GQ1" s="941">
        <v>44952</v>
      </c>
      <c r="GR1" s="941">
        <v>44953</v>
      </c>
      <c r="GS1" s="941">
        <v>44956</v>
      </c>
      <c r="GT1" s="941">
        <v>44958</v>
      </c>
      <c r="GU1" s="941">
        <v>44960</v>
      </c>
      <c r="GV1" s="941">
        <v>44963</v>
      </c>
      <c r="GW1" s="941">
        <v>44964</v>
      </c>
      <c r="GX1" s="941">
        <v>44966</v>
      </c>
      <c r="GY1" s="941">
        <v>44970</v>
      </c>
      <c r="GZ1" s="941">
        <v>44972</v>
      </c>
      <c r="HA1" s="941">
        <v>44973</v>
      </c>
      <c r="HB1" s="941">
        <v>44977</v>
      </c>
      <c r="HC1" s="941">
        <v>44979</v>
      </c>
      <c r="HD1" s="941">
        <v>44984</v>
      </c>
      <c r="HE1" s="941">
        <v>44985</v>
      </c>
      <c r="HF1" s="941">
        <v>44986</v>
      </c>
      <c r="HG1" s="941">
        <v>44988</v>
      </c>
      <c r="HH1" s="941">
        <v>44991</v>
      </c>
      <c r="HI1" s="941">
        <v>44992</v>
      </c>
      <c r="HJ1" s="941">
        <v>44995</v>
      </c>
      <c r="HK1" s="941">
        <v>44998</v>
      </c>
      <c r="HL1" s="941">
        <v>45000</v>
      </c>
      <c r="HM1" s="941">
        <v>45001</v>
      </c>
      <c r="HN1" s="941">
        <v>45002</v>
      </c>
      <c r="HO1" s="941">
        <v>45006</v>
      </c>
      <c r="HP1" s="941">
        <v>45007</v>
      </c>
      <c r="HQ1" s="941">
        <v>45009</v>
      </c>
      <c r="HR1" s="941">
        <v>45013</v>
      </c>
      <c r="HS1" s="941">
        <v>45014</v>
      </c>
      <c r="HT1" s="941">
        <v>45015</v>
      </c>
      <c r="HU1" s="941">
        <v>45016</v>
      </c>
      <c r="HV1" s="941">
        <v>45019</v>
      </c>
      <c r="HW1" s="941">
        <v>45020</v>
      </c>
      <c r="HX1" s="941">
        <v>45021</v>
      </c>
      <c r="HY1" s="941">
        <v>45022</v>
      </c>
      <c r="HZ1" s="941">
        <v>45023</v>
      </c>
      <c r="IA1" s="941">
        <v>45026</v>
      </c>
      <c r="IB1" s="941">
        <v>45027</v>
      </c>
      <c r="IC1" s="941">
        <v>45028</v>
      </c>
      <c r="ID1" s="941">
        <v>45029</v>
      </c>
      <c r="IE1" s="941">
        <v>45030</v>
      </c>
      <c r="IF1" s="941">
        <v>45033</v>
      </c>
      <c r="IG1" s="941">
        <v>45034</v>
      </c>
      <c r="IH1" s="941">
        <v>45035</v>
      </c>
      <c r="II1" s="941">
        <v>45036</v>
      </c>
      <c r="IJ1" s="941">
        <v>45037</v>
      </c>
      <c r="IK1" s="941">
        <v>45040</v>
      </c>
      <c r="IL1" s="941">
        <v>45041</v>
      </c>
      <c r="IM1" s="941">
        <v>45042</v>
      </c>
      <c r="IN1" s="941">
        <v>45043</v>
      </c>
      <c r="IO1" s="941">
        <v>45044</v>
      </c>
      <c r="IP1" s="941">
        <v>45048</v>
      </c>
      <c r="IQ1" s="941">
        <v>45049</v>
      </c>
      <c r="IR1" s="941">
        <v>45050</v>
      </c>
      <c r="IS1" s="941">
        <v>45051</v>
      </c>
      <c r="IT1" s="941">
        <v>45056</v>
      </c>
      <c r="IU1" s="941">
        <v>45057</v>
      </c>
      <c r="IV1" s="941">
        <v>45058</v>
      </c>
      <c r="IW1" s="941">
        <v>45061</v>
      </c>
      <c r="IX1" s="941">
        <v>45062</v>
      </c>
      <c r="IY1" s="941">
        <v>45063</v>
      </c>
      <c r="IZ1" s="941">
        <v>45065</v>
      </c>
      <c r="JA1" s="941">
        <v>45068</v>
      </c>
      <c r="JB1" s="941">
        <v>45069</v>
      </c>
      <c r="JC1" s="941">
        <v>45070</v>
      </c>
      <c r="JD1" s="941">
        <v>45071</v>
      </c>
      <c r="JE1" s="941">
        <v>45072</v>
      </c>
      <c r="JF1" s="941">
        <v>45075</v>
      </c>
      <c r="JG1" s="941">
        <v>45076</v>
      </c>
      <c r="JH1" s="941">
        <v>45077</v>
      </c>
      <c r="JI1" s="941">
        <v>45078</v>
      </c>
      <c r="JJ1" s="941">
        <v>45079</v>
      </c>
      <c r="JK1" s="941">
        <v>45082</v>
      </c>
      <c r="JL1" s="941">
        <v>45083</v>
      </c>
      <c r="JM1" s="941">
        <v>45084</v>
      </c>
      <c r="JN1" s="941">
        <v>45085</v>
      </c>
      <c r="JO1" s="941">
        <v>45086</v>
      </c>
      <c r="JP1" s="941">
        <v>45090</v>
      </c>
      <c r="JQ1" s="941">
        <v>45091</v>
      </c>
      <c r="JR1" s="941">
        <v>45092</v>
      </c>
      <c r="JS1" s="941">
        <v>45093</v>
      </c>
      <c r="JT1" s="941">
        <v>45096</v>
      </c>
      <c r="JU1" s="941">
        <v>45097</v>
      </c>
      <c r="JV1" s="941">
        <v>45098</v>
      </c>
      <c r="JW1" s="941">
        <v>45099</v>
      </c>
      <c r="JX1" s="941">
        <v>45100</v>
      </c>
      <c r="JY1" s="941">
        <v>45103</v>
      </c>
      <c r="JZ1" s="941">
        <v>45104</v>
      </c>
      <c r="KA1" s="941">
        <v>45105</v>
      </c>
      <c r="KB1" s="941">
        <v>45106</v>
      </c>
      <c r="KC1" s="941">
        <v>45107</v>
      </c>
      <c r="KD1" s="941">
        <v>45110</v>
      </c>
      <c r="KE1" s="941">
        <v>45111</v>
      </c>
      <c r="KF1" s="941">
        <v>45112</v>
      </c>
      <c r="KG1" s="941">
        <v>45113</v>
      </c>
      <c r="KH1" s="941">
        <v>45114</v>
      </c>
      <c r="KI1" s="941">
        <v>45117</v>
      </c>
      <c r="KJ1" s="941">
        <v>45118</v>
      </c>
      <c r="KK1" s="941">
        <v>45119</v>
      </c>
      <c r="KL1" s="941">
        <v>45120</v>
      </c>
      <c r="KM1" s="941">
        <v>45121</v>
      </c>
      <c r="KN1" s="941">
        <v>45124</v>
      </c>
      <c r="KO1" s="941">
        <v>45125</v>
      </c>
      <c r="KP1" s="941">
        <v>45126</v>
      </c>
      <c r="KQ1" s="941">
        <v>45127</v>
      </c>
      <c r="KR1" s="941">
        <v>45128</v>
      </c>
      <c r="KS1" s="941">
        <v>45131</v>
      </c>
      <c r="KT1" s="941">
        <v>45132</v>
      </c>
      <c r="KU1" s="941">
        <v>45133</v>
      </c>
      <c r="KV1" s="941">
        <v>45138</v>
      </c>
      <c r="KW1" s="941">
        <v>45141</v>
      </c>
      <c r="KX1" s="941">
        <v>45142</v>
      </c>
      <c r="KY1" s="941">
        <v>45145</v>
      </c>
      <c r="KZ1" s="941">
        <v>45146</v>
      </c>
      <c r="LA1" s="941">
        <v>45147</v>
      </c>
      <c r="LB1" s="941">
        <v>45148</v>
      </c>
      <c r="LC1" s="941">
        <v>45149</v>
      </c>
      <c r="LD1" s="941">
        <v>45152</v>
      </c>
      <c r="LE1" s="941">
        <v>45153</v>
      </c>
      <c r="LF1" s="965">
        <v>45154</v>
      </c>
      <c r="LG1" s="965">
        <v>45155</v>
      </c>
      <c r="LH1" s="965">
        <v>45156</v>
      </c>
      <c r="LI1" s="965">
        <v>45159</v>
      </c>
      <c r="LJ1" s="965">
        <v>45160</v>
      </c>
      <c r="LK1" s="965">
        <v>45161</v>
      </c>
      <c r="LL1" s="965">
        <v>45162</v>
      </c>
      <c r="LM1" s="965">
        <v>45163</v>
      </c>
      <c r="LN1" s="965">
        <v>45166</v>
      </c>
      <c r="LO1" s="965">
        <v>45167</v>
      </c>
      <c r="LP1" s="965">
        <v>45168</v>
      </c>
      <c r="LQ1" s="965">
        <v>45169</v>
      </c>
      <c r="LR1" s="965">
        <v>45170</v>
      </c>
      <c r="LS1" s="965">
        <v>45173</v>
      </c>
      <c r="LT1" s="965">
        <v>45174</v>
      </c>
      <c r="LU1" s="965">
        <v>45175</v>
      </c>
      <c r="LV1" s="965">
        <v>45176</v>
      </c>
      <c r="LW1" s="965">
        <v>45177</v>
      </c>
      <c r="LX1" s="965">
        <v>45180</v>
      </c>
      <c r="LY1" s="965">
        <v>45181</v>
      </c>
      <c r="LZ1" s="965">
        <v>45182</v>
      </c>
      <c r="MA1" s="965">
        <v>45183</v>
      </c>
      <c r="MB1" s="965">
        <v>45184</v>
      </c>
      <c r="MC1" s="965">
        <v>45187</v>
      </c>
      <c r="MD1" s="965">
        <v>45188</v>
      </c>
      <c r="ME1" s="965">
        <v>45189</v>
      </c>
      <c r="MF1" s="965">
        <v>45190</v>
      </c>
      <c r="MG1" s="965">
        <v>45191</v>
      </c>
      <c r="MH1" s="965">
        <v>45194</v>
      </c>
      <c r="MI1" s="965">
        <v>45195</v>
      </c>
      <c r="MJ1" s="965">
        <v>45196</v>
      </c>
      <c r="MK1" s="965">
        <v>45197</v>
      </c>
      <c r="ML1" s="965">
        <v>45198</v>
      </c>
      <c r="MM1" s="965">
        <v>45201</v>
      </c>
      <c r="MN1" s="965">
        <v>45202</v>
      </c>
      <c r="MO1" s="965">
        <v>45203</v>
      </c>
      <c r="MP1" s="965">
        <v>45204</v>
      </c>
      <c r="MQ1" s="965">
        <v>45205</v>
      </c>
      <c r="MR1" s="965">
        <v>45208</v>
      </c>
      <c r="MS1" s="965">
        <v>45209</v>
      </c>
      <c r="MT1" s="965">
        <v>45210</v>
      </c>
      <c r="MU1" s="965">
        <v>45211</v>
      </c>
      <c r="MV1" s="965">
        <v>45212</v>
      </c>
      <c r="MW1" s="965">
        <v>45215</v>
      </c>
      <c r="MX1" s="965">
        <v>45216</v>
      </c>
      <c r="MY1" s="965">
        <v>45217</v>
      </c>
      <c r="MZ1" s="965">
        <v>45218</v>
      </c>
      <c r="NA1" s="965">
        <v>45219</v>
      </c>
      <c r="NB1" s="965">
        <v>45222</v>
      </c>
      <c r="NC1" s="965">
        <v>45223</v>
      </c>
      <c r="ND1" s="965">
        <v>45224</v>
      </c>
      <c r="NE1" s="965">
        <v>45225</v>
      </c>
      <c r="NF1" s="965">
        <v>45226</v>
      </c>
      <c r="NG1" s="965">
        <v>45229</v>
      </c>
      <c r="NH1" s="965">
        <v>45230</v>
      </c>
      <c r="NI1" s="965">
        <v>45231</v>
      </c>
      <c r="NJ1" s="965">
        <v>45232</v>
      </c>
      <c r="NK1" s="965">
        <v>45233</v>
      </c>
      <c r="NL1" s="965">
        <v>45237</v>
      </c>
      <c r="NM1" s="965">
        <v>45238</v>
      </c>
      <c r="NN1" s="965">
        <v>45239</v>
      </c>
      <c r="NO1" s="965">
        <v>45240</v>
      </c>
      <c r="NP1" s="965">
        <v>45243</v>
      </c>
      <c r="NQ1" s="965">
        <v>45244</v>
      </c>
      <c r="NR1" s="965">
        <v>45245</v>
      </c>
      <c r="NS1" s="965">
        <v>45246</v>
      </c>
      <c r="NT1" s="965">
        <v>45247</v>
      </c>
      <c r="NU1" s="965">
        <v>45250</v>
      </c>
      <c r="NV1" s="965">
        <v>45251</v>
      </c>
      <c r="NW1" s="965">
        <v>45252</v>
      </c>
      <c r="NX1" s="965">
        <v>45253</v>
      </c>
      <c r="NY1" s="965">
        <v>45254</v>
      </c>
      <c r="NZ1" s="965">
        <v>45257</v>
      </c>
      <c r="OA1" s="965">
        <v>45258</v>
      </c>
      <c r="OB1" s="965">
        <v>45259</v>
      </c>
      <c r="OC1" s="965">
        <v>45260</v>
      </c>
      <c r="OD1" s="965">
        <v>45261</v>
      </c>
      <c r="OE1" s="965">
        <v>45264</v>
      </c>
      <c r="OF1" s="965">
        <v>45265</v>
      </c>
      <c r="OG1" s="965">
        <v>45266</v>
      </c>
      <c r="OH1" s="965">
        <v>45267</v>
      </c>
      <c r="OI1" s="965">
        <v>45268</v>
      </c>
      <c r="OJ1" s="965">
        <v>45271</v>
      </c>
      <c r="OK1" s="965">
        <v>45272</v>
      </c>
      <c r="OL1" s="965">
        <v>45273</v>
      </c>
      <c r="OM1" s="965">
        <v>45274</v>
      </c>
      <c r="ON1" s="965">
        <v>45275</v>
      </c>
      <c r="OO1" s="965">
        <v>45278</v>
      </c>
      <c r="OP1" s="965">
        <v>45279</v>
      </c>
      <c r="OQ1" s="965">
        <v>45280</v>
      </c>
      <c r="OR1" s="965">
        <v>45281</v>
      </c>
      <c r="OS1" s="965">
        <v>45282</v>
      </c>
      <c r="OT1" s="965">
        <v>45285</v>
      </c>
      <c r="OU1" s="965">
        <v>45286</v>
      </c>
      <c r="OV1" s="965">
        <v>45287</v>
      </c>
      <c r="OW1" s="965">
        <v>45288</v>
      </c>
      <c r="OX1" s="965">
        <v>45289</v>
      </c>
      <c r="OY1" s="965">
        <v>45300</v>
      </c>
      <c r="OZ1" s="965">
        <v>45301</v>
      </c>
      <c r="PA1" s="965">
        <v>45302</v>
      </c>
      <c r="PB1" s="965">
        <v>45303</v>
      </c>
      <c r="PC1" s="965">
        <v>45306</v>
      </c>
      <c r="PD1" s="965">
        <v>45307</v>
      </c>
      <c r="PE1" s="965">
        <v>45308</v>
      </c>
      <c r="PF1" s="965">
        <v>45309</v>
      </c>
      <c r="PG1" s="965">
        <v>45310</v>
      </c>
      <c r="PH1" s="965">
        <v>45313</v>
      </c>
      <c r="PI1" s="965">
        <v>45314</v>
      </c>
      <c r="PJ1" s="965">
        <v>45315</v>
      </c>
      <c r="PK1" s="965">
        <v>45316</v>
      </c>
      <c r="PL1" s="965">
        <v>45317</v>
      </c>
      <c r="PM1" s="965">
        <v>45320</v>
      </c>
      <c r="PN1" s="965">
        <v>45321</v>
      </c>
      <c r="PO1" s="965">
        <v>45322</v>
      </c>
      <c r="PP1" s="965">
        <v>45323</v>
      </c>
      <c r="PQ1" s="965">
        <v>45324</v>
      </c>
      <c r="PR1" s="965">
        <v>45327</v>
      </c>
      <c r="PS1" s="965">
        <v>45328</v>
      </c>
      <c r="PT1" s="965">
        <v>45329</v>
      </c>
      <c r="PU1" s="965">
        <v>45330</v>
      </c>
      <c r="PV1" s="965">
        <v>45331</v>
      </c>
      <c r="PW1" s="965">
        <v>45334</v>
      </c>
      <c r="PX1" s="965">
        <v>45335</v>
      </c>
      <c r="PY1" s="965">
        <v>45336</v>
      </c>
      <c r="PZ1" s="965">
        <v>45337</v>
      </c>
      <c r="QA1" s="965">
        <v>45338</v>
      </c>
      <c r="QB1" s="965">
        <v>45341</v>
      </c>
      <c r="QC1" s="965">
        <v>45342</v>
      </c>
      <c r="QD1" s="965">
        <v>45343</v>
      </c>
      <c r="QE1" s="965">
        <v>45344</v>
      </c>
      <c r="QF1" s="965">
        <v>45348</v>
      </c>
      <c r="QG1" s="965">
        <v>45349</v>
      </c>
      <c r="QH1" s="965">
        <v>45350</v>
      </c>
      <c r="QI1" s="965">
        <v>45351</v>
      </c>
      <c r="QJ1" s="965">
        <v>45352</v>
      </c>
      <c r="QK1" s="965">
        <v>45355</v>
      </c>
      <c r="QL1" s="965">
        <v>45356</v>
      </c>
      <c r="QM1" s="965">
        <v>45357</v>
      </c>
      <c r="QN1" s="965">
        <v>45358</v>
      </c>
      <c r="QO1" s="965">
        <v>45362</v>
      </c>
      <c r="QP1" s="965">
        <v>45363</v>
      </c>
      <c r="QQ1" s="965">
        <v>45364</v>
      </c>
      <c r="QR1" s="965">
        <v>45365</v>
      </c>
      <c r="QS1" s="965">
        <v>45366</v>
      </c>
      <c r="QT1" s="965">
        <v>45369</v>
      </c>
      <c r="QU1" s="965">
        <v>45370</v>
      </c>
      <c r="QV1" s="965">
        <v>45371</v>
      </c>
      <c r="QW1" s="965">
        <v>45372</v>
      </c>
      <c r="QX1" s="965">
        <v>45373</v>
      </c>
      <c r="QY1" s="965">
        <v>45376</v>
      </c>
      <c r="QZ1" s="965">
        <v>45377</v>
      </c>
      <c r="RA1" s="965">
        <v>45378</v>
      </c>
      <c r="RB1" s="965">
        <v>45379</v>
      </c>
      <c r="RC1" s="965">
        <v>45380</v>
      </c>
      <c r="RD1" s="965">
        <v>45383</v>
      </c>
      <c r="RE1" s="965">
        <v>45384</v>
      </c>
      <c r="RF1" s="965">
        <v>45385</v>
      </c>
      <c r="RG1" s="965">
        <v>45386</v>
      </c>
      <c r="RH1" s="965">
        <v>45387</v>
      </c>
      <c r="RI1" s="965">
        <v>45390</v>
      </c>
      <c r="RJ1" s="965">
        <v>45391</v>
      </c>
      <c r="RK1" s="965">
        <v>45392</v>
      </c>
      <c r="RL1" s="965">
        <v>45393</v>
      </c>
      <c r="RM1" s="965">
        <v>45394</v>
      </c>
      <c r="RN1" s="965">
        <v>45397</v>
      </c>
      <c r="RO1" s="965">
        <v>45398</v>
      </c>
      <c r="RP1" s="965">
        <v>45399</v>
      </c>
      <c r="RQ1" s="965">
        <v>45400</v>
      </c>
      <c r="RR1" s="965">
        <v>45401</v>
      </c>
      <c r="RS1" s="965">
        <v>45404</v>
      </c>
      <c r="RT1" s="965">
        <v>45405</v>
      </c>
      <c r="RU1" s="965">
        <v>45406</v>
      </c>
      <c r="RV1" s="965">
        <v>45407</v>
      </c>
      <c r="RW1" s="965">
        <v>45408</v>
      </c>
      <c r="RX1" s="965">
        <v>45409</v>
      </c>
      <c r="RY1" s="965">
        <v>45414</v>
      </c>
      <c r="RZ1" s="965">
        <v>45415</v>
      </c>
      <c r="SA1" s="965">
        <v>45418</v>
      </c>
      <c r="SB1" s="965">
        <v>45419</v>
      </c>
      <c r="SC1" s="965">
        <v>45420</v>
      </c>
      <c r="SD1" s="965">
        <v>45425</v>
      </c>
      <c r="SE1" s="965">
        <v>45426</v>
      </c>
      <c r="SF1" s="965">
        <v>45427</v>
      </c>
      <c r="SG1" s="965">
        <v>45428</v>
      </c>
      <c r="SH1" s="965">
        <v>45429</v>
      </c>
      <c r="SI1" s="965">
        <v>45432</v>
      </c>
      <c r="SJ1" s="965">
        <v>45433</v>
      </c>
      <c r="SK1" s="965">
        <v>45434</v>
      </c>
      <c r="SL1" s="965">
        <v>45435</v>
      </c>
      <c r="SM1" s="965">
        <v>45436</v>
      </c>
      <c r="SN1" s="965">
        <v>45439</v>
      </c>
      <c r="SO1" s="965">
        <v>45440</v>
      </c>
      <c r="SP1" s="965">
        <v>45441</v>
      </c>
      <c r="SQ1" s="965">
        <v>45442</v>
      </c>
      <c r="SR1" s="965">
        <v>45443</v>
      </c>
      <c r="SS1" s="965">
        <v>45446</v>
      </c>
      <c r="ST1" s="965">
        <v>45447</v>
      </c>
      <c r="SU1" s="965">
        <v>45448</v>
      </c>
      <c r="SV1" s="965">
        <v>45449</v>
      </c>
      <c r="SW1" s="965">
        <v>45450</v>
      </c>
      <c r="SX1" s="965">
        <v>45453</v>
      </c>
      <c r="SY1" s="965">
        <v>45454</v>
      </c>
      <c r="SZ1" s="965">
        <v>45456</v>
      </c>
      <c r="TA1" s="965">
        <v>45457</v>
      </c>
      <c r="TB1" s="965">
        <v>45460</v>
      </c>
      <c r="TC1" s="965">
        <v>45461</v>
      </c>
      <c r="TD1" s="965">
        <v>45462</v>
      </c>
      <c r="TE1" s="965">
        <v>45463</v>
      </c>
      <c r="TF1" s="965">
        <v>45469</v>
      </c>
      <c r="TG1" s="965">
        <v>45475</v>
      </c>
      <c r="TH1" s="965">
        <v>45482</v>
      </c>
      <c r="TI1" s="965">
        <v>45488</v>
      </c>
      <c r="TJ1" s="965">
        <v>45489</v>
      </c>
      <c r="TK1" s="965">
        <v>45491</v>
      </c>
      <c r="TL1" s="965">
        <v>45496</v>
      </c>
      <c r="TM1" s="965">
        <v>45502</v>
      </c>
      <c r="TN1" s="965">
        <v>45504</v>
      </c>
      <c r="TO1" s="965">
        <v>45509</v>
      </c>
      <c r="TP1" s="965">
        <v>45513</v>
      </c>
      <c r="TQ1" s="965">
        <v>45517</v>
      </c>
      <c r="TR1" s="965">
        <v>45525</v>
      </c>
      <c r="TS1" s="965">
        <v>45526</v>
      </c>
      <c r="TT1" s="965">
        <v>45527</v>
      </c>
      <c r="TU1" s="965">
        <v>45531</v>
      </c>
      <c r="TV1" s="965">
        <v>45532</v>
      </c>
      <c r="TW1" s="965">
        <v>45537</v>
      </c>
      <c r="TX1" s="965">
        <v>45539</v>
      </c>
      <c r="TY1" s="965">
        <v>45540</v>
      </c>
      <c r="TZ1" s="965">
        <v>45546</v>
      </c>
      <c r="UA1" s="965">
        <v>45548</v>
      </c>
      <c r="UB1" s="965">
        <v>45552</v>
      </c>
      <c r="UC1" s="965">
        <v>45553</v>
      </c>
      <c r="UD1" s="965">
        <v>45555</v>
      </c>
      <c r="UE1" s="965">
        <v>45559</v>
      </c>
      <c r="UF1" s="965">
        <v>45561</v>
      </c>
      <c r="UG1" s="965">
        <v>45565</v>
      </c>
      <c r="UH1" s="965">
        <v>45566</v>
      </c>
      <c r="UI1" s="965">
        <v>45567</v>
      </c>
      <c r="UJ1" s="965">
        <v>45576</v>
      </c>
      <c r="UK1" s="965">
        <v>45579</v>
      </c>
      <c r="UL1" s="965">
        <v>45580</v>
      </c>
      <c r="UM1" s="965">
        <v>45583</v>
      </c>
      <c r="UN1" s="965">
        <v>45588</v>
      </c>
      <c r="UO1" s="965">
        <v>45589</v>
      </c>
      <c r="UP1" s="965">
        <v>45590</v>
      </c>
      <c r="UQ1" s="965">
        <v>45595</v>
      </c>
      <c r="UR1" s="965">
        <v>45597</v>
      </c>
      <c r="US1" s="965">
        <v>45598</v>
      </c>
      <c r="UT1" s="965">
        <v>45601</v>
      </c>
      <c r="UU1" s="965">
        <v>45604</v>
      </c>
      <c r="UV1" s="965">
        <v>45608</v>
      </c>
      <c r="UW1" s="965">
        <v>45609</v>
      </c>
      <c r="UX1" s="965">
        <v>45610</v>
      </c>
      <c r="UY1" s="965">
        <v>45614</v>
      </c>
      <c r="UZ1" s="965">
        <v>45616</v>
      </c>
      <c r="VA1" s="965">
        <v>45617</v>
      </c>
      <c r="VB1" s="965">
        <v>45622</v>
      </c>
      <c r="VC1" s="965">
        <v>45625</v>
      </c>
      <c r="VD1" s="965">
        <v>45628</v>
      </c>
      <c r="VE1" s="965">
        <v>45629</v>
      </c>
      <c r="VF1" s="965">
        <v>45632</v>
      </c>
      <c r="VG1" s="965">
        <v>45638</v>
      </c>
      <c r="VH1" s="965">
        <v>45642</v>
      </c>
      <c r="VI1" s="965">
        <v>45645</v>
      </c>
      <c r="VJ1" s="965">
        <v>45649</v>
      </c>
      <c r="VK1" s="965">
        <v>45652</v>
      </c>
      <c r="VL1" s="965">
        <v>45666</v>
      </c>
      <c r="VM1" s="965">
        <v>45670</v>
      </c>
      <c r="VN1" s="965">
        <v>45671</v>
      </c>
      <c r="VO1" s="965">
        <v>45674</v>
      </c>
      <c r="VP1" s="965">
        <v>45677</v>
      </c>
      <c r="VQ1" s="965">
        <v>45679</v>
      </c>
      <c r="VR1" s="965">
        <v>45684</v>
      </c>
      <c r="VS1" s="965">
        <v>45687</v>
      </c>
      <c r="VT1" s="965">
        <v>45692</v>
      </c>
      <c r="VU1" s="965">
        <v>45693</v>
      </c>
      <c r="VV1" s="965">
        <v>45695</v>
      </c>
      <c r="VW1" s="965">
        <v>45698</v>
      </c>
      <c r="VX1" s="965">
        <v>45702</v>
      </c>
      <c r="VY1" s="965">
        <v>45706</v>
      </c>
      <c r="VZ1" s="965">
        <v>45708</v>
      </c>
      <c r="WA1" s="965">
        <v>45712</v>
      </c>
      <c r="WB1" s="965">
        <v>45714</v>
      </c>
      <c r="WC1" s="965">
        <v>45716</v>
      </c>
      <c r="WD1" s="965">
        <v>45721</v>
      </c>
      <c r="WE1" s="965">
        <v>45727</v>
      </c>
      <c r="WF1" s="965">
        <v>45728</v>
      </c>
      <c r="WG1" s="965">
        <v>45733</v>
      </c>
      <c r="WH1" s="965">
        <v>45735</v>
      </c>
      <c r="WI1" s="965">
        <v>45736</v>
      </c>
      <c r="WJ1" s="965">
        <v>45740</v>
      </c>
      <c r="WK1" s="965">
        <v>45742</v>
      </c>
      <c r="WL1" s="965">
        <v>45743</v>
      </c>
      <c r="WM1" s="965">
        <v>45744</v>
      </c>
      <c r="WN1" s="965">
        <v>45748</v>
      </c>
      <c r="WO1" s="965">
        <v>45750</v>
      </c>
      <c r="WP1" s="965">
        <v>45754</v>
      </c>
      <c r="WQ1" s="965">
        <v>45756</v>
      </c>
      <c r="WR1" s="965">
        <v>45761</v>
      </c>
      <c r="WS1" s="965">
        <v>45769</v>
      </c>
      <c r="WT1" s="965">
        <v>45770</v>
      </c>
      <c r="WU1" s="965">
        <v>45771</v>
      </c>
      <c r="WV1" s="965">
        <v>45772</v>
      </c>
      <c r="WW1" s="965">
        <v>45775</v>
      </c>
      <c r="WX1" s="965">
        <v>45777</v>
      </c>
      <c r="WY1" s="965">
        <v>45782</v>
      </c>
      <c r="WZ1" s="965">
        <v>45783</v>
      </c>
      <c r="XA1" s="965">
        <v>45784</v>
      </c>
      <c r="XB1" s="965">
        <v>45789</v>
      </c>
      <c r="XC1" s="965">
        <v>45790</v>
      </c>
      <c r="XD1" s="965">
        <v>45792</v>
      </c>
      <c r="XE1" s="965">
        <v>45797</v>
      </c>
      <c r="XF1" s="965">
        <v>45799</v>
      </c>
      <c r="XG1" s="965">
        <v>45803</v>
      </c>
      <c r="XH1" s="965">
        <v>45804</v>
      </c>
      <c r="XI1" s="965">
        <v>45811</v>
      </c>
      <c r="XJ1" s="965">
        <v>45812</v>
      </c>
      <c r="XK1" s="965">
        <v>45814</v>
      </c>
      <c r="XL1" s="965">
        <v>45817</v>
      </c>
      <c r="XM1" s="965">
        <v>45824</v>
      </c>
      <c r="XN1" s="965">
        <v>45825</v>
      </c>
      <c r="XO1" s="965">
        <v>45826</v>
      </c>
      <c r="XP1" s="965">
        <v>45832</v>
      </c>
      <c r="XQ1" s="965">
        <v>45838</v>
      </c>
      <c r="XR1" s="965">
        <v>45840</v>
      </c>
      <c r="XS1" s="965">
        <v>45842</v>
      </c>
      <c r="XT1" s="965">
        <v>45845</v>
      </c>
      <c r="XU1" s="965">
        <v>45846</v>
      </c>
      <c r="XV1" s="965">
        <v>45847</v>
      </c>
      <c r="XW1" s="965">
        <v>45848</v>
      </c>
      <c r="XX1" s="965">
        <v>45849</v>
      </c>
      <c r="XY1" s="965">
        <v>45853</v>
      </c>
      <c r="XZ1" s="965">
        <v>45856</v>
      </c>
      <c r="YA1" s="965">
        <v>45859</v>
      </c>
      <c r="YB1" s="965">
        <v>45861</v>
      </c>
      <c r="YC1" s="965">
        <v>45863</v>
      </c>
      <c r="YD1" s="965">
        <v>45868</v>
      </c>
      <c r="YE1" s="965">
        <v>45870</v>
      </c>
      <c r="YF1" s="965">
        <v>45875</v>
      </c>
      <c r="YG1" s="965">
        <v>45876</v>
      </c>
      <c r="YH1" s="965">
        <v>45880</v>
      </c>
    </row>
    <row r="2" spans="2:658" s="942" customFormat="1">
      <c r="B2" s="914" t="s">
        <v>9</v>
      </c>
      <c r="C2" s="914">
        <f>SUMIF(Daily!3:3,Table!C1,Daily!7:8)</f>
        <v>84.085099999999997</v>
      </c>
      <c r="D2" s="127">
        <f>SUMIF(Daily!3:3,Table!D1,Daily!7:8)</f>
        <v>83.409700000000001</v>
      </c>
      <c r="E2" s="127">
        <f>SUMIF(Daily!3:3,Table!E1,Daily!7:8)</f>
        <v>83.4285</v>
      </c>
      <c r="F2" s="127">
        <f>SUMIF(Daily!3:3,Table!F1,Daily!7:8)</f>
        <v>83.593199999999996</v>
      </c>
      <c r="G2" s="127">
        <f>SUMIF(Daily!3:3,Table!G1,Daily!7:8)</f>
        <v>83.352000000000004</v>
      </c>
      <c r="H2" s="127">
        <f>SUMIF(Daily!3:3,Table!H1,Daily!7:8)</f>
        <v>82.596199999999996</v>
      </c>
      <c r="I2" s="127">
        <f>SUMIF(Daily!3:3,Table!I1,Daily!7:8)</f>
        <v>76.2547</v>
      </c>
      <c r="J2" s="127">
        <f>SUMIF(Daily!3:3,Table!J1,Daily!7:8)</f>
        <v>74.850099999999998</v>
      </c>
      <c r="K2" s="127">
        <f>SUMIF(Daily!3:3,Table!K1,Daily!7:8)</f>
        <v>79.159599999999998</v>
      </c>
      <c r="L2" s="127">
        <f>SUMIF(Daily!3:3,Table!L1,Daily!7:8)</f>
        <v>79.627399999999994</v>
      </c>
      <c r="M2" s="127">
        <f>SUMIF(Daily!3:3,Table!M1,Daily!7:8)</f>
        <v>79.847099999999998</v>
      </c>
      <c r="N2" s="127">
        <f>SUMIF(Daily!3:3,Table!N1,Daily!7:8)</f>
        <v>81.287999999999997</v>
      </c>
      <c r="O2" s="127">
        <f>SUMIF(Daily!3:3,Table!O1,Daily!7:8)</f>
        <v>80.043700000000001</v>
      </c>
      <c r="P2" s="127">
        <f>SUMIF(Daily!3:3,Table!P1,Daily!7:8)</f>
        <v>79.4529</v>
      </c>
      <c r="Q2" s="127">
        <f>SUMIF(Daily!3:3,Table!Q1,Daily!7:8)</f>
        <v>79.028700000000001</v>
      </c>
      <c r="R2" s="127">
        <f>SUMIF(Daily!3:3,Table!R1,Daily!7:8)</f>
        <v>77.0809</v>
      </c>
      <c r="S2" s="127">
        <f>SUMIF(Daily!3:3,Table!S1,Daily!7:8)</f>
        <v>74.998999999999995</v>
      </c>
      <c r="T2" s="127">
        <f>SUMIF(Daily!3:3,Table!T1,Daily!7:8)</f>
        <v>73.504999999999995</v>
      </c>
      <c r="U2" s="127">
        <v>73.361099999999993</v>
      </c>
      <c r="V2" s="127">
        <f>SUMIF(Daily!3:3,Table!V1,Daily!7:8)</f>
        <v>72.7089</v>
      </c>
      <c r="W2" s="127">
        <f>SUMIF(Daily!3:3,Table!W1,Daily!7:8)</f>
        <v>72.876400000000004</v>
      </c>
      <c r="X2" s="127">
        <f>SUMIF(Daily!3:3,Table!X1,Daily!7:8)</f>
        <v>72.295299999999997</v>
      </c>
      <c r="Y2" s="127">
        <f>SUMIF(Daily!3:3,Table!Y1,Daily!7:8)</f>
        <v>71.023700000000005</v>
      </c>
      <c r="Z2" s="127">
        <f>SUMIF(Daily!3:3,Table!Z1,Daily!7:8)</f>
        <v>69.415999999999997</v>
      </c>
      <c r="AA2" s="127">
        <f>SUMIF(Daily!3:3,Table!AA1,Daily!7:8)</f>
        <v>66.237799999999993</v>
      </c>
      <c r="AB2" s="127">
        <f>SUMIF(Daily!3:3,Table!AB1,Daily!7:8)</f>
        <v>67.384299999999996</v>
      </c>
      <c r="AC2" s="127">
        <f>SUMIF(Daily!3:3,Table!AC1,Daily!7:8)</f>
        <v>68.838899999999995</v>
      </c>
      <c r="AD2" s="127">
        <f>SUMIF(Daily!3:3,Table!AD1,Daily!7:8)</f>
        <v>65.791600000000003</v>
      </c>
      <c r="AE2" s="127">
        <f>SUMIF(Daily!3:3,Table!AE1,Daily!7:8)</f>
        <v>63.779899999999998</v>
      </c>
      <c r="AF2" s="127">
        <f>SUMIF(Daily!3:3,Table!AF1,Daily!7:8)</f>
        <v>63.444499999999998</v>
      </c>
      <c r="AG2" s="127">
        <f>SUMIF(Daily!3:3,Table!AG1,Daily!7:8)</f>
        <v>63.5428</v>
      </c>
      <c r="AH2" s="127">
        <f>SUMIF(Daily!3:3,Table!AH1,Daily!7:8)</f>
        <v>63.564300000000003</v>
      </c>
      <c r="AI2" s="127">
        <f>SUMIF(Daily!3:3,Table!AI1,Daily!7:8)</f>
        <v>62.403100000000002</v>
      </c>
      <c r="AJ2" s="127">
        <f>SUMIF(Daily!3:3,Table!AJ1,Daily!7:8)</f>
        <v>58.886200000000002</v>
      </c>
      <c r="AK2" s="127">
        <f>SUMIF(Daily!3:3,Table!AK1,Daily!7:8)</f>
        <v>58.2087</v>
      </c>
      <c r="AL2" s="127">
        <f>SUMIF(Daily!3:3,Table!AL1,Daily!7:8)</f>
        <v>56.969000000000001</v>
      </c>
      <c r="AM2" s="127">
        <f>SUMIF(Daily!3:3,Table!AM1,Daily!7:8)</f>
        <v>56.299599999999998</v>
      </c>
      <c r="AN2" s="127">
        <f>SUMIF(Daily!3:3,Table!AN1,Daily!7:8)</f>
        <v>62.049500000000002</v>
      </c>
      <c r="AO2" s="127">
        <f>SUMIF(Daily!3:3,Table!AO1,Daily!7:8)</f>
        <v>66.402900000000002</v>
      </c>
      <c r="AP2" s="127">
        <f>SUMIF(Daily!3:3,Table!AP1,Daily!7:8)</f>
        <v>63.097499999999997</v>
      </c>
      <c r="AQ2" s="127">
        <f>SUMIF(Daily!3:3,Table!AQ1,Daily!7:8)</f>
        <v>61.606900000000003</v>
      </c>
      <c r="AR2" s="127">
        <f>SUMIF(Daily!3:3,Table!AR1,Daily!7:8)</f>
        <v>61.473300000000002</v>
      </c>
      <c r="AS2" s="127">
        <f>SUMIF(Daily!3:3,Table!AS1,Daily!7:8)</f>
        <v>61.575000000000003</v>
      </c>
      <c r="AT2" s="127">
        <f>SUMIF(Daily!3:3,Table!AT1,Daily!7:8)</f>
        <v>61.965899999999998</v>
      </c>
      <c r="AU2" s="127">
        <f>SUMIF(Daily!3:3,Table!AU1,Daily!7:8)</f>
        <v>61.109400000000001</v>
      </c>
      <c r="AV2" s="127">
        <f>SUMIF(Daily!3:3,Table!AV1,Daily!7:8)</f>
        <v>60.956499999999998</v>
      </c>
      <c r="AW2" s="127">
        <f>SUMIF(Daily!3:3,Table!AW1,Daily!7:8)</f>
        <v>60.228200000000001</v>
      </c>
      <c r="AX2" s="127">
        <f>SUMIF(Daily!3:3,Table!AX1,Daily!7:8)</f>
        <v>58.389499999999998</v>
      </c>
      <c r="AY2" s="127">
        <f>SUMIF(Daily!3:3,Table!AY1,Daily!7:8)</f>
        <v>57.777999999999999</v>
      </c>
      <c r="AZ2" s="127">
        <f>SUMIF(Daily!3:3,Table!AZ1,Daily!7:8)</f>
        <v>57.092599999999997</v>
      </c>
      <c r="BA2" s="127">
        <f>SUMIF(Daily!3:3,Table!BA1,Daily!7:8)</f>
        <v>56.662399999999998</v>
      </c>
      <c r="BB2" s="127">
        <f>SUMIF(Daily!3:3,Table!BB1,Daily!7:8)</f>
        <v>56.869100000000003</v>
      </c>
      <c r="BC2" s="127">
        <f>SUMIF(Daily!3:3,Table!BC1,Daily!7:8)</f>
        <v>56.710099999999997</v>
      </c>
      <c r="BD2" s="127">
        <f>SUMIF(Daily!3:3,Table!BD1,Daily!7:8)</f>
        <v>56.172699999999999</v>
      </c>
      <c r="BE2" s="127">
        <f>SUMIF(Daily!3:3,Table!BE1,Daily!7:8)</f>
        <v>54.708100000000002</v>
      </c>
      <c r="BF2" s="127">
        <f>SUMIF(Daily!3:3,Table!BF1,Daily!7:8)</f>
        <v>53.278799999999997</v>
      </c>
      <c r="BG2" s="127">
        <f>SUMIF(Daily!3:3,Table!BG1,Daily!7:8)</f>
        <v>53.357799999999997</v>
      </c>
      <c r="BH2" s="127">
        <f>SUMIF(Daily!3:3,Table!BH1,Daily!7:8)</f>
        <v>53.323399999999999</v>
      </c>
      <c r="BI2" s="127">
        <f>SUMIF(Daily!3:3,Table!BI1,Daily!7:8)</f>
        <v>53.364100000000001</v>
      </c>
      <c r="BJ2" s="127">
        <f>SUMIF(Daily!3:3,Table!BJ1,Daily!7:8)</f>
        <v>52.969900000000003</v>
      </c>
      <c r="BK2" s="127">
        <v>51.158000000000001</v>
      </c>
      <c r="BL2" s="127">
        <f>SUMIF(Daily!3:3,Table!BL1,Daily!7:8)</f>
        <v>52.512300000000003</v>
      </c>
      <c r="BM2" s="127">
        <f>SUMIF(Daily!3:3,Table!BM1,Daily!7:8)</f>
        <v>53.767600000000002</v>
      </c>
      <c r="BN2" s="127">
        <f>SUMIF(Daily!3:3,Table!BN1,Daily!7:8)</f>
        <v>55.085799999999999</v>
      </c>
      <c r="BO2" s="127">
        <f>SUMIF(Daily!3:3,Table!BO1,Daily!7:8)</f>
        <v>58.511800000000001</v>
      </c>
      <c r="BP2" s="127">
        <f>SUMIF(Daily!3:3,Table!BP1,Daily!7:8)</f>
        <v>62.911000000000001</v>
      </c>
      <c r="BQ2" s="127">
        <f>SUMIF(Daily!3:3,Table!BQ1,Daily!7:8)</f>
        <v>63.142699999999998</v>
      </c>
      <c r="BR2" s="127">
        <f>SUMIF(Daily!3:3,Table!BR1,Daily!7:8)</f>
        <v>61.266399999999997</v>
      </c>
      <c r="BS2" s="127">
        <f>SUMIF(Daily!3:3,Table!BS1,Daily!7:8)</f>
        <v>61.304499999999997</v>
      </c>
      <c r="BT2" s="127">
        <f>SUMIF(Daily!3:3,Table!BT1,Daily!7:8)</f>
        <v>58.854100000000003</v>
      </c>
      <c r="BU2" s="127">
        <f>SUMIF(Daily!3:3,Table!BU1,Daily!7:8)</f>
        <v>58.532200000000003</v>
      </c>
      <c r="BV2" s="127">
        <f>SUMIF(Daily!3:3,Table!BV1,Daily!7:8)</f>
        <v>58.256799999999998</v>
      </c>
      <c r="BW2" s="127">
        <f>SUMIF(Daily!3:3,Table!BW1,Daily!7:8)</f>
        <v>57.832299999999996</v>
      </c>
      <c r="BX2" s="127">
        <f>SUMIF(Daily!3:3,Table!BX1,Daily!7:8)</f>
        <v>56.561599999999999</v>
      </c>
      <c r="BY2" s="127">
        <f>SUMIF(Daily!3:3,Table!BY1,Daily!7:8)</f>
        <v>55.436999999999998</v>
      </c>
      <c r="BZ2" s="127">
        <f>SUMIF(Daily!3:3,Table!BZ1,Daily!7:8)</f>
        <v>54.8491</v>
      </c>
      <c r="CA2" s="127">
        <f>SUMIF(Daily!3:3,Table!CA1,Daily!7:8)</f>
        <v>56.478299999999997</v>
      </c>
      <c r="CB2" s="127">
        <f>SUMIF(Daily!3:3,Table!CB1,Daily!7:8)</f>
        <v>57.3917</v>
      </c>
      <c r="CC2" s="127">
        <f>SUMIF(Daily!3:3,Table!CC1,Daily!7:8)</f>
        <v>57.7821</v>
      </c>
      <c r="CD2" s="127">
        <f>SUMIF(Daily!3:3,Table!CD1,Daily!7:8)</f>
        <v>58.660499999999999</v>
      </c>
      <c r="CE2" s="127">
        <f>SUMIF(Daily!3:3,Table!CE1,Daily!7:8)</f>
        <v>60.219799999999999</v>
      </c>
      <c r="CF2" s="127">
        <f>SUMIF(Daily!3:3,Table!CF1,Daily!7:8)</f>
        <v>60.203099999999999</v>
      </c>
      <c r="CG2" s="127">
        <f>SUMIF(Daily!3:3,Table!CG1,Daily!7:8)</f>
        <v>61.310099999999998</v>
      </c>
      <c r="CH2" s="127">
        <f>SUMIF(Daily!3:3,Table!CH1,Daily!7:8)</f>
        <v>62.050600000000003</v>
      </c>
      <c r="CI2" s="127">
        <f>SUMIF(Daily!3:3,Table!CI1,Daily!7:8)</f>
        <v>60.159500000000001</v>
      </c>
      <c r="CJ2" s="127">
        <f>SUMIF(Daily!3:3,Table!CJ1,Daily!7:8)</f>
        <v>60.237400000000001</v>
      </c>
      <c r="CK2" s="127">
        <f>SUMIF(Daily!3:3,Table!CK1,Daily!7:8)</f>
        <v>60.258000000000003</v>
      </c>
      <c r="CL2" s="127">
        <f>SUMIF(Daily!3:3,Table!CL1,Daily!7:8)</f>
        <v>60.369599999999998</v>
      </c>
      <c r="CM2" s="127">
        <f>SUMIF(Daily!3:3,Table!CM1,Daily!7:8)</f>
        <v>60.316400000000002</v>
      </c>
      <c r="CN2" s="127">
        <f>SUMIF(Daily!3:3,Table!CN1,Daily!7:8)</f>
        <v>60.381399999999999</v>
      </c>
      <c r="CO2" s="127">
        <f>SUMIF(Daily!3:3,Table!CO1,Daily!7:8)</f>
        <v>60.4542</v>
      </c>
      <c r="CP2" s="127">
        <f>SUMIF(Daily!3:3,Table!CP1,Daily!7:8)</f>
        <v>60.622900000000001</v>
      </c>
      <c r="CQ2" s="127">
        <f>SUMIF(Daily!3:3,Table!CQ1,Daily!7:8)</f>
        <v>60.899299999999997</v>
      </c>
      <c r="CR2" s="127">
        <f>SUMIF(Daily!3:3,Table!CR1,Daily!7:8)</f>
        <v>61.374699999999997</v>
      </c>
      <c r="CS2" s="127">
        <f>SUMIF(Daily!3:3,Table!CS1,Daily!7:8)</f>
        <v>61.424700000000001</v>
      </c>
      <c r="CT2" s="127">
        <f>SUMIF(Daily!3:3,Table!CT1,Daily!7:8)</f>
        <v>60.755200000000002</v>
      </c>
      <c r="CU2" s="127">
        <f>SUMIF(Daily!3:3,Table!CU1,Daily!7:8)</f>
        <v>59.957000000000001</v>
      </c>
      <c r="CV2" s="127">
        <f>SUMIF(Daily!3:3,Table!CV1,Daily!7:8)</f>
        <v>59.132100000000001</v>
      </c>
      <c r="CW2" s="127">
        <f>SUMIF(Daily!3:3,Table!CW1,Daily!7:8)</f>
        <v>59.741900000000001</v>
      </c>
      <c r="CX2" s="127">
        <f>SUMIF(Daily!3:3,Table!CX1,Daily!7:8)</f>
        <v>59.896299999999997</v>
      </c>
      <c r="CY2" s="127">
        <f>SUMIF(Daily!3:3,Table!CY1,Daily!7:8)</f>
        <v>59.997399999999999</v>
      </c>
      <c r="CZ2" s="127">
        <f>SUMIF(Daily!3:3,Table!CZ1,Daily!7:8)</f>
        <v>59.7699</v>
      </c>
      <c r="DA2" s="127">
        <f>SUMIF(Daily!3:3,Table!DA1,Daily!7:8)</f>
        <v>60.092399999999998</v>
      </c>
      <c r="DB2" s="127">
        <f>SUMIF(Daily!3:3,Table!DB1,Daily!7:8)</f>
        <v>60.363599999999998</v>
      </c>
      <c r="DC2" s="127">
        <f>SUMIF(Daily!3:3,Table!DC1,Daily!7:8)</f>
        <v>60.367699999999999</v>
      </c>
      <c r="DD2" s="127">
        <f>SUMIF(Daily!3:3,Table!DD1,Daily!7:8)</f>
        <v>60.238599999999998</v>
      </c>
      <c r="DE2" s="127">
        <f>SUMIF(Daily!3:3,Table!DE1,Daily!7:8)</f>
        <v>60.237000000000002</v>
      </c>
      <c r="DF2" s="127">
        <f>SUMIF(Daily!3:3,Table!DF1,Daily!7:8)</f>
        <v>60.371299999999998</v>
      </c>
      <c r="DG2" s="127">
        <f>SUMIF(Daily!3:3,Table!DG1,Daily!7:8)</f>
        <v>60.903300000000002</v>
      </c>
      <c r="DH2" s="127">
        <f>SUMIF(Daily!3:3,Table!DH1,Daily!7:8)</f>
        <v>60.854399999999998</v>
      </c>
      <c r="DI2" s="127">
        <f>SUMIF(Daily!3:3,Table!DI1,Daily!7:8)</f>
        <v>61.181399999999996</v>
      </c>
      <c r="DJ2" s="127">
        <f>SUMIF(Daily!3:3,Table!DJ1,Daily!7:8)</f>
        <v>60.801000000000002</v>
      </c>
      <c r="DK2" s="127">
        <f>SUMIF(Daily!3:3,Table!DK1,Daily!7:8)</f>
        <v>60.4696</v>
      </c>
      <c r="DL2" s="127">
        <f>SUMIF(Daily!3:3,Table!DL1,Daily!7:8)</f>
        <v>60.456800000000001</v>
      </c>
      <c r="DM2" s="127">
        <f>SUMIF(Daily!3:3,Table!DM1,Daily!7:8)</f>
        <v>60.067599999999999</v>
      </c>
      <c r="DN2" s="127">
        <f>SUMIF(Daily!3:3,Table!DN1,Daily!7:8)</f>
        <v>60.067599999999999</v>
      </c>
      <c r="DO2" s="127">
        <f>SUMIF(Daily!3:3,Table!DO1,Daily!7:8)</f>
        <v>60.067599999999999</v>
      </c>
      <c r="DP2" s="127">
        <f>SUMIF(Daily!3:3,Table!DP1,Daily!7:8)</f>
        <v>60.031599999999997</v>
      </c>
      <c r="DQ2" s="127">
        <f>SUMIF(Daily!3:3,Table!DQ1,Daily!7:8)</f>
        <v>60.166200000000003</v>
      </c>
      <c r="DR2" s="127">
        <f>SUMIF(Daily!3:3,Table!DR1,Daily!7:8)</f>
        <v>60.015799999999999</v>
      </c>
      <c r="DS2" s="127">
        <f>SUMIF(Daily!3:3,Table!DS1,Daily!7:8)</f>
        <v>60.868499999999997</v>
      </c>
      <c r="DT2" s="127">
        <f>SUMIF(Daily!3:3,Table!DT1,Daily!7:8)</f>
        <v>59.831800000000001</v>
      </c>
      <c r="DU2" s="127">
        <f>SUMIF(Daily!3:3,Table!DU1,Daily!7:8)</f>
        <v>58.1006</v>
      </c>
      <c r="DV2" s="127">
        <f>SUMIF(Daily!3:3,Table!DV1,Daily!7:8)</f>
        <v>57.999000000000002</v>
      </c>
      <c r="DW2" s="127">
        <f>SUMIF(Daily!3:3,Table!DW1,Daily!7:8)</f>
        <v>58.175600000000003</v>
      </c>
      <c r="DX2" s="127">
        <f>SUMIF(Daily!3:3,Table!DX1,Daily!7:8)</f>
        <v>58.448500000000003</v>
      </c>
      <c r="DY2" s="127">
        <f>SUMIF(Daily!3:3,Table!DY1,Daily!7:8)</f>
        <v>57.412999999999997</v>
      </c>
      <c r="DZ2" s="127">
        <f>SUMIF(Daily!3:3,Table!DZ1,Daily!7:8)</f>
        <v>55.298699999999997</v>
      </c>
      <c r="EA2" s="127">
        <f>SUMIF(Daily!3:3,Table!EA1,Daily!7:8)</f>
        <v>57.566400000000002</v>
      </c>
      <c r="EB2" s="127">
        <f>SUMIF(Daily!3:3,Table!EB1,Daily!7:8)</f>
        <v>58.7913</v>
      </c>
      <c r="EC2" s="127">
        <f>SUMIF(Daily!3:3,Table!EC1,Daily!7:8)</f>
        <v>59.404299999999999</v>
      </c>
      <c r="ED2" s="127">
        <f>SUMIF(Daily!3:3,Table!ED1,Daily!7:8)</f>
        <v>60.253399999999999</v>
      </c>
      <c r="EE2" s="127">
        <f>SUMIF(Daily!3:3,Table!EE1,Daily!7:8)</f>
        <v>61.247500000000002</v>
      </c>
      <c r="EF2" s="127">
        <f>SUMIF(Daily!3:3,Table!EF1,Daily!7:8)</f>
        <v>62.312600000000003</v>
      </c>
      <c r="EG2" s="127">
        <f>SUMIF(Daily!3:3,Table!EG1,Daily!7:8)</f>
        <v>63.683999999999997</v>
      </c>
      <c r="EH2" s="127">
        <f>SUMIF(Daily!3:3,Table!EH1,Daily!7:8)</f>
        <v>63.755899999999997</v>
      </c>
      <c r="EI2" s="127">
        <f>SUMIF(Daily!3:3,Table!EI1,Daily!7:8)</f>
        <v>63.491700000000002</v>
      </c>
      <c r="EJ2" s="127">
        <f>SUMIF(Daily!3:3,Table!EJ1,Daily!7:8)</f>
        <v>63.055799999999998</v>
      </c>
      <c r="EK2" s="127">
        <f>SUMIF(Daily!3:3,Table!EK1,Daily!7:8)</f>
        <v>61.763399999999997</v>
      </c>
      <c r="EL2" s="127">
        <f>SUMIF(Daily!3:3,Table!EL1,Daily!7:8)</f>
        <v>61.703200000000002</v>
      </c>
      <c r="EM2" s="127">
        <f>SUMIF(Daily!3:3,Table!EM1,Daily!7:8)</f>
        <v>61.590499999999999</v>
      </c>
      <c r="EN2" s="127">
        <f>SUMIF(Daily!3:3,Table!EN1,Daily!7:8)</f>
        <v>61.501800000000003</v>
      </c>
      <c r="EO2" s="127">
        <f>SUMIF(Daily!3:3,Table!EO1,Daily!7:8)</f>
        <v>61.195799999999998</v>
      </c>
      <c r="EP2" s="127">
        <f>SUMIF(Daily!3:3,Table!EP1,Daily!7:8)</f>
        <v>61.1629</v>
      </c>
      <c r="EQ2" s="127">
        <f>SUMIF(Daily!3:3,Table!EQ1,Daily!7:8)</f>
        <v>61.332599999999999</v>
      </c>
      <c r="ER2" s="127">
        <f>SUMIF(Daily!3:3,Table!ER1,Daily!7:8)</f>
        <v>61.427700000000002</v>
      </c>
      <c r="ES2" s="127">
        <f>SUMIF(Daily!3:3,Table!ES1,Daily!7:8)</f>
        <v>61.358899999999998</v>
      </c>
      <c r="ET2" s="127">
        <f>SUMIF(Daily!3:3,Table!ET1,Daily!7:8)</f>
        <v>61.534300000000002</v>
      </c>
      <c r="EU2" s="127">
        <f>SUMIF(Daily!3:3,Table!EU1,Daily!7:8)</f>
        <v>61.622900000000001</v>
      </c>
      <c r="EV2" s="127">
        <f>SUMIF(Daily!3:3,Table!EV1,Daily!7:8)</f>
        <v>61.427500000000002</v>
      </c>
      <c r="EW2" s="127">
        <f>SUMIF(Daily!3:3,Table!EW1,Daily!7:8)</f>
        <v>61.6175</v>
      </c>
      <c r="EX2" s="127">
        <f>SUMIF(Daily!3:3,Table!EX1,Daily!7:8)</f>
        <v>62.095500000000001</v>
      </c>
      <c r="EY2" s="127">
        <f>SUMIF(Daily!3:3,Table!EY1,Daily!7:8)</f>
        <v>61.236699999999999</v>
      </c>
      <c r="EZ2" s="127">
        <f>SUMIF(Daily!3:3,Table!EZ1,Daily!7:8)</f>
        <v>60.977400000000003</v>
      </c>
      <c r="FA2" s="127">
        <f>SUMIF(Daily!3:3,Table!FA1,Daily!7:8)</f>
        <v>61.061100000000003</v>
      </c>
      <c r="FB2" s="127">
        <f>SUMIF(Daily!3:3,Table!FB1,Daily!7:8)</f>
        <v>61.243400000000001</v>
      </c>
      <c r="FC2" s="127">
        <f>SUMIF(Daily!3:3,Table!FC1,Daily!7:8)</f>
        <v>62.243400000000001</v>
      </c>
      <c r="FD2" s="127">
        <f>SUMIF(Daily!3:3,Table!FD1,Daily!7:8)</f>
        <v>60.398200000000003</v>
      </c>
      <c r="FE2" s="127">
        <f>SUMIF(Daily!3:3,Table!FE1,Daily!7:8)</f>
        <v>60.311599999999999</v>
      </c>
      <c r="FF2" s="127">
        <f>SUMIF(Daily!3:3,Table!FF1,Daily!7:8)</f>
        <v>60.348399999999998</v>
      </c>
      <c r="FG2" s="127">
        <f>SUMIF(Daily!3:3,Table!FG1,Daily!7:8)</f>
        <v>60.389400000000002</v>
      </c>
      <c r="FH2" s="127">
        <f>SUMIF(Daily!3:3,Table!FH1,Daily!7:8)</f>
        <v>60.374099999999999</v>
      </c>
      <c r="FI2" s="127">
        <f>SUMIF(Daily!3:3,Table!FI1,Daily!7:8)</f>
        <v>60.737900000000003</v>
      </c>
      <c r="FJ2" s="127">
        <f>SUMIF(Daily!3:3,Table!FJ1,Daily!7:8)</f>
        <v>60.656599999999997</v>
      </c>
      <c r="FK2" s="127">
        <f>SUMIF(Daily!3:3,Table!FK1,Daily!7:8)</f>
        <v>60.504300000000001</v>
      </c>
      <c r="FL2" s="127">
        <f>SUMIF(Daily!3:3,Table!FL1,Daily!7:8)</f>
        <v>60.386600000000001</v>
      </c>
      <c r="FM2" s="127">
        <f>SUMIF(Daily!3:3,Table!FM1,Daily!7:8)</f>
        <v>60.479700000000001</v>
      </c>
      <c r="FN2" s="127">
        <f>SUMIF(Daily!3:3,Table!FN1,Daily!7:8)</f>
        <v>60.752000000000002</v>
      </c>
      <c r="FO2" s="127">
        <f>SUMIF(Daily!3:3,Table!FO1,Daily!7:8)</f>
        <v>61.074199999999998</v>
      </c>
      <c r="FP2" s="127">
        <f>SUMIF(Daily!3:3,Table!FP1,Daily!7:8)</f>
        <v>60.880299999999998</v>
      </c>
      <c r="FQ2" s="127">
        <f>SUMIF(Daily!3:3,Table!FQ1,Daily!7:8)</f>
        <v>61.1479</v>
      </c>
      <c r="FR2" s="127">
        <f>SUMIF(Daily!3:3,Table!FR1,Daily!7:8)</f>
        <v>61.774900000000002</v>
      </c>
      <c r="FS2" s="127">
        <f>SUMIF(Daily!3:3,Table!FS1,Daily!7:8)</f>
        <v>62.184899999999999</v>
      </c>
      <c r="FT2" s="127">
        <f>SUMIF(Daily!3:3,Table!FT1,Daily!7:8)</f>
        <v>62.910299999999999</v>
      </c>
      <c r="FU2" s="127">
        <f>SUMIF(Daily!3:3,Table!FU1,Daily!7:8)</f>
        <v>62.937199999999997</v>
      </c>
      <c r="FV2" s="127">
        <f>SUMIF(Daily!3:3,Table!FV1,Daily!7:8)</f>
        <v>62.572200000000002</v>
      </c>
      <c r="FW2" s="127">
        <f>SUMIF(Daily!3:3,Table!FW1,Daily!7:8)</f>
        <v>62.381300000000003</v>
      </c>
      <c r="FX2" s="127">
        <f>SUMIF(Daily!3:3,Table!FX1,Daily!7:8)</f>
        <v>62.767400000000002</v>
      </c>
      <c r="FY2" s="127">
        <f>SUMIF(Daily!3:3,Table!FY1,Daily!7:8)</f>
        <v>63.212000000000003</v>
      </c>
      <c r="FZ2" s="127">
        <f>SUMIF(Daily!3:3,Table!FZ1,Daily!7:8)</f>
        <v>63.359000000000002</v>
      </c>
      <c r="GA2" s="127">
        <f>SUMIF(Daily!3:3,Table!GA1,Daily!7:8)</f>
        <v>64.301500000000004</v>
      </c>
      <c r="GB2" s="127">
        <f>SUMIF(Daily!3:3,Table!GB1,Daily!7:8)</f>
        <v>64.607799999999997</v>
      </c>
      <c r="GC2" s="127">
        <f>SUMIF(Daily!3:3,Table!GC1,Daily!7:8)</f>
        <v>65.607799999999997</v>
      </c>
      <c r="GD2" s="127">
        <f>SUMIF(Daily!3:3,Table!GD1,Daily!7:8)</f>
        <v>66.607799999999997</v>
      </c>
      <c r="GE2" s="127">
        <f>SUMIF(Daily!3:3,Table!GE1,Daily!7:8)</f>
        <v>70.525599999999997</v>
      </c>
      <c r="GF2" s="127">
        <f>SUMIF(Daily!3:3,Table!GF1,Daily!7:8)</f>
        <v>72.130600000000001</v>
      </c>
      <c r="GG2" s="127">
        <f>SUMIF(Daily!3:3,Table!GG1,Daily!7:8)</f>
        <v>68.676000000000002</v>
      </c>
      <c r="GH2" s="127">
        <f>SUMIF(Daily!3:3,Table!GH1,Daily!7:8)</f>
        <v>68.448700000000002</v>
      </c>
      <c r="GI2" s="127">
        <f>SUMIF(Daily!3:3,Table!GI1,Daily!7:8)</f>
        <v>69.609399999999994</v>
      </c>
      <c r="GJ2" s="127">
        <f>SUMIF(Daily!3:3,Table!GJ1,Daily!7:8)</f>
        <v>69.020200000000003</v>
      </c>
      <c r="GK2" s="127">
        <f>SUMIF(Daily!3:3,Table!GK1,Daily!7:8)</f>
        <v>68.289199999999994</v>
      </c>
      <c r="GL2" s="127">
        <f>SUMIF(Daily!3:3,Table!GL1,Daily!7:8)</f>
        <v>68.664400000000001</v>
      </c>
      <c r="GM2" s="127">
        <f>SUMIF(Daily!3:3,Table!GM1,Daily!7:8)</f>
        <v>68.872799999999998</v>
      </c>
      <c r="GN2" s="127">
        <f>SUMIF(Daily!3:3,Table!GN1,Daily!7:8)</f>
        <v>68.665599999999998</v>
      </c>
      <c r="GO2" s="127">
        <f>SUMIF(Daily!3:3,Table!GO1,Daily!7:8)</f>
        <v>68.628799999999998</v>
      </c>
      <c r="GP2" s="127">
        <f>SUMIF(Daily!3:3,Table!GP1,Daily!7:8)</f>
        <v>68.752899999999997</v>
      </c>
      <c r="GQ2" s="127">
        <f>SUMIF(Daily!3:3,Table!GQ1,Daily!7:8)</f>
        <v>68.957300000000004</v>
      </c>
      <c r="GR2" s="127">
        <f>SUMIF(Daily!3:3,Table!GR1,Daily!7:8)</f>
        <v>69.126300000000001</v>
      </c>
      <c r="GS2" s="127">
        <f>SUMIF(Daily!3:3,Table!GS1,Daily!7:8)</f>
        <v>69.337199999999996</v>
      </c>
      <c r="GT2" s="127">
        <f>SUMIF(Daily!3:3,Table!GT1,Daily!7:8)</f>
        <v>70.517399999999995</v>
      </c>
      <c r="GU2" s="127">
        <f>SUMIF(Daily!3:3,Table!GU1,Daily!7:8)</f>
        <v>70.041399999999996</v>
      </c>
      <c r="GV2" s="127">
        <f>SUMIF(Daily!3:3,Table!GV1,Daily!7:8)</f>
        <v>70.384699999999995</v>
      </c>
      <c r="GW2" s="127">
        <f>SUMIF(Daily!3:3,Table!GW1,Daily!7:8)</f>
        <v>70.599100000000007</v>
      </c>
      <c r="GX2" s="127">
        <f>SUMIF(Daily!3:3,Table!GX1,Daily!7:8)</f>
        <v>71.576300000000003</v>
      </c>
      <c r="GY2" s="127">
        <f>SUMIF(Daily!3:3,Table!GY1,Daily!7:8)</f>
        <v>72.792299999999997</v>
      </c>
      <c r="GZ2" s="127">
        <f>SUMIF(Daily!3:3,Table!GZ1,Daily!7:8)</f>
        <v>73.864500000000007</v>
      </c>
      <c r="HA2" s="127">
        <f>SUMIF(Daily!3:3,Table!HA1,Daily!7:8)</f>
        <v>74.207700000000003</v>
      </c>
      <c r="HB2" s="127">
        <f>SUMIF(Daily!3:3,Table!HB1,Daily!7:8)</f>
        <v>74.758799999999994</v>
      </c>
      <c r="HC2" s="127">
        <f>SUMIF(Daily!3:3,Table!HC1,Daily!7:8)</f>
        <v>74.8596</v>
      </c>
      <c r="HD2" s="127">
        <f>SUMIF(Daily!3:3,Table!HD1,Daily!7:8)</f>
        <v>74.708699999999993</v>
      </c>
      <c r="HE2" s="127">
        <f>SUMIF(Daily!3:3,Table!HE1,Daily!7:8)</f>
        <v>75.432299999999998</v>
      </c>
      <c r="HF2" s="127">
        <f>SUMIF(Daily!3:3,Table!HF1,Daily!7:8)</f>
        <v>74.893199999999993</v>
      </c>
      <c r="HG2" s="127">
        <f>SUMIF(Daily!3:3,Table!HG1,Daily!7:8)</f>
        <v>75.472899999999996</v>
      </c>
      <c r="HH2" s="127">
        <f>SUMIF(Daily!3:3,Table!HH1,Daily!7:8)</f>
        <v>75.459199999999996</v>
      </c>
      <c r="HI2" s="127">
        <f>SUMIF(Daily!3:3,Table!HI1,Daily!7:8)</f>
        <v>75.472800000000007</v>
      </c>
      <c r="HJ2" s="127">
        <f>SUMIF(Daily!3:3,Table!HJ1,Daily!7:8)</f>
        <v>75.902799999999999</v>
      </c>
      <c r="HK2" s="127">
        <f>SUMIF(Daily!3:3,Table!HK1,Daily!7:8)</f>
        <v>75.940600000000003</v>
      </c>
      <c r="HL2" s="127">
        <f>SUMIF(Daily!3:3,Table!HL1,Daily!7:8)</f>
        <v>75.192700000000002</v>
      </c>
      <c r="HM2" s="127">
        <f>SUMIF(Daily!3:3,Table!HM1,Daily!7:8)</f>
        <v>75.745699999999999</v>
      </c>
      <c r="HN2" s="127">
        <v>76.409499999999994</v>
      </c>
      <c r="HO2" s="127">
        <v>77.242199999999997</v>
      </c>
      <c r="HP2" s="127">
        <v>76.837299999999999</v>
      </c>
      <c r="HQ2" s="127">
        <v>76.307199999999995</v>
      </c>
      <c r="HR2" s="127">
        <f>SUMIF(Daily!3:3,Table!HR1,Daily!7:8)</f>
        <v>76.566199999999995</v>
      </c>
      <c r="HS2" s="127">
        <f>SUMIF(Daily!3:3,Table!HS1,Daily!7:8)</f>
        <v>76.593900000000005</v>
      </c>
      <c r="HT2" s="127">
        <f>SUMIF(Daily!3:3,Table!HT1,Daily!7:8)</f>
        <v>76.978099999999998</v>
      </c>
      <c r="HU2" s="127">
        <f>SUMIF(Daily!3:3,Table!HU1,Daily!7:8)</f>
        <v>77.086299999999994</v>
      </c>
      <c r="HV2" s="127">
        <v>77.323300000000003</v>
      </c>
      <c r="HW2" s="127">
        <v>77.950999999999993</v>
      </c>
      <c r="HX2" s="127">
        <v>79.356300000000005</v>
      </c>
      <c r="HY2" s="127">
        <v>79.496099999999998</v>
      </c>
      <c r="HZ2" s="127">
        <v>80.671300000000002</v>
      </c>
      <c r="IA2" s="127">
        <v>82.398799999999994</v>
      </c>
      <c r="IB2" s="127">
        <v>81.744100000000003</v>
      </c>
      <c r="IC2" s="127">
        <v>82.179900000000004</v>
      </c>
      <c r="ID2" s="127">
        <v>82.093400000000003</v>
      </c>
      <c r="IE2" s="127">
        <v>81.675799999999995</v>
      </c>
      <c r="IF2" s="127">
        <v>81.504499999999993</v>
      </c>
      <c r="IG2" s="127">
        <v>81.627899999999997</v>
      </c>
      <c r="IH2" s="127">
        <v>81.602800000000002</v>
      </c>
      <c r="II2" s="127">
        <v>81.654899999999998</v>
      </c>
      <c r="IJ2" s="127">
        <v>81.618799999999993</v>
      </c>
      <c r="IK2" s="127">
        <v>81.4863</v>
      </c>
      <c r="IL2" s="127">
        <v>81.274500000000003</v>
      </c>
      <c r="IM2" s="127">
        <v>81.549899999999994</v>
      </c>
      <c r="IN2" s="127">
        <v>81.627399999999994</v>
      </c>
      <c r="IO2" s="127">
        <v>81.560100000000006</v>
      </c>
      <c r="IP2" s="127">
        <v>80.509299999999996</v>
      </c>
      <c r="IQ2" s="127">
        <v>79.960899999999995</v>
      </c>
      <c r="IR2" s="127">
        <v>79.307100000000005</v>
      </c>
      <c r="IS2" s="127">
        <v>78.613900000000001</v>
      </c>
      <c r="IT2" s="127">
        <v>76.820700000000002</v>
      </c>
      <c r="IU2" s="127">
        <v>76.692899999999995</v>
      </c>
      <c r="IV2" s="127">
        <v>75.884600000000006</v>
      </c>
      <c r="IW2" s="127">
        <v>77.204099999999997</v>
      </c>
      <c r="IX2" s="127">
        <v>79.100399999999993</v>
      </c>
      <c r="IY2" s="127">
        <f>SUMIF(Daily!3:3,Table!IY1,Daily!7:8)</f>
        <v>79.979799999999997</v>
      </c>
      <c r="IZ2" s="127">
        <v>80.036600000000007</v>
      </c>
      <c r="JA2" s="127">
        <v>79.909300000000002</v>
      </c>
      <c r="JB2" s="127">
        <v>79.937899999999999</v>
      </c>
      <c r="JC2" s="127">
        <v>80.166499999999999</v>
      </c>
      <c r="JD2" s="127">
        <v>79.966899999999995</v>
      </c>
      <c r="JE2" s="127">
        <v>79.984099999999998</v>
      </c>
      <c r="JF2" s="127">
        <v>79.966700000000003</v>
      </c>
      <c r="JG2" s="127">
        <v>80.055499999999995</v>
      </c>
      <c r="JH2" s="127">
        <v>80.687200000000004</v>
      </c>
      <c r="JI2" s="127">
        <v>80.994200000000006</v>
      </c>
      <c r="JJ2" s="127">
        <v>80.965699999999998</v>
      </c>
      <c r="JK2" s="127">
        <v>80.875600000000006</v>
      </c>
      <c r="JL2" s="127">
        <v>81.329400000000007</v>
      </c>
      <c r="JM2" s="127">
        <v>81.250200000000007</v>
      </c>
      <c r="JN2" s="127">
        <v>81.458100000000002</v>
      </c>
      <c r="JO2" s="127">
        <v>82.093000000000004</v>
      </c>
      <c r="JP2" s="127">
        <v>82.6417</v>
      </c>
      <c r="JQ2" s="127">
        <v>83.640500000000003</v>
      </c>
      <c r="JR2" s="127">
        <v>84.3249</v>
      </c>
      <c r="JS2" s="127">
        <f>SUMIF(Daily!3:3,Table!JS1,Daily!7:8)</f>
        <v>83.961100000000002</v>
      </c>
      <c r="JT2" s="127">
        <v>83.649799999999999</v>
      </c>
      <c r="JU2" s="127">
        <v>83.986599999999996</v>
      </c>
      <c r="JV2" s="127">
        <v>84.233599999999996</v>
      </c>
      <c r="JW2" s="127">
        <v>84.246700000000004</v>
      </c>
      <c r="JX2" s="127">
        <v>83.607699999999994</v>
      </c>
      <c r="JY2" s="127">
        <v>84.079300000000003</v>
      </c>
      <c r="JZ2" s="127">
        <v>84.66</v>
      </c>
      <c r="KA2" s="127">
        <v>85.050399999999996</v>
      </c>
      <c r="KB2" s="127">
        <v>85.619200000000006</v>
      </c>
      <c r="KC2" s="127">
        <v>87.034099999999995</v>
      </c>
      <c r="KD2" s="127">
        <v>88.384399999999999</v>
      </c>
      <c r="KE2" s="127">
        <v>89.325500000000005</v>
      </c>
      <c r="KF2" s="127">
        <v>89.545000000000002</v>
      </c>
      <c r="KG2" s="127">
        <v>90.337999999999994</v>
      </c>
      <c r="KH2" s="127">
        <v>92.569500000000005</v>
      </c>
      <c r="KI2" s="127">
        <v>91.687899999999999</v>
      </c>
      <c r="KJ2" s="127">
        <f>SUMIF(Daily!3:3,Table!KJ1,Daily!7:8)</f>
        <v>91.493099999999998</v>
      </c>
      <c r="KK2" s="127">
        <v>90.504499999999993</v>
      </c>
      <c r="KL2" s="127">
        <v>90.625299999999996</v>
      </c>
      <c r="KM2" s="127">
        <v>90.175700000000006</v>
      </c>
      <c r="KN2" s="127">
        <v>90.119</v>
      </c>
      <c r="KO2" s="127">
        <v>90.421700000000001</v>
      </c>
      <c r="KP2" s="127">
        <v>90.690600000000003</v>
      </c>
      <c r="KQ2" s="127">
        <v>91.204599999999999</v>
      </c>
      <c r="KR2" s="127">
        <v>90.854500000000002</v>
      </c>
      <c r="KS2" s="127">
        <f>SUMIF(Daily!3:3,Table!KS1,Daily!7:8)</f>
        <v>90.384600000000006</v>
      </c>
      <c r="KT2" s="127">
        <v>90.489000000000004</v>
      </c>
      <c r="KU2" s="127">
        <f>SUMIF(Daily!3:3,Table!KU1,Daily!7:8)</f>
        <v>90.094499999999996</v>
      </c>
      <c r="KV2" s="127">
        <f>SUMIF(Daily!3:3,Table!KV1,Daily!7:8)</f>
        <v>90.978300000000004</v>
      </c>
      <c r="KW2" s="127">
        <f>SUMIF(Daily!3:3,Table!KW1,Daily!7:8)</f>
        <v>92.840999999999994</v>
      </c>
      <c r="KX2" s="127">
        <v>93.779200000000003</v>
      </c>
      <c r="KY2" s="127">
        <v>94.807599999999994</v>
      </c>
      <c r="KZ2" s="127">
        <v>96.566800000000001</v>
      </c>
      <c r="LA2" s="127">
        <v>96.075500000000005</v>
      </c>
      <c r="LB2" s="127">
        <v>97.399900000000002</v>
      </c>
      <c r="LC2" s="127">
        <v>97.279399999999995</v>
      </c>
      <c r="LD2" s="127">
        <v>98.206599999999995</v>
      </c>
      <c r="LE2" s="127">
        <f>SUMIF(Daily!3:3,Table!LE1,Daily!7:8)</f>
        <v>101.0399</v>
      </c>
      <c r="LF2" s="966">
        <v>97.421700000000001</v>
      </c>
      <c r="LG2" s="966">
        <v>96.704499999999996</v>
      </c>
      <c r="LH2" s="966">
        <v>93.745999999999995</v>
      </c>
      <c r="LI2" s="966">
        <v>93.404700000000005</v>
      </c>
      <c r="LJ2" s="966">
        <v>94.142399999999995</v>
      </c>
      <c r="LK2" s="966">
        <v>94.118499999999997</v>
      </c>
      <c r="LL2" s="966">
        <v>94.442099999999996</v>
      </c>
      <c r="LM2" s="966">
        <v>94.400700000000001</v>
      </c>
      <c r="LN2" s="966">
        <v>94.711699999999993</v>
      </c>
      <c r="LO2" s="966">
        <v>95.471699999999998</v>
      </c>
      <c r="LP2" s="966">
        <v>95.706999999999994</v>
      </c>
      <c r="LQ2" s="966">
        <v>95.928299999999993</v>
      </c>
      <c r="LR2" s="966">
        <v>96.334400000000002</v>
      </c>
      <c r="LS2" s="966">
        <v>96.341099999999997</v>
      </c>
      <c r="LT2" s="966">
        <v>96.619900000000001</v>
      </c>
      <c r="LU2" s="966">
        <v>97.538300000000007</v>
      </c>
      <c r="LV2" s="966">
        <v>97.843900000000005</v>
      </c>
      <c r="LW2" s="966">
        <v>98.196100000000001</v>
      </c>
      <c r="LX2" s="966">
        <v>97.924099999999996</v>
      </c>
      <c r="LY2" s="966">
        <v>96.508300000000006</v>
      </c>
      <c r="LZ2" s="966">
        <v>94.703500000000005</v>
      </c>
      <c r="MA2" s="966">
        <v>95.979399999999998</v>
      </c>
      <c r="MB2" s="966">
        <v>96.160899999999998</v>
      </c>
      <c r="MC2" s="966">
        <v>96.633799999999994</v>
      </c>
      <c r="MD2" s="966">
        <v>96.647199999999998</v>
      </c>
      <c r="ME2" s="966">
        <v>96.223600000000005</v>
      </c>
      <c r="MF2" s="966">
        <v>96.617199999999997</v>
      </c>
      <c r="MG2" s="966">
        <v>96.0762</v>
      </c>
      <c r="MH2" s="966">
        <v>96.041899999999998</v>
      </c>
      <c r="MI2" s="966">
        <v>96.145600000000002</v>
      </c>
      <c r="MJ2" s="966">
        <v>96.237799999999993</v>
      </c>
      <c r="MK2" s="966">
        <v>96.5</v>
      </c>
      <c r="ML2" s="966">
        <v>97.001800000000003</v>
      </c>
      <c r="MM2" s="966">
        <v>97.414699999999996</v>
      </c>
      <c r="MN2" s="966">
        <v>98.478499999999997</v>
      </c>
      <c r="MO2" s="966">
        <v>99.267700000000005</v>
      </c>
      <c r="MP2" s="966">
        <v>99.455500000000001</v>
      </c>
      <c r="MQ2" s="966">
        <v>99.676199999999994</v>
      </c>
      <c r="MR2" s="966">
        <v>100.4911</v>
      </c>
      <c r="MS2" s="966">
        <v>101.35980000000001</v>
      </c>
      <c r="MT2" s="966">
        <v>99.934899999999999</v>
      </c>
      <c r="MU2" s="966">
        <v>99.980800000000002</v>
      </c>
      <c r="MV2" s="966">
        <v>96.994799999999998</v>
      </c>
      <c r="MW2" s="966">
        <v>97.307500000000005</v>
      </c>
      <c r="MX2" s="966">
        <v>97.286500000000004</v>
      </c>
      <c r="MY2" s="966">
        <v>97.345799999999997</v>
      </c>
      <c r="MZ2" s="966">
        <v>97.372399999999999</v>
      </c>
      <c r="NA2" s="966">
        <v>97.307400000000001</v>
      </c>
      <c r="NB2" s="966">
        <v>95.905299999999997</v>
      </c>
      <c r="NC2" s="966">
        <v>94.708100000000002</v>
      </c>
      <c r="ND2" s="966">
        <v>93.522400000000005</v>
      </c>
      <c r="NE2" s="966">
        <v>93.150700000000001</v>
      </c>
      <c r="NF2" s="966">
        <v>93.561599999999999</v>
      </c>
      <c r="NG2" s="966">
        <v>93.217399999999998</v>
      </c>
      <c r="NH2" s="966">
        <v>93.243499999999997</v>
      </c>
      <c r="NI2" s="966">
        <v>92.022599999999997</v>
      </c>
      <c r="NJ2" s="966">
        <v>93.280100000000004</v>
      </c>
      <c r="NK2" s="966">
        <v>93.173000000000002</v>
      </c>
      <c r="NL2" s="966">
        <v>93.0351</v>
      </c>
      <c r="NM2" s="966">
        <v>92.415099999999995</v>
      </c>
      <c r="NN2" s="966">
        <v>92.197299999999998</v>
      </c>
      <c r="NO2" s="966">
        <v>91.926599999999993</v>
      </c>
      <c r="NP2" s="966">
        <v>92.0535</v>
      </c>
      <c r="NQ2" s="966">
        <v>92.118499999999997</v>
      </c>
      <c r="NR2" s="966">
        <v>91.257000000000005</v>
      </c>
      <c r="NS2" s="966">
        <v>89.456500000000005</v>
      </c>
      <c r="NT2" s="966">
        <v>88.946600000000004</v>
      </c>
      <c r="NU2" s="966">
        <f>SUMIF(Daily!3:3,Table!NU1,Daily!7:8)</f>
        <v>89.123699999999999</v>
      </c>
      <c r="NV2" s="966">
        <v>88.495400000000004</v>
      </c>
      <c r="NW2" s="966">
        <v>87.870099999999994</v>
      </c>
      <c r="NX2" s="966">
        <v>88.1648</v>
      </c>
      <c r="NY2" s="966">
        <v>88.120599999999996</v>
      </c>
      <c r="NZ2" s="966">
        <v>88.813299999999998</v>
      </c>
      <c r="OA2" s="966">
        <v>88.704499999999996</v>
      </c>
      <c r="OB2" s="966">
        <v>88.610200000000006</v>
      </c>
      <c r="OC2" s="966">
        <v>88.884100000000004</v>
      </c>
      <c r="OD2" s="966">
        <v>88.581900000000005</v>
      </c>
      <c r="OE2" s="966">
        <v>89.761899999999997</v>
      </c>
      <c r="OF2" s="966">
        <v>90.672799999999995</v>
      </c>
      <c r="OG2" s="966">
        <v>91.582300000000004</v>
      </c>
      <c r="OH2" s="966">
        <v>92.782600000000002</v>
      </c>
      <c r="OI2" s="966">
        <v>92.565399999999997</v>
      </c>
      <c r="OJ2" s="966">
        <v>91.640199999999993</v>
      </c>
      <c r="OK2" s="966">
        <v>90.9846</v>
      </c>
      <c r="OL2" s="966">
        <v>90.215800000000002</v>
      </c>
      <c r="OM2" s="966">
        <v>89.892600000000002</v>
      </c>
      <c r="ON2" s="966">
        <v>89.674099999999996</v>
      </c>
      <c r="OO2" s="966">
        <v>89.696600000000004</v>
      </c>
      <c r="OP2" s="966">
        <v>90.416200000000003</v>
      </c>
      <c r="OQ2" s="966">
        <v>90.087000000000003</v>
      </c>
      <c r="OR2" s="966">
        <v>90.405600000000007</v>
      </c>
      <c r="OS2" s="966">
        <v>91.706199999999995</v>
      </c>
      <c r="OT2" s="966">
        <v>91.938900000000004</v>
      </c>
      <c r="OU2" s="966">
        <v>91.968999999999994</v>
      </c>
      <c r="OV2" s="966">
        <v>91.706900000000005</v>
      </c>
      <c r="OW2" s="966">
        <v>91.705100000000002</v>
      </c>
      <c r="OX2" s="966">
        <v>90.304100000000005</v>
      </c>
      <c r="OY2" s="966">
        <v>89.688299999999998</v>
      </c>
      <c r="OZ2" s="966">
        <v>90.403999999999996</v>
      </c>
      <c r="PA2" s="966">
        <v>89.393900000000002</v>
      </c>
      <c r="PB2" s="966">
        <v>88.781800000000004</v>
      </c>
      <c r="PC2" s="966">
        <v>88.132400000000004</v>
      </c>
      <c r="PD2" s="966">
        <v>87.677199999999999</v>
      </c>
      <c r="PE2" s="966">
        <v>87.645700000000005</v>
      </c>
      <c r="PF2" s="966">
        <v>88.353999999999999</v>
      </c>
      <c r="PG2" s="966">
        <v>88.661000000000001</v>
      </c>
      <c r="PH2" s="966">
        <v>88.589600000000004</v>
      </c>
      <c r="PI2" s="966">
        <v>87.972399999999993</v>
      </c>
      <c r="PJ2" s="966">
        <v>87.919899999999998</v>
      </c>
      <c r="PK2" s="966">
        <v>88.282899999999998</v>
      </c>
      <c r="PL2" s="966">
        <v>88.656199999999998</v>
      </c>
      <c r="PM2" s="966">
        <v>89.515900000000002</v>
      </c>
      <c r="PN2" s="966">
        <v>89.608999999999995</v>
      </c>
      <c r="PO2" s="966">
        <v>89.288700000000006</v>
      </c>
      <c r="PP2" s="966">
        <v>89.6678</v>
      </c>
      <c r="PQ2" s="966">
        <v>90.229900000000001</v>
      </c>
      <c r="PR2" s="966">
        <v>90.662599999999998</v>
      </c>
      <c r="PS2" s="966">
        <v>91.243399999999994</v>
      </c>
      <c r="PT2" s="966">
        <v>90.684200000000004</v>
      </c>
      <c r="PU2" s="966">
        <v>91.151399999999995</v>
      </c>
      <c r="PV2" s="966">
        <v>91.256100000000004</v>
      </c>
      <c r="PW2" s="966">
        <v>90.890100000000004</v>
      </c>
      <c r="PX2" s="966">
        <v>91.075800000000001</v>
      </c>
      <c r="PY2" s="966">
        <v>91.205699999999993</v>
      </c>
      <c r="PZ2" s="966">
        <v>91.431600000000003</v>
      </c>
      <c r="QA2" s="966">
        <v>91.823700000000002</v>
      </c>
      <c r="QB2" s="966">
        <v>92.549199999999999</v>
      </c>
      <c r="QC2" s="966">
        <v>92.410200000000003</v>
      </c>
      <c r="QD2" s="966">
        <v>92.349000000000004</v>
      </c>
      <c r="QE2" s="966">
        <v>92.438699999999997</v>
      </c>
      <c r="QF2" s="966">
        <v>92.751900000000006</v>
      </c>
      <c r="QG2" s="966">
        <v>92.632099999999994</v>
      </c>
      <c r="QH2" s="966">
        <f>SUMIF(Daily!3:3,Table!QH1,Daily!7:8)</f>
        <v>92.042500000000004</v>
      </c>
      <c r="QI2" s="966">
        <v>91.869200000000006</v>
      </c>
      <c r="QJ2" s="966">
        <v>90.842299999999994</v>
      </c>
      <c r="QK2" s="966">
        <v>91.333600000000004</v>
      </c>
      <c r="QL2" s="966">
        <v>91.353399999999993</v>
      </c>
      <c r="QM2" s="966">
        <v>91.160399999999996</v>
      </c>
      <c r="QN2" s="966">
        <v>90.341200000000001</v>
      </c>
      <c r="QO2" s="966">
        <v>90.749300000000005</v>
      </c>
      <c r="QP2" s="966">
        <v>90.625200000000007</v>
      </c>
      <c r="QQ2" s="966">
        <f>SUMIF(Daily!3:3,Table!QQ1,Daily!7:8)</f>
        <v>90.881799999999998</v>
      </c>
      <c r="QR2" s="966">
        <f>SUMIF(Daily!3:3,Table!QR1,Daily!7:8)</f>
        <v>91.544899999999998</v>
      </c>
      <c r="QS2" s="966">
        <v>91.635900000000007</v>
      </c>
      <c r="QT2" s="966">
        <v>91.87</v>
      </c>
      <c r="QU2" s="966">
        <v>91.982900000000001</v>
      </c>
      <c r="QV2" s="966">
        <v>92.224299999999999</v>
      </c>
      <c r="QW2" s="966">
        <v>92.686099999999996</v>
      </c>
      <c r="QX2" s="966">
        <v>91.9499</v>
      </c>
      <c r="QY2" s="966">
        <v>92.611800000000002</v>
      </c>
      <c r="QZ2" s="966">
        <v>92.7761</v>
      </c>
      <c r="RA2" s="966">
        <v>92.5745</v>
      </c>
      <c r="RB2" s="966">
        <v>92.591899999999995</v>
      </c>
      <c r="RC2" s="966">
        <v>92.262799999999999</v>
      </c>
      <c r="RD2" s="966">
        <v>92.366</v>
      </c>
      <c r="RE2" s="966">
        <v>92.291399999999996</v>
      </c>
      <c r="RF2" s="966">
        <v>92.525400000000005</v>
      </c>
      <c r="RG2" s="966">
        <f>SUMIF(Daily!3:3,Table!RG1,Daily!7:8)</f>
        <v>92.389200000000002</v>
      </c>
      <c r="RH2" s="966">
        <v>92.305800000000005</v>
      </c>
      <c r="RI2" s="966">
        <v>92.415499999999994</v>
      </c>
      <c r="RJ2" s="966">
        <v>92.581000000000003</v>
      </c>
      <c r="RK2" s="966">
        <v>92.746300000000005</v>
      </c>
      <c r="RL2" s="966">
        <v>93.219800000000006</v>
      </c>
      <c r="RM2" s="966">
        <v>93.7196</v>
      </c>
      <c r="RN2" s="966">
        <v>93.441900000000004</v>
      </c>
      <c r="RO2" s="966">
        <v>93.589100000000002</v>
      </c>
      <c r="RP2" s="966">
        <v>94.074200000000005</v>
      </c>
      <c r="RQ2" s="966">
        <v>94.324200000000005</v>
      </c>
      <c r="RR2" s="966">
        <v>94.092200000000005</v>
      </c>
      <c r="RS2" s="966">
        <v>93.440899999999999</v>
      </c>
      <c r="RT2" s="966">
        <v>93.251900000000006</v>
      </c>
      <c r="RU2" s="966">
        <v>93.291799999999995</v>
      </c>
      <c r="RV2" s="966">
        <v>92.505799999999994</v>
      </c>
      <c r="RW2" s="966">
        <v>92.131399999999999</v>
      </c>
      <c r="RX2" s="966">
        <v>92.013400000000004</v>
      </c>
      <c r="RY2" s="966">
        <v>91.7791</v>
      </c>
      <c r="RZ2" s="966">
        <v>92.053799999999995</v>
      </c>
      <c r="SA2" s="966">
        <v>91.691800000000001</v>
      </c>
      <c r="SB2" s="966">
        <v>91.312399999999997</v>
      </c>
      <c r="SC2" s="966">
        <v>91.123099999999994</v>
      </c>
      <c r="SD2" s="966">
        <v>91.823899999999995</v>
      </c>
      <c r="SE2" s="966">
        <v>91.632999999999996</v>
      </c>
      <c r="SF2" s="966">
        <v>91.359099999999998</v>
      </c>
      <c r="SG2" s="966">
        <v>91.257300000000001</v>
      </c>
      <c r="SH2" s="966">
        <v>90.923900000000003</v>
      </c>
      <c r="SI2" s="966">
        <v>90.987300000000005</v>
      </c>
      <c r="SJ2" s="966">
        <v>90.653700000000001</v>
      </c>
      <c r="SK2" s="966">
        <v>90.408199999999994</v>
      </c>
      <c r="SL2" s="966">
        <v>90.188699999999997</v>
      </c>
      <c r="SM2" s="966">
        <v>90.248599999999996</v>
      </c>
      <c r="SN2" s="966">
        <v>89.702600000000004</v>
      </c>
      <c r="SO2" s="966">
        <v>88.685199999999995</v>
      </c>
      <c r="SP2" s="966">
        <v>88.4375</v>
      </c>
      <c r="SQ2" s="966">
        <v>89.258899999999997</v>
      </c>
      <c r="SR2" s="966">
        <v>89.786900000000003</v>
      </c>
      <c r="SS2" s="966">
        <v>90.191500000000005</v>
      </c>
      <c r="ST2" s="966">
        <v>89.375500000000002</v>
      </c>
      <c r="SU2" s="966">
        <v>88.757400000000004</v>
      </c>
      <c r="SV2" s="966">
        <v>88.743600000000001</v>
      </c>
      <c r="SW2" s="966">
        <v>88.760400000000004</v>
      </c>
      <c r="SX2" s="966">
        <v>88.760599999999997</v>
      </c>
      <c r="SY2" s="966">
        <v>88.994399999999999</v>
      </c>
      <c r="SZ2" s="966">
        <v>89.0214</v>
      </c>
      <c r="TA2" s="966">
        <v>88.207999999999998</v>
      </c>
      <c r="TB2" s="966">
        <v>89.065799999999996</v>
      </c>
      <c r="TC2" s="966">
        <v>89.049899999999994</v>
      </c>
      <c r="TD2" s="966">
        <v>87.035399999999996</v>
      </c>
      <c r="TE2" s="966">
        <f>SUMIF(Daily!3:3,Table!TE1,Daily!7:8)</f>
        <v>82.628200000000007</v>
      </c>
      <c r="TF2" s="966">
        <f>SUMIF(Daily!3:3,Table!TF1,Daily!7:8)</f>
        <v>87.277000000000001</v>
      </c>
      <c r="TG2" s="966">
        <v>87.297200000000004</v>
      </c>
      <c r="TH2" s="966">
        <v>88.168800000000005</v>
      </c>
      <c r="TI2" s="966">
        <v>87.742699999999999</v>
      </c>
      <c r="TJ2" s="966">
        <v>87.807699999999997</v>
      </c>
      <c r="TK2" s="966">
        <v>87.780500000000004</v>
      </c>
      <c r="TL2" s="966">
        <v>88.087199999999996</v>
      </c>
      <c r="TM2" s="966">
        <v>85.564999999999998</v>
      </c>
      <c r="TN2" s="966">
        <v>86.33</v>
      </c>
      <c r="TO2" s="966">
        <v>85.702399999999997</v>
      </c>
      <c r="TP2" s="966">
        <v>86.562100000000001</v>
      </c>
      <c r="TQ2" s="966">
        <v>89.947500000000005</v>
      </c>
      <c r="TR2" s="966">
        <v>90.694400000000002</v>
      </c>
      <c r="TS2" s="966">
        <v>91.686199999999999</v>
      </c>
      <c r="TT2" s="966">
        <v>91.2881</v>
      </c>
      <c r="TU2" s="966">
        <v>91.774500000000003</v>
      </c>
      <c r="TV2" s="966">
        <v>91.480699999999999</v>
      </c>
      <c r="TW2" s="966">
        <v>91.186800000000005</v>
      </c>
      <c r="TX2" s="966">
        <v>88.611800000000002</v>
      </c>
      <c r="TY2" s="966">
        <v>88.928799999999995</v>
      </c>
      <c r="TZ2" s="966">
        <f>SUMIF(Daily!3:3,Table!TZ1,Daily!7:8)</f>
        <v>91.112700000000004</v>
      </c>
      <c r="UA2" s="966">
        <f>SUMIF(Daily!3:3,Table!UA1,Daily!7:8)</f>
        <v>91.1096</v>
      </c>
      <c r="UB2" s="966">
        <f>SUMIF(Daily!3:3,Table!UB1,Daily!7:8)</f>
        <v>91.142300000000006</v>
      </c>
      <c r="UC2" s="966">
        <f>SUMIF(Daily!3:3,Table!UC1,Daily!7:8)</f>
        <v>91.429199999999994</v>
      </c>
      <c r="UD2" s="966">
        <f>SUMIF(Daily!3:3,Table!UD1,Daily!7:8)</f>
        <v>92.696200000000005</v>
      </c>
      <c r="UE2" s="966">
        <f>SUMIF(Daily!3:3,Table!UE1,Daily!7:8)</f>
        <v>92.92</v>
      </c>
      <c r="UF2" s="966">
        <v>92.388000000000005</v>
      </c>
      <c r="UG2" s="966">
        <v>92.712599999999995</v>
      </c>
      <c r="UH2" s="966">
        <v>93.222099999999998</v>
      </c>
      <c r="UI2" s="966">
        <v>93.358099999999993</v>
      </c>
      <c r="UJ2" s="966">
        <v>97.239400000000003</v>
      </c>
      <c r="UK2" s="966">
        <v>96.068600000000004</v>
      </c>
      <c r="UL2" s="966">
        <v>96.102099999999993</v>
      </c>
      <c r="UM2" s="966">
        <v>97.149000000000001</v>
      </c>
      <c r="UN2" s="966">
        <v>96.591800000000006</v>
      </c>
      <c r="UO2" s="966">
        <v>96.637900000000002</v>
      </c>
      <c r="UP2" s="966">
        <v>96.740200000000002</v>
      </c>
      <c r="UQ2" s="966">
        <v>97.326099999999997</v>
      </c>
      <c r="UR2" s="966">
        <v>97.022599999999997</v>
      </c>
      <c r="US2" s="966">
        <v>97.440200000000004</v>
      </c>
      <c r="UT2" s="966">
        <v>97.549899999999994</v>
      </c>
      <c r="UU2" s="966">
        <v>98.072599999999994</v>
      </c>
      <c r="UV2" s="966">
        <v>97.954999999999998</v>
      </c>
      <c r="UW2" s="966">
        <v>97.9559</v>
      </c>
      <c r="UX2" s="966">
        <v>98.365700000000004</v>
      </c>
      <c r="UY2" s="966">
        <v>99.997</v>
      </c>
      <c r="UZ2" s="966">
        <v>100.0348</v>
      </c>
      <c r="VA2" s="966">
        <v>100.2192</v>
      </c>
      <c r="VB2" s="966">
        <v>103.7908</v>
      </c>
      <c r="VC2" s="966">
        <v>109.5782</v>
      </c>
      <c r="VD2" s="966">
        <v>107.7409</v>
      </c>
      <c r="VE2" s="966">
        <v>107.1758</v>
      </c>
      <c r="VF2" s="966">
        <v>103.3837</v>
      </c>
      <c r="VG2" s="966">
        <v>103.27070000000001</v>
      </c>
      <c r="VH2" s="966">
        <v>103.43049999999999</v>
      </c>
      <c r="VI2" s="966">
        <v>102.77630000000001</v>
      </c>
      <c r="VJ2" s="966">
        <v>102.3438</v>
      </c>
      <c r="VK2" s="966">
        <v>99.612499999999997</v>
      </c>
      <c r="VL2" s="966">
        <v>101.6797</v>
      </c>
      <c r="VM2" s="966">
        <v>101.91459999999999</v>
      </c>
      <c r="VN2" s="966">
        <v>102.7081</v>
      </c>
      <c r="VO2" s="966">
        <v>102.3762</v>
      </c>
      <c r="VP2" s="966">
        <v>102.41370000000001</v>
      </c>
      <c r="VQ2" s="966">
        <v>99.928200000000004</v>
      </c>
      <c r="VR2" s="966">
        <v>98.263599999999997</v>
      </c>
      <c r="VS2" s="966">
        <v>98.012600000000006</v>
      </c>
      <c r="VT2" s="966">
        <v>99.943299999999994</v>
      </c>
      <c r="VU2" s="966">
        <v>98.533600000000007</v>
      </c>
      <c r="VV2" s="966">
        <v>96.910399999999996</v>
      </c>
      <c r="VW2" s="966">
        <v>97.276200000000003</v>
      </c>
      <c r="VX2" s="966">
        <v>91.031300000000002</v>
      </c>
      <c r="VY2" s="966">
        <v>91.434700000000007</v>
      </c>
      <c r="VZ2" s="966">
        <v>90.4268</v>
      </c>
      <c r="WA2" s="966">
        <v>88.167599999999993</v>
      </c>
      <c r="WB2" s="966">
        <v>86.631799999999998</v>
      </c>
      <c r="WC2" s="966">
        <v>87.696700000000007</v>
      </c>
      <c r="WD2" s="966">
        <v>89.244799999999998</v>
      </c>
      <c r="WE2" s="966">
        <v>88.387200000000007</v>
      </c>
      <c r="WF2" s="966">
        <v>86.566900000000004</v>
      </c>
      <c r="WG2" s="966">
        <v>85.569400000000002</v>
      </c>
      <c r="WH2" s="966">
        <v>81.501800000000003</v>
      </c>
      <c r="WI2" s="966">
        <v>82.848699999999994</v>
      </c>
      <c r="WJ2" s="966">
        <v>84.64</v>
      </c>
      <c r="WK2" s="966">
        <v>84.192999999999998</v>
      </c>
      <c r="WL2" s="966">
        <v>84.206500000000005</v>
      </c>
      <c r="WM2" s="966">
        <v>83.834699999999998</v>
      </c>
      <c r="WN2" s="966">
        <v>85.496300000000005</v>
      </c>
      <c r="WO2" s="966">
        <v>84.552199999999999</v>
      </c>
      <c r="WP2" s="966">
        <v>84.2774</v>
      </c>
      <c r="WQ2" s="966">
        <v>85.464100000000002</v>
      </c>
      <c r="WR2" s="966">
        <f>SUMIF(Daily!3:3,Table!WR1,Daily!7:8)</f>
        <v>84.004000000000005</v>
      </c>
      <c r="WS2" s="966">
        <f>SUMIF(Daily!3:3,Table!WS1,Daily!7:8)</f>
        <v>80.759699999999995</v>
      </c>
      <c r="WT2" s="966">
        <f>SUMIF(Daily!3:3,Table!WT1,Daily!7:8)</f>
        <v>81.462000000000003</v>
      </c>
      <c r="WU2" s="966">
        <f>SUMIF(Daily!3:3,Table!WU1,Daily!7:8)</f>
        <v>82.363699999999994</v>
      </c>
      <c r="WV2" s="966">
        <f>SUMIF(Daily!3:3,Table!WV1,Daily!7:8)</f>
        <v>82.855900000000005</v>
      </c>
      <c r="WW2" s="966">
        <v>82.654899999999998</v>
      </c>
      <c r="WX2" s="966">
        <v>81.561599999999999</v>
      </c>
      <c r="WY2" s="966">
        <v>81.493300000000005</v>
      </c>
      <c r="WZ2" s="966">
        <v>81.913700000000006</v>
      </c>
      <c r="XA2" s="966">
        <v>80.964399999999998</v>
      </c>
      <c r="XB2" s="966">
        <v>80.861199999999997</v>
      </c>
      <c r="XC2" s="966">
        <v>80.888300000000001</v>
      </c>
      <c r="XD2" s="966">
        <v>80.223699999999994</v>
      </c>
      <c r="XE2" s="966">
        <v>80.413700000000006</v>
      </c>
      <c r="XF2" s="966">
        <v>79.753</v>
      </c>
      <c r="XG2" s="966">
        <v>79.710800000000006</v>
      </c>
      <c r="XH2" s="966">
        <v>79.658799999999999</v>
      </c>
      <c r="XI2" s="966">
        <v>79.128500000000003</v>
      </c>
      <c r="XJ2" s="966">
        <v>78.854900000000001</v>
      </c>
      <c r="XK2" s="966">
        <v>79.127200000000002</v>
      </c>
      <c r="XL2" s="966">
        <v>79.170299999999997</v>
      </c>
      <c r="XM2" s="966">
        <v>79.002799999999993</v>
      </c>
      <c r="XN2" s="966">
        <v>78.506699999999995</v>
      </c>
      <c r="XO2" s="966">
        <v>78.713499999999996</v>
      </c>
      <c r="XP2" s="966">
        <v>78.292299999999997</v>
      </c>
      <c r="XQ2" s="966">
        <v>78.468500000000006</v>
      </c>
      <c r="XR2" s="966">
        <v>78.418099999999995</v>
      </c>
      <c r="XS2" s="966">
        <v>78.783100000000005</v>
      </c>
      <c r="XT2" s="966">
        <v>78.835400000000007</v>
      </c>
      <c r="XU2" s="966">
        <v>78.718500000000006</v>
      </c>
      <c r="XV2" s="966">
        <v>78.168199999999999</v>
      </c>
      <c r="XW2" s="966">
        <v>78.172700000000006</v>
      </c>
      <c r="XX2" s="966">
        <v>77.902900000000002</v>
      </c>
      <c r="XY2" s="966">
        <v>78.372200000000007</v>
      </c>
      <c r="XZ2" s="966">
        <v>78.185599999999994</v>
      </c>
      <c r="YA2" s="966">
        <v>78.312899999999999</v>
      </c>
      <c r="YB2" s="966">
        <v>78.088200000000001</v>
      </c>
      <c r="YC2" s="966">
        <v>78.862300000000005</v>
      </c>
      <c r="YD2" s="966">
        <v>82.219700000000003</v>
      </c>
      <c r="YE2" s="966">
        <v>80.316299999999998</v>
      </c>
      <c r="YF2" s="966">
        <v>80.049000000000007</v>
      </c>
      <c r="YG2" s="966">
        <v>80.191400000000002</v>
      </c>
      <c r="YH2" s="966">
        <f>SUMIF(Daily!3:3,Table!YH1,Daily!7:8)</f>
        <v>79.779600000000002</v>
      </c>
    </row>
    <row r="3" spans="2:658" s="943" customFormat="1">
      <c r="B3" s="915" t="s">
        <v>64</v>
      </c>
      <c r="C3" s="128">
        <f t="shared" ref="C3:BN3" si="1">C11+C25+C43+C49</f>
        <v>2656.0542379894741</v>
      </c>
      <c r="D3" s="128">
        <f t="shared" si="1"/>
        <v>2160.3650148193374</v>
      </c>
      <c r="E3" s="128">
        <f t="shared" si="1"/>
        <v>2254.711113483781</v>
      </c>
      <c r="F3" s="128">
        <f t="shared" si="1"/>
        <v>2193.2329185537401</v>
      </c>
      <c r="G3" s="128">
        <f t="shared" si="1"/>
        <v>2335.6571495981934</v>
      </c>
      <c r="H3" s="128">
        <f t="shared" si="1"/>
        <v>2091.4242172410832</v>
      </c>
      <c r="I3" s="128">
        <f t="shared" si="1"/>
        <v>2041.0041948938976</v>
      </c>
      <c r="J3" s="128">
        <f t="shared" si="1"/>
        <v>2194.5064289329557</v>
      </c>
      <c r="K3" s="128">
        <f t="shared" si="1"/>
        <v>2326.6062259256651</v>
      </c>
      <c r="L3" s="128">
        <f t="shared" si="1"/>
        <v>2793.7335134899076</v>
      </c>
      <c r="M3" s="128">
        <f t="shared" si="1"/>
        <v>2725.7738515818055</v>
      </c>
      <c r="N3" s="128">
        <f t="shared" si="1"/>
        <v>2347.5066282757648</v>
      </c>
      <c r="O3" s="128">
        <f t="shared" si="1"/>
        <v>2206.518214492326</v>
      </c>
      <c r="P3" s="128">
        <f t="shared" si="1"/>
        <v>2305.0899944608227</v>
      </c>
      <c r="Q3" s="128">
        <f t="shared" si="1"/>
        <v>2462.7572930857386</v>
      </c>
      <c r="R3" s="128">
        <f t="shared" si="1"/>
        <v>2517.6939524600002</v>
      </c>
      <c r="S3" s="128">
        <f t="shared" si="1"/>
        <v>2264.46315151</v>
      </c>
      <c r="T3" s="128">
        <f t="shared" si="1"/>
        <v>2604.53311093</v>
      </c>
      <c r="U3" s="128">
        <f t="shared" si="1"/>
        <v>2330.1806923099998</v>
      </c>
      <c r="V3" s="128">
        <f t="shared" si="1"/>
        <v>2502.1028940699994</v>
      </c>
      <c r="W3" s="128">
        <f t="shared" si="1"/>
        <v>2399.8628325099999</v>
      </c>
      <c r="X3" s="128">
        <f t="shared" si="1"/>
        <v>2226.3747733800001</v>
      </c>
      <c r="Y3" s="128">
        <f t="shared" si="1"/>
        <v>2723.0382774700001</v>
      </c>
      <c r="Z3" s="128">
        <f t="shared" si="1"/>
        <v>2873.10823308</v>
      </c>
      <c r="AA3" s="128">
        <f t="shared" si="1"/>
        <v>2931.0647882500002</v>
      </c>
      <c r="AB3" s="128">
        <f t="shared" si="1"/>
        <v>3241.7755945499998</v>
      </c>
      <c r="AC3" s="128">
        <f t="shared" si="1"/>
        <v>3117.4704035200002</v>
      </c>
      <c r="AD3" s="128">
        <f t="shared" si="1"/>
        <v>3047.1237627900005</v>
      </c>
      <c r="AE3" s="128">
        <f t="shared" si="1"/>
        <v>2808.5165455699998</v>
      </c>
      <c r="AF3" s="128">
        <f t="shared" si="1"/>
        <v>2774.4456011900002</v>
      </c>
      <c r="AG3" s="128">
        <f t="shared" si="1"/>
        <v>2952.0953944099992</v>
      </c>
      <c r="AH3" s="128">
        <f t="shared" si="1"/>
        <v>3079.7027568600001</v>
      </c>
      <c r="AI3" s="128">
        <f t="shared" si="1"/>
        <v>3011.8238229299996</v>
      </c>
      <c r="AJ3" s="128">
        <f t="shared" si="1"/>
        <v>3390.6525859499998</v>
      </c>
      <c r="AK3" s="128">
        <f t="shared" si="1"/>
        <v>3416.4987173999998</v>
      </c>
      <c r="AL3" s="128">
        <f t="shared" si="1"/>
        <v>3231.0952767899994</v>
      </c>
      <c r="AM3" s="128">
        <f t="shared" si="1"/>
        <v>3267.4388030599998</v>
      </c>
      <c r="AN3" s="128">
        <f t="shared" si="1"/>
        <v>3261.31752482</v>
      </c>
      <c r="AO3" s="128">
        <f t="shared" si="1"/>
        <v>3356.02262264</v>
      </c>
      <c r="AP3" s="128">
        <f t="shared" si="1"/>
        <v>3200.0128717499992</v>
      </c>
      <c r="AQ3" s="128">
        <f t="shared" si="1"/>
        <v>3209.87120934</v>
      </c>
      <c r="AR3" s="128">
        <f t="shared" si="1"/>
        <v>3230.8881298399997</v>
      </c>
      <c r="AS3" s="128">
        <f t="shared" si="1"/>
        <v>3758.7039195899997</v>
      </c>
      <c r="AT3" s="128">
        <f t="shared" si="1"/>
        <v>3894.85606753</v>
      </c>
      <c r="AU3" s="128">
        <f t="shared" si="1"/>
        <v>4009.4064315399996</v>
      </c>
      <c r="AV3" s="128">
        <f t="shared" si="1"/>
        <v>4009.3948321180001</v>
      </c>
      <c r="AW3" s="128">
        <f t="shared" si="1"/>
        <v>3920.8383121999996</v>
      </c>
      <c r="AX3" s="128">
        <f t="shared" si="1"/>
        <v>3738.3455551900006</v>
      </c>
      <c r="AY3" s="128">
        <f t="shared" si="1"/>
        <v>4100.4959685550002</v>
      </c>
      <c r="AZ3" s="128">
        <f t="shared" si="1"/>
        <v>4154.5649121999995</v>
      </c>
      <c r="BA3" s="128">
        <f t="shared" si="1"/>
        <v>4140.0567820900005</v>
      </c>
      <c r="BB3" s="128">
        <f t="shared" si="1"/>
        <v>4169.22135979</v>
      </c>
      <c r="BC3" s="128">
        <f t="shared" si="1"/>
        <v>4619.0020324400002</v>
      </c>
      <c r="BD3" s="128">
        <f t="shared" si="1"/>
        <v>4294.2664261219998</v>
      </c>
      <c r="BE3" s="128">
        <f t="shared" si="1"/>
        <v>3466.9658978490002</v>
      </c>
      <c r="BF3" s="128">
        <f t="shared" si="1"/>
        <v>3438.3782229900003</v>
      </c>
      <c r="BG3" s="128">
        <f t="shared" si="1"/>
        <v>3547.186641960001</v>
      </c>
      <c r="BH3" s="128">
        <f t="shared" si="1"/>
        <v>2306.9000835399997</v>
      </c>
      <c r="BI3" s="128">
        <f t="shared" si="1"/>
        <v>2438.8599590499998</v>
      </c>
      <c r="BJ3" s="128">
        <f t="shared" si="1"/>
        <v>2619.0754421099996</v>
      </c>
      <c r="BK3" s="128">
        <f t="shared" si="1"/>
        <v>1761.4006060299998</v>
      </c>
      <c r="BL3" s="128">
        <f t="shared" si="1"/>
        <v>1390.6998364599999</v>
      </c>
      <c r="BM3" s="128">
        <f t="shared" si="1"/>
        <v>1473.6102145699999</v>
      </c>
      <c r="BN3" s="128">
        <f t="shared" si="1"/>
        <v>2007.5590871899999</v>
      </c>
      <c r="BO3" s="128">
        <f t="shared" ref="BO3:DZ3" si="2">BO11+BO25+BO43+BO49</f>
        <v>1406.4541317099997</v>
      </c>
      <c r="BP3" s="128">
        <f t="shared" si="2"/>
        <v>1374.29127307</v>
      </c>
      <c r="BQ3" s="128">
        <f t="shared" si="2"/>
        <v>1339.26431118</v>
      </c>
      <c r="BR3" s="128">
        <f t="shared" si="2"/>
        <v>1377.7562115030003</v>
      </c>
      <c r="BS3" s="128">
        <f t="shared" si="2"/>
        <v>1540.6242190630001</v>
      </c>
      <c r="BT3" s="128">
        <f t="shared" si="2"/>
        <v>3874.1033574600006</v>
      </c>
      <c r="BU3" s="128">
        <f t="shared" si="2"/>
        <v>1659.9167606200003</v>
      </c>
      <c r="BV3" s="128">
        <f t="shared" si="2"/>
        <v>3717.1826100899998</v>
      </c>
      <c r="BW3" s="128">
        <f t="shared" si="2"/>
        <v>1444.419838772</v>
      </c>
      <c r="BX3" s="128">
        <f t="shared" si="2"/>
        <v>1670.2791097299996</v>
      </c>
      <c r="BY3" s="128">
        <f t="shared" si="2"/>
        <v>1486.3464802799999</v>
      </c>
      <c r="BZ3" s="128">
        <f t="shared" si="2"/>
        <v>1527.1219980100002</v>
      </c>
      <c r="CA3" s="128">
        <f t="shared" si="2"/>
        <v>1588.6381570700003</v>
      </c>
      <c r="CB3" s="128">
        <f t="shared" si="2"/>
        <v>1795.8717071800002</v>
      </c>
      <c r="CC3" s="128">
        <f t="shared" si="2"/>
        <v>1695.7213252900001</v>
      </c>
      <c r="CD3" s="128">
        <f t="shared" si="2"/>
        <v>1709.4653562800004</v>
      </c>
      <c r="CE3" s="128">
        <f t="shared" si="2"/>
        <v>2337.6735673800003</v>
      </c>
      <c r="CF3" s="128">
        <f t="shared" si="2"/>
        <v>2269.4754592200002</v>
      </c>
      <c r="CG3" s="128">
        <f t="shared" si="2"/>
        <v>1923.3786079000001</v>
      </c>
      <c r="CH3" s="128">
        <f t="shared" si="2"/>
        <v>2080.4294105300005</v>
      </c>
      <c r="CI3" s="128">
        <f t="shared" si="2"/>
        <v>1988.2368316300003</v>
      </c>
      <c r="CJ3" s="128">
        <f t="shared" si="2"/>
        <v>1985.6971861289999</v>
      </c>
      <c r="CK3" s="128">
        <f t="shared" si="2"/>
        <v>2103.0732395099999</v>
      </c>
      <c r="CL3" s="128">
        <f t="shared" si="2"/>
        <v>2136.9367820000002</v>
      </c>
      <c r="CM3" s="128">
        <f t="shared" si="2"/>
        <v>2315.3038116199996</v>
      </c>
      <c r="CN3" s="128">
        <f t="shared" si="2"/>
        <v>2393.2005354799999</v>
      </c>
      <c r="CO3" s="128">
        <f t="shared" si="2"/>
        <v>2338.6405091300003</v>
      </c>
      <c r="CP3" s="128">
        <f t="shared" si="2"/>
        <v>2445.6596899199999</v>
      </c>
      <c r="CQ3" s="128">
        <f t="shared" si="2"/>
        <v>2404.9027376700001</v>
      </c>
      <c r="CR3" s="128">
        <f t="shared" si="2"/>
        <v>2489.9213861800004</v>
      </c>
      <c r="CS3" s="128">
        <f t="shared" si="2"/>
        <v>2519.9753442400001</v>
      </c>
      <c r="CT3" s="128">
        <f t="shared" si="2"/>
        <v>2548.7332094200005</v>
      </c>
      <c r="CU3" s="128">
        <f t="shared" si="2"/>
        <v>2470.5282166500006</v>
      </c>
      <c r="CV3" s="128">
        <f t="shared" si="2"/>
        <v>2481.8229559800002</v>
      </c>
      <c r="CW3" s="128">
        <f t="shared" si="2"/>
        <v>2803.89011467</v>
      </c>
      <c r="CX3" s="128">
        <f t="shared" si="2"/>
        <v>2850.2245572600004</v>
      </c>
      <c r="CY3" s="128">
        <f t="shared" si="2"/>
        <v>2723.0893857900001</v>
      </c>
      <c r="CZ3" s="128">
        <f t="shared" si="2"/>
        <v>2903.0930649699999</v>
      </c>
      <c r="DA3" s="128">
        <f t="shared" si="2"/>
        <v>3078.6325447299996</v>
      </c>
      <c r="DB3" s="128">
        <f t="shared" si="2"/>
        <v>3071.9688538599999</v>
      </c>
      <c r="DC3" s="128">
        <f t="shared" si="2"/>
        <v>3049.6153286500003</v>
      </c>
      <c r="DD3" s="128">
        <f t="shared" si="2"/>
        <v>3519.6260538300003</v>
      </c>
      <c r="DE3" s="128">
        <f t="shared" si="2"/>
        <v>2980.57790596</v>
      </c>
      <c r="DF3" s="128">
        <f t="shared" si="2"/>
        <v>3316.2277986700001</v>
      </c>
      <c r="DG3" s="128">
        <f t="shared" si="2"/>
        <v>3283.4925009500002</v>
      </c>
      <c r="DH3" s="128">
        <f t="shared" si="2"/>
        <v>3247.05407053</v>
      </c>
      <c r="DI3" s="128">
        <f t="shared" si="2"/>
        <v>3139.6594733700003</v>
      </c>
      <c r="DJ3" s="128">
        <f t="shared" si="2"/>
        <v>2991.4540742100003</v>
      </c>
      <c r="DK3" s="128">
        <f t="shared" si="2"/>
        <v>3088.4082119199998</v>
      </c>
      <c r="DL3" s="128">
        <f t="shared" si="2"/>
        <v>3314.9083248699999</v>
      </c>
      <c r="DM3" s="128">
        <f t="shared" si="2"/>
        <v>3284.1293765800001</v>
      </c>
      <c r="DN3" s="128">
        <f t="shared" si="2"/>
        <v>3223.8297105200004</v>
      </c>
      <c r="DO3" s="128">
        <f t="shared" si="2"/>
        <v>3127.6889868200001</v>
      </c>
      <c r="DP3" s="128">
        <f t="shared" si="2"/>
        <v>3255.2880877600005</v>
      </c>
      <c r="DQ3" s="128">
        <f t="shared" si="2"/>
        <v>3101.9379925399999</v>
      </c>
      <c r="DR3" s="128">
        <f t="shared" si="2"/>
        <v>3180.70820658</v>
      </c>
      <c r="DS3" s="128">
        <f t="shared" si="2"/>
        <v>3061.1765746000001</v>
      </c>
      <c r="DT3" s="128">
        <f t="shared" si="2"/>
        <v>3187.48170682</v>
      </c>
      <c r="DU3" s="128">
        <f t="shared" si="2"/>
        <v>2105.0577169999997</v>
      </c>
      <c r="DV3" s="128">
        <f t="shared" si="2"/>
        <v>2580.0157290199995</v>
      </c>
      <c r="DW3" s="128">
        <f t="shared" si="2"/>
        <v>2730.5897186700004</v>
      </c>
      <c r="DX3" s="128">
        <f t="shared" si="2"/>
        <v>3212.8960168399994</v>
      </c>
      <c r="DY3" s="128">
        <f t="shared" si="2"/>
        <v>2994.7378243199992</v>
      </c>
      <c r="DZ3" s="128">
        <f t="shared" si="2"/>
        <v>2840.5118018899998</v>
      </c>
      <c r="EA3" s="128">
        <f t="shared" ref="EA3:GL3" si="3">EA11+EA25+EA43+EA49</f>
        <v>3142.9532441299998</v>
      </c>
      <c r="EB3" s="128">
        <f t="shared" si="3"/>
        <v>3264.6713334399992</v>
      </c>
      <c r="EC3" s="128">
        <f t="shared" si="3"/>
        <v>3109.8517039299995</v>
      </c>
      <c r="ED3" s="128">
        <f t="shared" si="3"/>
        <v>2937.8431184499996</v>
      </c>
      <c r="EE3" s="128">
        <f t="shared" si="3"/>
        <v>2871.4981213900001</v>
      </c>
      <c r="EF3" s="128">
        <f t="shared" si="3"/>
        <v>2774.0461178999999</v>
      </c>
      <c r="EG3" s="128">
        <f t="shared" si="3"/>
        <v>3024.18936764</v>
      </c>
      <c r="EH3" s="128">
        <f t="shared" si="3"/>
        <v>2932.1454846700003</v>
      </c>
      <c r="EI3" s="128">
        <f t="shared" si="3"/>
        <v>2856.5592860400002</v>
      </c>
      <c r="EJ3" s="128">
        <f t="shared" si="3"/>
        <v>2824.44512549</v>
      </c>
      <c r="EK3" s="128">
        <f t="shared" si="3"/>
        <v>2993.9903298999998</v>
      </c>
      <c r="EL3" s="128">
        <f t="shared" si="3"/>
        <v>3089.9253931400003</v>
      </c>
      <c r="EM3" s="128">
        <f t="shared" si="3"/>
        <v>3576.6875737699997</v>
      </c>
      <c r="EN3" s="128">
        <f t="shared" si="3"/>
        <v>2900.1612068400004</v>
      </c>
      <c r="EO3" s="128">
        <f t="shared" si="3"/>
        <v>3027.3723985500001</v>
      </c>
      <c r="EP3" s="128">
        <f t="shared" si="3"/>
        <v>3025.6266101299998</v>
      </c>
      <c r="EQ3" s="128">
        <f t="shared" si="3"/>
        <v>2827.4724960799999</v>
      </c>
      <c r="ER3" s="128">
        <f t="shared" si="3"/>
        <v>2851.8504981999999</v>
      </c>
      <c r="ES3" s="128">
        <f t="shared" si="3"/>
        <v>3022.7348584899996</v>
      </c>
      <c r="ET3" s="128">
        <f t="shared" si="3"/>
        <v>3037.00749245</v>
      </c>
      <c r="EU3" s="128">
        <f t="shared" si="3"/>
        <v>3386.6357194699999</v>
      </c>
      <c r="EV3" s="128">
        <f t="shared" si="3"/>
        <v>3505.1079193600003</v>
      </c>
      <c r="EW3" s="128">
        <f t="shared" si="3"/>
        <v>3201.9085409899999</v>
      </c>
      <c r="EX3" s="128">
        <f t="shared" si="3"/>
        <v>3662.1199610599997</v>
      </c>
      <c r="EY3" s="128">
        <f t="shared" si="3"/>
        <v>3782.81148429</v>
      </c>
      <c r="EZ3" s="128">
        <f t="shared" si="3"/>
        <v>3893.7303364499994</v>
      </c>
      <c r="FA3" s="128">
        <f t="shared" si="3"/>
        <v>3924.8768721699998</v>
      </c>
      <c r="FB3" s="128">
        <f t="shared" si="3"/>
        <v>3963.1621915300002</v>
      </c>
      <c r="FC3" s="128">
        <f t="shared" si="3"/>
        <v>3917.7239679700001</v>
      </c>
      <c r="FD3" s="128">
        <f t="shared" si="3"/>
        <v>4141.0448108099999</v>
      </c>
      <c r="FE3" s="128">
        <f t="shared" si="3"/>
        <v>4098.3264569399998</v>
      </c>
      <c r="FF3" s="128">
        <f t="shared" si="3"/>
        <v>4013.52937152</v>
      </c>
      <c r="FG3" s="128">
        <f t="shared" si="3"/>
        <v>4110.3856859500002</v>
      </c>
      <c r="FH3" s="128">
        <f t="shared" si="3"/>
        <v>4431.6635905700005</v>
      </c>
      <c r="FI3" s="128">
        <f t="shared" si="3"/>
        <v>4192.3284972399997</v>
      </c>
      <c r="FJ3" s="128">
        <f t="shared" si="3"/>
        <v>4770.7607303900004</v>
      </c>
      <c r="FK3" s="128">
        <f t="shared" si="3"/>
        <v>4409.826829040001</v>
      </c>
      <c r="FL3" s="128">
        <f t="shared" si="3"/>
        <v>3850.1900019800005</v>
      </c>
      <c r="FM3" s="128">
        <f t="shared" si="3"/>
        <v>3927.7619328800001</v>
      </c>
      <c r="FN3" s="128">
        <f t="shared" si="3"/>
        <v>4113.7889155699995</v>
      </c>
      <c r="FO3" s="128">
        <f t="shared" si="3"/>
        <v>4103.1369987899998</v>
      </c>
      <c r="FP3" s="128">
        <f t="shared" si="3"/>
        <v>4060.4085628000003</v>
      </c>
      <c r="FQ3" s="128">
        <f t="shared" si="3"/>
        <v>3813.9011358200005</v>
      </c>
      <c r="FR3" s="128">
        <f t="shared" si="3"/>
        <v>3854.5876098000003</v>
      </c>
      <c r="FS3" s="128">
        <f t="shared" si="3"/>
        <v>3990.0107552900004</v>
      </c>
      <c r="FT3" s="128">
        <f t="shared" si="3"/>
        <v>3975.9276023500001</v>
      </c>
      <c r="FU3" s="128">
        <f t="shared" si="3"/>
        <v>4228.91425127</v>
      </c>
      <c r="FV3" s="128">
        <f t="shared" si="3"/>
        <v>3740.2283376</v>
      </c>
      <c r="FW3" s="128">
        <f t="shared" si="3"/>
        <v>3974.3176382300003</v>
      </c>
      <c r="FX3" s="128">
        <f t="shared" si="3"/>
        <v>3958.1023568299993</v>
      </c>
      <c r="FY3" s="128">
        <f t="shared" si="3"/>
        <v>4017.38162001</v>
      </c>
      <c r="FZ3" s="128">
        <f t="shared" si="3"/>
        <v>3953.3108888799998</v>
      </c>
      <c r="GA3" s="128">
        <f t="shared" si="3"/>
        <v>3678.2505752400002</v>
      </c>
      <c r="GB3" s="128">
        <f t="shared" si="3"/>
        <v>3944.0717821999997</v>
      </c>
      <c r="GC3" s="128">
        <f t="shared" si="3"/>
        <v>3944.2748742000003</v>
      </c>
      <c r="GD3" s="128">
        <f t="shared" si="3"/>
        <v>5893.4938684899998</v>
      </c>
      <c r="GE3" s="128">
        <f t="shared" si="3"/>
        <v>5856.6743208700009</v>
      </c>
      <c r="GF3" s="128">
        <f t="shared" si="3"/>
        <v>5084.7494792400003</v>
      </c>
      <c r="GG3" s="128">
        <f t="shared" si="3"/>
        <v>3797.9708462400004</v>
      </c>
      <c r="GH3" s="128">
        <f t="shared" si="3"/>
        <v>3792.8507489100002</v>
      </c>
      <c r="GI3" s="128">
        <f t="shared" si="3"/>
        <v>3572.0921625500005</v>
      </c>
      <c r="GJ3" s="128">
        <f t="shared" si="3"/>
        <v>3006.2369950599996</v>
      </c>
      <c r="GK3" s="128">
        <f t="shared" si="3"/>
        <v>3115.2906187800004</v>
      </c>
      <c r="GL3" s="128">
        <f t="shared" si="3"/>
        <v>3049.7525693899997</v>
      </c>
      <c r="GM3" s="128">
        <f t="shared" ref="GM3:HM3" si="4">GM11+GM25+GM43+GM49</f>
        <v>3063.5302972799996</v>
      </c>
      <c r="GN3" s="128">
        <f t="shared" si="4"/>
        <v>3189.0815519799999</v>
      </c>
      <c r="GO3" s="128">
        <f t="shared" si="4"/>
        <v>3184.8671352299998</v>
      </c>
      <c r="GP3" s="128">
        <f t="shared" si="4"/>
        <v>2890.2995179199997</v>
      </c>
      <c r="GQ3" s="128">
        <f t="shared" si="4"/>
        <v>2657.0091491699995</v>
      </c>
      <c r="GR3" s="128">
        <f t="shared" si="4"/>
        <v>2628.8497582199998</v>
      </c>
      <c r="GS3" s="128">
        <f t="shared" si="4"/>
        <v>2990.4150359</v>
      </c>
      <c r="GT3" s="128">
        <f t="shared" si="4"/>
        <v>2812.6595247369996</v>
      </c>
      <c r="GU3" s="128">
        <f t="shared" si="4"/>
        <v>2934.1892410799996</v>
      </c>
      <c r="GV3" s="128">
        <f t="shared" si="4"/>
        <v>2834.3345511799994</v>
      </c>
      <c r="GW3" s="128">
        <f t="shared" si="4"/>
        <v>2898.7802528399998</v>
      </c>
      <c r="GX3" s="128">
        <f t="shared" si="4"/>
        <v>2655.6502589900001</v>
      </c>
      <c r="GY3" s="128">
        <f t="shared" si="4"/>
        <v>2867.8908762900001</v>
      </c>
      <c r="GZ3" s="128">
        <f t="shared" si="4"/>
        <v>3205.5793985199994</v>
      </c>
      <c r="HA3" s="128">
        <f t="shared" si="4"/>
        <v>3517.3712518100001</v>
      </c>
      <c r="HB3" s="128">
        <f t="shared" si="4"/>
        <v>3642.72244735</v>
      </c>
      <c r="HC3" s="128">
        <f t="shared" si="4"/>
        <v>2584.9292436800001</v>
      </c>
      <c r="HD3" s="128">
        <f t="shared" si="4"/>
        <v>2872.4067813999995</v>
      </c>
      <c r="HE3" s="128">
        <f t="shared" si="4"/>
        <v>2650.1024180100003</v>
      </c>
      <c r="HF3" s="128">
        <f t="shared" si="4"/>
        <v>2449.2593589200001</v>
      </c>
      <c r="HG3" s="128">
        <f t="shared" si="4"/>
        <v>3297.9388875</v>
      </c>
      <c r="HH3" s="128">
        <f t="shared" si="4"/>
        <v>2304.27847965</v>
      </c>
      <c r="HI3" s="128">
        <f t="shared" si="4"/>
        <v>2813.2192583300002</v>
      </c>
      <c r="HJ3" s="128">
        <f t="shared" si="4"/>
        <v>2769.1289432499998</v>
      </c>
      <c r="HK3" s="128">
        <f t="shared" si="4"/>
        <v>2866.8231364900003</v>
      </c>
      <c r="HL3" s="128">
        <f t="shared" si="4"/>
        <v>2999.0232639400001</v>
      </c>
      <c r="HM3" s="128">
        <f t="shared" si="4"/>
        <v>2878.5097508399995</v>
      </c>
      <c r="HN3" s="128">
        <v>3012.9385197900001</v>
      </c>
      <c r="HO3" s="128">
        <v>4015.7802949378079</v>
      </c>
      <c r="HP3" s="128">
        <v>3775.8482729378075</v>
      </c>
      <c r="HQ3" s="128">
        <v>2938.5982302078078</v>
      </c>
      <c r="HR3" s="128">
        <f>HR11+HR25+HR43+HR49</f>
        <v>3227.3339655178074</v>
      </c>
      <c r="HS3" s="128">
        <f>HS11+HS25+HS43+HS49</f>
        <v>3263.8143080878076</v>
      </c>
      <c r="HT3" s="128">
        <f>HT11+HT25+HT43+HT49</f>
        <v>2614.1192355278072</v>
      </c>
      <c r="HU3" s="128">
        <f>HU11+HU25+HU43+HU49</f>
        <v>2720.7156937878071</v>
      </c>
      <c r="HV3" s="128">
        <v>2695.4951662778071</v>
      </c>
      <c r="HW3" s="128">
        <v>2654.1613482678072</v>
      </c>
      <c r="HX3" s="128">
        <v>3056.5113304778074</v>
      </c>
      <c r="HY3" s="128">
        <v>2825.1431003978073</v>
      </c>
      <c r="HZ3" s="128">
        <v>2525.3797231278072</v>
      </c>
      <c r="IA3" s="128">
        <v>2638.3906105378073</v>
      </c>
      <c r="IB3" s="128">
        <v>2641.7467257078074</v>
      </c>
      <c r="IC3" s="128">
        <v>2532.357360571461</v>
      </c>
      <c r="ID3" s="128">
        <v>2543.0093634278078</v>
      </c>
      <c r="IE3" s="128">
        <v>2610.2124103378073</v>
      </c>
      <c r="IF3" s="128">
        <v>2522.7165771378072</v>
      </c>
      <c r="IG3" s="128">
        <v>2775.1425849278075</v>
      </c>
      <c r="IH3" s="128">
        <v>2761.0287897078074</v>
      </c>
      <c r="II3" s="128">
        <v>2729.3459282878071</v>
      </c>
      <c r="IJ3" s="128">
        <v>2791.6442930778071</v>
      </c>
      <c r="IK3" s="128">
        <v>3372.100791857808</v>
      </c>
      <c r="IL3" s="128">
        <v>2911.074177947808</v>
      </c>
      <c r="IM3" s="128">
        <v>3103.2495064078075</v>
      </c>
      <c r="IN3" s="128">
        <v>2829.5521107978075</v>
      </c>
      <c r="IO3" s="128">
        <v>2602.2612554278071</v>
      </c>
      <c r="IP3" s="128">
        <v>2846.0170581578072</v>
      </c>
      <c r="IQ3" s="128">
        <v>2701.5536111778074</v>
      </c>
      <c r="IR3" s="128">
        <v>2733.6632636778072</v>
      </c>
      <c r="IS3" s="128">
        <v>2870.5473289978072</v>
      </c>
      <c r="IT3" s="128">
        <v>2973.1611467178077</v>
      </c>
      <c r="IU3" s="128">
        <v>3143.9762212678074</v>
      </c>
      <c r="IV3" s="128">
        <v>3163.6322117978075</v>
      </c>
      <c r="IW3" s="128">
        <v>3172.1595408478074</v>
      </c>
      <c r="IX3" s="128">
        <v>2994.2244888378073</v>
      </c>
      <c r="IY3" s="128">
        <f>IY11+IY25+IY43+IY49</f>
        <v>2966.4901153078072</v>
      </c>
      <c r="IZ3" s="128">
        <v>2886.6466078878075</v>
      </c>
      <c r="JA3" s="128">
        <v>3482.4927821578076</v>
      </c>
      <c r="JB3" s="128">
        <v>3357.4007654478073</v>
      </c>
      <c r="JC3" s="128">
        <v>4617.3957530578082</v>
      </c>
      <c r="JD3" s="128">
        <v>3502.4987469378079</v>
      </c>
      <c r="JE3" s="128">
        <v>3332.4354305878078</v>
      </c>
      <c r="JF3" s="128">
        <v>3507.3616147678076</v>
      </c>
      <c r="JG3" s="128">
        <v>3377.5144104778074</v>
      </c>
      <c r="JH3" s="128">
        <v>3276.8542448878075</v>
      </c>
      <c r="JI3" s="128">
        <v>3093.9458329878071</v>
      </c>
      <c r="JJ3" s="128">
        <v>3158.4189430078072</v>
      </c>
      <c r="JK3" s="128">
        <v>3353.4254426178077</v>
      </c>
      <c r="JL3" s="128">
        <v>3453.3136472278075</v>
      </c>
      <c r="JM3" s="128">
        <v>3675.4970996878073</v>
      </c>
      <c r="JN3" s="128">
        <v>4769.2039000378081</v>
      </c>
      <c r="JO3" s="128">
        <v>4775.0596870378076</v>
      </c>
      <c r="JP3" s="128">
        <v>5043.3899160278079</v>
      </c>
      <c r="JQ3" s="128">
        <v>4134.0093394778078</v>
      </c>
      <c r="JR3" s="128">
        <v>4144.9984925178069</v>
      </c>
      <c r="JS3" s="128">
        <f>JS11+JS25+JS43+JS49</f>
        <v>3653.5279986378073</v>
      </c>
      <c r="JT3" s="128">
        <v>4608.4635609978077</v>
      </c>
      <c r="JU3" s="128">
        <v>4612.6437971878067</v>
      </c>
      <c r="JV3" s="128">
        <v>4860.1897556978074</v>
      </c>
      <c r="JW3" s="128">
        <v>6098.5495343678067</v>
      </c>
      <c r="JX3" s="128">
        <v>4800.5256057578072</v>
      </c>
      <c r="JY3" s="128">
        <v>4532.7744012278072</v>
      </c>
      <c r="JZ3" s="128">
        <v>4861.4830854378088</v>
      </c>
      <c r="KA3" s="128">
        <v>5266.6927504599998</v>
      </c>
      <c r="KB3" s="128">
        <v>4971.9678869999998</v>
      </c>
      <c r="KC3" s="128">
        <v>4682.5577781299999</v>
      </c>
      <c r="KD3" s="128">
        <v>4646.4051441500005</v>
      </c>
      <c r="KE3" s="128">
        <v>4694.6093492800001</v>
      </c>
      <c r="KF3" s="128">
        <v>3545.4679569478076</v>
      </c>
      <c r="KG3" s="128">
        <v>4848.3691495100002</v>
      </c>
      <c r="KH3" s="128">
        <v>5026.9887300700011</v>
      </c>
      <c r="KI3" s="128">
        <v>4375.1024200800002</v>
      </c>
      <c r="KJ3" s="128">
        <f>KJ11+KJ25+KJ43+KJ49</f>
        <v>4399.1498903800002</v>
      </c>
      <c r="KK3" s="128">
        <v>4622.3595006799997</v>
      </c>
      <c r="KL3" s="128">
        <v>4705.976053379999</v>
      </c>
      <c r="KM3" s="128">
        <v>4582.7055946199998</v>
      </c>
      <c r="KN3" s="128">
        <v>4604.3061175800003</v>
      </c>
      <c r="KO3" s="128">
        <v>4717.4437856100003</v>
      </c>
      <c r="KP3" s="128">
        <v>5528.5082481700001</v>
      </c>
      <c r="KQ3" s="128">
        <v>4857.3967342999995</v>
      </c>
      <c r="KR3" s="128">
        <v>4817.3521984099998</v>
      </c>
      <c r="KS3" s="128">
        <f>KS11+KS25+KS43+KS49</f>
        <v>4735.0098955000003</v>
      </c>
      <c r="KT3" s="128">
        <v>4340.7057224700002</v>
      </c>
      <c r="KU3" s="128">
        <f>KU11+KU25+KU43+KU49</f>
        <v>4554.1229777600001</v>
      </c>
      <c r="KV3" s="128">
        <f>KV11+KV25+KV43+KV49</f>
        <v>4464.4602441600009</v>
      </c>
      <c r="KW3" s="128">
        <f>KW11+KW25+KW43+KW49</f>
        <v>4301.9528548800008</v>
      </c>
      <c r="KX3" s="128">
        <v>3652.9930550099998</v>
      </c>
      <c r="KY3" s="128">
        <v>4565.17022765</v>
      </c>
      <c r="KZ3" s="128">
        <v>4691.4188979200007</v>
      </c>
      <c r="LA3" s="128">
        <v>3974.7062432100001</v>
      </c>
      <c r="LB3" s="128">
        <v>4491.9303086400005</v>
      </c>
      <c r="LC3" s="128">
        <v>4634.4314868800002</v>
      </c>
      <c r="LD3" s="128">
        <v>5894.9863683200001</v>
      </c>
      <c r="LE3" s="128">
        <f>LE11+LE25+LE43+LE49</f>
        <v>5682.2858757200001</v>
      </c>
      <c r="LF3" s="967">
        <v>4965.3007610499999</v>
      </c>
      <c r="LG3" s="967">
        <v>4424.8087741299996</v>
      </c>
      <c r="LH3" s="967">
        <v>4753.3100027699993</v>
      </c>
      <c r="LI3" s="967">
        <v>4915.85856943</v>
      </c>
      <c r="LJ3" s="967">
        <v>4391.9211771999999</v>
      </c>
      <c r="LK3" s="967">
        <v>5262.86126522</v>
      </c>
      <c r="LL3" s="967">
        <v>4564.0540509199991</v>
      </c>
      <c r="LM3" s="967">
        <v>4620.71124702</v>
      </c>
      <c r="LN3" s="967">
        <v>4322.3401209200001</v>
      </c>
      <c r="LO3" s="967">
        <v>4086.4435788999999</v>
      </c>
      <c r="LP3" s="967">
        <v>3927.3019938300004</v>
      </c>
      <c r="LQ3" s="967">
        <v>4158.4119699699995</v>
      </c>
      <c r="LR3" s="967">
        <v>4561.7598407000005</v>
      </c>
      <c r="LS3" s="967">
        <v>4782.2854087400001</v>
      </c>
      <c r="LT3" s="967">
        <v>5038.7431606800001</v>
      </c>
      <c r="LU3" s="967">
        <v>4710.4738415899992</v>
      </c>
      <c r="LV3" s="967">
        <v>4037.3879675399999</v>
      </c>
      <c r="LW3" s="967">
        <v>3557.6579670899996</v>
      </c>
      <c r="LX3" s="967">
        <v>3346.9038180099997</v>
      </c>
      <c r="LY3" s="967">
        <v>3877.6669938999999</v>
      </c>
      <c r="LZ3" s="967">
        <v>3644.9509145500001</v>
      </c>
      <c r="MA3" s="967">
        <v>4075.9794682799998</v>
      </c>
      <c r="MB3" s="967">
        <v>3566.9980157999998</v>
      </c>
      <c r="MC3" s="967">
        <v>3969.2870914</v>
      </c>
      <c r="MD3" s="967">
        <v>3321.7448244400002</v>
      </c>
      <c r="ME3" s="967">
        <v>3503.43424207</v>
      </c>
      <c r="MF3" s="967">
        <v>3449.6112035200003</v>
      </c>
      <c r="MG3" s="967">
        <v>3504.5375047800007</v>
      </c>
      <c r="MH3" s="967">
        <v>4177.1452031900008</v>
      </c>
      <c r="MI3" s="967">
        <v>4154.6998035400002</v>
      </c>
      <c r="MJ3" s="967">
        <v>3659.4822430300005</v>
      </c>
      <c r="MK3" s="967">
        <v>3300.1082072899999</v>
      </c>
      <c r="ML3" s="967">
        <v>3579.6717556999997</v>
      </c>
      <c r="MM3" s="967">
        <v>3582.6528406999996</v>
      </c>
      <c r="MN3" s="967">
        <v>3417.05722569</v>
      </c>
      <c r="MO3" s="967">
        <v>3087.0620059999997</v>
      </c>
      <c r="MP3" s="967">
        <v>3075.2729133899998</v>
      </c>
      <c r="MQ3" s="967">
        <v>2646.94845227</v>
      </c>
      <c r="MR3" s="967">
        <v>2645.5052005699999</v>
      </c>
      <c r="MS3" s="967">
        <v>2830.02421185</v>
      </c>
      <c r="MT3" s="967">
        <v>3160.1143589000003</v>
      </c>
      <c r="MU3" s="967">
        <v>2959.5120705899999</v>
      </c>
      <c r="MV3" s="967">
        <v>2935.8060910999998</v>
      </c>
      <c r="MW3" s="967">
        <v>3194.3135627399997</v>
      </c>
      <c r="MX3" s="967">
        <v>3349.0621352599996</v>
      </c>
      <c r="MY3" s="967">
        <v>3414.6816006399995</v>
      </c>
      <c r="MZ3" s="967">
        <v>3286.8648464299999</v>
      </c>
      <c r="NA3" s="967">
        <v>3239.0960201899998</v>
      </c>
      <c r="NB3" s="967">
        <v>3633.5582413700004</v>
      </c>
      <c r="NC3" s="967">
        <v>3294.2371755100003</v>
      </c>
      <c r="ND3" s="967">
        <v>3299.0411545500001</v>
      </c>
      <c r="NE3" s="967">
        <v>3779.6619532599998</v>
      </c>
      <c r="NF3" s="967">
        <v>3461.5301242800001</v>
      </c>
      <c r="NG3" s="967">
        <v>3251.3686654899998</v>
      </c>
      <c r="NH3" s="967">
        <v>3482.504403249</v>
      </c>
      <c r="NI3" s="967">
        <v>3506.8808880700003</v>
      </c>
      <c r="NJ3" s="967">
        <v>3739.0686435200005</v>
      </c>
      <c r="NK3" s="967">
        <v>3659.3016785700001</v>
      </c>
      <c r="NL3" s="967">
        <v>3507.1539805600005</v>
      </c>
      <c r="NM3" s="967">
        <v>4196.8607907600008</v>
      </c>
      <c r="NN3" s="967">
        <v>3842.7911633800009</v>
      </c>
      <c r="NO3" s="967">
        <v>3824.3558567700006</v>
      </c>
      <c r="NP3" s="967">
        <v>3837.9811303900005</v>
      </c>
      <c r="NQ3" s="967">
        <v>3636.6564503899995</v>
      </c>
      <c r="NR3" s="967">
        <v>4049.2149410100001</v>
      </c>
      <c r="NS3" s="967">
        <v>4204.5084202100006</v>
      </c>
      <c r="NT3" s="967">
        <v>4396.7068532100002</v>
      </c>
      <c r="NU3" s="967">
        <f>NU11+NU25+NU43+NU49</f>
        <v>4930.35369386</v>
      </c>
      <c r="NV3" s="967">
        <v>4401.6372178700003</v>
      </c>
      <c r="NW3" s="967">
        <v>4818.9046704600005</v>
      </c>
      <c r="NX3" s="967">
        <v>4382.9930739300007</v>
      </c>
      <c r="NY3" s="967">
        <v>4498.2525996600007</v>
      </c>
      <c r="NZ3" s="967">
        <v>4865.3650777500006</v>
      </c>
      <c r="OA3" s="967">
        <v>4696.8184566500004</v>
      </c>
      <c r="OB3" s="967">
        <v>5195.8912271600002</v>
      </c>
      <c r="OC3" s="967">
        <v>4802.7096733000008</v>
      </c>
      <c r="OD3" s="967">
        <v>5065.3278775600011</v>
      </c>
      <c r="OE3" s="967">
        <v>5245.8396569100005</v>
      </c>
      <c r="OF3" s="967">
        <v>5265.9064781200004</v>
      </c>
      <c r="OG3" s="967">
        <v>5010.3002252200004</v>
      </c>
      <c r="OH3" s="967">
        <v>4388.6131176999997</v>
      </c>
      <c r="OI3" s="967">
        <v>4528.5421118200002</v>
      </c>
      <c r="OJ3" s="967">
        <v>4912.0955369599997</v>
      </c>
      <c r="OK3" s="967">
        <v>5091.2439400000003</v>
      </c>
      <c r="OL3" s="967">
        <v>4975.0005180300004</v>
      </c>
      <c r="OM3" s="967">
        <v>5027.9838447800003</v>
      </c>
      <c r="ON3" s="967">
        <v>5271.7496451999996</v>
      </c>
      <c r="OO3" s="967">
        <v>4864.5274138900004</v>
      </c>
      <c r="OP3" s="967">
        <v>4535.3985708900009</v>
      </c>
      <c r="OQ3" s="967">
        <v>4521.421447650001</v>
      </c>
      <c r="OR3" s="967">
        <v>4937.5943475200002</v>
      </c>
      <c r="OS3" s="967">
        <v>4303.0169932400004</v>
      </c>
      <c r="OT3" s="967">
        <v>5966.36932523</v>
      </c>
      <c r="OU3" s="967">
        <v>5024.1650771200002</v>
      </c>
      <c r="OV3" s="967">
        <v>5567.1017972700001</v>
      </c>
      <c r="OW3" s="967">
        <v>5774.0329113599992</v>
      </c>
      <c r="OX3" s="967">
        <v>5211.4333648399997</v>
      </c>
      <c r="OY3" s="967">
        <v>3719.0835955800003</v>
      </c>
      <c r="OZ3" s="967">
        <v>3800.7698688800001</v>
      </c>
      <c r="PA3" s="967">
        <v>3501.1724131599995</v>
      </c>
      <c r="PB3" s="967">
        <v>2805.6926661999996</v>
      </c>
      <c r="PC3" s="967">
        <v>2845.1942846099996</v>
      </c>
      <c r="PD3" s="967">
        <v>3286.2109075899998</v>
      </c>
      <c r="PE3" s="967">
        <v>3791.2525802099999</v>
      </c>
      <c r="PF3" s="967">
        <v>3821.4165196900008</v>
      </c>
      <c r="PG3" s="967">
        <v>3339.2839515000001</v>
      </c>
      <c r="PH3" s="967">
        <v>4046.36293105</v>
      </c>
      <c r="PI3" s="967">
        <v>4432.6032060399993</v>
      </c>
      <c r="PJ3" s="967">
        <v>4965.3020355099998</v>
      </c>
      <c r="PK3" s="967">
        <v>4330.5995323199995</v>
      </c>
      <c r="PL3" s="967">
        <v>3762.5672004999997</v>
      </c>
      <c r="PM3" s="967">
        <v>3703.5743869299995</v>
      </c>
      <c r="PN3" s="967">
        <v>4121.40057746</v>
      </c>
      <c r="PO3" s="967">
        <v>4412.9375910700001</v>
      </c>
      <c r="PP3" s="967">
        <v>4526.8185505700003</v>
      </c>
      <c r="PQ3" s="967">
        <v>3699.1780151100002</v>
      </c>
      <c r="PR3" s="967">
        <v>3753.0605373500002</v>
      </c>
      <c r="PS3" s="967">
        <v>4297.0457285800003</v>
      </c>
      <c r="PT3" s="967">
        <v>4296.6998649900006</v>
      </c>
      <c r="PU3" s="967">
        <v>3813.28776702</v>
      </c>
      <c r="PV3" s="967">
        <v>3471.0118198</v>
      </c>
      <c r="PW3" s="967">
        <v>3545.3618270099996</v>
      </c>
      <c r="PX3" s="967">
        <v>4229.68210344</v>
      </c>
      <c r="PY3" s="967">
        <v>4352.2565034199997</v>
      </c>
      <c r="PZ3" s="967">
        <v>4314.2514966700001</v>
      </c>
      <c r="QA3" s="967">
        <v>4334.6984661799997</v>
      </c>
      <c r="QB3" s="967">
        <v>3401.5914544400002</v>
      </c>
      <c r="QC3" s="967">
        <v>3475.8792479600006</v>
      </c>
      <c r="QD3" s="967">
        <v>3214.8818564500007</v>
      </c>
      <c r="QE3" s="967">
        <v>3111.2315380800005</v>
      </c>
      <c r="QF3" s="967">
        <v>3495.6334813600006</v>
      </c>
      <c r="QG3" s="967">
        <v>3358.157095550001</v>
      </c>
      <c r="QH3" s="967">
        <f>QH11+QH25+QH43+QH49</f>
        <v>3195.3791298300002</v>
      </c>
      <c r="QI3" s="967">
        <v>4184.5063910600002</v>
      </c>
      <c r="QJ3" s="967">
        <v>3897.1602560600004</v>
      </c>
      <c r="QK3" s="967">
        <v>3833.6730595200006</v>
      </c>
      <c r="QL3" s="967">
        <v>2992.8185939100003</v>
      </c>
      <c r="QM3" s="967">
        <v>2925.0181560100004</v>
      </c>
      <c r="QN3" s="967">
        <v>3020.5292706300002</v>
      </c>
      <c r="QO3" s="967">
        <v>3816.6184568099998</v>
      </c>
      <c r="QP3" s="967">
        <v>3268.1784461400002</v>
      </c>
      <c r="QQ3" s="967">
        <v>3492.3386223400007</v>
      </c>
      <c r="QR3" s="967">
        <v>3654.1822418699999</v>
      </c>
      <c r="QS3" s="967">
        <v>3597.8527349700003</v>
      </c>
      <c r="QT3" s="967">
        <v>3697.2289536300004</v>
      </c>
      <c r="QU3" s="967">
        <v>3526.6134225600003</v>
      </c>
      <c r="QV3" s="967">
        <v>3957.3823554945761</v>
      </c>
      <c r="QW3" s="967">
        <v>3576.7003097500001</v>
      </c>
      <c r="QX3" s="967">
        <v>3611.0537542800002</v>
      </c>
      <c r="QY3" s="967">
        <v>3518.6700621500004</v>
      </c>
      <c r="QZ3" s="967">
        <v>3628.6408426100002</v>
      </c>
      <c r="RA3" s="967">
        <v>2992.8370602500008</v>
      </c>
      <c r="RB3" s="967">
        <v>2912.6080515700005</v>
      </c>
      <c r="RC3" s="967">
        <v>2845.6191304900003</v>
      </c>
      <c r="RD3" s="967">
        <v>3077.6268296100006</v>
      </c>
      <c r="RE3" s="967">
        <v>2610.4225142699997</v>
      </c>
      <c r="RF3" s="967">
        <v>2464.7225707299999</v>
      </c>
      <c r="RG3" s="967">
        <f>RG11+RG25+RG43+RG49</f>
        <v>2327.9240554199996</v>
      </c>
      <c r="RH3" s="967">
        <v>2357.6970684899993</v>
      </c>
      <c r="RI3" s="967">
        <v>2364.8225388200003</v>
      </c>
      <c r="RJ3" s="967">
        <v>2143.1735761700002</v>
      </c>
      <c r="RK3" s="967">
        <v>2458.4484515799995</v>
      </c>
      <c r="RL3" s="967">
        <v>2438.1025731999994</v>
      </c>
      <c r="RM3" s="967">
        <v>2335.60078703</v>
      </c>
      <c r="RN3" s="967">
        <v>2339.45995756</v>
      </c>
      <c r="RO3" s="967">
        <v>2245.5236579100001</v>
      </c>
      <c r="RP3" s="967">
        <v>2366.0508801699998</v>
      </c>
      <c r="RQ3" s="967">
        <v>2138.9535650299999</v>
      </c>
      <c r="RR3" s="967">
        <v>2193.5269422299998</v>
      </c>
      <c r="RS3" s="967">
        <v>4516.4353407299996</v>
      </c>
      <c r="RT3" s="967">
        <v>4942.6686004000003</v>
      </c>
      <c r="RU3" s="967">
        <v>4009.5672425899998</v>
      </c>
      <c r="RV3" s="967">
        <v>4040.6935095100002</v>
      </c>
      <c r="RW3" s="967">
        <v>3096.5306339500003</v>
      </c>
      <c r="RX3" s="967">
        <v>2743.3664787500002</v>
      </c>
      <c r="RY3" s="967">
        <v>3884.1749941107996</v>
      </c>
      <c r="RZ3" s="967">
        <v>3501.3254381908</v>
      </c>
      <c r="SA3" s="967">
        <v>3728.2178936700002</v>
      </c>
      <c r="SB3" s="967">
        <v>3169.2961448639999</v>
      </c>
      <c r="SC3" s="967">
        <v>3341.3076523840004</v>
      </c>
      <c r="SD3" s="967">
        <v>3551.114544434</v>
      </c>
      <c r="SE3" s="967">
        <v>3737.49901856</v>
      </c>
      <c r="SF3" s="967">
        <v>4426.4301424200003</v>
      </c>
      <c r="SG3" s="967">
        <v>4234.8793998300007</v>
      </c>
      <c r="SH3" s="967">
        <v>3753.3541778400004</v>
      </c>
      <c r="SI3" s="967">
        <v>4198.3269112800008</v>
      </c>
      <c r="SJ3" s="967">
        <v>4268.3665448000011</v>
      </c>
      <c r="SK3" s="967">
        <v>4741.7899928900006</v>
      </c>
      <c r="SL3" s="967">
        <v>4687.3676883999997</v>
      </c>
      <c r="SM3" s="967">
        <v>4158.0131575300002</v>
      </c>
      <c r="SN3" s="967">
        <v>4127.0303862000001</v>
      </c>
      <c r="SO3" s="967">
        <v>4484.3096894800001</v>
      </c>
      <c r="SP3" s="967">
        <v>4500.15726731</v>
      </c>
      <c r="SQ3" s="967">
        <v>4228.5454592999995</v>
      </c>
      <c r="SR3" s="967">
        <v>4316.2070545399993</v>
      </c>
      <c r="SS3" s="967">
        <v>4310.6580075560005</v>
      </c>
      <c r="ST3" s="967">
        <v>4345.6543917959998</v>
      </c>
      <c r="SU3" s="967">
        <v>4625.9502021400012</v>
      </c>
      <c r="SV3" s="967">
        <v>4357.8330237099999</v>
      </c>
      <c r="SW3" s="967">
        <v>4391.238685530001</v>
      </c>
      <c r="SX3" s="967">
        <v>4465.7637618700001</v>
      </c>
      <c r="SY3" s="967">
        <v>4288.4801048899999</v>
      </c>
      <c r="SZ3" s="967">
        <v>4490.85398752943</v>
      </c>
      <c r="TA3" s="967">
        <v>4738.1701605599992</v>
      </c>
      <c r="TB3" s="967">
        <v>4743.9118941599991</v>
      </c>
      <c r="TC3" s="967">
        <v>5033.4958951899998</v>
      </c>
      <c r="TD3" s="967">
        <v>5291.8660685599998</v>
      </c>
      <c r="TE3" s="967">
        <f>TE11+TE25+TE43+TE49</f>
        <v>5210.1984079200001</v>
      </c>
      <c r="TF3" s="967">
        <f>TF11+TF25+TF43+TF49</f>
        <v>4707.0264421840002</v>
      </c>
      <c r="TG3" s="967">
        <v>3410.7310289320003</v>
      </c>
      <c r="TH3" s="967">
        <v>3153.9694950200001</v>
      </c>
      <c r="TI3" s="967">
        <v>3321.8852281900004</v>
      </c>
      <c r="TJ3" s="967">
        <v>3364.9666942800004</v>
      </c>
      <c r="TK3" s="967">
        <v>3500.4905331300006</v>
      </c>
      <c r="TL3" s="967">
        <v>3645.6266904099994</v>
      </c>
      <c r="TM3" s="967">
        <v>3552.7422950199998</v>
      </c>
      <c r="TN3" s="967">
        <v>2755.3428210900001</v>
      </c>
      <c r="TO3" s="967">
        <v>3406.1068284599996</v>
      </c>
      <c r="TP3" s="967">
        <v>3829.7909713599997</v>
      </c>
      <c r="TQ3" s="967">
        <v>3493.0388019100001</v>
      </c>
      <c r="TR3" s="967">
        <v>3510.82665972</v>
      </c>
      <c r="TS3" s="967">
        <v>3430.45440495</v>
      </c>
      <c r="TT3" s="967">
        <v>3721.67670051</v>
      </c>
      <c r="TU3" s="967">
        <v>3674.1610213800004</v>
      </c>
      <c r="TV3" s="967">
        <v>3822.3462041599996</v>
      </c>
      <c r="TW3" s="967">
        <v>3491.43191265</v>
      </c>
      <c r="TX3" s="967">
        <v>3489.8120032900006</v>
      </c>
      <c r="TY3" s="967">
        <v>3400.5152307500002</v>
      </c>
      <c r="TZ3" s="967">
        <f t="shared" ref="TZ3:UE3" si="5">TZ11+TZ25+TZ43+TZ49</f>
        <v>3385.6073492099995</v>
      </c>
      <c r="UA3" s="967">
        <f t="shared" si="5"/>
        <v>3741.96961397</v>
      </c>
      <c r="UB3" s="967">
        <f t="shared" si="5"/>
        <v>4073.3232992600006</v>
      </c>
      <c r="UC3" s="967">
        <f t="shared" si="5"/>
        <v>3900.5502130099994</v>
      </c>
      <c r="UD3" s="967">
        <f t="shared" si="5"/>
        <v>4240.2720691999994</v>
      </c>
      <c r="UE3" s="967">
        <f t="shared" si="5"/>
        <v>4605.8098981999992</v>
      </c>
      <c r="UF3" s="967">
        <v>3567.0079000699998</v>
      </c>
      <c r="UG3" s="967">
        <v>4243.0109124099999</v>
      </c>
      <c r="UH3" s="967">
        <v>3593.9636064599999</v>
      </c>
      <c r="UI3" s="967">
        <v>2966.8536019100002</v>
      </c>
      <c r="UJ3" s="967">
        <v>2963.466909360001</v>
      </c>
      <c r="UK3" s="967">
        <v>3058.7175302200003</v>
      </c>
      <c r="UL3" s="967">
        <v>2952.2096842099995</v>
      </c>
      <c r="UM3" s="967">
        <v>3031.4510662441003</v>
      </c>
      <c r="UN3" s="967">
        <v>3157.7650129709</v>
      </c>
      <c r="UO3" s="967">
        <v>3018.0476657709</v>
      </c>
      <c r="UP3" s="967">
        <v>3080.4915675264001</v>
      </c>
      <c r="UQ3" s="967">
        <v>2818.6358995021997</v>
      </c>
      <c r="UR3" s="967">
        <v>2388.2688953863999</v>
      </c>
      <c r="US3" s="967">
        <v>2307.1434611261998</v>
      </c>
      <c r="UT3" s="967">
        <v>2533.6191254004002</v>
      </c>
      <c r="UU3" s="967">
        <v>2786.71691409</v>
      </c>
      <c r="UV3" s="967">
        <v>2591.9767783900002</v>
      </c>
      <c r="UW3" s="967">
        <v>2659.4672984700001</v>
      </c>
      <c r="UX3" s="967">
        <v>2510.9880892599999</v>
      </c>
      <c r="UY3" s="967">
        <v>2681.1388410600002</v>
      </c>
      <c r="UZ3" s="967">
        <v>2422.92014126</v>
      </c>
      <c r="VA3" s="967">
        <v>2496.42960025</v>
      </c>
      <c r="VB3" s="967">
        <v>2871.0802498799999</v>
      </c>
      <c r="VC3" s="967">
        <v>2685.11358862</v>
      </c>
      <c r="VD3" s="967">
        <f>VD11+VD25+VD43+VD49</f>
        <v>2710.7489265499999</v>
      </c>
      <c r="VE3" s="967">
        <v>2783.8265370599997</v>
      </c>
      <c r="VF3" s="967">
        <v>2673.2203779920001</v>
      </c>
      <c r="VG3" s="967">
        <v>3214.7197143767999</v>
      </c>
      <c r="VH3" s="967">
        <v>3345.3531966600003</v>
      </c>
      <c r="VI3" s="967">
        <v>3872.6161720499995</v>
      </c>
      <c r="VJ3" s="967">
        <v>4187.3661632200001</v>
      </c>
      <c r="VK3" s="967">
        <v>3513.57792561</v>
      </c>
      <c r="VL3" s="967">
        <v>2495.6117526799999</v>
      </c>
      <c r="VM3" s="967">
        <v>3240.7720730999999</v>
      </c>
      <c r="VN3" s="967">
        <v>3409.7858505700005</v>
      </c>
      <c r="VO3" s="967">
        <v>2659.2812483600005</v>
      </c>
      <c r="VP3" s="967">
        <v>2932.3274895099999</v>
      </c>
      <c r="VQ3" s="967">
        <v>3033.0561915799999</v>
      </c>
      <c r="VR3" s="967">
        <v>2814.1459425800003</v>
      </c>
      <c r="VS3" s="967">
        <v>2339.1180272300003</v>
      </c>
      <c r="VT3" s="967">
        <v>2644.5938890100001</v>
      </c>
      <c r="VU3" s="967">
        <v>2524.37182067</v>
      </c>
      <c r="VV3" s="967">
        <f>VV11+VV25+VV43+VV49</f>
        <v>2227.29558593</v>
      </c>
      <c r="VW3" s="967">
        <v>2415.9273635599998</v>
      </c>
      <c r="VX3" s="967">
        <v>3103.4964164700004</v>
      </c>
      <c r="VY3" s="967">
        <v>3262.08687577</v>
      </c>
      <c r="VZ3" s="967">
        <v>3053.2585803080719</v>
      </c>
      <c r="WA3" s="967">
        <v>3445.8205164998699</v>
      </c>
      <c r="WB3" s="967">
        <v>2988.4570908698706</v>
      </c>
      <c r="WC3" s="967">
        <v>2921.2312025726669</v>
      </c>
      <c r="WD3" s="967">
        <v>2583.6353212363542</v>
      </c>
      <c r="WE3" s="967">
        <v>2790.0853566979326</v>
      </c>
      <c r="WF3" s="967">
        <v>2988.454326664883</v>
      </c>
      <c r="WG3" s="967">
        <v>1987.5074395529032</v>
      </c>
      <c r="WH3" s="967">
        <v>2059.2523842829032</v>
      </c>
      <c r="WI3" s="967">
        <v>2233.3903230729034</v>
      </c>
      <c r="WJ3" s="967">
        <v>2797.861227918811</v>
      </c>
      <c r="WK3" s="967">
        <v>2164.9517414798111</v>
      </c>
      <c r="WL3" s="967">
        <v>2135.6696285998114</v>
      </c>
      <c r="WM3" s="967">
        <v>2021.8057429698108</v>
      </c>
      <c r="WN3" s="967">
        <v>2392.3321346798111</v>
      </c>
      <c r="WO3" s="967">
        <v>1893.8977004194239</v>
      </c>
      <c r="WP3" s="967">
        <v>1792.4013920194243</v>
      </c>
      <c r="WQ3" s="967">
        <v>2333.8287955170404</v>
      </c>
      <c r="WR3" s="967">
        <f t="shared" ref="WR3:WV3" si="6">WR11+WR25+WR43+WR49</f>
        <v>2196.809211059734</v>
      </c>
      <c r="WS3" s="967">
        <f t="shared" si="6"/>
        <v>2154.193117109734</v>
      </c>
      <c r="WT3" s="967">
        <f t="shared" si="6"/>
        <v>2424.2505990708005</v>
      </c>
      <c r="WU3" s="967">
        <f t="shared" si="6"/>
        <v>2248.4717302199997</v>
      </c>
      <c r="WV3" s="967">
        <f t="shared" si="6"/>
        <v>1988.1975189199998</v>
      </c>
      <c r="WW3" s="967">
        <v>1898.04865376</v>
      </c>
      <c r="WX3" s="967">
        <v>1915.0673166015199</v>
      </c>
      <c r="WY3" s="967">
        <v>2039.6711731400001</v>
      </c>
      <c r="WZ3" s="967">
        <v>2056.4985959300002</v>
      </c>
      <c r="XA3" s="967">
        <v>2014.9533496500003</v>
      </c>
      <c r="XB3" s="967">
        <v>2234.3185061599997</v>
      </c>
      <c r="XC3" s="967">
        <v>1737.40178315</v>
      </c>
      <c r="XD3" s="967">
        <v>1976.2145659399998</v>
      </c>
      <c r="XE3" s="967">
        <v>2081.4634158399999</v>
      </c>
      <c r="XF3" s="967">
        <v>2268.2435949400001</v>
      </c>
      <c r="XG3" s="967">
        <v>2034.4500727600002</v>
      </c>
      <c r="XH3" s="967">
        <v>2219.2634581799998</v>
      </c>
      <c r="XI3" s="967">
        <v>1974.2895017699998</v>
      </c>
      <c r="XJ3" s="967">
        <v>2797.37870148</v>
      </c>
      <c r="XK3" s="967">
        <v>1746.0304601299999</v>
      </c>
      <c r="XL3" s="967">
        <v>1852.1400020500002</v>
      </c>
      <c r="XM3" s="967">
        <v>2467.6021883799999</v>
      </c>
      <c r="XN3" s="967">
        <v>2108.9787048799999</v>
      </c>
      <c r="XO3" s="967">
        <v>2347.8467168400002</v>
      </c>
      <c r="XP3" s="967">
        <v>3076.9616955000001</v>
      </c>
      <c r="XQ3" s="967">
        <v>3217.6050759969999</v>
      </c>
      <c r="XR3" s="967">
        <v>3672.7595806700001</v>
      </c>
      <c r="XS3" s="967">
        <v>3804.8893605399999</v>
      </c>
      <c r="XT3" s="967">
        <v>2020.3960763115529</v>
      </c>
      <c r="XU3" s="967">
        <v>2296.2242332000001</v>
      </c>
      <c r="XV3" s="967">
        <v>2250.8702757100004</v>
      </c>
      <c r="XW3" s="967">
        <v>2454.4139911699999</v>
      </c>
      <c r="XX3" s="967">
        <v>1875.55099298</v>
      </c>
      <c r="XY3" s="967">
        <v>2061.5893770000002</v>
      </c>
      <c r="XZ3" s="967">
        <v>1944.7310875999999</v>
      </c>
      <c r="YA3" s="967">
        <v>2034.8846245699999</v>
      </c>
      <c r="YB3" s="967">
        <v>2198.7012152299999</v>
      </c>
      <c r="YC3" s="967">
        <v>1684.63859226</v>
      </c>
      <c r="YD3" s="967">
        <v>3847.5432602699998</v>
      </c>
      <c r="YE3" s="967">
        <v>1676.2166301699999</v>
      </c>
      <c r="YF3" s="967">
        <v>2653.0025615499999</v>
      </c>
      <c r="YG3" s="967">
        <v>2237.6633671299996</v>
      </c>
      <c r="YH3" s="967">
        <f>YH11+YH25+YH43+YH49</f>
        <v>2549.29605376787</v>
      </c>
    </row>
    <row r="4" spans="2:658" s="943" customFormat="1" ht="15" thickBot="1">
      <c r="B4" s="916" t="s">
        <v>63</v>
      </c>
      <c r="C4" s="129">
        <f t="shared" ref="C4:H4" si="7">C3/C2</f>
        <v>31.587691969082208</v>
      </c>
      <c r="D4" s="129">
        <f t="shared" si="7"/>
        <v>25.900644826912664</v>
      </c>
      <c r="E4" s="129">
        <f t="shared" si="7"/>
        <v>27.025670046612142</v>
      </c>
      <c r="F4" s="129">
        <f t="shared" si="7"/>
        <v>26.236977631598506</v>
      </c>
      <c r="G4" s="129">
        <f t="shared" si="7"/>
        <v>28.02160895477245</v>
      </c>
      <c r="H4" s="129">
        <f t="shared" si="7"/>
        <v>25.321070669608083</v>
      </c>
      <c r="I4" s="129">
        <f t="shared" ref="I4:P4" si="8">I3/I2</f>
        <v>26.765618314594349</v>
      </c>
      <c r="J4" s="129">
        <f t="shared" si="8"/>
        <v>29.318683995518452</v>
      </c>
      <c r="K4" s="129">
        <f t="shared" si="8"/>
        <v>29.391333785487358</v>
      </c>
      <c r="L4" s="129">
        <f t="shared" si="8"/>
        <v>35.085077667861917</v>
      </c>
      <c r="M4" s="129">
        <f t="shared" si="8"/>
        <v>34.137418285470673</v>
      </c>
      <c r="N4" s="129">
        <f t="shared" si="8"/>
        <v>28.878882839727449</v>
      </c>
      <c r="O4" s="129">
        <f t="shared" si="8"/>
        <v>27.566419524488822</v>
      </c>
      <c r="P4" s="129">
        <f t="shared" si="8"/>
        <v>29.012030957470685</v>
      </c>
      <c r="Q4" s="129">
        <f t="shared" ref="Q4" si="9">Q3/Q2</f>
        <v>31.162821773428369</v>
      </c>
      <c r="R4" s="129">
        <f>R3/R2</f>
        <v>32.663006691151764</v>
      </c>
      <c r="S4" s="129">
        <f>S3/S2</f>
        <v>30.193244596727958</v>
      </c>
      <c r="T4" s="129">
        <f>T3/T2</f>
        <v>35.433414202163121</v>
      </c>
      <c r="U4" s="129">
        <f>U3/U2</f>
        <v>31.763164569642495</v>
      </c>
      <c r="V4" s="129">
        <f>V3/V2</f>
        <v>34.41260827862888</v>
      </c>
      <c r="W4" s="129">
        <f t="shared" ref="W4:X4" si="10">W3/W2</f>
        <v>32.930589772683611</v>
      </c>
      <c r="X4" s="129">
        <f t="shared" si="10"/>
        <v>30.79556725513277</v>
      </c>
      <c r="Y4" s="129">
        <f t="shared" ref="Y4:AA4" si="11">Y3/Y2</f>
        <v>38.339853844139348</v>
      </c>
      <c r="Z4" s="129">
        <f t="shared" si="11"/>
        <v>41.389711782298029</v>
      </c>
      <c r="AA4" s="129">
        <f t="shared" si="11"/>
        <v>44.250636166207222</v>
      </c>
      <c r="AB4" s="129">
        <f t="shared" ref="AB4:AF4" si="12">AB3/AB2</f>
        <v>48.108767094857406</v>
      </c>
      <c r="AC4" s="129">
        <f t="shared" si="12"/>
        <v>45.286464535604146</v>
      </c>
      <c r="AD4" s="129">
        <f t="shared" si="12"/>
        <v>46.314784300579412</v>
      </c>
      <c r="AE4" s="129">
        <f t="shared" si="12"/>
        <v>44.034508451251881</v>
      </c>
      <c r="AF4" s="129">
        <f t="shared" si="12"/>
        <v>43.730277662996798</v>
      </c>
      <c r="AG4" s="129">
        <f t="shared" ref="AG4:AH4" si="13">AG3/AG2</f>
        <v>46.458377572439353</v>
      </c>
      <c r="AH4" s="129">
        <f t="shared" si="13"/>
        <v>48.450195421958554</v>
      </c>
      <c r="AI4" s="129">
        <f t="shared" ref="AI4:AJ4" si="14">AI3/AI2</f>
        <v>48.264009687499488</v>
      </c>
      <c r="AJ4" s="129">
        <f t="shared" si="14"/>
        <v>57.579748497101185</v>
      </c>
      <c r="AK4" s="129">
        <f t="shared" ref="AK4:AL4" si="15">AK3/AK2</f>
        <v>58.693953264718154</v>
      </c>
      <c r="AL4" s="129">
        <f t="shared" si="15"/>
        <v>56.716727988730703</v>
      </c>
      <c r="AM4" s="129">
        <f t="shared" ref="AM4:AN4" si="16">AM3/AM2</f>
        <v>58.036625536593512</v>
      </c>
      <c r="AN4" s="129">
        <f t="shared" si="16"/>
        <v>52.559932389785573</v>
      </c>
      <c r="AO4" s="129">
        <f t="shared" ref="AO4:AP4" si="17">AO3/AO2</f>
        <v>50.540302044639617</v>
      </c>
      <c r="AP4" s="129">
        <f t="shared" si="17"/>
        <v>50.715367039106134</v>
      </c>
      <c r="AQ4" s="129">
        <f t="shared" ref="AQ4:AR4" si="18">AQ3/AQ2</f>
        <v>52.102462700444264</v>
      </c>
      <c r="AR4" s="129">
        <f t="shared" si="18"/>
        <v>52.557584021680952</v>
      </c>
      <c r="AS4" s="129">
        <f t="shared" ref="AS4:AU4" si="19">AS3/AS2</f>
        <v>61.042694593422645</v>
      </c>
      <c r="AT4" s="129">
        <f t="shared" si="19"/>
        <v>62.854829309830087</v>
      </c>
      <c r="AU4" s="129">
        <f t="shared" si="19"/>
        <v>65.610305968312559</v>
      </c>
      <c r="AV4" s="129">
        <f t="shared" ref="AV4:AY4" si="20">AV3/AV2</f>
        <v>65.774689034278552</v>
      </c>
      <c r="AW4" s="129">
        <f t="shared" si="20"/>
        <v>65.099709308928368</v>
      </c>
      <c r="AX4" s="129">
        <f t="shared" si="20"/>
        <v>64.024277570282337</v>
      </c>
      <c r="AY4" s="129">
        <f t="shared" si="20"/>
        <v>70.969849571722804</v>
      </c>
      <c r="AZ4" s="129">
        <f t="shared" ref="AZ4:BA4" si="21">AZ3/AZ2</f>
        <v>72.768886198911943</v>
      </c>
      <c r="BA4" s="129">
        <f t="shared" si="21"/>
        <v>73.065326955617849</v>
      </c>
      <c r="BB4" s="129">
        <f t="shared" ref="BB4:BC4" si="22">BB3/BB2</f>
        <v>73.312596116168535</v>
      </c>
      <c r="BC4" s="129">
        <f t="shared" si="22"/>
        <v>81.449372024383678</v>
      </c>
      <c r="BD4" s="129">
        <f t="shared" ref="BD4:BE4" si="23">BD3/BD2</f>
        <v>76.447570191961574</v>
      </c>
      <c r="BE4" s="129">
        <f t="shared" si="23"/>
        <v>63.372076490483131</v>
      </c>
      <c r="BF4" s="129">
        <f t="shared" ref="BF4:BG4" si="24">BF3/BF2</f>
        <v>64.535579310907906</v>
      </c>
      <c r="BG4" s="129">
        <f t="shared" si="24"/>
        <v>66.479252179812534</v>
      </c>
      <c r="BH4" s="129">
        <f t="shared" ref="BH4:BI4" si="25">BH3/BH2</f>
        <v>43.262434194743769</v>
      </c>
      <c r="BI4" s="129">
        <f t="shared" si="25"/>
        <v>45.702259741099347</v>
      </c>
      <c r="BJ4" s="129">
        <f t="shared" ref="BJ4:BL4" si="26">BJ3/BJ2</f>
        <v>49.444598575983711</v>
      </c>
      <c r="BK4" s="129">
        <f t="shared" si="26"/>
        <v>34.430599437624608</v>
      </c>
      <c r="BL4" s="129">
        <f t="shared" si="26"/>
        <v>26.483316031863009</v>
      </c>
      <c r="BM4" s="129">
        <f t="shared" ref="BM4:BN4" si="27">BM3/BM2</f>
        <v>27.407029783177972</v>
      </c>
      <c r="BN4" s="129">
        <f t="shared" si="27"/>
        <v>36.444221327274903</v>
      </c>
      <c r="BO4" s="129">
        <f t="shared" ref="BO4:BP4" si="28">BO3/BO2</f>
        <v>24.037102459845702</v>
      </c>
      <c r="BP4" s="129">
        <f t="shared" si="28"/>
        <v>21.845007599148001</v>
      </c>
      <c r="BQ4" s="129">
        <f t="shared" ref="BQ4:BR4" si="29">BQ3/BQ2</f>
        <v>21.210121061975496</v>
      </c>
      <c r="BR4" s="129">
        <f t="shared" si="29"/>
        <v>22.4879576979062</v>
      </c>
      <c r="BS4" s="129">
        <f t="shared" ref="BS4:BT4" si="30">BS3/BS2</f>
        <v>25.1306872915202</v>
      </c>
      <c r="BT4" s="129">
        <f t="shared" si="30"/>
        <v>65.825547539763591</v>
      </c>
      <c r="BU4" s="129">
        <f t="shared" ref="BU4:BV4" si="31">BU3/BU2</f>
        <v>28.359035891697225</v>
      </c>
      <c r="BV4" s="129">
        <f t="shared" si="31"/>
        <v>63.806845039377379</v>
      </c>
      <c r="BW4" s="129">
        <f t="shared" ref="BW4:BX4" si="32">BW3/BW2</f>
        <v>24.976005429007667</v>
      </c>
      <c r="BX4" s="129">
        <f t="shared" si="32"/>
        <v>29.530266288966359</v>
      </c>
      <c r="BY4" s="129">
        <f t="shared" ref="BY4:BZ4" si="33">BY3/BY2</f>
        <v>26.811452284214514</v>
      </c>
      <c r="BZ4" s="129">
        <f t="shared" si="33"/>
        <v>27.842243500987259</v>
      </c>
      <c r="CA4" s="129">
        <f t="shared" ref="CA4" si="34">CA3/CA2</f>
        <v>28.128292761467684</v>
      </c>
      <c r="CB4" s="129">
        <f t="shared" ref="CB4:CC4" si="35">CB3/CB2</f>
        <v>31.291488267118766</v>
      </c>
      <c r="CC4" s="129">
        <f t="shared" si="35"/>
        <v>29.346827569264534</v>
      </c>
      <c r="CD4" s="129">
        <f t="shared" ref="CD4:CE4" si="36">CD3/CD2</f>
        <v>29.141677215161828</v>
      </c>
      <c r="CE4" s="129">
        <f t="shared" si="36"/>
        <v>38.819019116303949</v>
      </c>
      <c r="CF4" s="129">
        <f t="shared" ref="CF4:CG4" si="37">CF3/CF2</f>
        <v>37.696986687064289</v>
      </c>
      <c r="CG4" s="129">
        <f t="shared" si="37"/>
        <v>31.371317415890697</v>
      </c>
      <c r="CH4" s="129">
        <f t="shared" ref="CH4:CI4" si="38">CH3/CH2</f>
        <v>33.527949939726618</v>
      </c>
      <c r="CI4" s="129">
        <f t="shared" si="38"/>
        <v>33.049424141324316</v>
      </c>
      <c r="CJ4" s="129">
        <f t="shared" ref="CJ4:CK4" si="39">CJ3/CJ2</f>
        <v>32.964523470949942</v>
      </c>
      <c r="CK4" s="129">
        <f t="shared" si="39"/>
        <v>34.901145731853028</v>
      </c>
      <c r="CL4" s="129">
        <f t="shared" ref="CL4:CM4" si="40">CL3/CL2</f>
        <v>35.397564038854</v>
      </c>
      <c r="CM4" s="129">
        <f t="shared" si="40"/>
        <v>38.385974819783669</v>
      </c>
      <c r="CN4" s="129">
        <f t="shared" ref="CN4:CO4" si="41">CN3/CN2</f>
        <v>39.634730819093292</v>
      </c>
      <c r="CO4" s="129">
        <f t="shared" si="41"/>
        <v>38.684500152677572</v>
      </c>
      <c r="CP4" s="129">
        <f t="shared" ref="CP4:CQ4" si="42">CP3/CP2</f>
        <v>40.342175810131153</v>
      </c>
      <c r="CQ4" s="129">
        <f t="shared" si="42"/>
        <v>39.489825624760876</v>
      </c>
      <c r="CR4" s="129">
        <f t="shared" ref="CR4:CS4" si="43">CR3/CR2</f>
        <v>40.569182190381383</v>
      </c>
      <c r="CS4" s="129">
        <f t="shared" si="43"/>
        <v>41.025439997916152</v>
      </c>
      <c r="CT4" s="129">
        <f t="shared" ref="CT4:CU4" si="44">CT3/CT2</f>
        <v>41.950865266182987</v>
      </c>
      <c r="CU4" s="129">
        <f t="shared" si="44"/>
        <v>41.205000527878319</v>
      </c>
      <c r="CV4" s="129">
        <f t="shared" ref="CV4:CW4" si="45">CV3/CV2</f>
        <v>41.970823900723971</v>
      </c>
      <c r="CW4" s="129">
        <f t="shared" si="45"/>
        <v>46.93339372651355</v>
      </c>
      <c r="CX4" s="129">
        <f t="shared" ref="CX4:CY4" si="46">CX3/CX2</f>
        <v>47.585987068650326</v>
      </c>
      <c r="CY4" s="129">
        <f t="shared" si="46"/>
        <v>45.386789857393822</v>
      </c>
      <c r="CZ4" s="129">
        <f t="shared" ref="CZ4:DA4" si="47">CZ3/CZ2</f>
        <v>48.571154794804741</v>
      </c>
      <c r="DA4" s="129">
        <f t="shared" si="47"/>
        <v>51.231645677822812</v>
      </c>
      <c r="DB4" s="129">
        <f t="shared" ref="DB4:DC4" si="48">DB3/DB2</f>
        <v>50.891080947127072</v>
      </c>
      <c r="DC4" s="129">
        <f t="shared" si="48"/>
        <v>50.517335075711024</v>
      </c>
      <c r="DD4" s="129">
        <f t="shared" ref="DD4:DE4" si="49">DD3/DD2</f>
        <v>58.428085211641708</v>
      </c>
      <c r="DE4" s="129">
        <f t="shared" si="49"/>
        <v>49.480849078805385</v>
      </c>
      <c r="DF4" s="129">
        <f t="shared" ref="DF4:DG4" si="50">DF3/DF2</f>
        <v>54.930534851328368</v>
      </c>
      <c r="DG4" s="129">
        <f t="shared" si="50"/>
        <v>53.91321161496996</v>
      </c>
      <c r="DH4" s="129">
        <f t="shared" ref="DH4:DI4" si="51">DH3/DH2</f>
        <v>53.357753433276805</v>
      </c>
      <c r="DI4" s="129">
        <f t="shared" si="51"/>
        <v>51.317221792407508</v>
      </c>
      <c r="DJ4" s="129">
        <f t="shared" ref="DJ4:DK4" si="52">DJ3/DJ2</f>
        <v>49.200738050525487</v>
      </c>
      <c r="DK4" s="129">
        <f t="shared" si="52"/>
        <v>51.073733114159836</v>
      </c>
      <c r="DL4" s="129">
        <f t="shared" ref="DL4:DM4" si="53">DL3/DL2</f>
        <v>54.831025209240316</v>
      </c>
      <c r="DM4" s="129">
        <f t="shared" si="53"/>
        <v>54.673890359861225</v>
      </c>
      <c r="DN4" s="129">
        <f t="shared" ref="DN4:DO4" si="54">DN3/DN2</f>
        <v>53.670026944975334</v>
      </c>
      <c r="DO4" s="129">
        <f t="shared" si="54"/>
        <v>52.069484827427765</v>
      </c>
      <c r="DP4" s="129">
        <f t="shared" ref="DP4:DQ4" si="55">DP3/DP2</f>
        <v>54.226242308384265</v>
      </c>
      <c r="DQ4" s="129">
        <f t="shared" si="55"/>
        <v>51.556155990240363</v>
      </c>
      <c r="DR4" s="129">
        <f t="shared" ref="DR4:DS4" si="56">DR3/DR2</f>
        <v>52.997847343199624</v>
      </c>
      <c r="DS4" s="129">
        <f t="shared" si="56"/>
        <v>50.291638114952733</v>
      </c>
      <c r="DT4" s="129">
        <f t="shared" ref="DT4:DU4" si="57">DT3/DT2</f>
        <v>53.274040005816303</v>
      </c>
      <c r="DU4" s="129">
        <f t="shared" si="57"/>
        <v>36.231256079971629</v>
      </c>
      <c r="DV4" s="129">
        <f t="shared" ref="DV4:DW4" si="58">DV3/DV2</f>
        <v>44.483796772702966</v>
      </c>
      <c r="DW4" s="129">
        <f t="shared" si="58"/>
        <v>46.937027184420963</v>
      </c>
      <c r="DX4" s="129">
        <f t="shared" ref="DX4:DY4" si="59">DX3/DX2</f>
        <v>54.969691554787538</v>
      </c>
      <c r="DY4" s="129">
        <f t="shared" si="59"/>
        <v>52.161319288662838</v>
      </c>
      <c r="DZ4" s="129">
        <f t="shared" ref="DZ4:EA4" si="60">DZ3/DZ2</f>
        <v>51.366701240535491</v>
      </c>
      <c r="EA4" s="129">
        <f t="shared" si="60"/>
        <v>54.597008743468407</v>
      </c>
      <c r="EB4" s="129">
        <f t="shared" ref="EB4:EC4" si="61">EB3/EB2</f>
        <v>55.529837466427843</v>
      </c>
      <c r="EC4" s="129">
        <f t="shared" si="61"/>
        <v>52.350616099002927</v>
      </c>
      <c r="ED4" s="129">
        <f t="shared" ref="ED4:EE4" si="62">ED3/ED2</f>
        <v>48.758130137884329</v>
      </c>
      <c r="EE4" s="129">
        <f t="shared" si="62"/>
        <v>46.883515594758968</v>
      </c>
      <c r="EF4" s="129">
        <f t="shared" ref="EF4:EG4" si="63">EF3/EF2</f>
        <v>44.518221321209509</v>
      </c>
      <c r="EG4" s="129">
        <f t="shared" si="63"/>
        <v>47.487428045348913</v>
      </c>
      <c r="EH4" s="129">
        <f t="shared" ref="EH4:EI4" si="64">EH3/EH2</f>
        <v>45.990182628901806</v>
      </c>
      <c r="EI4" s="129">
        <f t="shared" si="64"/>
        <v>44.991066328984736</v>
      </c>
      <c r="EJ4" s="129">
        <f t="shared" ref="EJ4:EK4" si="65">EJ3/EJ2</f>
        <v>44.792788696519594</v>
      </c>
      <c r="EK4" s="129">
        <f t="shared" si="65"/>
        <v>48.475154054019043</v>
      </c>
      <c r="EL4" s="129">
        <f t="shared" ref="EL4:EM4" si="66">EL3/EL2</f>
        <v>50.077230891428648</v>
      </c>
      <c r="EM4" s="129">
        <f t="shared" si="66"/>
        <v>58.072065883050143</v>
      </c>
      <c r="EN4" s="129">
        <f t="shared" ref="EN4:EO4" si="67">EN3/EN2</f>
        <v>47.155712626947512</v>
      </c>
      <c r="EO4" s="129">
        <f t="shared" si="67"/>
        <v>49.470264275489498</v>
      </c>
      <c r="EP4" s="129">
        <f t="shared" ref="EP4:EQ4" si="68">EP3/EP2</f>
        <v>49.468331457958989</v>
      </c>
      <c r="EQ4" s="129">
        <f t="shared" si="68"/>
        <v>46.100646248161659</v>
      </c>
      <c r="ER4" s="129">
        <f t="shared" ref="ER4:ES4" si="69">ER3/ER2</f>
        <v>46.42613182977712</v>
      </c>
      <c r="ES4" s="129">
        <f t="shared" si="69"/>
        <v>49.263185267173952</v>
      </c>
      <c r="ET4" s="129">
        <f t="shared" ref="ET4:EU4" si="70">ET3/ET2</f>
        <v>49.354709364533278</v>
      </c>
      <c r="EU4" s="129">
        <f t="shared" si="70"/>
        <v>54.957421988741196</v>
      </c>
      <c r="EV4" s="129">
        <f t="shared" ref="EV4:EW4" si="71">EV3/EV2</f>
        <v>57.060891609783894</v>
      </c>
      <c r="EW4" s="129">
        <f t="shared" si="71"/>
        <v>51.964272179007587</v>
      </c>
      <c r="EX4" s="129">
        <f t="shared" ref="EX4:EY4" si="72">EX3/EX2</f>
        <v>58.975609521784989</v>
      </c>
      <c r="EY4" s="129">
        <f t="shared" si="72"/>
        <v>61.773601194871702</v>
      </c>
      <c r="EZ4" s="129">
        <f t="shared" ref="EZ4:FA4" si="73">EZ3/EZ2</f>
        <v>63.855302726091949</v>
      </c>
      <c r="FA4" s="129">
        <f t="shared" si="73"/>
        <v>64.277860571951692</v>
      </c>
      <c r="FB4" s="129">
        <f t="shared" ref="FB4:FC4" si="74">FB3/FB2</f>
        <v>64.711661853032325</v>
      </c>
      <c r="FC4" s="129">
        <f t="shared" si="74"/>
        <v>62.941998155145768</v>
      </c>
      <c r="FD4" s="129">
        <f t="shared" ref="FD4:FE4" si="75">FD3/FD2</f>
        <v>68.562387799801982</v>
      </c>
      <c r="FE4" s="129">
        <f t="shared" si="75"/>
        <v>67.952540754017463</v>
      </c>
      <c r="FF4" s="129">
        <f t="shared" ref="FF4:FG4" si="76">FF3/FF2</f>
        <v>66.505978145568065</v>
      </c>
      <c r="FG4" s="129">
        <f t="shared" si="76"/>
        <v>68.064688272279568</v>
      </c>
      <c r="FH4" s="129">
        <f t="shared" ref="FH4:FJ4" si="77">FH3/FH2</f>
        <v>73.403389708003942</v>
      </c>
      <c r="FI4" s="129">
        <f t="shared" si="77"/>
        <v>69.023270433123301</v>
      </c>
      <c r="FJ4" s="129">
        <f t="shared" si="77"/>
        <v>78.65196417850656</v>
      </c>
      <c r="FK4" s="129">
        <f t="shared" ref="FK4:FL4" si="78">FK3/FK2</f>
        <v>72.884519431511492</v>
      </c>
      <c r="FL4" s="129">
        <f t="shared" si="78"/>
        <v>63.759012793897988</v>
      </c>
      <c r="FM4" s="129">
        <f t="shared" ref="FM4:FN4" si="79">FM3/FM2</f>
        <v>64.943475792373306</v>
      </c>
      <c r="FN4" s="129">
        <f t="shared" si="79"/>
        <v>67.714460685574124</v>
      </c>
      <c r="FO4" s="129">
        <f t="shared" ref="FO4:FP4" si="80">FO3/FO2</f>
        <v>67.18282022179578</v>
      </c>
      <c r="FP4" s="129">
        <f t="shared" si="80"/>
        <v>66.694949972322746</v>
      </c>
      <c r="FQ4" s="129">
        <f t="shared" ref="FQ4:FR4" si="81">FQ3/FQ2</f>
        <v>62.371743523816853</v>
      </c>
      <c r="FR4" s="129">
        <f t="shared" si="81"/>
        <v>62.397310393056081</v>
      </c>
      <c r="FS4" s="129">
        <f t="shared" ref="FS4:FT4" si="82">FS3/FS2</f>
        <v>64.163659590833149</v>
      </c>
      <c r="FT4" s="129">
        <f t="shared" si="82"/>
        <v>63.199946627976665</v>
      </c>
      <c r="FU4" s="129">
        <f t="shared" ref="FU4:FV4" si="83">FU3/FU2</f>
        <v>67.192602328511597</v>
      </c>
      <c r="FV4" s="129">
        <f t="shared" si="83"/>
        <v>59.774601781621868</v>
      </c>
      <c r="FW4" s="129">
        <f t="shared" ref="FW4:FX4" si="84">FW3/FW2</f>
        <v>63.710080396368788</v>
      </c>
      <c r="FX4" s="129">
        <f t="shared" si="84"/>
        <v>63.059842479216904</v>
      </c>
      <c r="FY4" s="129">
        <f t="shared" ref="FY4:FZ4" si="85">FY3/FY2</f>
        <v>63.554097639846859</v>
      </c>
      <c r="FZ4" s="129">
        <f t="shared" si="85"/>
        <v>62.395411683896519</v>
      </c>
      <c r="GA4" s="129">
        <f t="shared" ref="GA4:GB4" si="86">GA3/GA2</f>
        <v>57.203184610623389</v>
      </c>
      <c r="GB4" s="129">
        <f t="shared" si="86"/>
        <v>61.046371834360556</v>
      </c>
      <c r="GC4" s="129">
        <f t="shared" ref="GC4:GD4" si="87">GC3/GC2</f>
        <v>60.118993080091094</v>
      </c>
      <c r="GD4" s="129">
        <f t="shared" si="87"/>
        <v>88.480536340939054</v>
      </c>
      <c r="GE4" s="129">
        <f t="shared" ref="GE4:GF4" si="88">GE3/GE2</f>
        <v>83.043239913875254</v>
      </c>
      <c r="GF4" s="129">
        <f t="shared" si="88"/>
        <v>70.493652891283318</v>
      </c>
      <c r="GG4" s="129">
        <f t="shared" ref="GG4:GH4" si="89">GG3/GG2</f>
        <v>55.302738165297924</v>
      </c>
      <c r="GH4" s="129">
        <f t="shared" si="89"/>
        <v>55.411581942535065</v>
      </c>
      <c r="GI4" s="129">
        <f t="shared" ref="GI4:GO4" si="90">GI3/GI2</f>
        <v>51.316232614417032</v>
      </c>
      <c r="GJ4" s="129">
        <f t="shared" si="90"/>
        <v>43.555900954503166</v>
      </c>
      <c r="GK4" s="129">
        <f t="shared" si="90"/>
        <v>45.619082062463768</v>
      </c>
      <c r="GL4" s="129">
        <f t="shared" si="90"/>
        <v>44.415338507144895</v>
      </c>
      <c r="GM4" s="129">
        <f t="shared" si="90"/>
        <v>44.480989552914934</v>
      </c>
      <c r="GN4" s="129">
        <f t="shared" si="90"/>
        <v>46.44365667787072</v>
      </c>
      <c r="GO4" s="129">
        <f t="shared" si="90"/>
        <v>46.407151738482966</v>
      </c>
      <c r="GP4" s="129">
        <f t="shared" ref="GP4:GQ4" si="91">GP3/GP2</f>
        <v>42.038946981436418</v>
      </c>
      <c r="GQ4" s="129">
        <f t="shared" si="91"/>
        <v>38.531223658263876</v>
      </c>
      <c r="GR4" s="129">
        <f t="shared" ref="GR4:GS4" si="92">GR3/GR2</f>
        <v>38.029661043915262</v>
      </c>
      <c r="GS4" s="129">
        <f t="shared" si="92"/>
        <v>43.128580846933538</v>
      </c>
      <c r="GT4" s="129">
        <f t="shared" ref="GT4:GU4" si="93">GT3/GT2</f>
        <v>39.886035570469133</v>
      </c>
      <c r="GU4" s="129">
        <f t="shared" si="93"/>
        <v>41.892212906652347</v>
      </c>
      <c r="GV4" s="129">
        <f t="shared" ref="GV4:GW4" si="94">GV3/GV2</f>
        <v>40.269185649438008</v>
      </c>
      <c r="GW4" s="129">
        <f t="shared" si="94"/>
        <v>41.059733804538574</v>
      </c>
      <c r="GX4" s="129">
        <f t="shared" ref="GX4:GY4" si="95">GX3/GX2</f>
        <v>37.102368507313173</v>
      </c>
      <c r="GY4" s="129">
        <f t="shared" si="95"/>
        <v>39.398272568527169</v>
      </c>
      <c r="GZ4" s="129">
        <f t="shared" ref="GZ4:HA4" si="96">GZ3/GZ2</f>
        <v>43.398105971339398</v>
      </c>
      <c r="HA4" s="129">
        <f t="shared" si="96"/>
        <v>47.399006461728362</v>
      </c>
      <c r="HB4" s="129">
        <f t="shared" ref="HB4:HC4" si="97">HB3/HB2</f>
        <v>48.726336529612574</v>
      </c>
      <c r="HC4" s="129">
        <f t="shared" si="97"/>
        <v>34.530364090644355</v>
      </c>
      <c r="HD4" s="129">
        <f t="shared" ref="HD4:HE4" si="98">HD3/HD2</f>
        <v>38.448089464814672</v>
      </c>
      <c r="HE4" s="129">
        <f t="shared" si="98"/>
        <v>35.132196923731613</v>
      </c>
      <c r="HF4" s="129">
        <f t="shared" ref="HF4:HG4" si="99">HF3/HF2</f>
        <v>32.703361038385331</v>
      </c>
      <c r="HG4" s="129">
        <f t="shared" si="99"/>
        <v>43.696994384739426</v>
      </c>
      <c r="HH4" s="129">
        <f t="shared" ref="HH4:HJ4" si="100">HH3/HH2</f>
        <v>30.53674674062275</v>
      </c>
      <c r="HI4" s="129">
        <f t="shared" si="100"/>
        <v>37.274610963552433</v>
      </c>
      <c r="HJ4" s="129">
        <f t="shared" si="100"/>
        <v>36.482566430355661</v>
      </c>
      <c r="HK4" s="129">
        <f t="shared" ref="HK4:HL4" si="101">HK3/HK2</f>
        <v>37.750862338327586</v>
      </c>
      <c r="HL4" s="129">
        <f t="shared" si="101"/>
        <v>39.884500276489604</v>
      </c>
      <c r="HM4" s="129">
        <f t="shared" ref="HM4" si="102">HM3/HM2</f>
        <v>38.002285949433428</v>
      </c>
      <c r="HN4" s="129">
        <f t="shared" ref="HN4" si="103">HN3/HN2</f>
        <v>39.431464932894471</v>
      </c>
      <c r="HO4" s="129">
        <v>51.989460358946381</v>
      </c>
      <c r="HP4" s="129">
        <v>49.140824481570895</v>
      </c>
      <c r="HQ4" s="129">
        <v>38.510104291702589</v>
      </c>
      <c r="HR4" s="129">
        <f t="shared" ref="HR4" si="104">HR3/HR2</f>
        <v>42.150896420585163</v>
      </c>
      <c r="HS4" s="129">
        <f t="shared" ref="HS4:HT4" si="105">HS3/HS2</f>
        <v>42.611935259698321</v>
      </c>
      <c r="HT4" s="129">
        <f t="shared" si="105"/>
        <v>33.959259003896008</v>
      </c>
      <c r="HU4" s="129">
        <f t="shared" ref="HU4" si="106">HU3/HU2</f>
        <v>35.294412804711179</v>
      </c>
      <c r="HV4" s="129">
        <v>34.860063735999461</v>
      </c>
      <c r="HW4" s="129">
        <v>34.04909941203843</v>
      </c>
      <c r="HX4" s="129">
        <v>38.516303437506629</v>
      </c>
      <c r="HY4" s="129">
        <v>35.538134580159372</v>
      </c>
      <c r="HZ4" s="129">
        <v>31.30456213210655</v>
      </c>
      <c r="IA4" s="129">
        <v>32.019769833271937</v>
      </c>
      <c r="IB4" s="129">
        <v>32.317277035380016</v>
      </c>
      <c r="IC4" s="129">
        <v>30.814802166605958</v>
      </c>
      <c r="ID4" s="129">
        <v>30.977025722260347</v>
      </c>
      <c r="IE4" s="129">
        <v>31.958210514470718</v>
      </c>
      <c r="IF4" s="129">
        <v>30.951868634711058</v>
      </c>
      <c r="IG4" s="129">
        <v>33.997476168415552</v>
      </c>
      <c r="IH4" s="129">
        <v>33.83497612468944</v>
      </c>
      <c r="II4" s="129">
        <v>33.425378370285273</v>
      </c>
      <c r="IJ4" s="129">
        <v>34.203446915144639</v>
      </c>
      <c r="IK4" s="129">
        <v>41.382426148417686</v>
      </c>
      <c r="IL4" s="129">
        <v>35.817804821288448</v>
      </c>
      <c r="IM4" s="129">
        <v>38.053382118283501</v>
      </c>
      <c r="IN4" s="129">
        <v>34.664244001374634</v>
      </c>
      <c r="IO4" s="129">
        <v>31.906057685409984</v>
      </c>
      <c r="IP4" s="129">
        <v>35.350165237529175</v>
      </c>
      <c r="IQ4" s="129">
        <v>33.785933014483426</v>
      </c>
      <c r="IR4" s="129">
        <v>34.469338352780611</v>
      </c>
      <c r="IS4" s="129">
        <v>36.514500985166833</v>
      </c>
      <c r="IT4" s="129">
        <v>38.702604203265622</v>
      </c>
      <c r="IU4" s="129">
        <v>40.99435829480705</v>
      </c>
      <c r="IV4" s="129">
        <v>41.69004266738979</v>
      </c>
      <c r="IW4" s="129">
        <v>41.087967359865701</v>
      </c>
      <c r="IX4" s="129">
        <v>37.853468362205597</v>
      </c>
      <c r="IY4" s="129">
        <f t="shared" ref="IY4" si="107">IY3/IY2</f>
        <v>37.090491790524702</v>
      </c>
      <c r="IZ4" s="129">
        <v>36.066582137269791</v>
      </c>
      <c r="JA4" s="129">
        <v>43.580569247356785</v>
      </c>
      <c r="JB4" s="129">
        <v>42.000112155158035</v>
      </c>
      <c r="JC4" s="129">
        <v>57.597571966567187</v>
      </c>
      <c r="JD4" s="129">
        <v>43.799356320400165</v>
      </c>
      <c r="JE4" s="129">
        <v>41.663723547402647</v>
      </c>
      <c r="JF4" s="129">
        <v>43.860277024909209</v>
      </c>
      <c r="JG4" s="129">
        <v>42.189661053616646</v>
      </c>
      <c r="JH4" s="129">
        <v>40.611822505772999</v>
      </c>
      <c r="JI4" s="129">
        <v>38.199597415466869</v>
      </c>
      <c r="JJ4" s="129">
        <v>39.009345229002001</v>
      </c>
      <c r="JK4" s="129">
        <v>41.463994611697565</v>
      </c>
      <c r="JL4" s="129">
        <v>42.460827784636393</v>
      </c>
      <c r="JM4" s="129">
        <v>45.236776028708938</v>
      </c>
      <c r="JN4" s="129">
        <v>58.547939370520645</v>
      </c>
      <c r="JO4" s="129">
        <v>58.166465923255423</v>
      </c>
      <c r="JP4" s="129">
        <v>61.027180176930145</v>
      </c>
      <c r="JQ4" s="129">
        <v>49.425928102746965</v>
      </c>
      <c r="JR4" s="129">
        <v>49.155095262701849</v>
      </c>
      <c r="JS4" s="129">
        <f t="shared" ref="JS4" si="108">JS3/JS2</f>
        <v>43.514532308864545</v>
      </c>
      <c r="JT4" s="129">
        <v>55.092344046223751</v>
      </c>
      <c r="JU4" s="129">
        <v>54.921187394034369</v>
      </c>
      <c r="JV4" s="129">
        <v>57.698943838299769</v>
      </c>
      <c r="JW4" s="129">
        <v>72.389180043465274</v>
      </c>
      <c r="JX4" s="129">
        <v>57.417266660341184</v>
      </c>
      <c r="JY4" s="129">
        <v>53.910705741220575</v>
      </c>
      <c r="JZ4" s="129">
        <v>57.423613104628032</v>
      </c>
      <c r="KA4" s="129">
        <v>61.924373670905723</v>
      </c>
      <c r="KB4" s="129">
        <v>58.070711791280452</v>
      </c>
      <c r="KC4" s="129">
        <v>53.801415515642724</v>
      </c>
      <c r="KD4" s="129">
        <v>52.570421297762962</v>
      </c>
      <c r="KE4" s="129">
        <v>52.556205666690921</v>
      </c>
      <c r="KF4" s="129">
        <v>39.594259388551095</v>
      </c>
      <c r="KG4" s="129">
        <v>53.669210625761039</v>
      </c>
      <c r="KH4" s="129">
        <v>54.305021957232142</v>
      </c>
      <c r="KI4" s="129">
        <v>47.717336966818962</v>
      </c>
      <c r="KJ4" s="129">
        <f t="shared" ref="KJ4" si="109">KJ3/KJ2</f>
        <v>48.081766716615789</v>
      </c>
      <c r="KK4" s="129">
        <v>51.0732560334569</v>
      </c>
      <c r="KL4" s="129">
        <v>51.9278397244478</v>
      </c>
      <c r="KM4" s="129">
        <v>50.819739626307303</v>
      </c>
      <c r="KN4" s="129">
        <v>51.091402674019911</v>
      </c>
      <c r="KO4" s="129">
        <v>52.171589182795728</v>
      </c>
      <c r="KP4" s="129">
        <v>60.960102239592636</v>
      </c>
      <c r="KQ4" s="129">
        <v>53.258242833146568</v>
      </c>
      <c r="KR4" s="129">
        <v>53.022714322460637</v>
      </c>
      <c r="KS4" s="129">
        <f t="shared" ref="KS4" si="110">KS3/KS2</f>
        <v>52.38735244167701</v>
      </c>
      <c r="KT4" s="129">
        <v>47.969429681729274</v>
      </c>
      <c r="KU4" s="129">
        <f t="shared" ref="KU4" si="111">KU3/KU2</f>
        <v>50.548290714305537</v>
      </c>
      <c r="KV4" s="129">
        <f>KV3/KV2</f>
        <v>49.071704397202417</v>
      </c>
      <c r="KW4" s="129">
        <f>KW3/KW2</f>
        <v>46.336778523281751</v>
      </c>
      <c r="KX4" s="129">
        <v>38.953126652925164</v>
      </c>
      <c r="KY4" s="129">
        <v>48.151943806720141</v>
      </c>
      <c r="KZ4" s="129">
        <v>48.582109978999</v>
      </c>
      <c r="LA4" s="129">
        <v>41.370653738049761</v>
      </c>
      <c r="LB4" s="129">
        <v>46.118428341712878</v>
      </c>
      <c r="LC4" s="129">
        <v>47.640420139104478</v>
      </c>
      <c r="LD4" s="129">
        <v>60.026376723356684</v>
      </c>
      <c r="LE4" s="129">
        <f>LE3/LE2</f>
        <v>56.238039385628845</v>
      </c>
      <c r="LF4" s="968">
        <v>50.967092147334732</v>
      </c>
      <c r="LG4" s="968">
        <v>45.755975928007487</v>
      </c>
      <c r="LH4" s="968">
        <v>50.704136739380878</v>
      </c>
      <c r="LI4" s="968">
        <v>52.629670342391762</v>
      </c>
      <c r="LJ4" s="968">
        <v>46.651893059875256</v>
      </c>
      <c r="LK4" s="968">
        <v>55.917394191577642</v>
      </c>
      <c r="LL4" s="968">
        <v>48.326477819955286</v>
      </c>
      <c r="LM4" s="968">
        <v>48.947849401752315</v>
      </c>
      <c r="LN4" s="968">
        <v>45.636812779413738</v>
      </c>
      <c r="LO4" s="968">
        <v>42.802669051666619</v>
      </c>
      <c r="LP4" s="968">
        <v>41.034636900435714</v>
      </c>
      <c r="LQ4" s="968">
        <v>43.349167763527547</v>
      </c>
      <c r="LR4" s="968">
        <v>47.353384052840944</v>
      </c>
      <c r="LS4" s="968">
        <v>49.639099083776294</v>
      </c>
      <c r="LT4" s="968">
        <v>52.150159135747401</v>
      </c>
      <c r="LU4" s="968">
        <v>48.293581511980413</v>
      </c>
      <c r="LV4" s="968">
        <v>41.263563365115246</v>
      </c>
      <c r="LW4" s="968">
        <v>36.230135077564178</v>
      </c>
      <c r="LX4" s="968">
        <v>34.17855071437981</v>
      </c>
      <c r="LY4" s="968">
        <v>40.179621793151469</v>
      </c>
      <c r="LZ4" s="968">
        <v>38.488027523269992</v>
      </c>
      <c r="MA4" s="968">
        <v>42.467232221497525</v>
      </c>
      <c r="MB4" s="968">
        <v>37.094058144214543</v>
      </c>
      <c r="MC4" s="968">
        <v>41.075556289828199</v>
      </c>
      <c r="MD4" s="968">
        <v>34.369798860598138</v>
      </c>
      <c r="ME4" s="968">
        <v>36.409303352503954</v>
      </c>
      <c r="MF4" s="968">
        <v>35.703903689198199</v>
      </c>
      <c r="MG4" s="968">
        <v>36.476645670623952</v>
      </c>
      <c r="MH4" s="968">
        <v>43.49294634102408</v>
      </c>
      <c r="MI4" s="968">
        <v>43.212583868008522</v>
      </c>
      <c r="MJ4" s="968">
        <v>38.025414577536068</v>
      </c>
      <c r="MK4" s="968">
        <v>34.198012510777204</v>
      </c>
      <c r="ML4" s="968">
        <v>36.903147732310117</v>
      </c>
      <c r="MM4" s="968">
        <v>36.777332791662857</v>
      </c>
      <c r="MN4" s="968">
        <v>34.698510087887207</v>
      </c>
      <c r="MO4" s="968">
        <v>31.098353301224865</v>
      </c>
      <c r="MP4" s="968">
        <v>30.92109449341665</v>
      </c>
      <c r="MQ4" s="968">
        <v>26.55547113824564</v>
      </c>
      <c r="MR4" s="968">
        <v>26.325766168048713</v>
      </c>
      <c r="MS4" s="968">
        <v>27.920578097529788</v>
      </c>
      <c r="MT4" s="968">
        <v>31.621729334796957</v>
      </c>
      <c r="MU4" s="968">
        <v>29.600804060279572</v>
      </c>
      <c r="MV4" s="968">
        <v>30.267664772750702</v>
      </c>
      <c r="MW4" s="968">
        <v>32.82700267440844</v>
      </c>
      <c r="MX4" s="968">
        <v>34.424736579689878</v>
      </c>
      <c r="MY4" s="968">
        <v>35.077852363841068</v>
      </c>
      <c r="MZ4" s="968">
        <v>33.755610896208779</v>
      </c>
      <c r="NA4" s="968">
        <v>33.287252769984605</v>
      </c>
      <c r="NB4" s="968">
        <v>37.8869389008741</v>
      </c>
      <c r="NC4" s="968">
        <v>34.783056312078905</v>
      </c>
      <c r="ND4" s="968">
        <v>35.275411607807328</v>
      </c>
      <c r="NE4" s="968">
        <v>40.575776169797969</v>
      </c>
      <c r="NF4" s="968">
        <v>36.997337842448182</v>
      </c>
      <c r="NG4" s="968">
        <v>34.879418064545888</v>
      </c>
      <c r="NH4" s="968">
        <v>37.348495104205654</v>
      </c>
      <c r="NI4" s="968">
        <v>38.108908986162099</v>
      </c>
      <c r="NJ4" s="968">
        <v>40.084312125737434</v>
      </c>
      <c r="NK4" s="968">
        <v>39.274271286424181</v>
      </c>
      <c r="NL4" s="968">
        <v>37.697105507061316</v>
      </c>
      <c r="NM4" s="968">
        <v>45.413149915544118</v>
      </c>
      <c r="NN4" s="968">
        <v>41.680083509820797</v>
      </c>
      <c r="NO4" s="968">
        <v>41.602276781366882</v>
      </c>
      <c r="NP4" s="968">
        <v>41.692940848419674</v>
      </c>
      <c r="NQ4" s="968">
        <v>39.478025048063088</v>
      </c>
      <c r="NR4" s="968">
        <v>44.371554412373847</v>
      </c>
      <c r="NS4" s="968">
        <v>47.000591574787748</v>
      </c>
      <c r="NT4" s="968">
        <v>49.43085911333317</v>
      </c>
      <c r="NU4" s="968">
        <f>NU3/NU2</f>
        <v>55.320343453649251</v>
      </c>
      <c r="NV4" s="968">
        <v>49.738599044357109</v>
      </c>
      <c r="NW4" s="968">
        <v>54.841233485110415</v>
      </c>
      <c r="NX4" s="968">
        <v>49.713639388168531</v>
      </c>
      <c r="NY4" s="968">
        <v>51.046549838062845</v>
      </c>
      <c r="NZ4" s="968">
        <v>54.781942318886934</v>
      </c>
      <c r="OA4" s="968">
        <v>52.949043810066016</v>
      </c>
      <c r="OB4" s="968">
        <v>58.637619903351982</v>
      </c>
      <c r="OC4" s="968">
        <v>54.03339487377383</v>
      </c>
      <c r="OD4" s="968">
        <v>57.182425276043986</v>
      </c>
      <c r="OE4" s="968">
        <v>58.441718111024841</v>
      </c>
      <c r="OF4" s="968">
        <v>58.075922196292609</v>
      </c>
      <c r="OG4" s="968">
        <v>54.708172050931239</v>
      </c>
      <c r="OH4" s="968">
        <v>47.299958372582786</v>
      </c>
      <c r="OI4" s="968">
        <v>48.922622403403437</v>
      </c>
      <c r="OJ4" s="968">
        <v>53.601973118347622</v>
      </c>
      <c r="OK4" s="968">
        <v>55.957205285290044</v>
      </c>
      <c r="OL4" s="968">
        <v>55.145556743164725</v>
      </c>
      <c r="OM4" s="968">
        <v>55.933234156982891</v>
      </c>
      <c r="ON4" s="968">
        <v>58.787873479633468</v>
      </c>
      <c r="OO4" s="968">
        <v>54.233130507622363</v>
      </c>
      <c r="OP4" s="968">
        <v>50.161349082244122</v>
      </c>
      <c r="OQ4" s="968">
        <v>50.189499568750215</v>
      </c>
      <c r="OR4" s="968">
        <v>54.616023205642129</v>
      </c>
      <c r="OS4" s="968">
        <v>46.921767483986912</v>
      </c>
      <c r="OT4" s="968">
        <v>64.894939195813734</v>
      </c>
      <c r="OU4" s="968">
        <v>54.628897531994483</v>
      </c>
      <c r="OV4" s="968">
        <v>60.705375465422996</v>
      </c>
      <c r="OW4" s="968">
        <v>62.96305125189329</v>
      </c>
      <c r="OX4" s="968">
        <v>57.709820094990143</v>
      </c>
      <c r="OY4" s="968">
        <v>41.466764288987534</v>
      </c>
      <c r="OZ4" s="968">
        <v>42.042054210875627</v>
      </c>
      <c r="PA4" s="968">
        <v>39.16567476259565</v>
      </c>
      <c r="PB4" s="968">
        <v>31.602115142968486</v>
      </c>
      <c r="PC4" s="968">
        <v>32.283181719889612</v>
      </c>
      <c r="PD4" s="968">
        <v>37.480792128284207</v>
      </c>
      <c r="PE4" s="968">
        <v>43.256572543889774</v>
      </c>
      <c r="PF4" s="968">
        <v>43.251199942164483</v>
      </c>
      <c r="PG4" s="968">
        <v>37.663504263430369</v>
      </c>
      <c r="PH4" s="968">
        <v>45.675371951673782</v>
      </c>
      <c r="PI4" s="968">
        <v>50.386293951739404</v>
      </c>
      <c r="PJ4" s="968">
        <v>56.475292118280386</v>
      </c>
      <c r="PK4" s="968">
        <v>49.053661947217407</v>
      </c>
      <c r="PL4" s="968">
        <v>42.43997825871174</v>
      </c>
      <c r="PM4" s="968">
        <v>41.373369277748417</v>
      </c>
      <c r="PN4" s="968">
        <v>45.993154453905305</v>
      </c>
      <c r="PO4" s="968">
        <v>49.423248306560623</v>
      </c>
      <c r="PP4" s="968">
        <v>50.484327156125168</v>
      </c>
      <c r="PQ4" s="968">
        <v>40.997252741164516</v>
      </c>
      <c r="PR4" s="968">
        <v>41.395906772472884</v>
      </c>
      <c r="PS4" s="968">
        <v>47.094318368013475</v>
      </c>
      <c r="PT4" s="968">
        <v>47.380909408584962</v>
      </c>
      <c r="PU4" s="968">
        <v>41.834659336225229</v>
      </c>
      <c r="PV4" s="968">
        <v>38.035943019699502</v>
      </c>
      <c r="PW4" s="968">
        <v>39.00712868629256</v>
      </c>
      <c r="PX4" s="968">
        <v>46.441339010362796</v>
      </c>
      <c r="PY4" s="968">
        <v>47.719128337592934</v>
      </c>
      <c r="PZ4" s="968">
        <v>47.185562723062922</v>
      </c>
      <c r="QA4" s="968">
        <v>47.206750176479488</v>
      </c>
      <c r="QB4" s="968">
        <v>36.754412295730276</v>
      </c>
      <c r="QC4" s="968">
        <v>37.613588629393732</v>
      </c>
      <c r="QD4" s="968">
        <v>34.812308270257397</v>
      </c>
      <c r="QE4" s="968">
        <v>33.657240290917123</v>
      </c>
      <c r="QF4" s="968">
        <v>37.687998643262297</v>
      </c>
      <c r="QG4" s="968">
        <v>36.252628360471171</v>
      </c>
      <c r="QH4" s="968">
        <f>QH3/QH2</f>
        <v>34.716344404269769</v>
      </c>
      <c r="QI4" s="968">
        <v>45.548523238038428</v>
      </c>
      <c r="QJ4" s="968">
        <v>42.900281653590902</v>
      </c>
      <c r="QK4" s="968">
        <v>41.974399996496366</v>
      </c>
      <c r="QL4" s="968">
        <v>32.760888964285954</v>
      </c>
      <c r="QM4" s="968">
        <v>32.086499796073738</v>
      </c>
      <c r="QN4" s="968">
        <v>33.434681746866325</v>
      </c>
      <c r="QO4" s="968">
        <v>42.056726132432971</v>
      </c>
      <c r="QP4" s="968">
        <v>36.06257912964606</v>
      </c>
      <c r="QQ4" s="968">
        <v>38.427260709404969</v>
      </c>
      <c r="QR4" s="968">
        <v>39.916830340849131</v>
      </c>
      <c r="QS4" s="968">
        <v>39.262480479484566</v>
      </c>
      <c r="QT4" s="968">
        <v>40.244137951779692</v>
      </c>
      <c r="QU4" s="968">
        <v>38.339880810020126</v>
      </c>
      <c r="QV4" s="968">
        <v>42.910408162431985</v>
      </c>
      <c r="QW4" s="968">
        <v>38.589392689410822</v>
      </c>
      <c r="QX4" s="968">
        <v>39.271970434769372</v>
      </c>
      <c r="QY4" s="968">
        <v>37.993755246631643</v>
      </c>
      <c r="QZ4" s="968">
        <v>39.111806193728775</v>
      </c>
      <c r="RA4" s="968">
        <v>32.32895732896209</v>
      </c>
      <c r="RB4" s="968">
        <v>31.456402250844842</v>
      </c>
      <c r="RC4" s="968">
        <v>30.842540335758294</v>
      </c>
      <c r="RD4" s="968">
        <v>33.319910244137461</v>
      </c>
      <c r="RE4" s="968">
        <v>28.284569464435471</v>
      </c>
      <c r="RF4" s="968">
        <v>26.638334670587749</v>
      </c>
      <c r="RG4" s="968">
        <f>RG3/RG2</f>
        <v>25.19692837929108</v>
      </c>
      <c r="RH4" s="968">
        <v>25.542241857933078</v>
      </c>
      <c r="RI4" s="968">
        <v>25.589024988448912</v>
      </c>
      <c r="RJ4" s="968">
        <v>23.149172899082966</v>
      </c>
      <c r="RK4" s="968">
        <v>26.507240198045629</v>
      </c>
      <c r="RL4" s="968">
        <v>26.154342459434574</v>
      </c>
      <c r="RM4" s="968">
        <v>24.921156161891428</v>
      </c>
      <c r="RN4" s="968">
        <v>25.036519565205758</v>
      </c>
      <c r="RO4" s="968">
        <v>23.993431477704135</v>
      </c>
      <c r="RP4" s="968">
        <v>25.150900886427944</v>
      </c>
      <c r="RQ4" s="968">
        <v>22.676614962332039</v>
      </c>
      <c r="RR4" s="968">
        <v>23.312526885650453</v>
      </c>
      <c r="RS4" s="968">
        <v>48.334672940115084</v>
      </c>
      <c r="RT4" s="968">
        <v>53.003409050110506</v>
      </c>
      <c r="RU4" s="968">
        <v>42.978774582439186</v>
      </c>
      <c r="RV4" s="968">
        <v>43.680434194504564</v>
      </c>
      <c r="RW4" s="968">
        <v>33.609937914218172</v>
      </c>
      <c r="RX4" s="968">
        <v>29.814858257058212</v>
      </c>
      <c r="RY4" s="968">
        <v>42.320909598272372</v>
      </c>
      <c r="RZ4" s="968">
        <v>38.035642615414034</v>
      </c>
      <c r="SA4" s="968">
        <v>40.660319610586775</v>
      </c>
      <c r="SB4" s="968">
        <v>34.708277789916814</v>
      </c>
      <c r="SC4" s="968">
        <v>36.668063887027557</v>
      </c>
      <c r="SD4" s="968">
        <v>38.673096486143585</v>
      </c>
      <c r="SE4" s="968">
        <v>40.787696774742727</v>
      </c>
      <c r="SF4" s="968">
        <v>48.450894792308596</v>
      </c>
      <c r="SG4" s="968">
        <v>46.405924784428208</v>
      </c>
      <c r="SH4" s="968">
        <v>41.280171416316286</v>
      </c>
      <c r="SI4" s="968">
        <v>46.141900147383211</v>
      </c>
      <c r="SJ4" s="968">
        <v>47.084305933458879</v>
      </c>
      <c r="SK4" s="968">
        <v>52.448671612641341</v>
      </c>
      <c r="SL4" s="968">
        <v>51.972893371342529</v>
      </c>
      <c r="SM4" s="968">
        <v>46.072882654467776</v>
      </c>
      <c r="SN4" s="968">
        <v>46.007923808228526</v>
      </c>
      <c r="SO4" s="968">
        <v>50.564352219761588</v>
      </c>
      <c r="SP4" s="968">
        <v>50.885170513752648</v>
      </c>
      <c r="SQ4" s="968">
        <v>47.373936484765103</v>
      </c>
      <c r="SR4" s="968">
        <v>48.071679215342094</v>
      </c>
      <c r="SS4" s="968">
        <v>47.794504000443503</v>
      </c>
      <c r="ST4" s="968">
        <v>48.622434468014163</v>
      </c>
      <c r="SU4" s="968">
        <v>52.119036859349201</v>
      </c>
      <c r="SV4" s="968">
        <v>49.105885085910423</v>
      </c>
      <c r="SW4" s="968">
        <v>49.472948359065541</v>
      </c>
      <c r="SX4" s="968">
        <v>50.31245577283164</v>
      </c>
      <c r="SY4" s="968">
        <v>48.188201784494304</v>
      </c>
      <c r="SZ4" s="968">
        <v>50.446903638107578</v>
      </c>
      <c r="TA4" s="968">
        <v>53.715877931253395</v>
      </c>
      <c r="TB4" s="968">
        <v>53.263002119331993</v>
      </c>
      <c r="TC4" s="968">
        <v>56.524441860013319</v>
      </c>
      <c r="TD4" s="968">
        <v>60.801306922930209</v>
      </c>
      <c r="TE4" s="968">
        <f>TE3/TE2</f>
        <v>63.055934994590224</v>
      </c>
      <c r="TF4" s="968">
        <f>TF3/TF2</f>
        <v>53.932037560686091</v>
      </c>
      <c r="TG4" s="968">
        <v>39.070337066160199</v>
      </c>
      <c r="TH4" s="968">
        <v>35.771945348241097</v>
      </c>
      <c r="TI4" s="968">
        <v>37.859391472908861</v>
      </c>
      <c r="TJ4" s="968">
        <v>38.322000169461226</v>
      </c>
      <c r="TK4" s="968">
        <v>39.877769358000926</v>
      </c>
      <c r="TL4" s="968">
        <v>41.386565703189561</v>
      </c>
      <c r="TM4" s="968">
        <v>41.520975808099102</v>
      </c>
      <c r="TN4" s="968">
        <v>31.916400105293643</v>
      </c>
      <c r="TO4" s="968">
        <v>39.743424086840037</v>
      </c>
      <c r="TP4" s="968">
        <v>44.243277038796421</v>
      </c>
      <c r="TQ4" s="968">
        <v>38.834195524166873</v>
      </c>
      <c r="TR4" s="968">
        <v>38.710512002064071</v>
      </c>
      <c r="TS4" s="968">
        <v>37.415166131326195</v>
      </c>
      <c r="TT4" s="968">
        <v>40.768475852931545</v>
      </c>
      <c r="TU4" s="968">
        <v>40.034661277152154</v>
      </c>
      <c r="TV4" s="968">
        <v>41.783088718822654</v>
      </c>
      <c r="TW4" s="968">
        <v>38.288786454289436</v>
      </c>
      <c r="TX4" s="968">
        <v>39.383152168108545</v>
      </c>
      <c r="TY4" s="968">
        <v>38.238627202323663</v>
      </c>
      <c r="TZ4" s="968">
        <f t="shared" ref="TZ4:UE4" si="112">TZ3/TZ2</f>
        <v>37.158457045066157</v>
      </c>
      <c r="UA4" s="968">
        <f t="shared" si="112"/>
        <v>41.071079380987292</v>
      </c>
      <c r="UB4" s="968">
        <f t="shared" si="112"/>
        <v>44.691908139908698</v>
      </c>
      <c r="UC4" s="968">
        <f t="shared" si="112"/>
        <v>42.661974653721124</v>
      </c>
      <c r="UD4" s="968">
        <f t="shared" si="112"/>
        <v>45.743752917595316</v>
      </c>
      <c r="UE4" s="968">
        <f t="shared" si="112"/>
        <v>49.567476304347814</v>
      </c>
      <c r="UF4" s="968">
        <v>38.608995757782388</v>
      </c>
      <c r="UG4" s="968">
        <v>45.765202490384262</v>
      </c>
      <c r="UH4" s="968">
        <v>38.552699482847949</v>
      </c>
      <c r="UI4" s="968">
        <v>31.779284303236683</v>
      </c>
      <c r="UJ4" s="968">
        <v>30.475989252916008</v>
      </c>
      <c r="UK4" s="968">
        <v>31.838889400074532</v>
      </c>
      <c r="UL4" s="968">
        <v>30.719512728754104</v>
      </c>
      <c r="UM4" s="968">
        <v>31.204140714202929</v>
      </c>
      <c r="UN4" s="968">
        <v>32.691853894128691</v>
      </c>
      <c r="UO4" s="968">
        <v>31.230476508397842</v>
      </c>
      <c r="UP4" s="968">
        <v>31.842931558198142</v>
      </c>
      <c r="UQ4" s="968">
        <v>28.960740227977897</v>
      </c>
      <c r="UR4" s="968">
        <v>24.615593638867644</v>
      </c>
      <c r="US4" s="968">
        <v>23.677532077378739</v>
      </c>
      <c r="UT4" s="968">
        <v>25.972544568476241</v>
      </c>
      <c r="UU4" s="968">
        <v>28.414836703523719</v>
      </c>
      <c r="UV4" s="968">
        <v>26.46089304670512</v>
      </c>
      <c r="UW4" s="968">
        <v>27.149638750396864</v>
      </c>
      <c r="UX4" s="968">
        <v>25.527069794247382</v>
      </c>
      <c r="UY4" s="968">
        <v>26.812192776383295</v>
      </c>
      <c r="UZ4" s="968">
        <v>24.220772583740857</v>
      </c>
      <c r="VA4" s="968">
        <v>24.909693953354246</v>
      </c>
      <c r="VB4" s="968">
        <v>27.662184412105887</v>
      </c>
      <c r="VC4" s="968">
        <v>24.504085562821803</v>
      </c>
      <c r="VD4" s="968">
        <f t="shared" ref="VD4" si="113">VD3/VD2</f>
        <v>25.159887531568792</v>
      </c>
      <c r="VE4" s="968">
        <v>25.974394751986921</v>
      </c>
      <c r="VF4" s="968">
        <v>25.857271291238366</v>
      </c>
      <c r="VG4" s="968">
        <v>31.129059010704871</v>
      </c>
      <c r="VH4" s="968">
        <v>32.343972006903194</v>
      </c>
      <c r="VI4" s="968">
        <v>37.680050479050124</v>
      </c>
      <c r="VJ4" s="968">
        <v>40.914702827332967</v>
      </c>
      <c r="VK4" s="968">
        <v>35.272460038750161</v>
      </c>
      <c r="VL4" s="968">
        <v>24.543854404369799</v>
      </c>
      <c r="VM4" s="968">
        <v>31.798899010544122</v>
      </c>
      <c r="VN4" s="968">
        <v>33.198801755363021</v>
      </c>
      <c r="VO4" s="968">
        <v>25.975580734194086</v>
      </c>
      <c r="VP4" s="968">
        <v>28.632179967230943</v>
      </c>
      <c r="VQ4" s="968">
        <v>30.352354906622953</v>
      </c>
      <c r="VR4" s="968">
        <v>28.638742551463618</v>
      </c>
      <c r="VS4" s="968">
        <v>23.865482879038002</v>
      </c>
      <c r="VT4" s="968">
        <v>26.460942244352552</v>
      </c>
      <c r="VU4" s="968">
        <v>25.619401104496333</v>
      </c>
      <c r="VV4" s="968">
        <f t="shared" ref="VV4" si="114">VV3/VV2</f>
        <v>22.983039858776767</v>
      </c>
      <c r="VW4" s="968">
        <v>24.835749788334656</v>
      </c>
      <c r="VX4" s="968">
        <v>34.092629858850749</v>
      </c>
      <c r="VY4" s="968">
        <v>35.676683751026687</v>
      </c>
      <c r="VZ4" s="968">
        <v>33.764974325178727</v>
      </c>
      <c r="WA4" s="968">
        <v>39.082616703867068</v>
      </c>
      <c r="WB4" s="968">
        <v>34.496075238767645</v>
      </c>
      <c r="WC4" s="968">
        <v>33.310617190529022</v>
      </c>
      <c r="WD4" s="968">
        <v>28.949981637432707</v>
      </c>
      <c r="WE4" s="968">
        <v>31.566622278994384</v>
      </c>
      <c r="WF4" s="968">
        <v>34.521905331770952</v>
      </c>
      <c r="WG4" s="968">
        <v>23.226847910034465</v>
      </c>
      <c r="WH4" s="968">
        <v>25.266342391001221</v>
      </c>
      <c r="WI4" s="968">
        <v>26.957457667687041</v>
      </c>
      <c r="WJ4" s="968">
        <v>33.056016397906554</v>
      </c>
      <c r="WK4" s="968">
        <v>25.714153688309136</v>
      </c>
      <c r="WL4" s="968">
        <v>25.362289474088239</v>
      </c>
      <c r="WM4" s="968">
        <v>24.1165739600644</v>
      </c>
      <c r="WN4" s="968">
        <v>27.981703707409689</v>
      </c>
      <c r="WO4" s="968">
        <v>22.399153427343393</v>
      </c>
      <c r="WP4" s="968">
        <v>21.267877177267266</v>
      </c>
      <c r="WQ4" s="968">
        <v>27.307709266429299</v>
      </c>
      <c r="WR4" s="968">
        <f t="shared" ref="WR4:WS4" si="115">WR3/WR2</f>
        <v>26.15124531045824</v>
      </c>
      <c r="WS4" s="968">
        <f t="shared" si="115"/>
        <v>26.674109947284773</v>
      </c>
      <c r="WT4" s="968">
        <f t="shared" ref="WT4:WU4" si="116">WT3/WT2</f>
        <v>29.759281616837303</v>
      </c>
      <c r="WU4" s="968">
        <f t="shared" si="116"/>
        <v>27.29930455066977</v>
      </c>
      <c r="WV4" s="968">
        <f t="shared" ref="WV4" si="117">WV3/WV2</f>
        <v>23.995847235018864</v>
      </c>
      <c r="WW4" s="968">
        <v>22.963534572783949</v>
      </c>
      <c r="WX4" s="968">
        <v>23.480011630491799</v>
      </c>
      <c r="WY4" s="968">
        <v>25.028697735151233</v>
      </c>
      <c r="WZ4" s="968">
        <v>25.105673360255977</v>
      </c>
      <c r="XA4" s="968">
        <v>24.886905228100257</v>
      </c>
      <c r="XB4" s="968">
        <v>27.631527928845973</v>
      </c>
      <c r="XC4" s="968">
        <v>21.479024570302503</v>
      </c>
      <c r="XD4" s="968">
        <v>24.633799811527016</v>
      </c>
      <c r="XE4" s="968">
        <v>25.884437799031755</v>
      </c>
      <c r="XF4" s="968">
        <v>28.440856079896683</v>
      </c>
      <c r="XG4" s="968">
        <v>25.522891161047188</v>
      </c>
      <c r="XH4" s="968">
        <v>27.859614483020078</v>
      </c>
      <c r="XI4" s="968">
        <v>24.950422436543089</v>
      </c>
      <c r="XJ4" s="968">
        <v>35.475014253774972</v>
      </c>
      <c r="XK4" s="968">
        <v>22.066122144218422</v>
      </c>
      <c r="XL4" s="968">
        <v>23.394378978606881</v>
      </c>
      <c r="XM4" s="968">
        <v>31.234363698248671</v>
      </c>
      <c r="XN4" s="968">
        <v>26.863677939335115</v>
      </c>
      <c r="XO4" s="968">
        <v>29.827751489134652</v>
      </c>
      <c r="XP4" s="968">
        <v>39.300949078006397</v>
      </c>
      <c r="XQ4" s="968">
        <v>41.005053951547431</v>
      </c>
      <c r="XR4" s="968">
        <v>46.835610409714086</v>
      </c>
      <c r="XS4" s="968">
        <v>48.295755822505079</v>
      </c>
      <c r="XT4" s="968">
        <v>25.62803101540111</v>
      </c>
      <c r="XU4" s="968">
        <v>29.170070989665707</v>
      </c>
      <c r="XV4" s="968">
        <v>28.795216925936639</v>
      </c>
      <c r="XW4" s="968">
        <v>31.397329133700126</v>
      </c>
      <c r="XX4" s="968">
        <v>24.075496457513136</v>
      </c>
      <c r="XY4" s="968">
        <v>26.305110447326985</v>
      </c>
      <c r="XZ4" s="968">
        <v>24.873264227683872</v>
      </c>
      <c r="YA4" s="968">
        <v>25.984028487899185</v>
      </c>
      <c r="YB4" s="968">
        <v>28.156638457923219</v>
      </c>
      <c r="YC4" s="968">
        <v>21.361773524992294</v>
      </c>
      <c r="YD4" s="968">
        <v>46.795880552592621</v>
      </c>
      <c r="YE4" s="968">
        <v>20.870192354104958</v>
      </c>
      <c r="YF4" s="968">
        <v>33.142232402028753</v>
      </c>
      <c r="YG4" s="968">
        <v>27.904031693298776</v>
      </c>
      <c r="YH4" s="968">
        <f>YH3/YH2</f>
        <v>31.954234588389387</v>
      </c>
    </row>
    <row r="5" spans="2:658" ht="15" thickTop="1">
      <c r="B5" s="917" t="s">
        <v>21</v>
      </c>
      <c r="C5" s="918">
        <v>37.900605259999999</v>
      </c>
      <c r="D5" s="130">
        <v>29.104389340000001</v>
      </c>
      <c r="E5" s="130">
        <v>33.77215219</v>
      </c>
      <c r="F5" s="130">
        <v>24.417281339999999</v>
      </c>
      <c r="G5" s="130">
        <v>29.619627210000001</v>
      </c>
      <c r="H5" s="130">
        <v>20.474472240000001</v>
      </c>
      <c r="I5" s="130">
        <v>7.8193835099999998</v>
      </c>
      <c r="J5" s="130">
        <v>9.92935546</v>
      </c>
      <c r="K5" s="130">
        <v>6.3247203499999998</v>
      </c>
      <c r="L5" s="130">
        <f>569.06341787</f>
        <v>569.06341786999997</v>
      </c>
      <c r="M5" s="130">
        <f>331.74619966</f>
        <v>331.74619966</v>
      </c>
      <c r="N5" s="130">
        <v>160.65442006999999</v>
      </c>
      <c r="O5" s="130">
        <v>149.44653873999999</v>
      </c>
      <c r="P5" s="130">
        <v>102.23528118</v>
      </c>
      <c r="Q5" s="130">
        <v>102.97291463000001</v>
      </c>
      <c r="R5" s="130">
        <v>85.761172970000004</v>
      </c>
      <c r="S5" s="130">
        <v>85.44892634</v>
      </c>
      <c r="T5" s="130">
        <v>81.582515310000005</v>
      </c>
      <c r="U5" s="130">
        <v>83.601987260000001</v>
      </c>
      <c r="V5" s="130">
        <v>88.846327000000002</v>
      </c>
      <c r="W5" s="130">
        <v>81.403283880000004</v>
      </c>
      <c r="X5" s="130">
        <v>33.159147599999997</v>
      </c>
      <c r="Y5" s="130">
        <v>15.409674689999999</v>
      </c>
      <c r="Z5" s="130">
        <v>25.11634999</v>
      </c>
      <c r="AA5" s="130">
        <v>30.511687389999999</v>
      </c>
      <c r="AB5" s="130">
        <v>3.21030207</v>
      </c>
      <c r="AC5" s="130">
        <v>0.28037927000000001</v>
      </c>
      <c r="AD5" s="130">
        <v>1.5733640099999999</v>
      </c>
      <c r="AE5" s="130">
        <v>12.2018275</v>
      </c>
      <c r="AF5" s="130">
        <v>2.1925541900000001</v>
      </c>
      <c r="AG5" s="130">
        <v>1.2427329</v>
      </c>
      <c r="AH5" s="130">
        <v>152.80590015999999</v>
      </c>
      <c r="AI5" s="130">
        <v>135.44197382999999</v>
      </c>
      <c r="AJ5" s="130">
        <v>139.17903763999999</v>
      </c>
      <c r="AK5" s="130">
        <v>146.45528229999999</v>
      </c>
      <c r="AL5" s="130">
        <v>97.316791069999994</v>
      </c>
      <c r="AM5" s="130">
        <v>72.286479130000004</v>
      </c>
      <c r="AN5" s="130">
        <v>74.367129779999999</v>
      </c>
      <c r="AO5" s="130">
        <v>84.90438983</v>
      </c>
      <c r="AP5" s="130">
        <v>45.703642119999998</v>
      </c>
      <c r="AQ5" s="130">
        <v>25.24895849</v>
      </c>
      <c r="AR5" s="130">
        <v>19.951744949999998</v>
      </c>
      <c r="AS5" s="130">
        <v>9.8352214</v>
      </c>
      <c r="AT5" s="130">
        <v>16.534369349999999</v>
      </c>
      <c r="AU5" s="130">
        <v>66.305423649999994</v>
      </c>
      <c r="AV5" s="130">
        <v>9.834264300000001</v>
      </c>
      <c r="AW5" s="130">
        <v>13.966400980000001</v>
      </c>
      <c r="AX5" s="130">
        <v>6.1839498300000004</v>
      </c>
      <c r="AY5" s="130">
        <v>17.703742030000001</v>
      </c>
      <c r="AZ5" s="130">
        <v>8.5961326699999994</v>
      </c>
      <c r="BA5" s="130">
        <v>25.785195850000001</v>
      </c>
      <c r="BB5" s="130">
        <v>5.9853203700000002</v>
      </c>
      <c r="BC5" s="130">
        <v>10.32502528</v>
      </c>
      <c r="BD5" s="130">
        <v>8.2874086499999997</v>
      </c>
      <c r="BE5" s="130">
        <v>6.3063554000000002</v>
      </c>
      <c r="BF5" s="130">
        <v>220.48975796000002</v>
      </c>
      <c r="BG5" s="130">
        <v>209.87992478000001</v>
      </c>
      <c r="BH5" s="130">
        <v>118.10391767</v>
      </c>
      <c r="BI5" s="130">
        <v>84.690975409999993</v>
      </c>
      <c r="BJ5" s="130">
        <v>74.428457440000003</v>
      </c>
      <c r="BK5" s="130">
        <v>71.957066230000009</v>
      </c>
      <c r="BL5" s="130">
        <v>77.600967650000001</v>
      </c>
      <c r="BM5" s="130">
        <v>82.257703790000008</v>
      </c>
      <c r="BN5" s="130">
        <v>65.61487228</v>
      </c>
      <c r="BO5" s="130">
        <v>69.060165330000004</v>
      </c>
      <c r="BP5" s="130">
        <v>68.09712485</v>
      </c>
      <c r="BQ5" s="130">
        <v>52.744973119999997</v>
      </c>
      <c r="BR5" s="130">
        <v>64.541798170000007</v>
      </c>
      <c r="BS5" s="130">
        <v>53.037364409999995</v>
      </c>
      <c r="BT5" s="130">
        <v>51.536526280000004</v>
      </c>
      <c r="BU5" s="130">
        <v>130.22541717000001</v>
      </c>
      <c r="BV5" s="130">
        <v>3.8948531200000001</v>
      </c>
      <c r="BW5" s="130">
        <v>8.6728869299999989</v>
      </c>
      <c r="BX5" s="130">
        <v>16.055277270000001</v>
      </c>
      <c r="BY5" s="130">
        <v>3.8533778299999999</v>
      </c>
      <c r="BZ5" s="130">
        <v>141.6905769</v>
      </c>
      <c r="CA5" s="130">
        <v>138.13739050999999</v>
      </c>
      <c r="CB5" s="130">
        <v>132.86570212999999</v>
      </c>
      <c r="CC5" s="130">
        <v>104.88939151999999</v>
      </c>
      <c r="CD5" s="130">
        <v>92.726116849999997</v>
      </c>
      <c r="CE5" s="130">
        <v>210.42878644999999</v>
      </c>
      <c r="CF5" s="130">
        <v>304.65081586000002</v>
      </c>
      <c r="CG5" s="130">
        <v>314.18151129</v>
      </c>
      <c r="CH5" s="130">
        <v>308.28077100000002</v>
      </c>
      <c r="CI5" s="130">
        <v>297.50314073999999</v>
      </c>
      <c r="CJ5" s="130">
        <v>294.97997912</v>
      </c>
      <c r="CK5" s="130">
        <v>301.77845884000004</v>
      </c>
      <c r="CL5" s="130">
        <v>311.07392236000004</v>
      </c>
      <c r="CM5" s="130">
        <v>284.14745298000003</v>
      </c>
      <c r="CN5" s="130">
        <v>269.49334366000005</v>
      </c>
      <c r="CO5" s="130">
        <v>271.29721158000001</v>
      </c>
      <c r="CP5" s="130">
        <v>282.89473463999997</v>
      </c>
      <c r="CQ5" s="130">
        <v>274.51600106000001</v>
      </c>
      <c r="CR5" s="130">
        <v>278.41886848000001</v>
      </c>
      <c r="CS5" s="130">
        <v>294.52138495999998</v>
      </c>
      <c r="CT5" s="130">
        <v>295.32511152000001</v>
      </c>
      <c r="CU5" s="130">
        <v>299.70196937000003</v>
      </c>
      <c r="CV5" s="130">
        <v>306.37731217000004</v>
      </c>
      <c r="CW5" s="130">
        <v>308.61676039999998</v>
      </c>
      <c r="CX5" s="130">
        <v>277.12130504000004</v>
      </c>
      <c r="CY5" s="130">
        <v>261.62907325999998</v>
      </c>
      <c r="CZ5" s="130">
        <v>257.09413828999999</v>
      </c>
      <c r="DA5" s="130">
        <v>268.97686269000002</v>
      </c>
      <c r="DB5" s="130">
        <v>256.05326730000002</v>
      </c>
      <c r="DC5" s="130">
        <v>265.51597528999997</v>
      </c>
      <c r="DD5" s="130">
        <v>253.90702365000001</v>
      </c>
      <c r="DE5" s="130">
        <v>177.43272851</v>
      </c>
      <c r="DF5" s="130">
        <v>190.81729015000002</v>
      </c>
      <c r="DG5" s="130">
        <v>146.00633761</v>
      </c>
      <c r="DH5" s="130">
        <v>146.22450419</v>
      </c>
      <c r="DI5" s="130">
        <v>154.56047728000001</v>
      </c>
      <c r="DJ5" s="130">
        <v>90.67889314</v>
      </c>
      <c r="DK5" s="130">
        <v>139.02501988</v>
      </c>
      <c r="DL5" s="130">
        <v>94.58462243000001</v>
      </c>
      <c r="DM5" s="130">
        <v>100.45424982999999</v>
      </c>
      <c r="DN5" s="130">
        <v>106.10333034</v>
      </c>
      <c r="DO5" s="130">
        <v>103.41842722</v>
      </c>
      <c r="DP5" s="130">
        <v>100.60956804000001</v>
      </c>
      <c r="DQ5" s="130">
        <v>52.588258029999999</v>
      </c>
      <c r="DR5" s="130">
        <v>57.568473049999994</v>
      </c>
      <c r="DS5" s="130">
        <v>68.626513400000007</v>
      </c>
      <c r="DT5" s="130">
        <v>56.100565609999997</v>
      </c>
      <c r="DU5" s="130">
        <v>62.578353329999999</v>
      </c>
      <c r="DV5" s="130">
        <v>69.41191311</v>
      </c>
      <c r="DW5" s="130">
        <v>51.843760189999998</v>
      </c>
      <c r="DX5" s="944">
        <v>54.585853210000003</v>
      </c>
      <c r="DY5" s="130">
        <v>128.65809659000001</v>
      </c>
      <c r="DZ5" s="130">
        <v>122.50765658</v>
      </c>
      <c r="EA5" s="130">
        <v>160.96390424000001</v>
      </c>
      <c r="EB5" s="130">
        <v>150.10541619</v>
      </c>
      <c r="EC5" s="130">
        <v>155.79587318</v>
      </c>
      <c r="ED5" s="130">
        <v>156.72370912</v>
      </c>
      <c r="EE5" s="130">
        <v>136.1184787</v>
      </c>
      <c r="EF5" s="130">
        <v>116.96178949999999</v>
      </c>
      <c r="EG5" s="130">
        <v>84.717532829999996</v>
      </c>
      <c r="EH5" s="130">
        <v>84.717532829999996</v>
      </c>
      <c r="EI5" s="130">
        <v>195.04335924</v>
      </c>
      <c r="EJ5" s="130">
        <v>250.16854479</v>
      </c>
      <c r="EK5" s="130">
        <v>177.87285703000001</v>
      </c>
      <c r="EL5" s="130">
        <v>209.53898894</v>
      </c>
      <c r="EM5" s="130">
        <v>212.94170621000001</v>
      </c>
      <c r="EN5" s="130">
        <v>212.21627480000001</v>
      </c>
      <c r="EO5" s="130">
        <v>220.0859786</v>
      </c>
      <c r="EP5" s="130">
        <v>214.31567655000001</v>
      </c>
      <c r="EQ5" s="130">
        <v>190.76822306</v>
      </c>
      <c r="ER5" s="130">
        <v>190.17177516999999</v>
      </c>
      <c r="ES5" s="130">
        <v>190.77342594999999</v>
      </c>
      <c r="ET5" s="130">
        <v>187.53281147999999</v>
      </c>
      <c r="EU5" s="130">
        <v>183.93931494999998</v>
      </c>
      <c r="EV5" s="944">
        <v>106.36131784999999</v>
      </c>
      <c r="EW5" s="130">
        <v>117.76211764</v>
      </c>
      <c r="EX5" s="130">
        <v>126.66161700000001</v>
      </c>
      <c r="EY5" s="130">
        <v>102.82620154</v>
      </c>
      <c r="EZ5" s="130">
        <v>85.438815829999996</v>
      </c>
      <c r="FA5" s="130">
        <v>81.819549430000009</v>
      </c>
      <c r="FB5" s="130">
        <v>80.322186099999996</v>
      </c>
      <c r="FC5" s="130">
        <v>89.970277539999998</v>
      </c>
      <c r="FD5" s="130">
        <v>87.417279950000008</v>
      </c>
      <c r="FE5" s="130">
        <v>22.237308280000001</v>
      </c>
      <c r="FF5" s="130">
        <v>21.681821020000001</v>
      </c>
      <c r="FG5" s="130">
        <v>26.01178007</v>
      </c>
      <c r="FH5" s="130">
        <v>33.528613069999999</v>
      </c>
      <c r="FI5" s="130">
        <v>28.493803339999999</v>
      </c>
      <c r="FJ5" s="130">
        <v>43.15810312</v>
      </c>
      <c r="FK5" s="130">
        <v>51.616586179999999</v>
      </c>
      <c r="FL5" s="130">
        <v>24.576336619999999</v>
      </c>
      <c r="FM5" s="130">
        <v>27.089802429999999</v>
      </c>
      <c r="FN5" s="944">
        <v>7.7325948899999997</v>
      </c>
      <c r="FO5" s="130">
        <v>3.7809941199999999</v>
      </c>
      <c r="FP5" s="130">
        <v>0.59128143</v>
      </c>
      <c r="FQ5" s="130">
        <v>1.9591298400000001</v>
      </c>
      <c r="FR5" s="130">
        <v>3.52671841</v>
      </c>
      <c r="FS5" s="130">
        <v>56.557456130000006</v>
      </c>
      <c r="FT5" s="130">
        <v>12.693104740000001</v>
      </c>
      <c r="FU5" s="130">
        <v>22.035031359999998</v>
      </c>
      <c r="FV5" s="130">
        <v>6.8460608799999996</v>
      </c>
      <c r="FW5" s="130">
        <v>57.011003630000005</v>
      </c>
      <c r="FX5" s="130">
        <v>6.7013401799999999</v>
      </c>
      <c r="FY5" s="130">
        <v>14.416924789999999</v>
      </c>
      <c r="FZ5" s="130">
        <v>79.456621010000006</v>
      </c>
      <c r="GA5" s="130">
        <v>75.408675540000004</v>
      </c>
      <c r="GB5" s="130">
        <v>74.464657040000006</v>
      </c>
      <c r="GC5" s="130">
        <v>32.461053069999998</v>
      </c>
      <c r="GD5" s="130">
        <v>34.018055880000006</v>
      </c>
      <c r="GE5" s="130">
        <v>37.791444149999997</v>
      </c>
      <c r="GF5" s="130">
        <v>38.555848979999993</v>
      </c>
      <c r="GG5" s="130">
        <v>174.91966882</v>
      </c>
      <c r="GH5" s="130">
        <v>6.0535497500000002</v>
      </c>
      <c r="GI5" s="130">
        <v>101.64421605</v>
      </c>
      <c r="GJ5" s="130">
        <v>122.89629562</v>
      </c>
      <c r="GK5" s="130">
        <v>149.84545315</v>
      </c>
      <c r="GL5" s="130">
        <v>121.41615791</v>
      </c>
      <c r="GM5" s="130">
        <v>122.84829881</v>
      </c>
      <c r="GN5" s="130">
        <v>138.59166375000001</v>
      </c>
      <c r="GO5" s="130">
        <v>143.50873171999999</v>
      </c>
      <c r="GP5" s="130">
        <v>9.9524658099999996</v>
      </c>
      <c r="GQ5" s="130">
        <v>62.94497922</v>
      </c>
      <c r="GR5" s="130">
        <v>62.759422819999998</v>
      </c>
      <c r="GS5" s="130">
        <v>71.840012920000007</v>
      </c>
      <c r="GT5" s="130">
        <v>6.2489371399999998</v>
      </c>
      <c r="GU5" s="650">
        <v>6.2489371399999998</v>
      </c>
      <c r="GV5" s="130">
        <v>21.13551425</v>
      </c>
      <c r="GW5" s="130">
        <v>75.710880939999996</v>
      </c>
      <c r="GX5" s="130">
        <v>12.00662713</v>
      </c>
      <c r="GY5" s="130">
        <v>16.66786652</v>
      </c>
      <c r="GZ5" s="130">
        <v>4.4014497099999996</v>
      </c>
      <c r="HA5" s="130">
        <v>9.9521089200000006</v>
      </c>
      <c r="HB5" s="130">
        <v>30.8780939</v>
      </c>
      <c r="HC5" s="130">
        <v>10.011742249999999</v>
      </c>
      <c r="HD5" s="130">
        <v>50.852772289999997</v>
      </c>
      <c r="HE5" s="130">
        <v>9.5719616599999995</v>
      </c>
      <c r="HF5" s="130">
        <v>13.81649693</v>
      </c>
      <c r="HG5" s="130">
        <v>46.198712130000004</v>
      </c>
      <c r="HH5" s="130">
        <v>56.39101007</v>
      </c>
      <c r="HI5" s="130">
        <v>2.1340495800000001</v>
      </c>
      <c r="HJ5" s="130">
        <v>7.3430759299999995</v>
      </c>
      <c r="HK5" s="130">
        <v>16.82622302</v>
      </c>
      <c r="HL5" s="130">
        <v>11.83845629</v>
      </c>
      <c r="HM5" s="130">
        <v>9.4348213300000001</v>
      </c>
      <c r="HN5" s="130">
        <v>12.165993670000001</v>
      </c>
      <c r="HO5" s="130">
        <v>323.81938163999996</v>
      </c>
      <c r="HP5" s="130">
        <v>293.76697605000004</v>
      </c>
      <c r="HQ5" s="130">
        <v>280.40042808999999</v>
      </c>
      <c r="HR5" s="944">
        <v>287.69919818</v>
      </c>
      <c r="HS5" s="945">
        <v>233.8366675</v>
      </c>
      <c r="HT5" s="946">
        <v>167.01312908000003</v>
      </c>
      <c r="HU5" s="946">
        <v>475.99844267000003</v>
      </c>
      <c r="HV5" s="946">
        <v>492.75783393</v>
      </c>
      <c r="HW5" s="946">
        <v>499.16628837000002</v>
      </c>
      <c r="HX5" s="946">
        <v>454.96896127999997</v>
      </c>
      <c r="HY5" s="946">
        <v>439.13578368999998</v>
      </c>
      <c r="HZ5" s="946">
        <v>444.34177812000001</v>
      </c>
      <c r="IA5" s="946">
        <v>447.60670260000001</v>
      </c>
      <c r="IB5" s="946">
        <v>409.25789161</v>
      </c>
      <c r="IC5" s="946">
        <v>317.27637423000004</v>
      </c>
      <c r="ID5" s="946">
        <v>320.40369382</v>
      </c>
      <c r="IE5" s="946">
        <v>312.20329724999999</v>
      </c>
      <c r="IF5" s="946">
        <v>330.54458183999998</v>
      </c>
      <c r="IG5" s="946">
        <v>314.12309386999999</v>
      </c>
      <c r="IH5" s="946">
        <v>314.13236062999999</v>
      </c>
      <c r="II5" s="946">
        <v>321.36992910000004</v>
      </c>
      <c r="IJ5" s="946">
        <v>321.06631186000004</v>
      </c>
      <c r="IK5" s="946">
        <v>334.53880420999997</v>
      </c>
      <c r="IL5" s="946">
        <v>503.54117402999998</v>
      </c>
      <c r="IM5" s="946">
        <v>505.40907666999999</v>
      </c>
      <c r="IN5" s="946">
        <v>496.07171822000004</v>
      </c>
      <c r="IO5" s="946">
        <v>515.19559835000007</v>
      </c>
      <c r="IP5" s="946">
        <v>520.78932608999992</v>
      </c>
      <c r="IQ5" s="946">
        <v>476.73332835000002</v>
      </c>
      <c r="IR5" s="946">
        <v>479.02710307000001</v>
      </c>
      <c r="IS5" s="946">
        <v>493.98990637999998</v>
      </c>
      <c r="IT5" s="946">
        <v>496.48455873</v>
      </c>
      <c r="IU5" s="946">
        <v>453.53742976999996</v>
      </c>
      <c r="IV5" s="946">
        <v>456.53316592000004</v>
      </c>
      <c r="IW5" s="946">
        <v>469.61428844</v>
      </c>
      <c r="IX5" s="946">
        <v>469.63007535000003</v>
      </c>
      <c r="IY5" s="947">
        <v>455.1416486</v>
      </c>
      <c r="IZ5" s="946">
        <v>446.98301781999999</v>
      </c>
      <c r="JA5" s="946">
        <v>463.53193029000005</v>
      </c>
      <c r="JB5" s="946">
        <v>427.42184051999999</v>
      </c>
      <c r="JC5" s="946">
        <v>418.39938625000002</v>
      </c>
      <c r="JD5" s="946">
        <v>412.73664793</v>
      </c>
      <c r="JE5" s="946">
        <v>413.70158605</v>
      </c>
      <c r="JF5" s="946">
        <v>410.26742629</v>
      </c>
      <c r="JG5" s="946">
        <v>428.14901617000004</v>
      </c>
      <c r="JH5" s="946">
        <v>399.34876374999999</v>
      </c>
      <c r="JI5" s="946">
        <v>381.13472243000001</v>
      </c>
      <c r="JJ5" s="946">
        <v>381.13472243000001</v>
      </c>
      <c r="JK5" s="946">
        <v>403.50390808999998</v>
      </c>
      <c r="JL5" s="946">
        <v>385.28356173000003</v>
      </c>
      <c r="JM5" s="946">
        <v>382.99479043000002</v>
      </c>
      <c r="JN5" s="946">
        <v>381.31726523000003</v>
      </c>
      <c r="JO5" s="946">
        <v>381.31726523000003</v>
      </c>
      <c r="JP5" s="946">
        <v>381.31726523000003</v>
      </c>
      <c r="JQ5" s="946">
        <v>367.53464104</v>
      </c>
      <c r="JR5" s="946">
        <v>342.81710219999997</v>
      </c>
      <c r="JS5" s="946">
        <v>342.81710219999997</v>
      </c>
      <c r="JT5" s="946">
        <v>357.75201449999997</v>
      </c>
      <c r="JU5" s="946">
        <v>325.82841157000001</v>
      </c>
      <c r="JV5" s="946">
        <v>330.22872907999999</v>
      </c>
      <c r="JW5" s="946">
        <v>343.92127970999996</v>
      </c>
      <c r="JX5" s="946">
        <v>339.50568149000003</v>
      </c>
      <c r="JY5" s="946">
        <v>339.50568149000003</v>
      </c>
      <c r="JZ5" s="946">
        <v>331.512519</v>
      </c>
      <c r="KA5" s="946">
        <v>334.42688693000002</v>
      </c>
      <c r="KB5" s="946">
        <v>340.28000386000002</v>
      </c>
      <c r="KC5" s="946">
        <v>338.31711968000002</v>
      </c>
      <c r="KD5" s="946">
        <v>356.01301355000004</v>
      </c>
      <c r="KE5" s="946">
        <v>366.58831830999998</v>
      </c>
      <c r="KF5" s="946">
        <v>321.79031069000001</v>
      </c>
      <c r="KG5" s="946">
        <v>333.05742727000001</v>
      </c>
      <c r="KH5" s="946">
        <v>339.84755797000003</v>
      </c>
      <c r="KI5" s="946">
        <v>349.72337052999995</v>
      </c>
      <c r="KJ5" s="946">
        <v>349.72337052999995</v>
      </c>
      <c r="KK5" s="946">
        <v>349.72337052999995</v>
      </c>
      <c r="KL5" s="946">
        <v>349.72337052999995</v>
      </c>
      <c r="KM5" s="946">
        <v>349.72337052999995</v>
      </c>
      <c r="KN5" s="946">
        <v>349.72337052999995</v>
      </c>
      <c r="KO5" s="946">
        <v>349.72337052999995</v>
      </c>
      <c r="KP5" s="946">
        <v>349.72337052999995</v>
      </c>
      <c r="KQ5" s="946">
        <v>349.72337052999995</v>
      </c>
      <c r="KR5" s="946">
        <v>340.47795718000003</v>
      </c>
      <c r="KS5" s="947">
        <v>255.83431732</v>
      </c>
      <c r="KT5" s="947">
        <v>231.05654899000001</v>
      </c>
      <c r="KU5" s="947">
        <v>213.20306850999998</v>
      </c>
      <c r="KV5" s="947">
        <v>225.78456297999998</v>
      </c>
      <c r="KW5" s="947">
        <v>214.17674256999999</v>
      </c>
      <c r="KX5" s="947">
        <v>217.50421805000002</v>
      </c>
      <c r="KY5" s="947">
        <v>227.42531269</v>
      </c>
      <c r="KZ5" s="947">
        <v>222.90741650999999</v>
      </c>
      <c r="LA5" s="947">
        <v>225.68475516000001</v>
      </c>
      <c r="LB5" s="947">
        <v>228.07669915</v>
      </c>
      <c r="LC5" s="947">
        <v>239.82345978999999</v>
      </c>
      <c r="LD5" s="947">
        <v>434.44162268999997</v>
      </c>
      <c r="LE5" s="947">
        <v>396.25649305000002</v>
      </c>
      <c r="LF5" s="947">
        <v>398.58427066000002</v>
      </c>
      <c r="LG5" s="947">
        <v>407.28253537000001</v>
      </c>
      <c r="LH5" s="947">
        <v>420.33571769000002</v>
      </c>
      <c r="LI5" s="947">
        <v>431.61867799999999</v>
      </c>
      <c r="LJ5" s="947">
        <v>382.06362680000001</v>
      </c>
      <c r="LK5" s="947">
        <v>377.03552170999995</v>
      </c>
      <c r="LL5" s="947">
        <v>382.06362680000001</v>
      </c>
      <c r="LM5" s="947">
        <v>372.93094399</v>
      </c>
      <c r="LN5" s="947">
        <v>374.94460033999997</v>
      </c>
      <c r="LO5" s="947">
        <v>382.49372045000001</v>
      </c>
      <c r="LP5" s="947">
        <v>337.16785723999999</v>
      </c>
      <c r="LQ5" s="947">
        <v>337.16785723999999</v>
      </c>
      <c r="LR5" s="947">
        <v>392.49850455000001</v>
      </c>
      <c r="LS5" s="947">
        <v>409.61776300999998</v>
      </c>
      <c r="LT5" s="947">
        <v>386.49605657000001</v>
      </c>
      <c r="LU5" s="947">
        <v>341.91943723000003</v>
      </c>
      <c r="LV5" s="947">
        <v>347.84769535000004</v>
      </c>
      <c r="LW5" s="947">
        <v>347.90688829999999</v>
      </c>
      <c r="LX5" s="947">
        <v>357.82457294</v>
      </c>
      <c r="LY5" s="947">
        <v>342.03111805000003</v>
      </c>
      <c r="LZ5" s="947">
        <v>301.76753060999999</v>
      </c>
      <c r="MA5" s="947">
        <v>309.17230244999996</v>
      </c>
      <c r="MB5" s="947">
        <v>319.63263056</v>
      </c>
      <c r="MC5" s="947">
        <v>320.99161493999998</v>
      </c>
      <c r="MD5" s="947">
        <v>329.64314130000002</v>
      </c>
      <c r="ME5" s="947">
        <v>237.9583968</v>
      </c>
      <c r="MF5" s="947">
        <v>252.75369768000002</v>
      </c>
      <c r="MG5" s="947">
        <v>264.65594055999998</v>
      </c>
      <c r="MH5" s="947">
        <v>266.86403581999997</v>
      </c>
      <c r="MI5" s="947">
        <v>234.13537306000001</v>
      </c>
      <c r="MJ5" s="947">
        <v>216.28102186000001</v>
      </c>
      <c r="MK5" s="947">
        <v>216.28102186000001</v>
      </c>
      <c r="ML5" s="947">
        <v>216.28102186000001</v>
      </c>
      <c r="MM5" s="947">
        <v>216.28102186000001</v>
      </c>
      <c r="MN5" s="947">
        <v>243.08366369000001</v>
      </c>
      <c r="MO5" s="947">
        <v>156.72630677000001</v>
      </c>
      <c r="MP5" s="947">
        <v>181.07563049000001</v>
      </c>
      <c r="MQ5" s="947">
        <v>187.32154550000001</v>
      </c>
      <c r="MR5" s="947">
        <v>70.973042180000007</v>
      </c>
      <c r="MS5" s="947">
        <v>34.800805130000001</v>
      </c>
      <c r="MT5" s="947">
        <v>17.369327300000002</v>
      </c>
      <c r="MU5" s="947">
        <v>20.099821800000001</v>
      </c>
      <c r="MV5" s="947">
        <v>6.6644290100000001</v>
      </c>
      <c r="MW5" s="947">
        <v>21.54503265</v>
      </c>
      <c r="MX5" s="947">
        <v>21.54503265</v>
      </c>
      <c r="MY5" s="947">
        <v>53.162345930000001</v>
      </c>
      <c r="MZ5" s="947">
        <v>59.877095130000001</v>
      </c>
      <c r="NA5" s="947">
        <v>74.241153409999995</v>
      </c>
      <c r="NB5" s="947">
        <v>89.138318549999994</v>
      </c>
      <c r="NC5" s="947">
        <v>81.857662980000001</v>
      </c>
      <c r="ND5" s="947">
        <v>73.960264449999997</v>
      </c>
      <c r="NE5" s="947">
        <v>74.984699180000007</v>
      </c>
      <c r="NF5" s="947">
        <v>89.464011330000005</v>
      </c>
      <c r="NG5" s="947">
        <v>82.181403560000007</v>
      </c>
      <c r="NH5" s="947">
        <v>73.389828510000001</v>
      </c>
      <c r="NI5" s="947">
        <v>68.648480960000015</v>
      </c>
      <c r="NJ5" s="947">
        <v>86.24534109999999</v>
      </c>
      <c r="NK5" s="947">
        <v>120.96029032</v>
      </c>
      <c r="NL5" s="947">
        <v>142.86901150999998</v>
      </c>
      <c r="NM5" s="947">
        <v>101.64529899</v>
      </c>
      <c r="NN5" s="947">
        <v>64.76177122</v>
      </c>
      <c r="NO5" s="947">
        <v>55.753861399999998</v>
      </c>
      <c r="NP5" s="947">
        <v>65.255311500000005</v>
      </c>
      <c r="NQ5" s="947">
        <v>63.909003149999997</v>
      </c>
      <c r="NR5" s="947">
        <v>123.47418478</v>
      </c>
      <c r="NS5" s="947">
        <v>137.39456469999999</v>
      </c>
      <c r="NT5" s="947">
        <v>137.39456469999999</v>
      </c>
      <c r="NU5" s="947">
        <v>170.19553718</v>
      </c>
      <c r="NV5" s="947">
        <v>166.79201194999999</v>
      </c>
      <c r="NW5" s="947">
        <v>340.42931730000004</v>
      </c>
      <c r="NX5" s="947">
        <v>347.96136468000003</v>
      </c>
      <c r="NY5" s="947">
        <v>347.30391921</v>
      </c>
      <c r="NZ5" s="947">
        <v>367.65715289999997</v>
      </c>
      <c r="OA5" s="947">
        <v>367.65715289999997</v>
      </c>
      <c r="OB5" s="947">
        <v>455.33984892000001</v>
      </c>
      <c r="OC5" s="947">
        <v>467.78110129999999</v>
      </c>
      <c r="OD5" s="947">
        <v>475.20911569999998</v>
      </c>
      <c r="OE5" s="947">
        <v>488.15614137</v>
      </c>
      <c r="OF5" s="947">
        <v>487.51772925</v>
      </c>
      <c r="OG5" s="947">
        <v>454.21138923000001</v>
      </c>
      <c r="OH5" s="947">
        <v>423.16095050000001</v>
      </c>
      <c r="OI5" s="947">
        <v>414.77754248000002</v>
      </c>
      <c r="OJ5" s="947">
        <v>423.42992157999998</v>
      </c>
      <c r="OK5" s="947">
        <v>435.37277938</v>
      </c>
      <c r="OL5" s="947">
        <v>358.51431350000001</v>
      </c>
      <c r="OM5" s="947">
        <v>380.98510830000004</v>
      </c>
      <c r="ON5" s="947">
        <v>380.73147081999997</v>
      </c>
      <c r="OO5" s="947">
        <v>397.60937256</v>
      </c>
      <c r="OP5" s="947">
        <v>372.61286958999995</v>
      </c>
      <c r="OQ5" s="947">
        <v>372.61286958999995</v>
      </c>
      <c r="OR5" s="947">
        <v>346.20149914999996</v>
      </c>
      <c r="OS5" s="947">
        <v>346.20149914999996</v>
      </c>
      <c r="OT5" s="947">
        <v>396.68439527999999</v>
      </c>
      <c r="OU5" s="947">
        <v>345.23851020999996</v>
      </c>
      <c r="OV5" s="947">
        <v>345.23851020999996</v>
      </c>
      <c r="OW5" s="947">
        <v>339.08926851000001</v>
      </c>
      <c r="OX5" s="947">
        <v>344.84153118</v>
      </c>
      <c r="OY5" s="947">
        <v>447.87696260000001</v>
      </c>
      <c r="OZ5" s="947">
        <v>314.00987072000004</v>
      </c>
      <c r="PA5" s="947">
        <v>342.80289676999996</v>
      </c>
      <c r="PB5" s="947">
        <v>351.96223058999999</v>
      </c>
      <c r="PC5" s="947">
        <v>351.96223058999999</v>
      </c>
      <c r="PD5" s="947">
        <v>331.85660748999999</v>
      </c>
      <c r="PE5" s="947">
        <v>482.06550281</v>
      </c>
      <c r="PF5" s="947">
        <v>488.24777611000002</v>
      </c>
      <c r="PG5" s="947">
        <v>496.12506931999997</v>
      </c>
      <c r="PH5" s="947">
        <v>510.85244632000001</v>
      </c>
      <c r="PI5" s="947">
        <v>515.17239719999998</v>
      </c>
      <c r="PJ5" s="947">
        <v>486.91787724</v>
      </c>
      <c r="PK5" s="947">
        <v>454.55578774000003</v>
      </c>
      <c r="PL5" s="947">
        <v>455.32300529000003</v>
      </c>
      <c r="PM5" s="947">
        <v>481.30301731000003</v>
      </c>
      <c r="PN5" s="947">
        <v>483.74843206000003</v>
      </c>
      <c r="PO5" s="947">
        <v>431.47224301</v>
      </c>
      <c r="PP5" s="947">
        <v>443.20245206999999</v>
      </c>
      <c r="PQ5" s="947">
        <v>453.15032758000001</v>
      </c>
      <c r="PR5" s="947">
        <v>456.14526117000003</v>
      </c>
      <c r="PS5" s="947">
        <v>426.40256392999999</v>
      </c>
      <c r="PT5" s="947">
        <v>381.38247919999998</v>
      </c>
      <c r="PU5" s="947">
        <v>381.38247919999998</v>
      </c>
      <c r="PV5" s="947">
        <v>396.60090610000003</v>
      </c>
      <c r="PW5" s="947">
        <v>405.05805870999995</v>
      </c>
      <c r="PX5" s="947">
        <v>411.76257372000003</v>
      </c>
      <c r="PY5" s="947">
        <v>393.66760311000002</v>
      </c>
      <c r="PZ5" s="947">
        <v>370.99392656999999</v>
      </c>
      <c r="QA5" s="947">
        <v>370.99392656999999</v>
      </c>
      <c r="QB5" s="947">
        <v>440.42753562000001</v>
      </c>
      <c r="QC5" s="947">
        <v>440.42753562000001</v>
      </c>
      <c r="QD5" s="947">
        <v>434.23501802999999</v>
      </c>
      <c r="QE5" s="947">
        <v>437.16436922000003</v>
      </c>
      <c r="QF5" s="947">
        <v>455.16681469000002</v>
      </c>
      <c r="QG5" s="947">
        <v>440.07373364</v>
      </c>
      <c r="QH5" s="947">
        <v>440.07373364</v>
      </c>
      <c r="QI5" s="947">
        <v>440.07373364</v>
      </c>
      <c r="QJ5" s="947">
        <v>429.19445536000001</v>
      </c>
      <c r="QK5" s="947">
        <v>429.19445536000001</v>
      </c>
      <c r="QL5" s="947">
        <v>431.30163517</v>
      </c>
      <c r="QM5" s="947">
        <v>431.30163517</v>
      </c>
      <c r="QN5" s="947">
        <v>431.30163517</v>
      </c>
      <c r="QO5" s="947">
        <v>395.10857025999996</v>
      </c>
      <c r="QP5" s="947">
        <v>353.09137436000003</v>
      </c>
      <c r="QQ5" s="947">
        <v>334.51284850000002</v>
      </c>
      <c r="QR5" s="947">
        <v>353.12321213000001</v>
      </c>
      <c r="QS5" s="947">
        <v>360.32040949999998</v>
      </c>
      <c r="QT5" s="947">
        <v>365.10374910000002</v>
      </c>
      <c r="QU5" s="947">
        <v>363.57281230000001</v>
      </c>
      <c r="QV5" s="947">
        <v>306.71638340999999</v>
      </c>
      <c r="QW5" s="947">
        <v>332.37669192000004</v>
      </c>
      <c r="QX5" s="947">
        <v>334.99060115999998</v>
      </c>
      <c r="QY5" s="947">
        <v>335.0497115</v>
      </c>
      <c r="QZ5" s="947">
        <v>340.98440737999999</v>
      </c>
      <c r="RA5" s="947">
        <v>306.85326643000002</v>
      </c>
      <c r="RB5" s="947">
        <v>290.10971935000003</v>
      </c>
      <c r="RC5" s="947">
        <v>265.28611806999999</v>
      </c>
      <c r="RD5" s="947">
        <v>272.11121807000001</v>
      </c>
      <c r="RE5" s="947">
        <v>219.44619075</v>
      </c>
      <c r="RF5" s="947">
        <v>266.25197063000002</v>
      </c>
      <c r="RG5" s="947">
        <v>305.45913476999999</v>
      </c>
      <c r="RH5" s="947">
        <v>337.58355518999997</v>
      </c>
      <c r="RI5" s="947">
        <v>346.08011961</v>
      </c>
      <c r="RJ5" s="947">
        <v>210.47572134999999</v>
      </c>
      <c r="RK5" s="947">
        <v>201.18552543999999</v>
      </c>
      <c r="RL5" s="947">
        <v>183.49195755000002</v>
      </c>
      <c r="RM5" s="947">
        <v>182.39075531999998</v>
      </c>
      <c r="RN5" s="947">
        <v>191.69255407</v>
      </c>
      <c r="RO5" s="947">
        <v>141.63255465</v>
      </c>
      <c r="RP5" s="947">
        <v>179.52282647999999</v>
      </c>
      <c r="RQ5" s="947">
        <v>199.34734176999999</v>
      </c>
      <c r="RR5" s="947">
        <v>268.27874165000003</v>
      </c>
      <c r="RS5" s="947">
        <v>258.76105746000002</v>
      </c>
      <c r="RT5" s="947">
        <v>193.22097730000002</v>
      </c>
      <c r="RU5" s="947">
        <v>227.24534399000001</v>
      </c>
      <c r="RV5" s="947">
        <v>223.71815831999999</v>
      </c>
      <c r="RW5" s="947">
        <v>208.69901532</v>
      </c>
      <c r="RX5" s="947">
        <v>218.50256821000002</v>
      </c>
      <c r="RY5" s="947">
        <v>309.85677067</v>
      </c>
      <c r="RZ5" s="947">
        <v>290.79068181000002</v>
      </c>
      <c r="SA5" s="947">
        <v>299.91412508999997</v>
      </c>
      <c r="SB5" s="947">
        <v>262.22281587999998</v>
      </c>
      <c r="SC5" s="947">
        <v>301.72573388000001</v>
      </c>
      <c r="SD5" s="947">
        <v>322.68595099999999</v>
      </c>
      <c r="SE5" s="947">
        <v>293.85639763</v>
      </c>
      <c r="SF5" s="947">
        <v>289.31134483</v>
      </c>
      <c r="SG5" s="947">
        <v>309.93130824999997</v>
      </c>
      <c r="SH5" s="947">
        <v>308.94747753999997</v>
      </c>
      <c r="SI5" s="947">
        <v>326.53065380000004</v>
      </c>
      <c r="SJ5" s="947">
        <v>309.96627745999996</v>
      </c>
      <c r="SK5" s="947">
        <v>304.87228772999998</v>
      </c>
      <c r="SL5" s="947">
        <v>280.47015943999997</v>
      </c>
      <c r="SM5" s="947">
        <v>283.64052649000001</v>
      </c>
      <c r="SN5" s="947">
        <v>293.17458212999998</v>
      </c>
      <c r="SO5" s="947">
        <v>239.05357669999998</v>
      </c>
      <c r="SP5" s="947">
        <v>240.92135031999999</v>
      </c>
      <c r="SQ5" s="947">
        <v>298.25449800000001</v>
      </c>
      <c r="SR5" s="947">
        <v>302.42087812</v>
      </c>
      <c r="SS5" s="947">
        <v>315.82704918000002</v>
      </c>
      <c r="ST5" s="947">
        <v>328.70115607999998</v>
      </c>
      <c r="SU5" s="947">
        <v>222.44972579</v>
      </c>
      <c r="SV5" s="947">
        <v>245.56590022999998</v>
      </c>
      <c r="SW5" s="947">
        <v>266.42100467</v>
      </c>
      <c r="SX5" s="947">
        <v>261.97201612999999</v>
      </c>
      <c r="SY5" s="947">
        <v>211.94993044999998</v>
      </c>
      <c r="SZ5" s="947">
        <v>234.20223743</v>
      </c>
      <c r="TA5" s="947">
        <v>247.2031063</v>
      </c>
      <c r="TB5" s="947">
        <v>247.2031063</v>
      </c>
      <c r="TC5" s="947">
        <v>653.63504725999996</v>
      </c>
      <c r="TD5" s="947">
        <v>653.20306872000003</v>
      </c>
      <c r="TE5" s="947">
        <v>653.20306872000003</v>
      </c>
      <c r="TF5" s="947">
        <v>585.81030965000014</v>
      </c>
      <c r="TG5" s="947">
        <v>594.09540764999997</v>
      </c>
      <c r="TH5" s="947">
        <v>445.51439482000001</v>
      </c>
      <c r="TI5" s="947">
        <v>453.94464540999996</v>
      </c>
      <c r="TJ5" s="947">
        <v>711.47362544000009</v>
      </c>
      <c r="TK5" s="947">
        <v>711.47362544000009</v>
      </c>
      <c r="TL5" s="947">
        <v>709.19761686000004</v>
      </c>
      <c r="TM5" s="947">
        <v>699.62459329000012</v>
      </c>
      <c r="TN5" s="947">
        <v>643.27424859000007</v>
      </c>
      <c r="TO5" s="947">
        <v>695.74388779999992</v>
      </c>
      <c r="TP5" s="947">
        <v>596.92436141999997</v>
      </c>
      <c r="TQ5" s="947">
        <v>581.97862639999994</v>
      </c>
      <c r="TR5" s="947">
        <v>432.49486130999998</v>
      </c>
      <c r="TS5" s="947">
        <v>494.76040376999998</v>
      </c>
      <c r="TT5" s="947">
        <v>508.79521462999998</v>
      </c>
      <c r="TU5" s="947">
        <v>535.34416910999994</v>
      </c>
      <c r="TV5" s="947">
        <v>495.02267141999994</v>
      </c>
      <c r="TW5" s="947">
        <v>533.71764707</v>
      </c>
      <c r="TX5" s="947">
        <v>509.3301429</v>
      </c>
      <c r="TY5" s="947">
        <v>523.20697571999995</v>
      </c>
      <c r="TZ5" s="947">
        <v>464.02735645999996</v>
      </c>
      <c r="UA5" s="947">
        <v>454.35266848000003</v>
      </c>
      <c r="UB5" s="947">
        <v>466.98222012999997</v>
      </c>
      <c r="UC5" s="947">
        <v>486.33556682</v>
      </c>
      <c r="UD5" s="947">
        <v>429.54180761999999</v>
      </c>
      <c r="UE5" s="947">
        <v>425.71063319999996</v>
      </c>
      <c r="UF5" s="947">
        <v>336.20121382000002</v>
      </c>
      <c r="UG5" s="947">
        <v>339.36777188999997</v>
      </c>
      <c r="UH5" s="947">
        <v>385.58597200999998</v>
      </c>
      <c r="UI5" s="947">
        <v>321.12560299</v>
      </c>
      <c r="UJ5" s="947">
        <v>323.34549793000002</v>
      </c>
      <c r="UK5" s="947">
        <v>328.43854472000004</v>
      </c>
      <c r="UL5" s="947">
        <v>328.62947760000003</v>
      </c>
      <c r="UM5" s="947">
        <v>308.86834416000005</v>
      </c>
      <c r="UN5" s="947">
        <v>313.08201030999999</v>
      </c>
      <c r="UO5" s="947">
        <v>318.50501802999997</v>
      </c>
      <c r="UP5" s="947">
        <v>321.38606095999995</v>
      </c>
      <c r="UQ5" s="947">
        <v>317.08110700999998</v>
      </c>
      <c r="UR5" s="947">
        <v>326.58624570000001</v>
      </c>
      <c r="US5" s="947">
        <v>326.58624570000001</v>
      </c>
      <c r="UT5" s="947">
        <v>334.16408816000001</v>
      </c>
      <c r="UU5" s="947">
        <v>333.05967327999997</v>
      </c>
      <c r="UV5" s="947">
        <v>236.51819388999999</v>
      </c>
      <c r="UW5" s="947">
        <v>236.51819388999999</v>
      </c>
      <c r="UX5" s="947">
        <v>227.19290419999999</v>
      </c>
      <c r="UY5" s="947">
        <v>227.19290419999999</v>
      </c>
      <c r="UZ5" s="947">
        <v>209.08290506999998</v>
      </c>
      <c r="VA5" s="947">
        <v>252.92421009</v>
      </c>
      <c r="VB5" s="947">
        <v>279.82344664999999</v>
      </c>
      <c r="VC5" s="947">
        <v>219.90481919999999</v>
      </c>
      <c r="VD5" s="947">
        <v>224.27164475000001</v>
      </c>
      <c r="VE5" s="947">
        <v>277.65564071</v>
      </c>
      <c r="VF5" s="947">
        <v>229.55009996000001</v>
      </c>
      <c r="VG5" s="947">
        <v>241.38666753000001</v>
      </c>
      <c r="VH5" s="947">
        <v>260.89755868000003</v>
      </c>
      <c r="VI5" s="947">
        <v>219.78959686000002</v>
      </c>
      <c r="VJ5" s="947">
        <v>256.81199111000001</v>
      </c>
      <c r="VK5" s="947">
        <v>567.64791916999991</v>
      </c>
      <c r="VL5" s="947">
        <v>469.80454966000002</v>
      </c>
      <c r="VM5" s="947">
        <v>531.08386374999998</v>
      </c>
      <c r="VN5" s="947">
        <v>484.64519184</v>
      </c>
      <c r="VO5" s="947">
        <v>717.32578867999996</v>
      </c>
      <c r="VP5" s="947">
        <v>724.34454683000001</v>
      </c>
      <c r="VQ5" s="947">
        <v>656.54444017999992</v>
      </c>
      <c r="VR5" s="947">
        <v>667.73601552000002</v>
      </c>
      <c r="VS5" s="947">
        <v>628.99333034000006</v>
      </c>
      <c r="VT5" s="947">
        <v>624.95529971000008</v>
      </c>
      <c r="VU5" s="947">
        <v>531.41932644999997</v>
      </c>
      <c r="VV5" s="947">
        <v>532.88647433999995</v>
      </c>
      <c r="VW5" s="947">
        <v>532.34198786000002</v>
      </c>
      <c r="VX5" s="947">
        <v>514.58440059999998</v>
      </c>
      <c r="VY5" s="947">
        <v>531.99143786000002</v>
      </c>
      <c r="VZ5" s="947">
        <v>481.38531535000004</v>
      </c>
      <c r="WA5" s="947">
        <v>492.56100799000001</v>
      </c>
      <c r="WB5" s="947">
        <v>493.44595575</v>
      </c>
      <c r="WC5" s="947">
        <v>391.71386842000004</v>
      </c>
      <c r="WD5" s="947">
        <v>387.68301113999996</v>
      </c>
      <c r="WE5" s="947">
        <v>347.55720547000004</v>
      </c>
      <c r="WF5" s="947">
        <v>379.35623561</v>
      </c>
      <c r="WG5" s="947">
        <v>395.80376164</v>
      </c>
      <c r="WH5" s="947">
        <v>590.98277430999997</v>
      </c>
      <c r="WI5" s="947">
        <v>283.40123005999999</v>
      </c>
      <c r="WJ5" s="947">
        <v>245.65430579</v>
      </c>
      <c r="WK5" s="947">
        <v>320.65669249000001</v>
      </c>
      <c r="WL5" s="947">
        <v>320.65669249000001</v>
      </c>
      <c r="WM5" s="947">
        <v>300.98047947000003</v>
      </c>
      <c r="WN5" s="947">
        <v>176.69963108000002</v>
      </c>
      <c r="WO5" s="947">
        <v>127.11094276999999</v>
      </c>
      <c r="WP5" s="947">
        <v>138.41219866999998</v>
      </c>
      <c r="WQ5" s="947">
        <v>67.440462209999993</v>
      </c>
      <c r="WR5" s="947">
        <v>137.61236318000002</v>
      </c>
      <c r="WS5" s="947">
        <v>227.58717931999999</v>
      </c>
      <c r="WT5" s="947">
        <v>223.39360381</v>
      </c>
      <c r="WU5" s="947">
        <v>223.39360381</v>
      </c>
      <c r="WV5" s="947">
        <v>235.11704481000001</v>
      </c>
      <c r="WW5" s="947">
        <v>239.21714906</v>
      </c>
      <c r="WX5" s="947">
        <v>238.50080341999998</v>
      </c>
      <c r="WY5" s="947">
        <v>243.370745</v>
      </c>
      <c r="WZ5" s="947">
        <v>208.66167941</v>
      </c>
      <c r="XA5" s="947">
        <v>200.20568908000001</v>
      </c>
      <c r="XB5" s="947">
        <v>213.04060430000001</v>
      </c>
      <c r="XC5" s="947">
        <v>147.1360478</v>
      </c>
      <c r="XD5" s="947">
        <v>182.44503788999998</v>
      </c>
      <c r="XE5" s="947">
        <v>160.90756809999999</v>
      </c>
      <c r="XF5" s="947">
        <v>147.68408590999999</v>
      </c>
      <c r="XG5" s="947">
        <v>157.71601975999999</v>
      </c>
      <c r="XH5" s="947">
        <v>79.907505499999999</v>
      </c>
      <c r="XI5" s="947">
        <v>136.87275244999998</v>
      </c>
      <c r="XJ5" s="947">
        <v>35.361212860000002</v>
      </c>
      <c r="XK5" s="947">
        <v>70.385483390000005</v>
      </c>
      <c r="XL5" s="947">
        <v>67.485699010000005</v>
      </c>
      <c r="XM5" s="947">
        <v>99.254872450000008</v>
      </c>
      <c r="XN5" s="947">
        <v>95.988140450000003</v>
      </c>
      <c r="XO5" s="947">
        <v>96.617823220000005</v>
      </c>
      <c r="XP5" s="947">
        <v>97.47005197</v>
      </c>
      <c r="XQ5" s="947">
        <v>284.47751646</v>
      </c>
      <c r="XR5" s="947">
        <v>256.58052627000001</v>
      </c>
      <c r="XS5" s="947">
        <v>264.37929015000003</v>
      </c>
      <c r="XT5" s="947">
        <v>272.60706160000001</v>
      </c>
      <c r="XU5" s="947">
        <v>232.50409672999999</v>
      </c>
      <c r="XV5" s="947">
        <v>231.35462647</v>
      </c>
      <c r="XW5" s="947">
        <v>264.30627599000002</v>
      </c>
      <c r="XX5" s="947">
        <v>277.06653026999999</v>
      </c>
      <c r="XY5" s="947">
        <v>39.129685539999997</v>
      </c>
      <c r="XZ5" s="947">
        <v>67.138392670000002</v>
      </c>
      <c r="YA5" s="947">
        <v>79.910517400000003</v>
      </c>
      <c r="YB5" s="947">
        <v>49.453742490000003</v>
      </c>
      <c r="YC5" s="947">
        <v>112.98573865</v>
      </c>
      <c r="YD5" s="947">
        <v>122.06615271</v>
      </c>
      <c r="YE5" s="947">
        <v>154.11508638999999</v>
      </c>
      <c r="YF5" s="947">
        <v>163.98689378</v>
      </c>
      <c r="YG5" s="947">
        <v>176.60697857</v>
      </c>
      <c r="YH5" s="947">
        <v>169.58485405000002</v>
      </c>
    </row>
    <row r="6" spans="2:658">
      <c r="B6" s="917" t="s">
        <v>22</v>
      </c>
      <c r="C6" s="918">
        <v>39.740285479999997</v>
      </c>
      <c r="D6" s="130">
        <v>44.366243159999996</v>
      </c>
      <c r="E6" s="130">
        <v>22.925086669999999</v>
      </c>
      <c r="F6" s="130">
        <v>24.944513220000001</v>
      </c>
      <c r="G6" s="130">
        <v>27.286650560000002</v>
      </c>
      <c r="H6" s="130">
        <v>16.520923509999999</v>
      </c>
      <c r="I6" s="130">
        <v>15.430398200000001</v>
      </c>
      <c r="J6" s="130">
        <v>20.513675679999999</v>
      </c>
      <c r="K6" s="130">
        <v>27.612041739999999</v>
      </c>
      <c r="L6" s="130">
        <v>2.1738122200000003</v>
      </c>
      <c r="M6" s="130">
        <v>145.48143737000001</v>
      </c>
      <c r="N6" s="130">
        <v>7.8126615300000006</v>
      </c>
      <c r="O6" s="130">
        <v>4.2797351099999998</v>
      </c>
      <c r="P6" s="130">
        <v>5.7685043800000004</v>
      </c>
      <c r="Q6" s="130">
        <v>13.54755188</v>
      </c>
      <c r="R6" s="130">
        <v>14.241723369999999</v>
      </c>
      <c r="S6" s="130">
        <v>14.93610707</v>
      </c>
      <c r="T6" s="130">
        <v>16.135498070000001</v>
      </c>
      <c r="U6" s="130">
        <v>46.948919750000002</v>
      </c>
      <c r="V6" s="130">
        <v>45.491287329999999</v>
      </c>
      <c r="W6" s="130">
        <v>35.847913810000001</v>
      </c>
      <c r="X6" s="130">
        <v>26.11609151</v>
      </c>
      <c r="Y6" s="130">
        <v>37.637763270000001</v>
      </c>
      <c r="Z6" s="130">
        <v>39.496601419999998</v>
      </c>
      <c r="AA6" s="130">
        <v>39.496601419999998</v>
      </c>
      <c r="AB6" s="130">
        <v>24.544128310000001</v>
      </c>
      <c r="AC6" s="130">
        <v>25.388874909999998</v>
      </c>
      <c r="AD6" s="130">
        <v>9.2580768800000008</v>
      </c>
      <c r="AE6" s="130">
        <v>12.23705062</v>
      </c>
      <c r="AF6" s="130">
        <v>2.0324419699999998</v>
      </c>
      <c r="AG6" s="130">
        <v>7.0028547899999998</v>
      </c>
      <c r="AH6" s="130">
        <v>8.8144145399999996</v>
      </c>
      <c r="AI6" s="130">
        <v>8.2923702699999993</v>
      </c>
      <c r="AJ6" s="130">
        <v>11.004070990000001</v>
      </c>
      <c r="AK6" s="130">
        <v>6.6397739400000004</v>
      </c>
      <c r="AL6" s="130">
        <v>7.6334628599999998</v>
      </c>
      <c r="AM6" s="130">
        <v>3.6142581100000002</v>
      </c>
      <c r="AN6" s="130">
        <v>4.3193512299999997</v>
      </c>
      <c r="AO6" s="130">
        <v>3.0924903100000001</v>
      </c>
      <c r="AP6" s="130">
        <v>12.800445720000001</v>
      </c>
      <c r="AQ6" s="130">
        <v>11.21644384</v>
      </c>
      <c r="AR6" s="130">
        <v>5.6157898299999998</v>
      </c>
      <c r="AS6" s="130">
        <v>5.1047644500000002</v>
      </c>
      <c r="AT6" s="130">
        <v>5.5948800500000004</v>
      </c>
      <c r="AU6" s="130">
        <v>6.5865444200000001</v>
      </c>
      <c r="AV6" s="130">
        <v>43.360011200000002</v>
      </c>
      <c r="AW6" s="130">
        <v>19.258123910000002</v>
      </c>
      <c r="AX6" s="130">
        <v>11.67055832</v>
      </c>
      <c r="AY6" s="130">
        <v>16.110034720000002</v>
      </c>
      <c r="AZ6" s="130">
        <v>12.048071859999999</v>
      </c>
      <c r="BA6" s="130">
        <v>7.3565223299999998</v>
      </c>
      <c r="BB6" s="130">
        <v>34.833387399999999</v>
      </c>
      <c r="BC6" s="130">
        <v>7.7101374099999997</v>
      </c>
      <c r="BD6" s="130">
        <v>11.562500740000001</v>
      </c>
      <c r="BE6" s="130">
        <v>11.74487491</v>
      </c>
      <c r="BF6" s="130">
        <v>7.7478125100000002</v>
      </c>
      <c r="BG6" s="130">
        <v>3.7091764500000002</v>
      </c>
      <c r="BH6" s="130">
        <v>11.544467279999999</v>
      </c>
      <c r="BI6" s="130">
        <v>7.1129881799999994</v>
      </c>
      <c r="BJ6" s="130">
        <v>24.885382120000003</v>
      </c>
      <c r="BK6" s="130">
        <v>27.691319710000002</v>
      </c>
      <c r="BL6" s="130">
        <v>23.96900076</v>
      </c>
      <c r="BM6" s="130">
        <v>39.403280509999995</v>
      </c>
      <c r="BN6" s="130">
        <v>37.455483549999997</v>
      </c>
      <c r="BO6" s="130">
        <v>47.036831720000002</v>
      </c>
      <c r="BP6" s="130">
        <v>23.658935829999997</v>
      </c>
      <c r="BQ6" s="130">
        <v>15.865196769999999</v>
      </c>
      <c r="BR6" s="130">
        <v>23.042396660000001</v>
      </c>
      <c r="BS6" s="130">
        <v>24.546074789999999</v>
      </c>
      <c r="BT6" s="130">
        <v>27.408759649999997</v>
      </c>
      <c r="BU6" s="130">
        <v>26.974394670000002</v>
      </c>
      <c r="BV6" s="130">
        <v>29.418380249999998</v>
      </c>
      <c r="BW6" s="130">
        <v>28.852718249999999</v>
      </c>
      <c r="BX6" s="130">
        <v>30.86428012</v>
      </c>
      <c r="BY6" s="130">
        <v>37.436353279999999</v>
      </c>
      <c r="BZ6" s="130">
        <v>35.823873620000001</v>
      </c>
      <c r="CA6" s="130">
        <v>22.442112699999999</v>
      </c>
      <c r="CB6" s="130">
        <v>30.022016420000003</v>
      </c>
      <c r="CC6" s="130">
        <v>23.463963289999999</v>
      </c>
      <c r="CD6" s="130">
        <v>35.638534030000002</v>
      </c>
      <c r="CE6" s="130">
        <v>21.615905269999999</v>
      </c>
      <c r="CF6" s="130">
        <v>19.907966440000003</v>
      </c>
      <c r="CG6" s="130">
        <v>17.591621530000001</v>
      </c>
      <c r="CH6" s="130">
        <v>11.48735679</v>
      </c>
      <c r="CI6" s="130">
        <v>16.666651259999998</v>
      </c>
      <c r="CJ6" s="130">
        <v>15.503915699999999</v>
      </c>
      <c r="CK6" s="130">
        <v>19.34903804</v>
      </c>
      <c r="CL6" s="130">
        <v>12.026562720000001</v>
      </c>
      <c r="CM6" s="130">
        <v>15.714232340000001</v>
      </c>
      <c r="CN6" s="130">
        <v>10.724900960000001</v>
      </c>
      <c r="CO6" s="130">
        <v>13.672156470000001</v>
      </c>
      <c r="CP6" s="130">
        <v>12.29586314</v>
      </c>
      <c r="CQ6" s="130">
        <v>2.7793479900000002</v>
      </c>
      <c r="CR6" s="130">
        <v>2.3702413399999998</v>
      </c>
      <c r="CS6" s="130">
        <v>8.4219005299999985</v>
      </c>
      <c r="CT6" s="130">
        <v>5.4422320800000001</v>
      </c>
      <c r="CU6" s="130">
        <v>5.9169567699999996</v>
      </c>
      <c r="CV6" s="130">
        <v>10.25989882</v>
      </c>
      <c r="CW6" s="130">
        <v>7.0005019500000003</v>
      </c>
      <c r="CX6" s="130">
        <v>22.952095539999998</v>
      </c>
      <c r="CY6" s="130">
        <v>29.082618800000002</v>
      </c>
      <c r="CZ6" s="130">
        <v>24.23057077</v>
      </c>
      <c r="DA6" s="130">
        <v>18.459144640000002</v>
      </c>
      <c r="DB6" s="130">
        <v>2.66012067</v>
      </c>
      <c r="DC6" s="130">
        <v>6.8434054599999996</v>
      </c>
      <c r="DD6" s="130">
        <v>1.5874588600000001</v>
      </c>
      <c r="DE6" s="130">
        <v>70.384480480000008</v>
      </c>
      <c r="DF6" s="130">
        <v>69.51805662000001</v>
      </c>
      <c r="DG6" s="130">
        <v>38.229980170000005</v>
      </c>
      <c r="DH6" s="130">
        <v>38.208638700000002</v>
      </c>
      <c r="DI6" s="130">
        <v>14.868721130000001</v>
      </c>
      <c r="DJ6" s="130">
        <v>6.1283213099999996</v>
      </c>
      <c r="DK6" s="130">
        <v>15.615784830000001</v>
      </c>
      <c r="DL6" s="130">
        <v>12.208153300000001</v>
      </c>
      <c r="DM6" s="130">
        <v>5.2407006599999999</v>
      </c>
      <c r="DN6" s="130">
        <v>3.9984575000000002</v>
      </c>
      <c r="DO6" s="130">
        <v>4.4465835399999998</v>
      </c>
      <c r="DP6" s="130">
        <v>1.8513226599999999</v>
      </c>
      <c r="DQ6" s="130">
        <v>2.4742308799999999</v>
      </c>
      <c r="DR6" s="130">
        <v>8.1889755599999994</v>
      </c>
      <c r="DS6" s="130">
        <v>13.422112960000002</v>
      </c>
      <c r="DT6" s="130">
        <v>10.80861082</v>
      </c>
      <c r="DU6" s="130">
        <v>16.231983750000001</v>
      </c>
      <c r="DV6" s="130">
        <v>17.923628239999999</v>
      </c>
      <c r="DW6" s="130">
        <v>9.2167344800000013</v>
      </c>
      <c r="DX6" s="944">
        <v>10.422199220000001</v>
      </c>
      <c r="DY6" s="130">
        <v>9.4646761000000001</v>
      </c>
      <c r="DZ6" s="130">
        <v>15.1655482</v>
      </c>
      <c r="EA6" s="130">
        <v>5.0714693799999999</v>
      </c>
      <c r="EB6" s="130">
        <v>7.9438348899999998</v>
      </c>
      <c r="EC6" s="130">
        <v>6.7187870900000002</v>
      </c>
      <c r="ED6" s="130">
        <v>6.7851060999999993</v>
      </c>
      <c r="EE6" s="130">
        <v>1.4775414599999999</v>
      </c>
      <c r="EF6" s="130">
        <v>1.6672657099999999</v>
      </c>
      <c r="EG6" s="130">
        <v>5.7756768599999999</v>
      </c>
      <c r="EH6" s="130">
        <v>5.7756768599999999</v>
      </c>
      <c r="EI6" s="130">
        <v>11.291615609999999</v>
      </c>
      <c r="EJ6" s="130">
        <v>12.6566901</v>
      </c>
      <c r="EK6" s="130">
        <v>51.396873219999996</v>
      </c>
      <c r="EL6" s="130">
        <v>26.990723110000001</v>
      </c>
      <c r="EM6" s="130">
        <v>28.478349179999999</v>
      </c>
      <c r="EN6" s="130">
        <v>28.278269769999998</v>
      </c>
      <c r="EO6" s="130">
        <v>35.828684170000002</v>
      </c>
      <c r="EP6" s="130">
        <v>66.443132359999993</v>
      </c>
      <c r="EQ6" s="130">
        <v>63.108386350000004</v>
      </c>
      <c r="ER6" s="130">
        <v>67.707882920000003</v>
      </c>
      <c r="ES6" s="130">
        <v>65.368545210000008</v>
      </c>
      <c r="ET6" s="130">
        <v>66.232744109999999</v>
      </c>
      <c r="EU6" s="130">
        <v>63.96457152</v>
      </c>
      <c r="EV6" s="944">
        <v>152.21231488999999</v>
      </c>
      <c r="EW6" s="130">
        <v>152.54858849999999</v>
      </c>
      <c r="EX6" s="130">
        <v>151.40495886000002</v>
      </c>
      <c r="EY6" s="130">
        <v>151.25624775999998</v>
      </c>
      <c r="EZ6" s="130">
        <v>168.47975732</v>
      </c>
      <c r="FA6" s="130">
        <v>158.57104622999998</v>
      </c>
      <c r="FB6" s="130">
        <v>162.04757290999999</v>
      </c>
      <c r="FC6" s="130">
        <v>164.45297578</v>
      </c>
      <c r="FD6" s="130">
        <v>161.44700774</v>
      </c>
      <c r="FE6" s="130">
        <v>162.25650102</v>
      </c>
      <c r="FF6" s="130">
        <v>159.74587425000001</v>
      </c>
      <c r="FG6" s="130">
        <v>160.13856116999997</v>
      </c>
      <c r="FH6" s="130">
        <v>166.73796113999998</v>
      </c>
      <c r="FI6" s="130">
        <v>163.05401881</v>
      </c>
      <c r="FJ6" s="130">
        <v>169.53921643999999</v>
      </c>
      <c r="FK6" s="130">
        <v>170.25125321000002</v>
      </c>
      <c r="FL6" s="130">
        <v>168.8598508</v>
      </c>
      <c r="FM6" s="130">
        <v>16.477237849999998</v>
      </c>
      <c r="FN6" s="944">
        <v>17.461992819999999</v>
      </c>
      <c r="FO6" s="130">
        <v>16.489219240000001</v>
      </c>
      <c r="FP6" s="130">
        <v>17.17093474</v>
      </c>
      <c r="FQ6" s="130">
        <v>17.338316969999997</v>
      </c>
      <c r="FR6" s="130">
        <v>6.0290707499999998</v>
      </c>
      <c r="FS6" s="130">
        <v>6.6180191700000002</v>
      </c>
      <c r="FT6" s="130">
        <v>6.31513217</v>
      </c>
      <c r="FU6" s="130">
        <v>10.63930281</v>
      </c>
      <c r="FV6" s="130">
        <v>4.6294609000000007</v>
      </c>
      <c r="FW6" s="130">
        <v>55.089466450000003</v>
      </c>
      <c r="FX6" s="130">
        <v>1.1339034800000001</v>
      </c>
      <c r="FY6" s="130">
        <v>2.7815225400000001</v>
      </c>
      <c r="FZ6" s="130">
        <v>6.4339884899999999</v>
      </c>
      <c r="GA6" s="130">
        <v>6.3305045300000007</v>
      </c>
      <c r="GB6" s="130">
        <v>2.47468347</v>
      </c>
      <c r="GC6" s="130">
        <v>25.827077729999999</v>
      </c>
      <c r="GD6" s="130">
        <v>28.919153730000001</v>
      </c>
      <c r="GE6" s="130">
        <v>33.605404679999999</v>
      </c>
      <c r="GF6" s="130">
        <v>28.433992530000001</v>
      </c>
      <c r="GG6" s="130">
        <v>56.804867180000002</v>
      </c>
      <c r="GH6" s="130">
        <v>167.45557076</v>
      </c>
      <c r="GI6" s="130">
        <v>36.60918367</v>
      </c>
      <c r="GJ6" s="130">
        <v>36.594101979999998</v>
      </c>
      <c r="GK6" s="130">
        <v>3.4285893399999998</v>
      </c>
      <c r="GL6" s="130">
        <v>5.5525007500000001</v>
      </c>
      <c r="GM6" s="130">
        <v>7.5887202999999994</v>
      </c>
      <c r="GN6" s="130">
        <v>15.455956789999998</v>
      </c>
      <c r="GO6" s="130">
        <v>11.107292119999999</v>
      </c>
      <c r="GP6" s="130">
        <v>18.4562849</v>
      </c>
      <c r="GQ6" s="130">
        <v>22.848048149999997</v>
      </c>
      <c r="GR6" s="130">
        <v>24.840794249999998</v>
      </c>
      <c r="GS6" s="130">
        <v>3.9378814800000002</v>
      </c>
      <c r="GT6" s="130">
        <v>3.3388471000000002</v>
      </c>
      <c r="GU6" s="650">
        <v>3.3388471000000002</v>
      </c>
      <c r="GV6" s="130">
        <v>11.17122741</v>
      </c>
      <c r="GW6" s="130">
        <v>8.1967176399999992</v>
      </c>
      <c r="GX6" s="130">
        <v>10.820982539999999</v>
      </c>
      <c r="GY6" s="130">
        <v>11.23279909</v>
      </c>
      <c r="GZ6" s="130">
        <v>9.3506227300000013</v>
      </c>
      <c r="HA6" s="130">
        <v>17.41613413</v>
      </c>
      <c r="HB6" s="130">
        <v>24.208423570000001</v>
      </c>
      <c r="HC6" s="130">
        <v>26.13274036</v>
      </c>
      <c r="HD6" s="130">
        <v>9.6784512100000004</v>
      </c>
      <c r="HE6" s="130">
        <v>5.5342662800000006</v>
      </c>
      <c r="HF6" s="130">
        <v>6.2171834600000002</v>
      </c>
      <c r="HG6" s="130">
        <v>21.381430100000003</v>
      </c>
      <c r="HH6" s="130">
        <v>24.485842089999998</v>
      </c>
      <c r="HI6" s="130">
        <v>10.368245980000001</v>
      </c>
      <c r="HJ6" s="130">
        <v>14.169181849999999</v>
      </c>
      <c r="HK6" s="130">
        <v>18.064181850000001</v>
      </c>
      <c r="HL6" s="130">
        <v>24.707227850000002</v>
      </c>
      <c r="HM6" s="130">
        <v>27.703731050000002</v>
      </c>
      <c r="HN6" s="130">
        <v>31.817046569999999</v>
      </c>
      <c r="HO6" s="130">
        <v>41.371095579999995</v>
      </c>
      <c r="HP6" s="130">
        <v>30.65725166</v>
      </c>
      <c r="HQ6" s="130">
        <v>36.255479940000001</v>
      </c>
      <c r="HR6" s="944">
        <v>18.356100600000001</v>
      </c>
      <c r="HS6" s="945">
        <v>20.693343949999999</v>
      </c>
      <c r="HT6" s="946">
        <v>13.51572277</v>
      </c>
      <c r="HU6" s="946">
        <v>4.7866508200000002</v>
      </c>
      <c r="HV6" s="946">
        <v>6.8844335800000005</v>
      </c>
      <c r="HW6" s="946">
        <v>15.390422579999999</v>
      </c>
      <c r="HX6" s="946">
        <v>1.9150301399999998</v>
      </c>
      <c r="HY6" s="946">
        <v>3.5436710800000002</v>
      </c>
      <c r="HZ6" s="946">
        <v>7.7765169800000002</v>
      </c>
      <c r="IA6" s="946">
        <v>9.5541496300000013</v>
      </c>
      <c r="IB6" s="946">
        <v>3.3621131099999997</v>
      </c>
      <c r="IC6" s="946">
        <v>5.1226503099999992</v>
      </c>
      <c r="ID6" s="946">
        <v>9.5805910000000008E-2</v>
      </c>
      <c r="IE6" s="946">
        <v>0.41719172999999998</v>
      </c>
      <c r="IF6" s="946">
        <v>5.2495810299999999</v>
      </c>
      <c r="IG6" s="946">
        <v>2.2886522599999997</v>
      </c>
      <c r="IH6" s="946">
        <v>2.5633182699999999</v>
      </c>
      <c r="II6" s="946">
        <v>3.0597566</v>
      </c>
      <c r="IJ6" s="946">
        <v>6.3700046800000001</v>
      </c>
      <c r="IK6" s="946">
        <v>15.804559710000001</v>
      </c>
      <c r="IL6" s="946">
        <v>6.9738539199999998</v>
      </c>
      <c r="IM6" s="946">
        <v>9.6836797400000005</v>
      </c>
      <c r="IN6" s="946">
        <v>14.910802039999998</v>
      </c>
      <c r="IO6" s="946">
        <v>10.846812630000001</v>
      </c>
      <c r="IP6" s="946">
        <v>14.08044391</v>
      </c>
      <c r="IQ6" s="946">
        <v>4.25034446</v>
      </c>
      <c r="IR6" s="946">
        <v>65.209242459999999</v>
      </c>
      <c r="IS6" s="946">
        <v>65.091616399999992</v>
      </c>
      <c r="IT6" s="946">
        <v>64.040770340000009</v>
      </c>
      <c r="IU6" s="946">
        <v>68.502419180000004</v>
      </c>
      <c r="IV6" s="946">
        <v>70.930277750000002</v>
      </c>
      <c r="IW6" s="946">
        <v>72.117463659999999</v>
      </c>
      <c r="IX6" s="946">
        <v>78.448401400000009</v>
      </c>
      <c r="IY6" s="947">
        <v>37.515152630000003</v>
      </c>
      <c r="IZ6" s="946">
        <v>41.359768639999999</v>
      </c>
      <c r="JA6" s="946">
        <v>50.526088639999998</v>
      </c>
      <c r="JB6" s="946">
        <v>49.802992289999999</v>
      </c>
      <c r="JC6" s="946">
        <v>49.938504380000005</v>
      </c>
      <c r="JD6" s="946">
        <v>46.150737990000003</v>
      </c>
      <c r="JE6" s="946">
        <v>51.068972580000001</v>
      </c>
      <c r="JF6" s="946">
        <v>49.5521715</v>
      </c>
      <c r="JG6" s="946">
        <v>45.777539850000004</v>
      </c>
      <c r="JH6" s="946">
        <v>42.591993939999995</v>
      </c>
      <c r="JI6" s="946">
        <v>50.047835460000002</v>
      </c>
      <c r="JJ6" s="946">
        <v>50.047835460000002</v>
      </c>
      <c r="JK6" s="946">
        <v>54.871938819999997</v>
      </c>
      <c r="JL6" s="946">
        <v>51.416775899999998</v>
      </c>
      <c r="JM6" s="946">
        <v>54.4781865</v>
      </c>
      <c r="JN6" s="946">
        <v>58.9828057</v>
      </c>
      <c r="JO6" s="946">
        <v>58.9828057</v>
      </c>
      <c r="JP6" s="946">
        <v>58.9828057</v>
      </c>
      <c r="JQ6" s="946">
        <v>70.326506190000003</v>
      </c>
      <c r="JR6" s="946">
        <v>66.353822039999997</v>
      </c>
      <c r="JS6" s="946">
        <v>66.353822039999997</v>
      </c>
      <c r="JT6" s="946">
        <v>76.374028690000003</v>
      </c>
      <c r="JU6" s="946">
        <v>75.894504920000003</v>
      </c>
      <c r="JV6" s="946">
        <v>79.533126920000001</v>
      </c>
      <c r="JW6" s="946">
        <v>84.587994449999997</v>
      </c>
      <c r="JX6" s="946">
        <v>81.236580060000009</v>
      </c>
      <c r="JY6" s="946">
        <v>81.236580060000009</v>
      </c>
      <c r="JZ6" s="946">
        <v>83.264946989999999</v>
      </c>
      <c r="KA6" s="946">
        <v>74.484701439999995</v>
      </c>
      <c r="KB6" s="946">
        <v>81.687629970000003</v>
      </c>
      <c r="KC6" s="946">
        <v>82.79539475</v>
      </c>
      <c r="KD6" s="946">
        <v>87.835096579999998</v>
      </c>
      <c r="KE6" s="946">
        <v>74.042619739999992</v>
      </c>
      <c r="KF6" s="946">
        <v>77.695119469999995</v>
      </c>
      <c r="KG6" s="946">
        <v>85.536974720000003</v>
      </c>
      <c r="KH6" s="946">
        <v>91.857242370000009</v>
      </c>
      <c r="KI6" s="946">
        <v>91.234793530000005</v>
      </c>
      <c r="KJ6" s="946">
        <v>91.234793530000005</v>
      </c>
      <c r="KK6" s="946">
        <v>91.234793530000005</v>
      </c>
      <c r="KL6" s="946">
        <v>91.234793530000005</v>
      </c>
      <c r="KM6" s="946">
        <v>91.234793530000005</v>
      </c>
      <c r="KN6" s="946">
        <v>91.234793530000005</v>
      </c>
      <c r="KO6" s="946">
        <v>91.234793530000005</v>
      </c>
      <c r="KP6" s="946">
        <v>91.234793530000005</v>
      </c>
      <c r="KQ6" s="946">
        <v>91.234793530000005</v>
      </c>
      <c r="KR6" s="946">
        <v>20.75187536</v>
      </c>
      <c r="KS6" s="947">
        <v>25.614672559999999</v>
      </c>
      <c r="KT6" s="947">
        <v>3.3584252000000001</v>
      </c>
      <c r="KU6" s="947">
        <v>9.41787302</v>
      </c>
      <c r="KV6" s="947">
        <v>14.90456086</v>
      </c>
      <c r="KW6" s="947">
        <v>0.78714974999999998</v>
      </c>
      <c r="KX6" s="947">
        <v>1.0289086300000001</v>
      </c>
      <c r="KY6" s="947">
        <v>5.9103414000000001</v>
      </c>
      <c r="KZ6" s="947">
        <v>11.876845980000001</v>
      </c>
      <c r="LA6" s="947">
        <v>7.8351396700000002</v>
      </c>
      <c r="LB6" s="947">
        <v>16.008147269999998</v>
      </c>
      <c r="LC6" s="947">
        <v>23.399037</v>
      </c>
      <c r="LD6" s="947">
        <v>26.200108839999999</v>
      </c>
      <c r="LE6" s="947">
        <v>7.1645210800000001</v>
      </c>
      <c r="LF6" s="947">
        <v>14.479505720000001</v>
      </c>
      <c r="LG6" s="947">
        <v>21.420587179999998</v>
      </c>
      <c r="LH6" s="947">
        <v>21.332267600000002</v>
      </c>
      <c r="LI6" s="947">
        <v>27.175645360000001</v>
      </c>
      <c r="LJ6" s="947">
        <v>25.781811879999999</v>
      </c>
      <c r="LK6" s="947">
        <v>22.923861219999999</v>
      </c>
      <c r="LL6" s="947">
        <v>25.781811879999999</v>
      </c>
      <c r="LM6" s="947">
        <v>26.782358809999998</v>
      </c>
      <c r="LN6" s="947">
        <v>24.077846300000001</v>
      </c>
      <c r="LO6" s="947">
        <v>0.26742961999999998</v>
      </c>
      <c r="LP6" s="947">
        <v>0.25188608000000001</v>
      </c>
      <c r="LQ6" s="947">
        <v>0.25188608000000001</v>
      </c>
      <c r="LR6" s="947">
        <v>1.9923198400000002</v>
      </c>
      <c r="LS6" s="947">
        <v>11.742224119999999</v>
      </c>
      <c r="LT6" s="947">
        <v>0.37945087999999999</v>
      </c>
      <c r="LU6" s="947">
        <v>6.9945430000000002</v>
      </c>
      <c r="LV6" s="947">
        <v>15.17125343</v>
      </c>
      <c r="LW6" s="947">
        <v>7.2634681299999997</v>
      </c>
      <c r="LX6" s="947">
        <v>14.40424612</v>
      </c>
      <c r="LY6" s="947">
        <v>0.98075526000000002</v>
      </c>
      <c r="LZ6" s="947">
        <v>0.48936102000000004</v>
      </c>
      <c r="MA6" s="947">
        <v>3.8468497799999999</v>
      </c>
      <c r="MB6" s="947">
        <v>9.6345210800000007</v>
      </c>
      <c r="MC6" s="947">
        <v>21.692521079999999</v>
      </c>
      <c r="MD6" s="947">
        <v>0.68887031999999992</v>
      </c>
      <c r="ME6" s="947">
        <v>24.981966320000002</v>
      </c>
      <c r="MF6" s="947">
        <v>24.799647969999999</v>
      </c>
      <c r="MG6" s="947">
        <v>33.532297579999998</v>
      </c>
      <c r="MH6" s="947">
        <v>34.986950999999998</v>
      </c>
      <c r="MI6" s="947">
        <v>17.475246850000001</v>
      </c>
      <c r="MJ6" s="947">
        <v>23.836419429999999</v>
      </c>
      <c r="MK6" s="947">
        <v>23.836419429999999</v>
      </c>
      <c r="ML6" s="947">
        <v>23.836419429999999</v>
      </c>
      <c r="MM6" s="947">
        <v>23.836419429999999</v>
      </c>
      <c r="MN6" s="947">
        <v>19.536490390000001</v>
      </c>
      <c r="MO6" s="947">
        <v>3.71999674</v>
      </c>
      <c r="MP6" s="947">
        <v>22.508298910000001</v>
      </c>
      <c r="MQ6" s="947">
        <v>22.911761309999999</v>
      </c>
      <c r="MR6" s="947">
        <v>160.87969340999999</v>
      </c>
      <c r="MS6" s="947">
        <v>9.0473254999999995</v>
      </c>
      <c r="MT6" s="947">
        <v>16.305031190000001</v>
      </c>
      <c r="MU6" s="947">
        <v>14.760576460000001</v>
      </c>
      <c r="MV6" s="947">
        <v>16.874820360000001</v>
      </c>
      <c r="MW6" s="947">
        <v>24.877305960000001</v>
      </c>
      <c r="MX6" s="947">
        <v>24.877305960000001</v>
      </c>
      <c r="MY6" s="947">
        <v>23.875790840000001</v>
      </c>
      <c r="MZ6" s="947">
        <v>28.860653879999997</v>
      </c>
      <c r="NA6" s="947">
        <v>33.46052959</v>
      </c>
      <c r="NB6" s="947">
        <v>48.451085590000005</v>
      </c>
      <c r="NC6" s="947">
        <v>37.877937500000002</v>
      </c>
      <c r="ND6" s="947">
        <v>161.02266367999999</v>
      </c>
      <c r="NE6" s="947">
        <v>228.31802091999998</v>
      </c>
      <c r="NF6" s="947">
        <v>331.52041657999996</v>
      </c>
      <c r="NG6" s="947">
        <v>342.54990185000003</v>
      </c>
      <c r="NH6" s="947">
        <v>398.15833974000003</v>
      </c>
      <c r="NI6" s="947">
        <v>397.70348691000004</v>
      </c>
      <c r="NJ6" s="947">
        <v>400.02055375999998</v>
      </c>
      <c r="NK6" s="947">
        <v>402.33980831000002</v>
      </c>
      <c r="NL6" s="947">
        <v>405.37026377000001</v>
      </c>
      <c r="NM6" s="947">
        <v>402.87335494999996</v>
      </c>
      <c r="NN6" s="947">
        <v>405.63258170999995</v>
      </c>
      <c r="NO6" s="947">
        <v>401.37698455999998</v>
      </c>
      <c r="NP6" s="947">
        <v>409.91152152000001</v>
      </c>
      <c r="NQ6" s="947">
        <v>207.01278341</v>
      </c>
      <c r="NR6" s="947">
        <v>231.72798940999999</v>
      </c>
      <c r="NS6" s="947">
        <v>241.14465392</v>
      </c>
      <c r="NT6" s="947">
        <v>241.14465392</v>
      </c>
      <c r="NU6" s="947">
        <v>244.18518809</v>
      </c>
      <c r="NV6" s="947">
        <v>244.18518809</v>
      </c>
      <c r="NW6" s="947">
        <v>46.082978560000001</v>
      </c>
      <c r="NX6" s="947">
        <v>49.16411299</v>
      </c>
      <c r="NY6" s="947">
        <v>44.121218259999999</v>
      </c>
      <c r="NZ6" s="947">
        <v>50.131154259999995</v>
      </c>
      <c r="OA6" s="947">
        <v>50.131154259999995</v>
      </c>
      <c r="OB6" s="947">
        <v>69.492265790000005</v>
      </c>
      <c r="OC6" s="947">
        <v>75.997661140000005</v>
      </c>
      <c r="OD6" s="947">
        <v>80.620786049999992</v>
      </c>
      <c r="OE6" s="947">
        <v>87.59494359</v>
      </c>
      <c r="OF6" s="947">
        <v>89.668249129999992</v>
      </c>
      <c r="OG6" s="947">
        <v>96.964530980000006</v>
      </c>
      <c r="OH6" s="947">
        <v>99.95287166</v>
      </c>
      <c r="OI6" s="947">
        <v>96.268391440000002</v>
      </c>
      <c r="OJ6" s="947">
        <v>104.87598790999999</v>
      </c>
      <c r="OK6" s="947">
        <v>52.995125170000001</v>
      </c>
      <c r="OL6" s="947">
        <v>53.52112717</v>
      </c>
      <c r="OM6" s="947">
        <v>61.034518169999998</v>
      </c>
      <c r="ON6" s="947">
        <v>61.019674439999996</v>
      </c>
      <c r="OO6" s="947">
        <v>74.241765520000001</v>
      </c>
      <c r="OP6" s="947">
        <v>56.362441529999998</v>
      </c>
      <c r="OQ6" s="947">
        <v>56.362441529999998</v>
      </c>
      <c r="OR6" s="947">
        <v>68.402771479999998</v>
      </c>
      <c r="OS6" s="947">
        <v>68.402771479999998</v>
      </c>
      <c r="OT6" s="947">
        <v>73.191310129999991</v>
      </c>
      <c r="OU6" s="947">
        <v>38.944803409999999</v>
      </c>
      <c r="OV6" s="947">
        <v>38.944803409999999</v>
      </c>
      <c r="OW6" s="947">
        <v>32.0075632</v>
      </c>
      <c r="OX6" s="947">
        <v>47.374250009999997</v>
      </c>
      <c r="OY6" s="947">
        <v>49.513390270000002</v>
      </c>
      <c r="OZ6" s="947">
        <v>14.943069919999999</v>
      </c>
      <c r="PA6" s="947">
        <v>14.697798650000001</v>
      </c>
      <c r="PB6" s="947">
        <v>14.697098650000001</v>
      </c>
      <c r="PC6" s="947">
        <v>14.697098650000001</v>
      </c>
      <c r="PD6" s="947">
        <v>24.313298620000001</v>
      </c>
      <c r="PE6" s="947">
        <v>31.31078664</v>
      </c>
      <c r="PF6" s="947">
        <v>4.9330318899999996</v>
      </c>
      <c r="PG6" s="947">
        <v>4.9047454100000003</v>
      </c>
      <c r="PH6" s="947">
        <v>12.292550159999999</v>
      </c>
      <c r="PI6" s="947">
        <v>31.212379519999999</v>
      </c>
      <c r="PJ6" s="947">
        <v>17.78009587</v>
      </c>
      <c r="PK6" s="947">
        <v>22.385701559999998</v>
      </c>
      <c r="PL6" s="947">
        <v>24.861127399999997</v>
      </c>
      <c r="PM6" s="947">
        <v>31.972554710000001</v>
      </c>
      <c r="PN6" s="947">
        <v>36.947839000000002</v>
      </c>
      <c r="PO6" s="947">
        <v>43.644350450000005</v>
      </c>
      <c r="PP6" s="947">
        <v>46.226987369999996</v>
      </c>
      <c r="PQ6" s="947">
        <v>56.058322369999999</v>
      </c>
      <c r="PR6" s="947">
        <v>59.663071369999997</v>
      </c>
      <c r="PS6" s="947">
        <v>17.027485170000002</v>
      </c>
      <c r="PT6" s="947">
        <v>17.507648940000003</v>
      </c>
      <c r="PU6" s="947">
        <v>17.507648940000003</v>
      </c>
      <c r="PV6" s="947">
        <v>19.535075339999999</v>
      </c>
      <c r="PW6" s="947">
        <v>28.832593600000003</v>
      </c>
      <c r="PX6" s="947">
        <v>26.309791180000001</v>
      </c>
      <c r="PY6" s="947">
        <v>74.917585389999999</v>
      </c>
      <c r="PZ6" s="947">
        <v>75.860549390000003</v>
      </c>
      <c r="QA6" s="947">
        <v>75.860549390000003</v>
      </c>
      <c r="QB6" s="947">
        <v>78.205467510000005</v>
      </c>
      <c r="QC6" s="947">
        <v>78.205467510000005</v>
      </c>
      <c r="QD6" s="947">
        <v>44.731359959999999</v>
      </c>
      <c r="QE6" s="947">
        <v>39.460761340000005</v>
      </c>
      <c r="QF6" s="947">
        <v>43.251391850000005</v>
      </c>
      <c r="QG6" s="947">
        <v>36.997146310000005</v>
      </c>
      <c r="QH6" s="947">
        <v>36.997146310000005</v>
      </c>
      <c r="QI6" s="947">
        <v>36.997146310000005</v>
      </c>
      <c r="QJ6" s="947">
        <v>43.221939229999997</v>
      </c>
      <c r="QK6" s="947">
        <v>43.221939229999997</v>
      </c>
      <c r="QL6" s="947">
        <v>41.163479760000001</v>
      </c>
      <c r="QM6" s="947">
        <v>41.163479760000001</v>
      </c>
      <c r="QN6" s="947">
        <v>41.163479760000001</v>
      </c>
      <c r="QO6" s="947">
        <v>55.80226364</v>
      </c>
      <c r="QP6" s="947">
        <v>49.635258520000001</v>
      </c>
      <c r="QQ6" s="947">
        <v>52.668915740000003</v>
      </c>
      <c r="QR6" s="947">
        <v>52.58407253</v>
      </c>
      <c r="QS6" s="947">
        <v>59.434503340000006</v>
      </c>
      <c r="QT6" s="947">
        <v>63.834355340000002</v>
      </c>
      <c r="QU6" s="947">
        <v>53.663649039999996</v>
      </c>
      <c r="QV6" s="947">
        <v>38.018243920000003</v>
      </c>
      <c r="QW6" s="947">
        <v>38.016493920000002</v>
      </c>
      <c r="QX6" s="947">
        <v>40.977054850000002</v>
      </c>
      <c r="QY6" s="947">
        <v>39.46804676</v>
      </c>
      <c r="QZ6" s="947">
        <v>41.667206759999999</v>
      </c>
      <c r="RA6" s="947">
        <v>27.900747129999999</v>
      </c>
      <c r="RB6" s="947">
        <v>22.96373548</v>
      </c>
      <c r="RC6" s="947">
        <v>12.88586969</v>
      </c>
      <c r="RD6" s="947">
        <v>16.852405510000001</v>
      </c>
      <c r="RE6" s="947">
        <v>37.479281669999999</v>
      </c>
      <c r="RF6" s="947">
        <v>5.5185412699999992</v>
      </c>
      <c r="RG6" s="947">
        <v>8.142631530000001</v>
      </c>
      <c r="RH6" s="947">
        <v>6.2736913599999999</v>
      </c>
      <c r="RI6" s="947">
        <v>9.0703862500000003</v>
      </c>
      <c r="RJ6" s="947">
        <v>41.333166570000003</v>
      </c>
      <c r="RK6" s="947">
        <v>35.762504310000004</v>
      </c>
      <c r="RL6" s="947">
        <v>117.05774323</v>
      </c>
      <c r="RM6" s="947">
        <v>95.155398680000005</v>
      </c>
      <c r="RN6" s="947">
        <v>95.34704223</v>
      </c>
      <c r="RO6" s="947">
        <v>95.842768409999991</v>
      </c>
      <c r="RP6" s="947">
        <v>85.437889370000008</v>
      </c>
      <c r="RQ6" s="947">
        <v>92.728322640000002</v>
      </c>
      <c r="RR6" s="947">
        <v>38.073070799999996</v>
      </c>
      <c r="RS6" s="947">
        <v>42.637899729999994</v>
      </c>
      <c r="RT6" s="947">
        <v>60.19546364</v>
      </c>
      <c r="RU6" s="947">
        <v>49.110088310000002</v>
      </c>
      <c r="RV6" s="947">
        <v>42.440247419999999</v>
      </c>
      <c r="RW6" s="947">
        <v>75.958055489999992</v>
      </c>
      <c r="RX6" s="947">
        <v>37.321343340000006</v>
      </c>
      <c r="RY6" s="947">
        <v>23.426977829999998</v>
      </c>
      <c r="RZ6" s="947">
        <v>35.293766390000002</v>
      </c>
      <c r="SA6" s="947">
        <v>39.250368729999998</v>
      </c>
      <c r="SB6" s="947">
        <v>38.261135549999999</v>
      </c>
      <c r="SC6" s="947">
        <v>41.59171989</v>
      </c>
      <c r="SD6" s="947">
        <v>48.489161380000006</v>
      </c>
      <c r="SE6" s="947">
        <v>45.102390649999997</v>
      </c>
      <c r="SF6" s="947">
        <v>45.135990579999998</v>
      </c>
      <c r="SG6" s="947">
        <v>54.300502530000003</v>
      </c>
      <c r="SH6" s="947">
        <v>56.750502529999999</v>
      </c>
      <c r="SI6" s="947">
        <v>62.743979369999998</v>
      </c>
      <c r="SJ6" s="947">
        <v>61.68734997</v>
      </c>
      <c r="SK6" s="947">
        <v>47.210059280000003</v>
      </c>
      <c r="SL6" s="947">
        <v>30.849879129999998</v>
      </c>
      <c r="SM6" s="947">
        <v>26.76453729</v>
      </c>
      <c r="SN6" s="947">
        <v>29.092712120000002</v>
      </c>
      <c r="SO6" s="947">
        <v>20.47907348</v>
      </c>
      <c r="SP6" s="947">
        <v>17.252839210000001</v>
      </c>
      <c r="SQ6" s="947">
        <v>17.102508719999999</v>
      </c>
      <c r="SR6" s="947">
        <v>0.89528310999999994</v>
      </c>
      <c r="SS6" s="947">
        <v>3.6409244100000002</v>
      </c>
      <c r="ST6" s="947">
        <v>1.4720468799999999</v>
      </c>
      <c r="SU6" s="947">
        <v>4.3276908399999998</v>
      </c>
      <c r="SV6" s="947">
        <v>3.7751204199999999</v>
      </c>
      <c r="SW6" s="947">
        <v>20.706089420000001</v>
      </c>
      <c r="SX6" s="947">
        <v>9.2618767699999989</v>
      </c>
      <c r="SY6" s="947">
        <v>6.7776367000000004</v>
      </c>
      <c r="SZ6" s="947">
        <v>13.492095019999999</v>
      </c>
      <c r="TA6" s="947">
        <v>24.362447</v>
      </c>
      <c r="TB6" s="947">
        <v>24.362447</v>
      </c>
      <c r="TC6" s="947">
        <v>27.106966219999997</v>
      </c>
      <c r="TD6" s="947">
        <v>26.481684739999999</v>
      </c>
      <c r="TE6" s="947">
        <v>26.481684739999999</v>
      </c>
      <c r="TF6" s="947">
        <v>2.9974940499999998</v>
      </c>
      <c r="TG6" s="947">
        <v>36.58079687</v>
      </c>
      <c r="TH6" s="947">
        <v>51.621135899999999</v>
      </c>
      <c r="TI6" s="947">
        <v>12.17724102</v>
      </c>
      <c r="TJ6" s="947">
        <v>2.9377260299999999</v>
      </c>
      <c r="TK6" s="947">
        <v>2.9377260299999999</v>
      </c>
      <c r="TL6" s="947">
        <v>21.40517839</v>
      </c>
      <c r="TM6" s="947">
        <v>32.560163979999999</v>
      </c>
      <c r="TN6" s="947">
        <v>18.736873370000001</v>
      </c>
      <c r="TO6" s="947">
        <v>40.486811450000005</v>
      </c>
      <c r="TP6" s="947">
        <v>53.349785579999995</v>
      </c>
      <c r="TQ6" s="947">
        <v>71.064017730000003</v>
      </c>
      <c r="TR6" s="947">
        <v>107.41511178</v>
      </c>
      <c r="TS6" s="947">
        <v>113.34110382999999</v>
      </c>
      <c r="TT6" s="947">
        <v>113.70256234999999</v>
      </c>
      <c r="TU6" s="947">
        <v>119.88875883</v>
      </c>
      <c r="TV6" s="947">
        <v>99.910896819999991</v>
      </c>
      <c r="TW6" s="947">
        <v>20.976436249999999</v>
      </c>
      <c r="TX6" s="947">
        <v>2.5127419899999999</v>
      </c>
      <c r="TY6" s="947">
        <v>5.53555112</v>
      </c>
      <c r="TZ6" s="947">
        <v>8.5758805900000006</v>
      </c>
      <c r="UA6" s="947">
        <v>11.26714745</v>
      </c>
      <c r="UB6" s="947">
        <v>27.028013469999998</v>
      </c>
      <c r="UC6" s="947">
        <v>5.8078803099999998</v>
      </c>
      <c r="UD6" s="947">
        <v>78.569983829999998</v>
      </c>
      <c r="UE6" s="947">
        <v>85.564383829999997</v>
      </c>
      <c r="UF6" s="947">
        <v>278.75417446</v>
      </c>
      <c r="UG6" s="947">
        <v>278.09830887999999</v>
      </c>
      <c r="UH6" s="947">
        <v>278.40462651000001</v>
      </c>
      <c r="UI6" s="947">
        <v>275.26129219000001</v>
      </c>
      <c r="UJ6" s="947">
        <v>368.27371155000003</v>
      </c>
      <c r="UK6" s="947">
        <v>378.22784676999999</v>
      </c>
      <c r="UL6" s="947">
        <v>337.73548957999998</v>
      </c>
      <c r="UM6" s="947">
        <v>349.36708793000003</v>
      </c>
      <c r="UN6" s="947">
        <v>315.21771371</v>
      </c>
      <c r="UO6" s="947">
        <v>328.03992108999995</v>
      </c>
      <c r="UP6" s="947">
        <v>325.60045210999999</v>
      </c>
      <c r="UQ6" s="947">
        <v>311.05336585000003</v>
      </c>
      <c r="UR6" s="947">
        <v>210.26440219999998</v>
      </c>
      <c r="US6" s="947">
        <v>210.26440219999998</v>
      </c>
      <c r="UT6" s="947">
        <v>212.81223675999999</v>
      </c>
      <c r="UU6" s="947">
        <v>317.19318556000002</v>
      </c>
      <c r="UV6" s="947">
        <v>284.12947320999996</v>
      </c>
      <c r="UW6" s="947">
        <v>284.12947320999996</v>
      </c>
      <c r="UX6" s="947">
        <v>292.64472327999999</v>
      </c>
      <c r="UY6" s="947">
        <v>292.64472327999999</v>
      </c>
      <c r="UZ6" s="947">
        <v>108.98647926000001</v>
      </c>
      <c r="VA6" s="947">
        <v>96.567567699999998</v>
      </c>
      <c r="VB6" s="947">
        <v>107.75662579999999</v>
      </c>
      <c r="VC6" s="947">
        <v>114.01163492000001</v>
      </c>
      <c r="VD6" s="947">
        <v>121.91216392</v>
      </c>
      <c r="VE6" s="947">
        <v>119.65211343999999</v>
      </c>
      <c r="VF6" s="947">
        <v>143.47339067999999</v>
      </c>
      <c r="VG6" s="947">
        <v>116.58225012999999</v>
      </c>
      <c r="VH6" s="947">
        <v>139.6565444</v>
      </c>
      <c r="VI6" s="947">
        <v>6.7723146200000004</v>
      </c>
      <c r="VJ6" s="947">
        <v>21.31524701</v>
      </c>
      <c r="VK6" s="947">
        <v>11.23369364</v>
      </c>
      <c r="VL6" s="947">
        <v>31.392864920000001</v>
      </c>
      <c r="VM6" s="947">
        <v>38.629224659999998</v>
      </c>
      <c r="VN6" s="947">
        <v>42.690444450000001</v>
      </c>
      <c r="VO6" s="947">
        <v>57.722775290000001</v>
      </c>
      <c r="VP6" s="947">
        <v>68.654980440000003</v>
      </c>
      <c r="VQ6" s="947">
        <v>75.100214969999996</v>
      </c>
      <c r="VR6" s="947">
        <v>82.158092269999997</v>
      </c>
      <c r="VS6" s="947">
        <v>98.040305250000003</v>
      </c>
      <c r="VT6" s="947">
        <v>116.5645883</v>
      </c>
      <c r="VU6" s="947">
        <v>121.68581026999999</v>
      </c>
      <c r="VV6" s="947">
        <v>140.57395563</v>
      </c>
      <c r="VW6" s="947">
        <v>133.43212439999999</v>
      </c>
      <c r="VX6" s="947">
        <v>110.1153391</v>
      </c>
      <c r="VY6" s="947">
        <v>105.04016259000001</v>
      </c>
      <c r="VZ6" s="947">
        <v>119.79127895000001</v>
      </c>
      <c r="WA6" s="947">
        <v>107.84864556000001</v>
      </c>
      <c r="WB6" s="947">
        <v>100.05266929000001</v>
      </c>
      <c r="WC6" s="947">
        <v>108.60811226</v>
      </c>
      <c r="WD6" s="947">
        <v>114.25264522000001</v>
      </c>
      <c r="WE6" s="947">
        <v>127.0996918</v>
      </c>
      <c r="WF6" s="947">
        <v>129.1824368</v>
      </c>
      <c r="WG6" s="947">
        <v>159.43101811000002</v>
      </c>
      <c r="WH6" s="947">
        <v>48.379287290000001</v>
      </c>
      <c r="WI6" s="947">
        <v>403.37698826999997</v>
      </c>
      <c r="WJ6" s="947">
        <v>345.79127663999998</v>
      </c>
      <c r="WK6" s="947">
        <v>329.90107798000003</v>
      </c>
      <c r="WL6" s="947">
        <v>329.90107798000003</v>
      </c>
      <c r="WM6" s="947">
        <v>322.89418575000002</v>
      </c>
      <c r="WN6" s="947">
        <v>320.99582276999996</v>
      </c>
      <c r="WO6" s="947">
        <v>321.72896491</v>
      </c>
      <c r="WP6" s="947">
        <v>332.56277325999997</v>
      </c>
      <c r="WQ6" s="947">
        <v>296.50663857000001</v>
      </c>
      <c r="WR6" s="947">
        <v>297.39770136999999</v>
      </c>
      <c r="WS6" s="947">
        <v>277.90528926000002</v>
      </c>
      <c r="WT6" s="947">
        <v>290.18904560000004</v>
      </c>
      <c r="WU6" s="947">
        <v>290.18904560000004</v>
      </c>
      <c r="WV6" s="947">
        <v>294.39604413000001</v>
      </c>
      <c r="WW6" s="947">
        <v>297.80149659</v>
      </c>
      <c r="WX6" s="947">
        <v>290.31479035000001</v>
      </c>
      <c r="WY6" s="947">
        <v>289.83206044999997</v>
      </c>
      <c r="WZ6" s="947">
        <v>280.21759333</v>
      </c>
      <c r="XA6" s="947">
        <v>287.67811657999999</v>
      </c>
      <c r="XB6" s="947">
        <v>293.75439559</v>
      </c>
      <c r="XC6" s="947">
        <v>271.64777242000002</v>
      </c>
      <c r="XD6" s="947">
        <v>269.67194348999999</v>
      </c>
      <c r="XE6" s="947">
        <v>281.99707627999999</v>
      </c>
      <c r="XF6" s="947">
        <v>285.37086614999998</v>
      </c>
      <c r="XG6" s="947">
        <v>300.91950667000003</v>
      </c>
      <c r="XH6" s="947">
        <v>283.67115117999998</v>
      </c>
      <c r="XI6" s="947">
        <v>233.06072496000002</v>
      </c>
      <c r="XJ6" s="947">
        <v>240.19542937</v>
      </c>
      <c r="XK6" s="947">
        <v>249.68136956000001</v>
      </c>
      <c r="XL6" s="947">
        <v>233.75019472999998</v>
      </c>
      <c r="XM6" s="947">
        <v>259.77766135000002</v>
      </c>
      <c r="XN6" s="947">
        <v>261.65548101000002</v>
      </c>
      <c r="XO6" s="947">
        <v>263.02600469999999</v>
      </c>
      <c r="XP6" s="947">
        <v>289.69721282999996</v>
      </c>
      <c r="XQ6" s="947">
        <v>81.985232730000007</v>
      </c>
      <c r="XR6" s="947">
        <v>73.721945439999999</v>
      </c>
      <c r="XS6" s="947">
        <v>80.29108402</v>
      </c>
      <c r="XT6" s="947">
        <v>92.397994920000002</v>
      </c>
      <c r="XU6" s="947">
        <v>86.960971049999998</v>
      </c>
      <c r="XV6" s="947">
        <v>89.755772569999991</v>
      </c>
      <c r="XW6" s="947">
        <v>77.212823479999997</v>
      </c>
      <c r="XX6" s="947">
        <v>86.051813870000004</v>
      </c>
      <c r="XY6" s="947">
        <v>82.738877689999995</v>
      </c>
      <c r="XZ6" s="947">
        <v>88.064751200000003</v>
      </c>
      <c r="YA6" s="947">
        <v>95.860487939999999</v>
      </c>
      <c r="YB6" s="947">
        <v>96.612892430000002</v>
      </c>
      <c r="YC6" s="947">
        <v>77.543110959999993</v>
      </c>
      <c r="YD6" s="947">
        <v>96.876602599999998</v>
      </c>
      <c r="YE6" s="947">
        <v>99.37820945</v>
      </c>
      <c r="YF6" s="947">
        <v>97.646170749999996</v>
      </c>
      <c r="YG6" s="947">
        <v>105.03917075</v>
      </c>
      <c r="YH6" s="947">
        <v>98.560954989999999</v>
      </c>
    </row>
    <row r="7" spans="2:658">
      <c r="B7" s="917" t="s">
        <v>23</v>
      </c>
      <c r="C7" s="918">
        <v>0.64372927999999996</v>
      </c>
      <c r="D7" s="130">
        <v>0.64372928000000007</v>
      </c>
      <c r="E7" s="130">
        <v>0.64172927999999996</v>
      </c>
      <c r="F7" s="130">
        <v>0.64172927999999996</v>
      </c>
      <c r="G7" s="130">
        <v>0.68845761999999999</v>
      </c>
      <c r="H7" s="130">
        <v>0.68845761999999999</v>
      </c>
      <c r="I7" s="130">
        <v>0.68755761999999998</v>
      </c>
      <c r="J7" s="130">
        <v>0.68755761999999998</v>
      </c>
      <c r="K7" s="130">
        <v>0.68755761999999998</v>
      </c>
      <c r="L7" s="130">
        <v>0.68755761999999998</v>
      </c>
      <c r="M7" s="130">
        <v>0.68755761999999998</v>
      </c>
      <c r="N7" s="130">
        <v>0.68755761999999998</v>
      </c>
      <c r="O7" s="130">
        <v>0.68755761999999998</v>
      </c>
      <c r="P7" s="130">
        <v>1.4580856200000001</v>
      </c>
      <c r="Q7" s="130">
        <v>1.4580856200000001</v>
      </c>
      <c r="R7" s="130">
        <v>1.4580856200000001</v>
      </c>
      <c r="S7" s="130">
        <v>1.4580856200000001</v>
      </c>
      <c r="T7" s="130">
        <v>1.3538116200000001</v>
      </c>
      <c r="U7" s="130">
        <v>1.3538116200000001</v>
      </c>
      <c r="V7" s="130">
        <v>1.3538116200000001</v>
      </c>
      <c r="W7" s="130">
        <v>1.3538116200000001</v>
      </c>
      <c r="X7" s="130">
        <v>1.3538116200000001</v>
      </c>
      <c r="Y7" s="130">
        <v>1.35291162</v>
      </c>
      <c r="Z7" s="130">
        <v>1.35091162</v>
      </c>
      <c r="AA7" s="130">
        <v>1.35091162</v>
      </c>
      <c r="AB7" s="130">
        <v>1.35091162</v>
      </c>
      <c r="AC7" s="130">
        <v>1.3501116200000001</v>
      </c>
      <c r="AD7" s="130">
        <v>1.3501116200000001</v>
      </c>
      <c r="AE7" s="130">
        <v>1.3501116200000001</v>
      </c>
      <c r="AF7" s="130">
        <v>1.3501116200000001</v>
      </c>
      <c r="AG7" s="130">
        <v>1.4405777799999999</v>
      </c>
      <c r="AH7" s="130">
        <v>1.4405777799999999</v>
      </c>
      <c r="AI7" s="130">
        <v>1.4405777799999999</v>
      </c>
      <c r="AJ7" s="130">
        <v>1.4405777799999999</v>
      </c>
      <c r="AK7" s="130">
        <v>1.4405777799999999</v>
      </c>
      <c r="AL7" s="130">
        <v>1.4405777799999999</v>
      </c>
      <c r="AM7" s="130">
        <v>1.4405777799999999</v>
      </c>
      <c r="AN7" s="130">
        <v>1.4405777799999999</v>
      </c>
      <c r="AO7" s="130">
        <v>1.4405777799999999</v>
      </c>
      <c r="AP7" s="130">
        <v>1.4405777799999999</v>
      </c>
      <c r="AQ7" s="130">
        <v>1.4385777799999999</v>
      </c>
      <c r="AR7" s="130">
        <v>1.4385777799999999</v>
      </c>
      <c r="AS7" s="130">
        <v>1.4385777799999999</v>
      </c>
      <c r="AT7" s="130">
        <v>1.4385777799999999</v>
      </c>
      <c r="AU7" s="130">
        <v>0.85621106999999996</v>
      </c>
      <c r="AV7" s="130">
        <v>0.85613706999999994</v>
      </c>
      <c r="AW7" s="130">
        <v>0.85613706999999994</v>
      </c>
      <c r="AX7" s="130">
        <v>0.85613706999999994</v>
      </c>
      <c r="AY7" s="130">
        <v>0.85613706999999994</v>
      </c>
      <c r="AZ7" s="130">
        <v>0.85613706999999994</v>
      </c>
      <c r="BA7" s="130">
        <v>0.85613706999999994</v>
      </c>
      <c r="BB7" s="130">
        <v>0.85613706999999994</v>
      </c>
      <c r="BC7" s="130">
        <v>0.85613706999999994</v>
      </c>
      <c r="BD7" s="130">
        <v>0.85613706999999994</v>
      </c>
      <c r="BE7" s="130">
        <v>0.85613706999999994</v>
      </c>
      <c r="BF7" s="130">
        <v>0.85613706999999994</v>
      </c>
      <c r="BG7" s="130">
        <v>0.85613706999999994</v>
      </c>
      <c r="BH7" s="130">
        <v>0.85613706999999994</v>
      </c>
      <c r="BI7" s="130">
        <v>0.85613706999999994</v>
      </c>
      <c r="BJ7" s="130">
        <v>0.85613706999999994</v>
      </c>
      <c r="BK7" s="130">
        <v>2.4437069999999998E-2</v>
      </c>
      <c r="BL7" s="130">
        <v>2.4437069999999998E-2</v>
      </c>
      <c r="BM7" s="130">
        <v>2.4437069999999998E-2</v>
      </c>
      <c r="BN7" s="130">
        <v>2.4437069999999998E-2</v>
      </c>
      <c r="BO7" s="130">
        <v>2.3962069999999999E-2</v>
      </c>
      <c r="BP7" s="130">
        <v>2.3962069999999999E-2</v>
      </c>
      <c r="BQ7" s="130">
        <v>2.3962069999999999E-2</v>
      </c>
      <c r="BR7" s="130">
        <v>2.3962069999999999E-2</v>
      </c>
      <c r="BS7" s="130">
        <v>2.3962069999999999E-2</v>
      </c>
      <c r="BT7" s="130">
        <v>2.3612069999999999E-2</v>
      </c>
      <c r="BU7" s="130">
        <v>2.3612069999999999E-2</v>
      </c>
      <c r="BV7" s="130">
        <v>2.3612069999999999E-2</v>
      </c>
      <c r="BW7" s="130">
        <v>2.3612069999999999E-2</v>
      </c>
      <c r="BX7" s="130">
        <v>0.26815707</v>
      </c>
      <c r="BY7" s="130">
        <v>0.13189407</v>
      </c>
      <c r="BZ7" s="130">
        <v>0.13189407</v>
      </c>
      <c r="CA7" s="130">
        <v>0.13189407</v>
      </c>
      <c r="CB7" s="130">
        <v>0.13189407</v>
      </c>
      <c r="CC7" s="130">
        <v>0.13099407000000002</v>
      </c>
      <c r="CD7" s="130">
        <v>0.13099407000000002</v>
      </c>
      <c r="CE7" s="130">
        <v>0.74032390000000003</v>
      </c>
      <c r="CF7" s="130">
        <v>0.74032390000000003</v>
      </c>
      <c r="CG7" s="130">
        <v>0.73832390000000003</v>
      </c>
      <c r="CH7" s="130">
        <v>0.73832390000000003</v>
      </c>
      <c r="CI7" s="130">
        <v>0.73832390000000003</v>
      </c>
      <c r="CJ7" s="130">
        <v>0.73832390000000003</v>
      </c>
      <c r="CK7" s="130">
        <v>0.73832390000000003</v>
      </c>
      <c r="CL7" s="130">
        <v>0.73832390000000003</v>
      </c>
      <c r="CM7" s="130">
        <v>0.73832390000000003</v>
      </c>
      <c r="CN7" s="130">
        <v>0.73832390000000003</v>
      </c>
      <c r="CO7" s="130">
        <v>0.73832390000000003</v>
      </c>
      <c r="CP7" s="130">
        <v>0.75350490000000003</v>
      </c>
      <c r="CQ7" s="130">
        <v>0.75350490000000003</v>
      </c>
      <c r="CR7" s="130">
        <v>0.75350490000000003</v>
      </c>
      <c r="CS7" s="130">
        <v>0.75350490000000003</v>
      </c>
      <c r="CT7" s="130">
        <v>0.7528049</v>
      </c>
      <c r="CU7" s="130">
        <v>0.7528049</v>
      </c>
      <c r="CV7" s="130">
        <v>0.7528049</v>
      </c>
      <c r="CW7" s="130">
        <v>0.7528049</v>
      </c>
      <c r="CX7" s="130">
        <v>0.7528049</v>
      </c>
      <c r="CY7" s="130">
        <v>0.7528049</v>
      </c>
      <c r="CZ7" s="130">
        <v>0.7528049</v>
      </c>
      <c r="DA7" s="130">
        <v>0.7528049</v>
      </c>
      <c r="DB7" s="130">
        <v>0.7528049</v>
      </c>
      <c r="DC7" s="130">
        <v>0.7528049</v>
      </c>
      <c r="DD7" s="130">
        <v>0.7508049</v>
      </c>
      <c r="DE7" s="130">
        <v>0.7508049</v>
      </c>
      <c r="DF7" s="130">
        <v>0.7508049</v>
      </c>
      <c r="DG7" s="130">
        <v>0.80215347999999997</v>
      </c>
      <c r="DH7" s="130">
        <v>0.80215347999999997</v>
      </c>
      <c r="DI7" s="130">
        <v>0.80215347999999997</v>
      </c>
      <c r="DJ7" s="130">
        <v>0.80215347999999997</v>
      </c>
      <c r="DK7" s="130">
        <v>0.80215347999999997</v>
      </c>
      <c r="DL7" s="130">
        <v>0.80215347999999997</v>
      </c>
      <c r="DM7" s="130">
        <v>0.80215347999999997</v>
      </c>
      <c r="DN7" s="130">
        <v>0.80215347999999997</v>
      </c>
      <c r="DO7" s="130">
        <v>0.80215347999999997</v>
      </c>
      <c r="DP7" s="130">
        <v>0.80215347999999997</v>
      </c>
      <c r="DQ7" s="130">
        <v>0.80215347999999997</v>
      </c>
      <c r="DR7" s="130">
        <v>0.80215347999999997</v>
      </c>
      <c r="DS7" s="130">
        <v>0.80180348000000001</v>
      </c>
      <c r="DT7" s="130">
        <v>0.80180348000000001</v>
      </c>
      <c r="DU7" s="130">
        <v>0.80180348000000001</v>
      </c>
      <c r="DV7" s="130">
        <v>0.80180348000000001</v>
      </c>
      <c r="DW7" s="130">
        <v>0.80180348000000001</v>
      </c>
      <c r="DX7" s="944">
        <v>0.80180348000000001</v>
      </c>
      <c r="DY7" s="130">
        <v>0.80180348000000001</v>
      </c>
      <c r="DZ7" s="130">
        <v>0.79980348000000001</v>
      </c>
      <c r="EA7" s="130">
        <v>0.79980348000000001</v>
      </c>
      <c r="EB7" s="130">
        <v>0.79980348000000001</v>
      </c>
      <c r="EC7" s="130">
        <v>0.78655805000000001</v>
      </c>
      <c r="ED7" s="130">
        <v>0.78655805000000001</v>
      </c>
      <c r="EE7" s="130">
        <v>0.78655805000000001</v>
      </c>
      <c r="EF7" s="130">
        <v>0.78655805000000001</v>
      </c>
      <c r="EG7" s="130">
        <v>0.78655805000000001</v>
      </c>
      <c r="EH7" s="130">
        <v>0.78655805000000001</v>
      </c>
      <c r="EI7" s="130">
        <v>0.78655805000000001</v>
      </c>
      <c r="EJ7" s="130">
        <v>0.78655805000000001</v>
      </c>
      <c r="EK7" s="130">
        <v>0.78655805000000001</v>
      </c>
      <c r="EL7" s="130">
        <v>0.78655805000000001</v>
      </c>
      <c r="EM7" s="130">
        <v>0.83700662999999997</v>
      </c>
      <c r="EN7" s="130">
        <v>0.83700662999999997</v>
      </c>
      <c r="EO7" s="130">
        <v>0.70533363000000004</v>
      </c>
      <c r="EP7" s="130">
        <v>0.70533363000000004</v>
      </c>
      <c r="EQ7" s="130">
        <v>0.70490863000000004</v>
      </c>
      <c r="ER7" s="130">
        <v>0.70490863000000004</v>
      </c>
      <c r="ES7" s="130">
        <v>0.70490863000000004</v>
      </c>
      <c r="ET7" s="130">
        <v>0.70490863000000004</v>
      </c>
      <c r="EU7" s="130">
        <v>0.70255862999999996</v>
      </c>
      <c r="EV7" s="944">
        <v>0.70255862999999996</v>
      </c>
      <c r="EW7" s="130">
        <v>0.70255862999999996</v>
      </c>
      <c r="EX7" s="130">
        <v>0.70255862999999996</v>
      </c>
      <c r="EY7" s="130">
        <v>0.70255862999999996</v>
      </c>
      <c r="EZ7" s="130">
        <v>0.72898292000000009</v>
      </c>
      <c r="FA7" s="130">
        <v>0.72828292000000006</v>
      </c>
      <c r="FB7" s="130">
        <v>0.72828292000000006</v>
      </c>
      <c r="FC7" s="130">
        <v>0.72828292000000006</v>
      </c>
      <c r="FD7" s="130">
        <v>0.72828292000000006</v>
      </c>
      <c r="FE7" s="130">
        <v>0.72828292000000006</v>
      </c>
      <c r="FF7" s="130">
        <v>0.72828292000000006</v>
      </c>
      <c r="FG7" s="130">
        <v>0.72828292000000006</v>
      </c>
      <c r="FH7" s="130">
        <v>0.72828292000000006</v>
      </c>
      <c r="FI7" s="130">
        <v>0.72828292000000006</v>
      </c>
      <c r="FJ7" s="130">
        <v>0.72828292000000006</v>
      </c>
      <c r="FK7" s="130">
        <v>0.72828292000000006</v>
      </c>
      <c r="FL7" s="130">
        <v>0.72828292000000006</v>
      </c>
      <c r="FM7" s="130">
        <v>0.72828292000000006</v>
      </c>
      <c r="FN7" s="944">
        <v>0.72828292000000006</v>
      </c>
      <c r="FO7" s="130">
        <v>0.72828292000000006</v>
      </c>
      <c r="FP7" s="130">
        <v>0.72828292000000006</v>
      </c>
      <c r="FQ7" s="130">
        <v>0.72628292000000005</v>
      </c>
      <c r="FR7" s="130">
        <v>0.72628292000000005</v>
      </c>
      <c r="FS7" s="130">
        <v>0.75270720999999996</v>
      </c>
      <c r="FT7" s="130">
        <v>0.75270720999999996</v>
      </c>
      <c r="FU7" s="130">
        <v>0.75270720999999996</v>
      </c>
      <c r="FV7" s="130">
        <v>0.75270720999999996</v>
      </c>
      <c r="FW7" s="130">
        <v>0.75270720999999996</v>
      </c>
      <c r="FX7" s="130">
        <v>0.75270720999999996</v>
      </c>
      <c r="FY7" s="130">
        <v>0.75270720999999996</v>
      </c>
      <c r="FZ7" s="130">
        <v>0.72627220999999997</v>
      </c>
      <c r="GA7" s="130">
        <v>0.72627220999999997</v>
      </c>
      <c r="GB7" s="130">
        <v>0.72627220999999997</v>
      </c>
      <c r="GC7" s="130">
        <v>0.72627220999999997</v>
      </c>
      <c r="GD7" s="130">
        <v>0.72627220999999997</v>
      </c>
      <c r="GE7" s="130">
        <v>0.72627220999999997</v>
      </c>
      <c r="GF7" s="130">
        <v>0.72627220999999997</v>
      </c>
      <c r="GG7" s="130">
        <v>0.72627220999999997</v>
      </c>
      <c r="GH7" s="130">
        <v>0.7092676899999999</v>
      </c>
      <c r="GI7" s="130">
        <v>0.73150097999999997</v>
      </c>
      <c r="GJ7" s="130">
        <v>0.73150097999999997</v>
      </c>
      <c r="GK7" s="130">
        <v>0.73150097999999997</v>
      </c>
      <c r="GL7" s="130">
        <v>0.39102798</v>
      </c>
      <c r="GM7" s="130">
        <v>0.39102798</v>
      </c>
      <c r="GN7" s="130">
        <v>0.39102798</v>
      </c>
      <c r="GO7" s="130">
        <v>0.59561264000000003</v>
      </c>
      <c r="GP7" s="130">
        <v>0.59561264000000003</v>
      </c>
      <c r="GQ7" s="130">
        <v>0.59561264000000003</v>
      </c>
      <c r="GR7" s="130">
        <v>0.59561264000000003</v>
      </c>
      <c r="GS7" s="130">
        <v>0.59561264000000003</v>
      </c>
      <c r="GT7" s="130">
        <v>0.59351264000000004</v>
      </c>
      <c r="GU7" s="650">
        <v>0.59351264000000004</v>
      </c>
      <c r="GV7" s="130">
        <v>0.59351264000000004</v>
      </c>
      <c r="GW7" s="130">
        <v>0.59351264000000004</v>
      </c>
      <c r="GX7" s="130">
        <v>0.52181893000000001</v>
      </c>
      <c r="GY7" s="130">
        <v>0.52181893000000001</v>
      </c>
      <c r="GZ7" s="130">
        <v>0.52181893000000001</v>
      </c>
      <c r="HA7" s="130">
        <v>0.52181893000000001</v>
      </c>
      <c r="HB7" s="130">
        <v>0.52181893000000001</v>
      </c>
      <c r="HC7" s="130">
        <v>0.52181893000000001</v>
      </c>
      <c r="HD7" s="130">
        <v>0.57860693000000007</v>
      </c>
      <c r="HE7" s="130">
        <v>0.57860693000000007</v>
      </c>
      <c r="HF7" s="130">
        <v>0.57860693000000007</v>
      </c>
      <c r="HG7" s="130">
        <v>0.57650693000000008</v>
      </c>
      <c r="HH7" s="130">
        <v>0.57650693000000008</v>
      </c>
      <c r="HI7" s="130">
        <v>0.60290621999999994</v>
      </c>
      <c r="HJ7" s="130">
        <v>0.60290621999999994</v>
      </c>
      <c r="HK7" s="130">
        <v>0.60290621999999994</v>
      </c>
      <c r="HL7" s="130">
        <v>0.60290621999999994</v>
      </c>
      <c r="HM7" s="130">
        <v>0.60290621999999994</v>
      </c>
      <c r="HN7" s="130">
        <v>0.60290621999999994</v>
      </c>
      <c r="HO7" s="130">
        <v>0.60290621999999994</v>
      </c>
      <c r="HP7" s="130">
        <v>0.60290621999999994</v>
      </c>
      <c r="HQ7" s="130">
        <v>0.60290621999999994</v>
      </c>
      <c r="HR7" s="944">
        <v>0.60300370999999997</v>
      </c>
      <c r="HS7" s="945">
        <v>0.60199570999999996</v>
      </c>
      <c r="HT7" s="946">
        <v>0.60199570999999996</v>
      </c>
      <c r="HU7" s="946">
        <v>0.60199570999999996</v>
      </c>
      <c r="HV7" s="946">
        <v>0.59869570999999999</v>
      </c>
      <c r="HW7" s="946">
        <v>0.59869570999999999</v>
      </c>
      <c r="HX7" s="946">
        <v>0.59869570999999999</v>
      </c>
      <c r="HY7" s="946">
        <v>0.59869570999999999</v>
      </c>
      <c r="HZ7" s="946">
        <v>0.59869570999999999</v>
      </c>
      <c r="IA7" s="946">
        <v>0.59869570999999999</v>
      </c>
      <c r="IB7" s="946">
        <v>0.59869570999999999</v>
      </c>
      <c r="IC7" s="946">
        <v>0.54071999999999998</v>
      </c>
      <c r="ID7" s="946">
        <v>0.54068300000000002</v>
      </c>
      <c r="IE7" s="946">
        <v>0.54068300000000002</v>
      </c>
      <c r="IF7" s="946">
        <v>0.54068300000000002</v>
      </c>
      <c r="IG7" s="946">
        <v>0.54068300000000002</v>
      </c>
      <c r="IH7" s="946">
        <v>0.55438900000000002</v>
      </c>
      <c r="II7" s="946">
        <v>0.55438900000000002</v>
      </c>
      <c r="IJ7" s="946">
        <v>1.5701421899999999</v>
      </c>
      <c r="IK7" s="946">
        <v>7.2803190000000004E-2</v>
      </c>
      <c r="IL7" s="946">
        <v>7.2803190000000004E-2</v>
      </c>
      <c r="IM7" s="946">
        <v>7.2803190000000004E-2</v>
      </c>
      <c r="IN7" s="946">
        <v>7.2803190000000004E-2</v>
      </c>
      <c r="IO7" s="946">
        <v>7.2803190000000004E-2</v>
      </c>
      <c r="IP7" s="946">
        <v>7.2803190000000004E-2</v>
      </c>
      <c r="IQ7" s="946">
        <v>7.2803190000000004E-2</v>
      </c>
      <c r="IR7" s="946">
        <v>7.2803190000000004E-2</v>
      </c>
      <c r="IS7" s="946">
        <v>7.0703189999999999E-2</v>
      </c>
      <c r="IT7" s="946">
        <v>7.0703189999999999E-2</v>
      </c>
      <c r="IU7" s="946">
        <v>7.0703189999999999E-2</v>
      </c>
      <c r="IV7" s="946">
        <v>7.0703189999999999E-2</v>
      </c>
      <c r="IW7" s="946">
        <v>7.0703189999999999E-2</v>
      </c>
      <c r="IX7" s="946">
        <v>7.0703189999999999E-2</v>
      </c>
      <c r="IY7" s="947">
        <v>9.7127480000000002E-2</v>
      </c>
      <c r="IZ7" s="946">
        <v>9.622747999999999E-2</v>
      </c>
      <c r="JA7" s="946">
        <v>9.622747999999999E-2</v>
      </c>
      <c r="JB7" s="946">
        <v>9.5927479999999996E-2</v>
      </c>
      <c r="JC7" s="946">
        <v>9.5627480000000001E-2</v>
      </c>
      <c r="JD7" s="946">
        <v>9.5627480000000001E-2</v>
      </c>
      <c r="JE7" s="946">
        <v>9.5627480000000001E-2</v>
      </c>
      <c r="JF7" s="946">
        <v>9.5627480000000001E-2</v>
      </c>
      <c r="JG7" s="946">
        <v>9.5627480000000001E-2</v>
      </c>
      <c r="JH7" s="946">
        <v>9.5627480000000001E-2</v>
      </c>
      <c r="JI7" s="946">
        <v>9.5627480000000001E-2</v>
      </c>
      <c r="JJ7" s="946">
        <v>9.5627480000000001E-2</v>
      </c>
      <c r="JK7" s="946">
        <v>9.3527479999999996E-2</v>
      </c>
      <c r="JL7" s="946">
        <v>9.3527479999999996E-2</v>
      </c>
      <c r="JM7" s="946">
        <v>9.3527479999999996E-2</v>
      </c>
      <c r="JN7" s="946">
        <v>0.11992677</v>
      </c>
      <c r="JO7" s="946">
        <v>0.11992677</v>
      </c>
      <c r="JP7" s="946">
        <v>0.11992677</v>
      </c>
      <c r="JQ7" s="946">
        <v>0.11992677</v>
      </c>
      <c r="JR7" s="946">
        <v>0.11992677</v>
      </c>
      <c r="JS7" s="946">
        <v>0.11992677</v>
      </c>
      <c r="JT7" s="946">
        <v>0.11992677</v>
      </c>
      <c r="JU7" s="946">
        <v>0.11992677</v>
      </c>
      <c r="JV7" s="946">
        <v>0.11992677</v>
      </c>
      <c r="JW7" s="946">
        <v>0.11992677</v>
      </c>
      <c r="JX7" s="946">
        <v>0.11992677</v>
      </c>
      <c r="JY7" s="946">
        <v>0.11992677</v>
      </c>
      <c r="JZ7" s="946">
        <v>0.11992677</v>
      </c>
      <c r="KA7" s="946">
        <v>0.11995177</v>
      </c>
      <c r="KB7" s="946">
        <v>0.11990177</v>
      </c>
      <c r="KC7" s="946">
        <v>0.11990177</v>
      </c>
      <c r="KD7" s="946">
        <v>0.11780177</v>
      </c>
      <c r="KE7" s="946">
        <v>0.11780177</v>
      </c>
      <c r="KF7" s="946">
        <v>0.11780177</v>
      </c>
      <c r="KG7" s="946">
        <v>0.11780177</v>
      </c>
      <c r="KH7" s="946">
        <v>0.11690177</v>
      </c>
      <c r="KI7" s="946">
        <v>0.11690177</v>
      </c>
      <c r="KJ7" s="946">
        <v>0.11690177</v>
      </c>
      <c r="KK7" s="946">
        <v>0.11690177</v>
      </c>
      <c r="KL7" s="946">
        <v>0.11690177</v>
      </c>
      <c r="KM7" s="946">
        <v>0.11690177</v>
      </c>
      <c r="KN7" s="946">
        <v>0.11690177</v>
      </c>
      <c r="KO7" s="946">
        <v>0.11690177</v>
      </c>
      <c r="KP7" s="946">
        <v>0.11690177</v>
      </c>
      <c r="KQ7" s="946">
        <v>0.11690177</v>
      </c>
      <c r="KR7" s="946">
        <v>0.68780638999999999</v>
      </c>
      <c r="KS7" s="947">
        <v>0.68780638999999999</v>
      </c>
      <c r="KT7" s="947">
        <v>0.68780638999999999</v>
      </c>
      <c r="KU7" s="947">
        <v>0.68780638999999999</v>
      </c>
      <c r="KV7" s="947">
        <v>0.68780638999999999</v>
      </c>
      <c r="KW7" s="947">
        <v>0.68570639</v>
      </c>
      <c r="KX7" s="947">
        <v>0.68570639</v>
      </c>
      <c r="KY7" s="947">
        <v>0.68570639</v>
      </c>
      <c r="KZ7" s="947">
        <v>0.68570639</v>
      </c>
      <c r="LA7" s="947">
        <v>0.68570639</v>
      </c>
      <c r="LB7" s="947">
        <v>0.68570639</v>
      </c>
      <c r="LC7" s="947">
        <v>0.68570639</v>
      </c>
      <c r="LD7" s="947">
        <v>0.68570639</v>
      </c>
      <c r="LE7" s="947">
        <v>0.68570639</v>
      </c>
      <c r="LF7" s="947">
        <v>0.68570639</v>
      </c>
      <c r="LG7" s="947">
        <v>0.71210568000000007</v>
      </c>
      <c r="LH7" s="947">
        <v>0.71210568000000007</v>
      </c>
      <c r="LI7" s="947">
        <v>0.71210568000000007</v>
      </c>
      <c r="LJ7" s="947">
        <v>0.71210568000000007</v>
      </c>
      <c r="LK7" s="947">
        <v>0.71210568000000007</v>
      </c>
      <c r="LL7" s="947">
        <v>0.71210568000000007</v>
      </c>
      <c r="LM7" s="947">
        <v>0.71210568000000007</v>
      </c>
      <c r="LN7" s="947">
        <v>0.71210568000000007</v>
      </c>
      <c r="LO7" s="947">
        <v>0.71210568000000007</v>
      </c>
      <c r="LP7" s="947">
        <v>0.71210568000000007</v>
      </c>
      <c r="LQ7" s="947">
        <v>0.71210568000000007</v>
      </c>
      <c r="LR7" s="947">
        <v>0.71000568000000008</v>
      </c>
      <c r="LS7" s="947">
        <v>0.71000568000000008</v>
      </c>
      <c r="LT7" s="947">
        <v>0.71000568000000008</v>
      </c>
      <c r="LU7" s="947">
        <v>0.71000568000000008</v>
      </c>
      <c r="LV7" s="947">
        <v>0.71000568000000008</v>
      </c>
      <c r="LW7" s="947">
        <v>0.71000568000000008</v>
      </c>
      <c r="LX7" s="947">
        <v>0.71000568000000008</v>
      </c>
      <c r="LY7" s="947">
        <v>0.71000568000000008</v>
      </c>
      <c r="LZ7" s="947">
        <v>0.71000568000000008</v>
      </c>
      <c r="MA7" s="947">
        <v>0.71000568000000008</v>
      </c>
      <c r="MB7" s="947">
        <v>0.71000568000000008</v>
      </c>
      <c r="MC7" s="947">
        <v>0.71000568000000008</v>
      </c>
      <c r="MD7" s="947">
        <v>0.71000568000000008</v>
      </c>
      <c r="ME7" s="947">
        <v>0.73961368000000005</v>
      </c>
      <c r="MF7" s="947">
        <v>0.73961368000000005</v>
      </c>
      <c r="MG7" s="947">
        <v>0.77574432999999998</v>
      </c>
      <c r="MH7" s="947">
        <v>0.77574432999999998</v>
      </c>
      <c r="MI7" s="947">
        <v>0.77574432999999998</v>
      </c>
      <c r="MJ7" s="947">
        <v>0.77574432999999998</v>
      </c>
      <c r="MK7" s="947">
        <v>0.77574432999999998</v>
      </c>
      <c r="ML7" s="947">
        <v>0.77574432999999998</v>
      </c>
      <c r="MM7" s="947">
        <v>0.77574432999999998</v>
      </c>
      <c r="MN7" s="947">
        <v>0.77363632999999998</v>
      </c>
      <c r="MO7" s="947">
        <v>0.80666932999999996</v>
      </c>
      <c r="MP7" s="947">
        <v>0.80166932999999996</v>
      </c>
      <c r="MQ7" s="947">
        <v>0.80166932999999996</v>
      </c>
      <c r="MR7" s="947">
        <v>0.80166932999999996</v>
      </c>
      <c r="MS7" s="947">
        <v>15.19761001</v>
      </c>
      <c r="MT7" s="947">
        <v>15.19761001</v>
      </c>
      <c r="MU7" s="947">
        <v>15.19911001</v>
      </c>
      <c r="MV7" s="947">
        <v>15.19911001</v>
      </c>
      <c r="MW7" s="947">
        <v>15.19911001</v>
      </c>
      <c r="MX7" s="947">
        <v>15.19911001</v>
      </c>
      <c r="MY7" s="947">
        <v>15.19911001</v>
      </c>
      <c r="MZ7" s="947">
        <v>13.41287601</v>
      </c>
      <c r="NA7" s="947">
        <v>13.41287601</v>
      </c>
      <c r="NB7" s="947">
        <v>13.41287601</v>
      </c>
      <c r="NC7" s="947">
        <v>13.41287601</v>
      </c>
      <c r="ND7" s="947">
        <v>13.41287601</v>
      </c>
      <c r="NE7" s="947">
        <v>13.40977601</v>
      </c>
      <c r="NF7" s="947">
        <v>13.40941801</v>
      </c>
      <c r="NG7" s="947">
        <v>13.40941801</v>
      </c>
      <c r="NH7" s="947">
        <v>13.40941801</v>
      </c>
      <c r="NI7" s="947">
        <v>13.40941801</v>
      </c>
      <c r="NJ7" s="947">
        <v>13.40941801</v>
      </c>
      <c r="NK7" s="947">
        <v>13.40626801</v>
      </c>
      <c r="NL7" s="947">
        <v>13.40626801</v>
      </c>
      <c r="NM7" s="947">
        <v>13.40626801</v>
      </c>
      <c r="NN7" s="947">
        <v>13.435876009999999</v>
      </c>
      <c r="NO7" s="947">
        <v>13.435876009999999</v>
      </c>
      <c r="NP7" s="947">
        <v>13.435876009999999</v>
      </c>
      <c r="NQ7" s="947">
        <v>13.435876009999999</v>
      </c>
      <c r="NR7" s="947">
        <v>13.435876009999999</v>
      </c>
      <c r="NS7" s="947">
        <v>13.435876009999999</v>
      </c>
      <c r="NT7" s="947">
        <v>13.435876009999999</v>
      </c>
      <c r="NU7" s="947">
        <v>13.435876009999999</v>
      </c>
      <c r="NV7" s="947">
        <v>13.435876009999999</v>
      </c>
      <c r="NW7" s="947">
        <v>13.435876009999999</v>
      </c>
      <c r="NX7" s="947">
        <v>13.435876009999999</v>
      </c>
      <c r="NY7" s="947">
        <v>13.435876009999999</v>
      </c>
      <c r="NZ7" s="947">
        <v>13.435876009999999</v>
      </c>
      <c r="OA7" s="947">
        <v>13.435876009999999</v>
      </c>
      <c r="OB7" s="947">
        <v>13.435876009999999</v>
      </c>
      <c r="OC7" s="947">
        <v>13.43482601</v>
      </c>
      <c r="OD7" s="947">
        <v>13.43272601</v>
      </c>
      <c r="OE7" s="947">
        <v>13.43272601</v>
      </c>
      <c r="OF7" s="947">
        <v>13.43272601</v>
      </c>
      <c r="OG7" s="947">
        <v>13.43272601</v>
      </c>
      <c r="OH7" s="947">
        <v>13.43272601</v>
      </c>
      <c r="OI7" s="947">
        <v>13.43272601</v>
      </c>
      <c r="OJ7" s="947">
        <v>13.43272601</v>
      </c>
      <c r="OK7" s="947">
        <v>134.32908601</v>
      </c>
      <c r="OL7" s="947">
        <v>134.32908601</v>
      </c>
      <c r="OM7" s="947">
        <v>13.43908601</v>
      </c>
      <c r="ON7" s="947">
        <v>13.43908601</v>
      </c>
      <c r="OO7" s="947">
        <v>13.404029339999999</v>
      </c>
      <c r="OP7" s="947">
        <v>13.404013340000001</v>
      </c>
      <c r="OQ7" s="947">
        <v>13.404013340000001</v>
      </c>
      <c r="OR7" s="947">
        <v>13.43360682</v>
      </c>
      <c r="OS7" s="947">
        <v>13.43360682</v>
      </c>
      <c r="OT7" s="947">
        <v>13.43360682</v>
      </c>
      <c r="OU7" s="947">
        <v>13.43360682</v>
      </c>
      <c r="OV7" s="947">
        <v>13.43360682</v>
      </c>
      <c r="OW7" s="947">
        <v>13.43360682</v>
      </c>
      <c r="OX7" s="947">
        <v>13.431506820000001</v>
      </c>
      <c r="OY7" s="947">
        <v>13.30150682</v>
      </c>
      <c r="OZ7" s="947">
        <v>13.30149082</v>
      </c>
      <c r="PA7" s="947">
        <v>13.30149082</v>
      </c>
      <c r="PB7" s="947">
        <v>13.33107382</v>
      </c>
      <c r="PC7" s="947">
        <v>13.33107382</v>
      </c>
      <c r="PD7" s="947">
        <v>13.32987382</v>
      </c>
      <c r="PE7" s="947">
        <v>13.32987382</v>
      </c>
      <c r="PF7" s="947">
        <v>13.32987382</v>
      </c>
      <c r="PG7" s="947">
        <v>13.32987382</v>
      </c>
      <c r="PH7" s="947">
        <v>13.162776819999999</v>
      </c>
      <c r="PI7" s="947">
        <v>13.162776819999999</v>
      </c>
      <c r="PJ7" s="947">
        <v>13.162776819999999</v>
      </c>
      <c r="PK7" s="947">
        <v>13.162776819999999</v>
      </c>
      <c r="PL7" s="947">
        <v>13.162776819999999</v>
      </c>
      <c r="PM7" s="947">
        <v>12.96192682</v>
      </c>
      <c r="PN7" s="947">
        <v>23.34435212</v>
      </c>
      <c r="PO7" s="947">
        <v>23.34435212</v>
      </c>
      <c r="PP7" s="947">
        <v>23.342252120000001</v>
      </c>
      <c r="PQ7" s="947">
        <v>23.342252120000001</v>
      </c>
      <c r="PR7" s="947">
        <v>23.342252120000001</v>
      </c>
      <c r="PS7" s="947">
        <v>10.345096359999999</v>
      </c>
      <c r="PT7" s="947">
        <v>10.374626359999999</v>
      </c>
      <c r="PU7" s="947">
        <v>10.374626359999999</v>
      </c>
      <c r="PV7" s="947">
        <v>10.374626359999999</v>
      </c>
      <c r="PW7" s="947">
        <v>10.374626359999999</v>
      </c>
      <c r="PX7" s="947">
        <v>10.374626359999999</v>
      </c>
      <c r="PY7" s="947">
        <v>10.374626359999999</v>
      </c>
      <c r="PZ7" s="947">
        <v>10.374626359999999</v>
      </c>
      <c r="QA7" s="947">
        <v>10.374626359999999</v>
      </c>
      <c r="QB7" s="947">
        <v>10.374626359999999</v>
      </c>
      <c r="QC7" s="947">
        <v>10.374626359999999</v>
      </c>
      <c r="QD7" s="947">
        <v>10.374626359999999</v>
      </c>
      <c r="QE7" s="947">
        <v>10.373926359999999</v>
      </c>
      <c r="QF7" s="947">
        <v>10.373926359999999</v>
      </c>
      <c r="QG7" s="947">
        <v>8.7546803600000001</v>
      </c>
      <c r="QH7" s="947">
        <v>8.7546803600000001</v>
      </c>
      <c r="QI7" s="947">
        <v>8.7546803600000001</v>
      </c>
      <c r="QJ7" s="947">
        <v>8.7525803599999996</v>
      </c>
      <c r="QK7" s="947">
        <v>8.7525803599999996</v>
      </c>
      <c r="QL7" s="947">
        <v>8.7525803599999996</v>
      </c>
      <c r="QM7" s="947">
        <v>8.7525803599999996</v>
      </c>
      <c r="QN7" s="947">
        <v>8.7525803599999996</v>
      </c>
      <c r="QO7" s="947">
        <v>8.7821633600000002</v>
      </c>
      <c r="QP7" s="947">
        <v>8.7821633600000002</v>
      </c>
      <c r="QQ7" s="947">
        <v>8.7821633600000002</v>
      </c>
      <c r="QR7" s="947">
        <v>8.7821633600000002</v>
      </c>
      <c r="QS7" s="947">
        <v>8.7821633600000002</v>
      </c>
      <c r="QT7" s="947">
        <v>8.7821633600000002</v>
      </c>
      <c r="QU7" s="947">
        <v>8.7821633600000002</v>
      </c>
      <c r="QV7" s="947">
        <v>8.7821633600000002</v>
      </c>
      <c r="QW7" s="947">
        <v>8.7821633600000002</v>
      </c>
      <c r="QX7" s="947">
        <v>8.7821633600000002</v>
      </c>
      <c r="QY7" s="947">
        <v>8.7812608500000007</v>
      </c>
      <c r="QZ7" s="947">
        <v>8.6132528500000003</v>
      </c>
      <c r="RA7" s="947">
        <v>8.6132158499999996</v>
      </c>
      <c r="RB7" s="947">
        <v>8.6132158499999996</v>
      </c>
      <c r="RC7" s="947">
        <v>8.6132158499999996</v>
      </c>
      <c r="RD7" s="947">
        <v>8.6107658499999999</v>
      </c>
      <c r="RE7" s="947">
        <v>8.6107658499999999</v>
      </c>
      <c r="RF7" s="947">
        <v>8.6107658499999999</v>
      </c>
      <c r="RG7" s="947">
        <v>8.6107658499999999</v>
      </c>
      <c r="RH7" s="947">
        <v>8.6107658499999999</v>
      </c>
      <c r="RI7" s="947">
        <v>8.6107658499999999</v>
      </c>
      <c r="RJ7" s="947">
        <v>8.6107658499999999</v>
      </c>
      <c r="RK7" s="947">
        <v>8.6309468499999991</v>
      </c>
      <c r="RL7" s="947">
        <v>8.6309468499999991</v>
      </c>
      <c r="RM7" s="947">
        <v>8.6309468499999991</v>
      </c>
      <c r="RN7" s="947">
        <v>8.6309468499999991</v>
      </c>
      <c r="RO7" s="947">
        <v>8.6309468499999991</v>
      </c>
      <c r="RP7" s="947">
        <v>8.6309468499999991</v>
      </c>
      <c r="RQ7" s="947">
        <v>8.6309468499999991</v>
      </c>
      <c r="RR7" s="947">
        <v>8.6309468499999991</v>
      </c>
      <c r="RS7" s="947">
        <v>8.6309468499999991</v>
      </c>
      <c r="RT7" s="947">
        <v>6.6568508499999997</v>
      </c>
      <c r="RU7" s="947">
        <v>6.6568508499999997</v>
      </c>
      <c r="RV7" s="947">
        <v>6.6568508499999997</v>
      </c>
      <c r="RW7" s="947">
        <v>6.6568508499999997</v>
      </c>
      <c r="RX7" s="947">
        <v>6.6568508499999997</v>
      </c>
      <c r="RY7" s="947">
        <v>6.5694008500000001</v>
      </c>
      <c r="RZ7" s="947">
        <v>6.5672638499999998</v>
      </c>
      <c r="SA7" s="947">
        <v>6.5672638499999998</v>
      </c>
      <c r="SB7" s="947">
        <v>6.5672638499999998</v>
      </c>
      <c r="SC7" s="947">
        <v>6.5874448499999998</v>
      </c>
      <c r="SD7" s="947">
        <v>6.5874448499999998</v>
      </c>
      <c r="SE7" s="947">
        <v>6.5874448499999998</v>
      </c>
      <c r="SF7" s="947">
        <v>6.5874448499999998</v>
      </c>
      <c r="SG7" s="947">
        <v>6.5874448499999998</v>
      </c>
      <c r="SH7" s="947">
        <v>6.5874448499999998</v>
      </c>
      <c r="SI7" s="947">
        <v>6.5874448499999998</v>
      </c>
      <c r="SJ7" s="947">
        <v>6.5874448499999998</v>
      </c>
      <c r="SK7" s="947">
        <v>6.5874448499999998</v>
      </c>
      <c r="SL7" s="947">
        <v>6.5874448499999998</v>
      </c>
      <c r="SM7" s="947">
        <v>6.5874448499999998</v>
      </c>
      <c r="SN7" s="947">
        <v>6.5874448499999998</v>
      </c>
      <c r="SO7" s="947">
        <v>6.5874448499999998</v>
      </c>
      <c r="SP7" s="947">
        <v>6.5874448499999998</v>
      </c>
      <c r="SQ7" s="947">
        <v>6.5874448499999998</v>
      </c>
      <c r="SR7" s="947">
        <v>6.5874448499999998</v>
      </c>
      <c r="SS7" s="947">
        <v>6.5853448499999994</v>
      </c>
      <c r="ST7" s="947">
        <v>6.5853448499999994</v>
      </c>
      <c r="SU7" s="947">
        <v>6.4943216500000007</v>
      </c>
      <c r="SV7" s="947">
        <v>6.4937656299999995</v>
      </c>
      <c r="SW7" s="947">
        <v>6.4937656299999995</v>
      </c>
      <c r="SX7" s="947">
        <v>6.4937656299999995</v>
      </c>
      <c r="SY7" s="947">
        <v>6.4937656299999995</v>
      </c>
      <c r="SZ7" s="947">
        <v>6.4937656299999995</v>
      </c>
      <c r="TA7" s="947">
        <v>6.4937656299999995</v>
      </c>
      <c r="TB7" s="947">
        <v>6.4937656299999995</v>
      </c>
      <c r="TC7" s="947">
        <v>6.4937656299999995</v>
      </c>
      <c r="TD7" s="947">
        <v>6.4937656299999995</v>
      </c>
      <c r="TE7" s="947">
        <v>6.4937656299999995</v>
      </c>
      <c r="TF7" s="947">
        <v>6.4937656299999995</v>
      </c>
      <c r="TG7" s="947">
        <v>6.49166563</v>
      </c>
      <c r="TH7" s="947">
        <v>6.4904656300000001</v>
      </c>
      <c r="TI7" s="947">
        <v>6.5106466300000001</v>
      </c>
      <c r="TJ7" s="947">
        <v>6.5106466300000001</v>
      </c>
      <c r="TK7" s="947">
        <v>6.5106466300000001</v>
      </c>
      <c r="TL7" s="947">
        <v>4.5089286299999998</v>
      </c>
      <c r="TM7" s="947">
        <v>4.5089286299999998</v>
      </c>
      <c r="TN7" s="947">
        <v>4.5089286299999998</v>
      </c>
      <c r="TO7" s="947">
        <v>4.5068286300000002</v>
      </c>
      <c r="TP7" s="947">
        <v>4.5270096300000002</v>
      </c>
      <c r="TQ7" s="947">
        <v>4.5270096300000002</v>
      </c>
      <c r="TR7" s="947">
        <v>4.5270096300000002</v>
      </c>
      <c r="TS7" s="947">
        <v>4.5270096300000002</v>
      </c>
      <c r="TT7" s="947">
        <v>4.5270096300000002</v>
      </c>
      <c r="TU7" s="947">
        <v>4.5270096300000002</v>
      </c>
      <c r="TV7" s="947">
        <v>4.5270096300000002</v>
      </c>
      <c r="TW7" s="947">
        <v>4.5249096299999998</v>
      </c>
      <c r="TX7" s="947">
        <v>4.5249096299999998</v>
      </c>
      <c r="TY7" s="947">
        <v>4.5249096299999998</v>
      </c>
      <c r="TZ7" s="947">
        <v>4.5450906299999998</v>
      </c>
      <c r="UA7" s="947">
        <v>4.5450906299999998</v>
      </c>
      <c r="UB7" s="947">
        <v>4.5450906299999998</v>
      </c>
      <c r="UC7" s="947">
        <v>4.5450906299999998</v>
      </c>
      <c r="UD7" s="947">
        <v>4.5450906299999998</v>
      </c>
      <c r="UE7" s="947">
        <v>4.5450906299999998</v>
      </c>
      <c r="UF7" s="947">
        <v>4.5450906299999998</v>
      </c>
      <c r="UG7" s="947">
        <v>4.5450906299999998</v>
      </c>
      <c r="UH7" s="947">
        <v>4.5429906300000003</v>
      </c>
      <c r="UI7" s="947">
        <v>4.5423906299999999</v>
      </c>
      <c r="UJ7" s="947">
        <v>4.5622716299999997</v>
      </c>
      <c r="UK7" s="947">
        <v>4.5622716299999997</v>
      </c>
      <c r="UL7" s="947">
        <v>2.5671206299999998</v>
      </c>
      <c r="UM7" s="947">
        <v>2.5739886099999998</v>
      </c>
      <c r="UN7" s="947">
        <v>2.5739516099999999</v>
      </c>
      <c r="UO7" s="947">
        <v>2.5739516099999999</v>
      </c>
      <c r="UP7" s="947">
        <v>2.5739516099999999</v>
      </c>
      <c r="UQ7" s="947">
        <v>2.5552316099999999</v>
      </c>
      <c r="UR7" s="947">
        <v>2.5552316099999999</v>
      </c>
      <c r="US7" s="947">
        <v>2.5552316099999999</v>
      </c>
      <c r="UT7" s="947">
        <v>2.5551316099999997</v>
      </c>
      <c r="UU7" s="947">
        <v>2.5733126099999999</v>
      </c>
      <c r="UV7" s="947">
        <v>2.5733126099999999</v>
      </c>
      <c r="UW7" s="947">
        <v>2.5733126099999999</v>
      </c>
      <c r="UX7" s="947">
        <v>2.5729626099999998</v>
      </c>
      <c r="UY7" s="947">
        <v>2.5729626099999998</v>
      </c>
      <c r="UZ7" s="947">
        <v>2.5729626099999998</v>
      </c>
      <c r="VA7" s="947">
        <v>2.5729626099999998</v>
      </c>
      <c r="VB7" s="947">
        <v>2.5729626099999998</v>
      </c>
      <c r="VC7" s="947">
        <v>2.5729626099999998</v>
      </c>
      <c r="VD7" s="947">
        <v>2.5729626099999998</v>
      </c>
      <c r="VE7" s="947">
        <v>2.5729626099999998</v>
      </c>
      <c r="VF7" s="947">
        <v>2.5729626099999998</v>
      </c>
      <c r="VG7" s="947">
        <v>2.4708626099999997</v>
      </c>
      <c r="VH7" s="947">
        <v>2.4910436099999997</v>
      </c>
      <c r="VI7" s="947">
        <v>2.4910436099999997</v>
      </c>
      <c r="VJ7" s="947">
        <v>2.4515356100000001</v>
      </c>
      <c r="VK7" s="947">
        <v>2.4515356100000001</v>
      </c>
      <c r="VL7" s="947">
        <v>2.3464356099999999</v>
      </c>
      <c r="VM7" s="947">
        <v>2.3665796100000001</v>
      </c>
      <c r="VN7" s="947">
        <v>0.37080260999999998</v>
      </c>
      <c r="VO7" s="947">
        <v>0.37045260999999996</v>
      </c>
      <c r="VP7" s="947">
        <v>0.37045260999999996</v>
      </c>
      <c r="VQ7" s="947">
        <v>1.2298655700000001</v>
      </c>
      <c r="VR7" s="947">
        <v>1.2298655700000001</v>
      </c>
      <c r="VS7" s="947">
        <v>1.5858335700000001</v>
      </c>
      <c r="VT7" s="947">
        <v>1.5857335700000001</v>
      </c>
      <c r="VU7" s="947">
        <v>1.5857335700000001</v>
      </c>
      <c r="VV7" s="947">
        <v>1.5857335700000001</v>
      </c>
      <c r="VW7" s="947">
        <v>1.5857335700000001</v>
      </c>
      <c r="VX7" s="947">
        <v>1.6039145700000002</v>
      </c>
      <c r="VY7" s="947">
        <v>1.6039145700000002</v>
      </c>
      <c r="VZ7" s="947">
        <v>1.6021145700000001</v>
      </c>
      <c r="WA7" s="947">
        <v>1.6021145700000001</v>
      </c>
      <c r="WB7" s="947">
        <v>1.6021145700000001</v>
      </c>
      <c r="WC7" s="947">
        <v>1.6201955700000001</v>
      </c>
      <c r="WD7" s="947">
        <v>1.6201955700000001</v>
      </c>
      <c r="WE7" s="947">
        <v>1.6201955700000001</v>
      </c>
      <c r="WF7" s="947">
        <v>1.6201955700000001</v>
      </c>
      <c r="WG7" s="947">
        <v>1.6187955700000001</v>
      </c>
      <c r="WH7" s="947">
        <v>1.6187955700000001</v>
      </c>
      <c r="WI7" s="947">
        <v>1.6187955700000001</v>
      </c>
      <c r="WJ7" s="947">
        <v>1.6187955700000001</v>
      </c>
      <c r="WK7" s="947">
        <v>1.6187955700000001</v>
      </c>
      <c r="WL7" s="947">
        <v>1.6187955700000001</v>
      </c>
      <c r="WM7" s="947">
        <v>1.6178180900000001</v>
      </c>
      <c r="WN7" s="947">
        <v>7.1678180899999999</v>
      </c>
      <c r="WO7" s="947">
        <v>7.16511809</v>
      </c>
      <c r="WP7" s="947">
        <v>7.16511809</v>
      </c>
      <c r="WQ7" s="947">
        <v>5.5395370899999996</v>
      </c>
      <c r="WR7" s="947">
        <v>5.5395370899999996</v>
      </c>
      <c r="WS7" s="947">
        <v>5.0511060900000002</v>
      </c>
      <c r="WT7" s="947">
        <v>5.0511060900000002</v>
      </c>
      <c r="WU7" s="947">
        <v>5.0511060900000002</v>
      </c>
      <c r="WV7" s="947">
        <v>5.0511060900000002</v>
      </c>
      <c r="WW7" s="947">
        <v>5.0511060900000002</v>
      </c>
      <c r="WX7" s="947">
        <v>5.0511060900000002</v>
      </c>
      <c r="WY7" s="947">
        <v>5.0490060899999998</v>
      </c>
      <c r="WZ7" s="947">
        <v>5.0490060899999998</v>
      </c>
      <c r="XA7" s="947">
        <v>5.0490060899999998</v>
      </c>
      <c r="XB7" s="947">
        <v>5.0490060899999998</v>
      </c>
      <c r="XC7" s="947">
        <v>5.0490060899999998</v>
      </c>
      <c r="XD7" s="947">
        <v>5.0490060899999998</v>
      </c>
      <c r="XE7" s="947">
        <v>5.1721870899999995</v>
      </c>
      <c r="XF7" s="947">
        <v>5.1721870899999995</v>
      </c>
      <c r="XG7" s="947">
        <v>5.1721870899999995</v>
      </c>
      <c r="XH7" s="947">
        <v>5.1721870899999995</v>
      </c>
      <c r="XI7" s="947">
        <v>5.17008709</v>
      </c>
      <c r="XJ7" s="947">
        <v>5.17008709</v>
      </c>
      <c r="XK7" s="947">
        <v>5.17008709</v>
      </c>
      <c r="XL7" s="947">
        <v>5.19026809</v>
      </c>
      <c r="XM7" s="947">
        <v>5.19026809</v>
      </c>
      <c r="XN7" s="947">
        <v>5.19026809</v>
      </c>
      <c r="XO7" s="947">
        <v>5.19026809</v>
      </c>
      <c r="XP7" s="947">
        <v>5.19026809</v>
      </c>
      <c r="XQ7" s="947">
        <v>5.19026809</v>
      </c>
      <c r="XR7" s="947">
        <v>5.19026809</v>
      </c>
      <c r="XS7" s="947">
        <v>5.1875680900000001</v>
      </c>
      <c r="XT7" s="947">
        <v>5.1875680900000001</v>
      </c>
      <c r="XU7" s="947">
        <v>5.1875680900000001</v>
      </c>
      <c r="XV7" s="947">
        <v>5.1875680900000001</v>
      </c>
      <c r="XW7" s="947">
        <v>5.1875680900000001</v>
      </c>
      <c r="XX7" s="947">
        <v>5.1875680900000001</v>
      </c>
      <c r="XY7" s="947">
        <v>5.1875680900000001</v>
      </c>
      <c r="XZ7" s="947">
        <v>5.1875680900000001</v>
      </c>
      <c r="YA7" s="947">
        <v>5.1875680900000001</v>
      </c>
      <c r="YB7" s="947">
        <v>5.1875680900000001</v>
      </c>
      <c r="YC7" s="947">
        <v>5.2077490900000001</v>
      </c>
      <c r="YD7" s="947">
        <v>5.2077490900000001</v>
      </c>
      <c r="YE7" s="947">
        <v>4.0093060899999999</v>
      </c>
      <c r="YF7" s="947">
        <v>4.0273870899999995</v>
      </c>
      <c r="YG7" s="947">
        <v>4.0233870899999999</v>
      </c>
      <c r="YH7" s="947">
        <v>4.0233470899999997</v>
      </c>
    </row>
    <row r="8" spans="2:658">
      <c r="B8" s="917" t="s">
        <v>24</v>
      </c>
      <c r="C8" s="918">
        <v>10.34575113</v>
      </c>
      <c r="D8" s="130">
        <v>10.33515659</v>
      </c>
      <c r="E8" s="130">
        <v>10.33515659</v>
      </c>
      <c r="F8" s="130">
        <v>10.33515659</v>
      </c>
      <c r="G8" s="130">
        <v>10.33515659</v>
      </c>
      <c r="H8" s="130">
        <v>10.33515659</v>
      </c>
      <c r="I8" s="130">
        <v>10.33515659</v>
      </c>
      <c r="J8" s="130">
        <v>10.33515659</v>
      </c>
      <c r="K8" s="130">
        <v>10.33515659</v>
      </c>
      <c r="L8" s="130">
        <v>10.22846659</v>
      </c>
      <c r="M8" s="130">
        <v>10.288466590000001</v>
      </c>
      <c r="N8" s="130">
        <v>10.288466590000001</v>
      </c>
      <c r="O8" s="130">
        <v>10.288466590000001</v>
      </c>
      <c r="P8" s="130">
        <v>10.288466590000001</v>
      </c>
      <c r="Q8" s="130">
        <v>10.288466590000001</v>
      </c>
      <c r="R8" s="130">
        <v>10.288466590000001</v>
      </c>
      <c r="S8" s="130">
        <v>10.288466590000001</v>
      </c>
      <c r="T8" s="130">
        <v>10.273766589999999</v>
      </c>
      <c r="U8" s="130">
        <v>10.273766589999999</v>
      </c>
      <c r="V8" s="130">
        <v>10.273766589999999</v>
      </c>
      <c r="W8" s="130">
        <v>10.273766589999999</v>
      </c>
      <c r="X8" s="130">
        <v>10.273766589999999</v>
      </c>
      <c r="Y8" s="130">
        <v>10.27190259</v>
      </c>
      <c r="Z8" s="130">
        <v>10.27190259</v>
      </c>
      <c r="AA8" s="130">
        <v>10.27190259</v>
      </c>
      <c r="AB8" s="130">
        <v>10.27190259</v>
      </c>
      <c r="AC8" s="130">
        <v>10.27190259</v>
      </c>
      <c r="AD8" s="130">
        <v>10.27190259</v>
      </c>
      <c r="AE8" s="130">
        <v>10.27110259</v>
      </c>
      <c r="AF8" s="130">
        <v>8.1244125900000004</v>
      </c>
      <c r="AG8" s="130">
        <v>8.1244125900000004</v>
      </c>
      <c r="AH8" s="130">
        <v>8.1244125900000004</v>
      </c>
      <c r="AI8" s="130">
        <v>8.1244125900000004</v>
      </c>
      <c r="AJ8" s="130">
        <v>8.1244125900000004</v>
      </c>
      <c r="AK8" s="130">
        <v>8.1244125900000004</v>
      </c>
      <c r="AL8" s="130">
        <v>8.1244125900000004</v>
      </c>
      <c r="AM8" s="130">
        <v>8.1244125900000004</v>
      </c>
      <c r="AN8" s="130">
        <v>8.1244125900000004</v>
      </c>
      <c r="AO8" s="130">
        <v>8.1165233299999997</v>
      </c>
      <c r="AP8" s="130">
        <v>8.1028233299999997</v>
      </c>
      <c r="AQ8" s="130">
        <v>8.1008953300000002</v>
      </c>
      <c r="AR8" s="130">
        <v>8.1008953300000002</v>
      </c>
      <c r="AS8" s="130">
        <v>8.1008953300000002</v>
      </c>
      <c r="AT8" s="130">
        <v>8.1008953300000002</v>
      </c>
      <c r="AU8" s="130">
        <v>8.0542053300000003</v>
      </c>
      <c r="AV8" s="130">
        <v>8.0542053300000003</v>
      </c>
      <c r="AW8" s="130">
        <v>8.0542053300000003</v>
      </c>
      <c r="AX8" s="130">
        <v>8.0542053300000003</v>
      </c>
      <c r="AY8" s="130">
        <v>8.0542053300000003</v>
      </c>
      <c r="AZ8" s="130">
        <v>8.0542053300000003</v>
      </c>
      <c r="BA8" s="130">
        <v>8.0542053300000003</v>
      </c>
      <c r="BB8" s="130">
        <v>8.0542053300000003</v>
      </c>
      <c r="BC8" s="130">
        <v>8.0542053300000003</v>
      </c>
      <c r="BD8" s="130">
        <v>8.0542053300000003</v>
      </c>
      <c r="BE8" s="130">
        <v>8.0542053300000003</v>
      </c>
      <c r="BF8" s="130">
        <v>8.044005330000001</v>
      </c>
      <c r="BG8" s="130">
        <v>8.044005330000001</v>
      </c>
      <c r="BH8" s="130">
        <v>8.00434263</v>
      </c>
      <c r="BI8" s="130">
        <v>8.00434263</v>
      </c>
      <c r="BJ8" s="130">
        <v>8.00434263</v>
      </c>
      <c r="BK8" s="130">
        <v>8.00434263</v>
      </c>
      <c r="BL8" s="130">
        <v>8.0024786300000006</v>
      </c>
      <c r="BM8" s="130">
        <v>8.0024786300000006</v>
      </c>
      <c r="BN8" s="130">
        <v>8.0024786300000006</v>
      </c>
      <c r="BO8" s="130">
        <v>8.0024786300000006</v>
      </c>
      <c r="BP8" s="130">
        <v>8.0024786300000006</v>
      </c>
      <c r="BQ8" s="130">
        <v>7.9557886299999998</v>
      </c>
      <c r="BR8" s="130">
        <v>7.9557886299999998</v>
      </c>
      <c r="BS8" s="130">
        <v>7.9557886299999998</v>
      </c>
      <c r="BT8" s="130">
        <v>7.9557886299999998</v>
      </c>
      <c r="BU8" s="130">
        <v>4.0659246299999996</v>
      </c>
      <c r="BV8" s="130">
        <v>4.0659246299999996</v>
      </c>
      <c r="BW8" s="130">
        <v>4.0659246299999996</v>
      </c>
      <c r="BX8" s="130">
        <v>4.0962956300000002</v>
      </c>
      <c r="BY8" s="130">
        <v>4.0962956300000002</v>
      </c>
      <c r="BZ8" s="130">
        <v>4.0962956300000002</v>
      </c>
      <c r="CA8" s="130">
        <v>4.0962956300000002</v>
      </c>
      <c r="CB8" s="130">
        <v>4.0962956300000002</v>
      </c>
      <c r="CC8" s="130">
        <v>4.0962956300000002</v>
      </c>
      <c r="CD8" s="130">
        <v>4.0962956300000002</v>
      </c>
      <c r="CE8" s="130">
        <v>4.0962956300000002</v>
      </c>
      <c r="CF8" s="130">
        <v>4.0962956300000002</v>
      </c>
      <c r="CG8" s="130">
        <v>4.0941272299999998</v>
      </c>
      <c r="CH8" s="130">
        <v>4.0941259099999998</v>
      </c>
      <c r="CI8" s="130">
        <v>4.0941259099999998</v>
      </c>
      <c r="CJ8" s="130">
        <v>4.0941259099999998</v>
      </c>
      <c r="CK8" s="130">
        <v>4.0941259099999998</v>
      </c>
      <c r="CL8" s="130">
        <v>4.0941259099999998</v>
      </c>
      <c r="CM8" s="130">
        <v>4.0941259099999998</v>
      </c>
      <c r="CN8" s="130">
        <v>4.0941259099999998</v>
      </c>
      <c r="CO8" s="130">
        <v>4.0941259099999998</v>
      </c>
      <c r="CP8" s="130">
        <v>4.0941259099999998</v>
      </c>
      <c r="CQ8" s="130">
        <v>4.0941259099999998</v>
      </c>
      <c r="CR8" s="130">
        <v>4.0941259099999998</v>
      </c>
      <c r="CS8" s="130">
        <v>4.0941259099999998</v>
      </c>
      <c r="CT8" s="130">
        <v>4.0941259099999998</v>
      </c>
      <c r="CU8" s="130">
        <v>4.0941259099999998</v>
      </c>
      <c r="CV8" s="130">
        <v>4.0941259099999998</v>
      </c>
      <c r="CW8" s="130">
        <v>4.0474359099999999</v>
      </c>
      <c r="CX8" s="130">
        <v>4.0474359099999999</v>
      </c>
      <c r="CY8" s="130">
        <v>4.0474359099999999</v>
      </c>
      <c r="CZ8" s="130">
        <v>4.0474359099999999</v>
      </c>
      <c r="DA8" s="130">
        <v>4.0474359099999999</v>
      </c>
      <c r="DB8" s="130">
        <v>4.0474359099999999</v>
      </c>
      <c r="DC8" s="130">
        <v>4.0474359099999999</v>
      </c>
      <c r="DD8" s="130">
        <v>4.0475719100000003</v>
      </c>
      <c r="DE8" s="130">
        <v>4.0475719100000003</v>
      </c>
      <c r="DF8" s="130">
        <v>4.0475719100000003</v>
      </c>
      <c r="DG8" s="130">
        <v>4.0059092099999996</v>
      </c>
      <c r="DH8" s="130">
        <v>4.0059092099999996</v>
      </c>
      <c r="DI8" s="130">
        <v>4.0059092099999996</v>
      </c>
      <c r="DJ8" s="130">
        <v>4.0059092099999996</v>
      </c>
      <c r="DK8" s="130">
        <v>4.0059092099999996</v>
      </c>
      <c r="DL8" s="130">
        <v>4.0059092099999996</v>
      </c>
      <c r="DM8" s="130">
        <v>4.03670521</v>
      </c>
      <c r="DN8" s="130">
        <v>4.03670521</v>
      </c>
      <c r="DO8" s="130">
        <v>4.03670521</v>
      </c>
      <c r="DP8" s="130">
        <v>4.03670521</v>
      </c>
      <c r="DQ8" s="130">
        <v>4.03670521</v>
      </c>
      <c r="DR8" s="130">
        <v>4.03670521</v>
      </c>
      <c r="DS8" s="130">
        <v>4.03670521</v>
      </c>
      <c r="DT8" s="130">
        <v>4.03670521</v>
      </c>
      <c r="DU8" s="130">
        <v>4.03670521</v>
      </c>
      <c r="DV8" s="130">
        <v>4.03670521</v>
      </c>
      <c r="DW8" s="130">
        <v>4.03670521</v>
      </c>
      <c r="DX8" s="944">
        <v>4.03670521</v>
      </c>
      <c r="DY8" s="130">
        <v>4.03670521</v>
      </c>
      <c r="DZ8" s="130">
        <v>4.0349052099999998</v>
      </c>
      <c r="EA8" s="130">
        <v>4.0349052099999998</v>
      </c>
      <c r="EB8" s="130">
        <v>4.0349052099999998</v>
      </c>
      <c r="EC8" s="130">
        <v>4.0346870800000003</v>
      </c>
      <c r="ED8" s="130">
        <v>4.0346870800000003</v>
      </c>
      <c r="EE8" s="130">
        <v>4.0346870800000003</v>
      </c>
      <c r="EF8" s="130">
        <v>4.0346870800000003</v>
      </c>
      <c r="EG8" s="130">
        <v>4.0346870800000003</v>
      </c>
      <c r="EH8" s="130">
        <v>4.0346870800000003</v>
      </c>
      <c r="EI8" s="130">
        <v>4.0346870800000003</v>
      </c>
      <c r="EJ8" s="130">
        <v>4.0346870800000003</v>
      </c>
      <c r="EK8" s="130">
        <v>4.0346870800000003</v>
      </c>
      <c r="EL8" s="130">
        <v>4.0346870800000003</v>
      </c>
      <c r="EM8" s="130">
        <v>4.0346870800000003</v>
      </c>
      <c r="EN8" s="130">
        <v>4.0346870800000003</v>
      </c>
      <c r="EO8" s="130">
        <v>4.0346870800000003</v>
      </c>
      <c r="EP8" s="130">
        <v>4.0346870800000003</v>
      </c>
      <c r="EQ8" s="130">
        <v>4.0346870800000003</v>
      </c>
      <c r="ER8" s="130">
        <v>4.0346870800000003</v>
      </c>
      <c r="ES8" s="130">
        <v>4.0346870800000003</v>
      </c>
      <c r="ET8" s="130">
        <v>4.02988708</v>
      </c>
      <c r="EU8" s="130">
        <v>4.0280870799999997</v>
      </c>
      <c r="EV8" s="944">
        <v>4.0280870799999997</v>
      </c>
      <c r="EW8" s="130">
        <v>4.0153966600000004</v>
      </c>
      <c r="EX8" s="130">
        <v>4.0153966600000004</v>
      </c>
      <c r="EY8" s="130">
        <v>4.0153966600000004</v>
      </c>
      <c r="EZ8" s="130">
        <v>4.0153966600000004</v>
      </c>
      <c r="FA8" s="130">
        <v>4.0153966600000004</v>
      </c>
      <c r="FB8" s="130">
        <v>4.0153966600000004</v>
      </c>
      <c r="FC8" s="130">
        <v>4.0153966600000004</v>
      </c>
      <c r="FD8" s="130">
        <v>4.0153966600000004</v>
      </c>
      <c r="FE8" s="130">
        <v>4.0153966600000004</v>
      </c>
      <c r="FF8" s="130">
        <v>4.0153966600000004</v>
      </c>
      <c r="FG8" s="130">
        <v>4.0153966600000004</v>
      </c>
      <c r="FH8" s="130">
        <v>4.0153966600000004</v>
      </c>
      <c r="FI8" s="130">
        <v>4.0153966600000004</v>
      </c>
      <c r="FJ8" s="130">
        <v>4.0153966600000004</v>
      </c>
      <c r="FK8" s="130">
        <v>4.0153966600000004</v>
      </c>
      <c r="FL8" s="130">
        <v>4.0153966600000004</v>
      </c>
      <c r="FM8" s="130">
        <v>4.0153966600000004</v>
      </c>
      <c r="FN8" s="944">
        <v>4.0153966600000004</v>
      </c>
      <c r="FO8" s="130">
        <v>4.0033966599999999</v>
      </c>
      <c r="FP8" s="130">
        <v>4.0015966600000006</v>
      </c>
      <c r="FQ8" s="130">
        <v>4.0015966600000006</v>
      </c>
      <c r="FR8" s="130">
        <v>4.0015966600000006</v>
      </c>
      <c r="FS8" s="130">
        <v>4.0015966600000006</v>
      </c>
      <c r="FT8" s="130">
        <v>4.0015966600000006</v>
      </c>
      <c r="FU8" s="130">
        <v>4.0015966600000006</v>
      </c>
      <c r="FV8" s="130">
        <v>4.0015966600000006</v>
      </c>
      <c r="FW8" s="130">
        <v>4.0015966600000006</v>
      </c>
      <c r="FX8" s="130">
        <v>4.0015966600000006</v>
      </c>
      <c r="FY8" s="130">
        <v>4.0015966600000006</v>
      </c>
      <c r="FZ8" s="130">
        <v>3.9787066600000003</v>
      </c>
      <c r="GA8" s="130">
        <v>3.9787066600000003</v>
      </c>
      <c r="GB8" s="130">
        <v>3.9787066600000003</v>
      </c>
      <c r="GC8" s="130">
        <v>3.9419614599999999</v>
      </c>
      <c r="GD8" s="130">
        <v>3.9419614599999999</v>
      </c>
      <c r="GE8" s="130">
        <v>3.9419614599999999</v>
      </c>
      <c r="GF8" s="130">
        <v>3.9419614599999999</v>
      </c>
      <c r="GG8" s="130">
        <v>3.9419614599999999</v>
      </c>
      <c r="GH8" s="130">
        <v>3.9419614599999999</v>
      </c>
      <c r="GI8" s="130">
        <v>3.9401294600000001</v>
      </c>
      <c r="GJ8" s="130">
        <v>3.9401294600000001</v>
      </c>
      <c r="GK8" s="130">
        <v>3.9401294600000001</v>
      </c>
      <c r="GL8" s="130">
        <v>3.9401294600000001</v>
      </c>
      <c r="GM8" s="130">
        <v>3.9401294600000001</v>
      </c>
      <c r="GN8" s="130">
        <v>3.9401294600000001</v>
      </c>
      <c r="GO8" s="130">
        <v>3.9401294600000001</v>
      </c>
      <c r="GP8" s="130">
        <v>3.9401294600000001</v>
      </c>
      <c r="GQ8" s="130">
        <v>3.9401294600000001</v>
      </c>
      <c r="GR8" s="130">
        <v>3.9401294600000001</v>
      </c>
      <c r="GS8" s="130">
        <v>3.9401294600000001</v>
      </c>
      <c r="GT8" s="130">
        <v>3.93922946</v>
      </c>
      <c r="GU8" s="650">
        <v>3.93922946</v>
      </c>
      <c r="GV8" s="130">
        <v>3.8783602300000002</v>
      </c>
      <c r="GW8" s="130">
        <v>3.87636023</v>
      </c>
      <c r="GX8" s="130">
        <v>3.8783602300000002</v>
      </c>
      <c r="GY8" s="130">
        <v>3.8783602300000002</v>
      </c>
      <c r="GZ8" s="130">
        <v>3.8783602300000002</v>
      </c>
      <c r="HA8" s="130">
        <v>3.8783602300000002</v>
      </c>
      <c r="HB8" s="130">
        <v>3.8783602300000002</v>
      </c>
      <c r="HC8" s="130">
        <v>3.8783602300000002</v>
      </c>
      <c r="HD8" s="130">
        <v>3.8783602300000002</v>
      </c>
      <c r="HE8" s="130">
        <v>3.8783602300000002</v>
      </c>
      <c r="HF8" s="130">
        <v>3.8783602300000002</v>
      </c>
      <c r="HG8" s="130">
        <v>3.8765602299999999</v>
      </c>
      <c r="HH8" s="130">
        <v>3.8765602299999999</v>
      </c>
      <c r="HI8" s="130">
        <v>3.8765602299999999</v>
      </c>
      <c r="HJ8" s="130">
        <v>3.8765602299999999</v>
      </c>
      <c r="HK8" s="130">
        <v>3.8765602299999999</v>
      </c>
      <c r="HL8" s="130">
        <v>3.8271279100000002</v>
      </c>
      <c r="HM8" s="130">
        <v>3.8271279100000002</v>
      </c>
      <c r="HN8" s="130">
        <v>3.8271279100000002</v>
      </c>
      <c r="HO8" s="130">
        <v>3.8271279100000002</v>
      </c>
      <c r="HP8" s="130">
        <v>3.8271279100000002</v>
      </c>
      <c r="HQ8" s="130">
        <v>3.8271279100000002</v>
      </c>
      <c r="HR8" s="944">
        <v>3.8271279100000002</v>
      </c>
      <c r="HS8" s="945">
        <v>3.8271279100000002</v>
      </c>
      <c r="HT8" s="946">
        <v>3.8271279100000002</v>
      </c>
      <c r="HU8" s="946">
        <v>3.8271279100000002</v>
      </c>
      <c r="HV8" s="946">
        <v>3.8253279099999999</v>
      </c>
      <c r="HW8" s="946">
        <v>3.8253279099999999</v>
      </c>
      <c r="HX8" s="946">
        <v>3.8253279099999999</v>
      </c>
      <c r="HY8" s="946">
        <v>3.8253279099999999</v>
      </c>
      <c r="HZ8" s="946">
        <v>3.8253279099999999</v>
      </c>
      <c r="IA8" s="946">
        <v>3.8253279099999999</v>
      </c>
      <c r="IB8" s="946">
        <v>3.8253279099999999</v>
      </c>
      <c r="IC8" s="946">
        <v>3.7907349100000003</v>
      </c>
      <c r="ID8" s="946">
        <v>3.7907349100000003</v>
      </c>
      <c r="IE8" s="946">
        <v>3.7907349100000003</v>
      </c>
      <c r="IF8" s="946">
        <v>3.7907349100000003</v>
      </c>
      <c r="IG8" s="946">
        <v>3.7907349100000003</v>
      </c>
      <c r="IH8" s="946">
        <v>3.7907349100000003</v>
      </c>
      <c r="II8" s="946">
        <v>3.7907349100000003</v>
      </c>
      <c r="IJ8" s="946">
        <v>3.7907349100000003</v>
      </c>
      <c r="IK8" s="946">
        <v>3.7907349100000003</v>
      </c>
      <c r="IL8" s="946">
        <v>3.7907349100000003</v>
      </c>
      <c r="IM8" s="946">
        <v>3.7907349100000003</v>
      </c>
      <c r="IN8" s="946">
        <v>3.7907349100000003</v>
      </c>
      <c r="IO8" s="946">
        <v>3.78893491</v>
      </c>
      <c r="IP8" s="946">
        <v>3.76834091</v>
      </c>
      <c r="IQ8" s="946">
        <v>3.76834091</v>
      </c>
      <c r="IR8" s="946">
        <v>3.76834091</v>
      </c>
      <c r="IS8" s="946">
        <v>3.76834091</v>
      </c>
      <c r="IT8" s="946">
        <v>3.76834091</v>
      </c>
      <c r="IU8" s="946">
        <v>3.76834091</v>
      </c>
      <c r="IV8" s="946">
        <v>3.76834091</v>
      </c>
      <c r="IW8" s="946">
        <v>3.76834091</v>
      </c>
      <c r="IX8" s="946">
        <v>3.76834091</v>
      </c>
      <c r="IY8" s="947">
        <v>3.76834091</v>
      </c>
      <c r="IZ8" s="946">
        <v>3.76834091</v>
      </c>
      <c r="JA8" s="946">
        <v>3.76834091</v>
      </c>
      <c r="JB8" s="946">
        <v>3.76834091</v>
      </c>
      <c r="JC8" s="946">
        <v>3.76834091</v>
      </c>
      <c r="JD8" s="946">
        <v>3.76834091</v>
      </c>
      <c r="JE8" s="946">
        <v>3.76834091</v>
      </c>
      <c r="JF8" s="946">
        <v>3.76834091</v>
      </c>
      <c r="JG8" s="946">
        <v>3.76834091</v>
      </c>
      <c r="JH8" s="946">
        <v>3.76834091</v>
      </c>
      <c r="JI8" s="946">
        <v>3.76834091</v>
      </c>
      <c r="JJ8" s="946">
        <v>3.76834091</v>
      </c>
      <c r="JK8" s="946">
        <v>3.79055491</v>
      </c>
      <c r="JL8" s="946">
        <v>3.79055491</v>
      </c>
      <c r="JM8" s="946">
        <v>3.79055491</v>
      </c>
      <c r="JN8" s="946">
        <v>3.79055491</v>
      </c>
      <c r="JO8" s="946">
        <v>3.79055491</v>
      </c>
      <c r="JP8" s="946">
        <v>3.79055491</v>
      </c>
      <c r="JQ8" s="946">
        <v>3.79055491</v>
      </c>
      <c r="JR8" s="946">
        <v>3.79055491</v>
      </c>
      <c r="JS8" s="946">
        <v>3.79055491</v>
      </c>
      <c r="JT8" s="946">
        <v>3.79055491</v>
      </c>
      <c r="JU8" s="946">
        <v>3.79055491</v>
      </c>
      <c r="JV8" s="946">
        <v>3.79055491</v>
      </c>
      <c r="JW8" s="946">
        <v>3.79055491</v>
      </c>
      <c r="JX8" s="946">
        <v>3.79055491</v>
      </c>
      <c r="JY8" s="946">
        <v>3.79055491</v>
      </c>
      <c r="JZ8" s="946">
        <v>3.79055491</v>
      </c>
      <c r="KA8" s="946">
        <v>3.8312139100000002</v>
      </c>
      <c r="KB8" s="946">
        <v>3.8312139100000002</v>
      </c>
      <c r="KC8" s="946">
        <v>3.8312139100000002</v>
      </c>
      <c r="KD8" s="946">
        <v>3.82941391</v>
      </c>
      <c r="KE8" s="946">
        <v>3.82941391</v>
      </c>
      <c r="KF8" s="946">
        <v>3.82941391</v>
      </c>
      <c r="KG8" s="946">
        <v>3.82941391</v>
      </c>
      <c r="KH8" s="946">
        <v>3.82941391</v>
      </c>
      <c r="KI8" s="946">
        <v>3.82941391</v>
      </c>
      <c r="KJ8" s="946">
        <v>3.82941391</v>
      </c>
      <c r="KK8" s="946">
        <v>3.82941391</v>
      </c>
      <c r="KL8" s="946">
        <v>3.82941391</v>
      </c>
      <c r="KM8" s="946">
        <v>3.82941391</v>
      </c>
      <c r="KN8" s="946">
        <v>3.82941391</v>
      </c>
      <c r="KO8" s="946">
        <v>3.82941391</v>
      </c>
      <c r="KP8" s="946">
        <v>3.82941391</v>
      </c>
      <c r="KQ8" s="946">
        <v>3.82941391</v>
      </c>
      <c r="KR8" s="946">
        <v>3.82941391</v>
      </c>
      <c r="KS8" s="947">
        <v>3.82941391</v>
      </c>
      <c r="KT8" s="947">
        <v>3.82941391</v>
      </c>
      <c r="KU8" s="947">
        <v>3.82941391</v>
      </c>
      <c r="KV8" s="947">
        <v>3.8285139100000003</v>
      </c>
      <c r="KW8" s="947">
        <v>3.8285139100000003</v>
      </c>
      <c r="KX8" s="947">
        <v>3.8285139100000003</v>
      </c>
      <c r="KY8" s="947">
        <v>3.8285139100000003</v>
      </c>
      <c r="KZ8" s="947">
        <v>3.8285139100000003</v>
      </c>
      <c r="LA8" s="947">
        <v>3.8285139100000003</v>
      </c>
      <c r="LB8" s="947">
        <v>3.8285139100000003</v>
      </c>
      <c r="LC8" s="947">
        <v>3.8285139100000003</v>
      </c>
      <c r="LD8" s="947">
        <v>3.8285139100000003</v>
      </c>
      <c r="LE8" s="947">
        <v>3.8285139100000003</v>
      </c>
      <c r="LF8" s="947">
        <v>3.8285139100000003</v>
      </c>
      <c r="LG8" s="947">
        <v>3.8285139100000003</v>
      </c>
      <c r="LH8" s="947">
        <v>3.8285139100000003</v>
      </c>
      <c r="LI8" s="947">
        <v>3.8285139100000003</v>
      </c>
      <c r="LJ8" s="947">
        <v>3.8285139100000003</v>
      </c>
      <c r="LK8" s="947">
        <v>3.8285139100000003</v>
      </c>
      <c r="LL8" s="947">
        <v>3.8285139100000003</v>
      </c>
      <c r="LM8" s="947">
        <v>3.8285139100000003</v>
      </c>
      <c r="LN8" s="947">
        <v>3.8285139100000003</v>
      </c>
      <c r="LO8" s="947">
        <v>3.8285139100000003</v>
      </c>
      <c r="LP8" s="947">
        <v>3.8285139100000003</v>
      </c>
      <c r="LQ8" s="947">
        <v>3.8285139100000003</v>
      </c>
      <c r="LR8" s="947">
        <v>3.8276139100000002</v>
      </c>
      <c r="LS8" s="947">
        <v>3.8276139100000002</v>
      </c>
      <c r="LT8" s="947">
        <v>3.8276139100000002</v>
      </c>
      <c r="LU8" s="947">
        <v>3.8276139100000002</v>
      </c>
      <c r="LV8" s="947">
        <v>3.8276139100000002</v>
      </c>
      <c r="LW8" s="947">
        <v>3.8276139100000002</v>
      </c>
      <c r="LX8" s="947">
        <v>3.8577679100000002</v>
      </c>
      <c r="LY8" s="947">
        <v>3.8577679100000002</v>
      </c>
      <c r="LZ8" s="947">
        <v>3.8577679100000002</v>
      </c>
      <c r="MA8" s="947">
        <v>3.8577679100000002</v>
      </c>
      <c r="MB8" s="947">
        <v>3.8577679100000002</v>
      </c>
      <c r="MC8" s="947">
        <v>3.8577679100000002</v>
      </c>
      <c r="MD8" s="947">
        <v>3.8577679100000002</v>
      </c>
      <c r="ME8" s="947">
        <v>3.8577679100000002</v>
      </c>
      <c r="MF8" s="947">
        <v>3.8577679100000002</v>
      </c>
      <c r="MG8" s="947">
        <v>3.8557679</v>
      </c>
      <c r="MH8" s="947">
        <v>3.8557679</v>
      </c>
      <c r="MI8" s="947">
        <v>3.8557679</v>
      </c>
      <c r="MJ8" s="947">
        <v>3.8557679</v>
      </c>
      <c r="MK8" s="947">
        <v>3.8557679</v>
      </c>
      <c r="ML8" s="947">
        <v>3.8557679</v>
      </c>
      <c r="MM8" s="947">
        <v>3.8557679</v>
      </c>
      <c r="MN8" s="947">
        <v>3.8539358999999997</v>
      </c>
      <c r="MO8" s="947">
        <v>3.8539358999999997</v>
      </c>
      <c r="MP8" s="947">
        <v>3.8539358999999997</v>
      </c>
      <c r="MQ8" s="947">
        <v>3.8539358999999997</v>
      </c>
      <c r="MR8" s="947">
        <v>3.8539358999999997</v>
      </c>
      <c r="MS8" s="947">
        <v>3.8539358999999997</v>
      </c>
      <c r="MT8" s="947">
        <v>3.8539358999999997</v>
      </c>
      <c r="MU8" s="947">
        <v>3.8539358999999997</v>
      </c>
      <c r="MV8" s="947">
        <v>3.8539358999999997</v>
      </c>
      <c r="MW8" s="947">
        <v>3.8539358999999997</v>
      </c>
      <c r="MX8" s="947">
        <v>3.8539358999999997</v>
      </c>
      <c r="MY8" s="947">
        <v>3.8539358999999997</v>
      </c>
      <c r="MZ8" s="947">
        <v>3.8539358999999997</v>
      </c>
      <c r="NA8" s="947">
        <v>3.8539358999999997</v>
      </c>
      <c r="NB8" s="947">
        <v>3.8539358999999997</v>
      </c>
      <c r="NC8" s="947">
        <v>3.8539358999999997</v>
      </c>
      <c r="ND8" s="947">
        <v>3.8539358999999997</v>
      </c>
      <c r="NE8" s="947">
        <v>3.8539358999999997</v>
      </c>
      <c r="NF8" s="947">
        <v>3.8539358999999997</v>
      </c>
      <c r="NG8" s="947">
        <v>3.8539358999999997</v>
      </c>
      <c r="NH8" s="947">
        <v>3.8539358999999997</v>
      </c>
      <c r="NI8" s="947">
        <v>3.8539358999999997</v>
      </c>
      <c r="NJ8" s="947">
        <v>3.8539358999999997</v>
      </c>
      <c r="NK8" s="947">
        <v>3.8539358999999997</v>
      </c>
      <c r="NL8" s="947">
        <v>3.8539358999999997</v>
      </c>
      <c r="NM8" s="947">
        <v>3.8539358999999997</v>
      </c>
      <c r="NN8" s="947">
        <v>3.8539358999999997</v>
      </c>
      <c r="NO8" s="947">
        <v>3.8539358999999997</v>
      </c>
      <c r="NP8" s="947">
        <v>3.8539358999999997</v>
      </c>
      <c r="NQ8" s="947">
        <v>3.8539358999999997</v>
      </c>
      <c r="NR8" s="947">
        <v>3.8539358999999997</v>
      </c>
      <c r="NS8" s="947">
        <v>3.8539358999999997</v>
      </c>
      <c r="NT8" s="947">
        <v>3.8539358999999997</v>
      </c>
      <c r="NU8" s="947">
        <v>3.8539358999999997</v>
      </c>
      <c r="NV8" s="947">
        <v>3.8539358999999997</v>
      </c>
      <c r="NW8" s="947">
        <v>3.8539358999999997</v>
      </c>
      <c r="NX8" s="947">
        <v>3.8539358999999997</v>
      </c>
      <c r="NY8" s="947">
        <v>3.8311058999999998</v>
      </c>
      <c r="NZ8" s="947">
        <v>3.8311058999999998</v>
      </c>
      <c r="OA8" s="947">
        <v>3.8311058999999998</v>
      </c>
      <c r="OB8" s="947">
        <v>3.8311058999999998</v>
      </c>
      <c r="OC8" s="947">
        <v>3.8311058999999998</v>
      </c>
      <c r="OD8" s="947">
        <v>3.8296058999999998</v>
      </c>
      <c r="OE8" s="947">
        <v>3.8296058999999998</v>
      </c>
      <c r="OF8" s="947">
        <v>3.8296058999999998</v>
      </c>
      <c r="OG8" s="947">
        <v>3.8296058999999998</v>
      </c>
      <c r="OH8" s="947">
        <v>3.8296058999999998</v>
      </c>
      <c r="OI8" s="947">
        <v>3.8296058999999998</v>
      </c>
      <c r="OJ8" s="947">
        <v>3.8296058999999998</v>
      </c>
      <c r="OK8" s="947">
        <v>3.8296058999999998</v>
      </c>
      <c r="OL8" s="947">
        <v>3.8296058999999998</v>
      </c>
      <c r="OM8" s="947">
        <v>3.8296058999999998</v>
      </c>
      <c r="ON8" s="947">
        <v>3.7667158999999999</v>
      </c>
      <c r="OO8" s="947">
        <v>3.7645492300000001</v>
      </c>
      <c r="OP8" s="947">
        <v>3.7645492300000001</v>
      </c>
      <c r="OQ8" s="947">
        <v>3.7645492300000001</v>
      </c>
      <c r="OR8" s="947">
        <v>3.7645492300000001</v>
      </c>
      <c r="OS8" s="947">
        <v>3.7645492300000001</v>
      </c>
      <c r="OT8" s="947">
        <v>3.7645492300000001</v>
      </c>
      <c r="OU8" s="947">
        <v>3.7645492300000001</v>
      </c>
      <c r="OV8" s="947">
        <v>3.7645492300000001</v>
      </c>
      <c r="OW8" s="947">
        <v>3.7645492300000001</v>
      </c>
      <c r="OX8" s="947">
        <v>3.7629532299999999</v>
      </c>
      <c r="OY8" s="947">
        <v>3.7629532299999999</v>
      </c>
      <c r="OZ8" s="947">
        <v>3.7629532299999999</v>
      </c>
      <c r="PA8" s="947">
        <v>3.7629532299999999</v>
      </c>
      <c r="PB8" s="947">
        <v>3.7629532299999999</v>
      </c>
      <c r="PC8" s="947">
        <v>3.7629532299999999</v>
      </c>
      <c r="PD8" s="947">
        <v>3.7392232299999999</v>
      </c>
      <c r="PE8" s="947">
        <v>3.7392232299999999</v>
      </c>
      <c r="PF8" s="947">
        <v>3.9332232299999998</v>
      </c>
      <c r="PG8" s="947">
        <v>3.9332232299999998</v>
      </c>
      <c r="PH8" s="947">
        <v>3.9332232299999998</v>
      </c>
      <c r="PI8" s="947">
        <v>3.9332232299999998</v>
      </c>
      <c r="PJ8" s="947">
        <v>4.1012089500000002</v>
      </c>
      <c r="PK8" s="947">
        <v>4.1012089500000002</v>
      </c>
      <c r="PL8" s="947">
        <v>4.1012089500000002</v>
      </c>
      <c r="PM8" s="947">
        <v>4.1012089500000002</v>
      </c>
      <c r="PN8" s="947">
        <v>4.1012089500000002</v>
      </c>
      <c r="PO8" s="947">
        <v>4.1012089500000002</v>
      </c>
      <c r="PP8" s="947">
        <v>4.0991649500000005</v>
      </c>
      <c r="PQ8" s="947">
        <v>4.0991649500000005</v>
      </c>
      <c r="PR8" s="947">
        <v>4.0991649500000005</v>
      </c>
      <c r="PS8" s="947">
        <v>4.0991649500000005</v>
      </c>
      <c r="PT8" s="947">
        <v>4.0991649500000005</v>
      </c>
      <c r="PU8" s="947">
        <v>4.0991649500000005</v>
      </c>
      <c r="PV8" s="947">
        <v>4.0991649500000005</v>
      </c>
      <c r="PW8" s="947">
        <v>4.0991649500000005</v>
      </c>
      <c r="PX8" s="947">
        <v>4.0936649599999999</v>
      </c>
      <c r="PY8" s="947">
        <v>4.0936649599999999</v>
      </c>
      <c r="PZ8" s="947">
        <v>4.0936649599999999</v>
      </c>
      <c r="QA8" s="947">
        <v>4.0936649599999999</v>
      </c>
      <c r="QB8" s="947">
        <v>4.0936649599999999</v>
      </c>
      <c r="QC8" s="947">
        <v>4.0936649599999999</v>
      </c>
      <c r="QD8" s="947">
        <v>4.0450408399999995</v>
      </c>
      <c r="QE8" s="947">
        <v>4.0450408399999995</v>
      </c>
      <c r="QF8" s="947">
        <v>4.0450408399999995</v>
      </c>
      <c r="QG8" s="947">
        <v>4.0450408399999995</v>
      </c>
      <c r="QH8" s="947">
        <v>4.0450408399999995</v>
      </c>
      <c r="QI8" s="947">
        <v>4.0450408399999995</v>
      </c>
      <c r="QJ8" s="947">
        <v>4.0435088399999994</v>
      </c>
      <c r="QK8" s="947">
        <v>4.0435088399999994</v>
      </c>
      <c r="QL8" s="947">
        <v>4.0435088399999994</v>
      </c>
      <c r="QM8" s="947">
        <v>4.0435088399999994</v>
      </c>
      <c r="QN8" s="947">
        <v>4.0435088399999994</v>
      </c>
      <c r="QO8" s="947">
        <v>4.0435088399999994</v>
      </c>
      <c r="QP8" s="947">
        <v>4.0435088399999994</v>
      </c>
      <c r="QQ8" s="947">
        <v>4.0435088399999994</v>
      </c>
      <c r="QR8" s="947">
        <v>4.0435088399999994</v>
      </c>
      <c r="QS8" s="947">
        <v>4.0435088399999994</v>
      </c>
      <c r="QT8" s="947">
        <v>4.0248728399999996</v>
      </c>
      <c r="QU8" s="947">
        <v>4.0248728399999996</v>
      </c>
      <c r="QV8" s="947">
        <v>4.0248728399999996</v>
      </c>
      <c r="QW8" s="947">
        <v>4.0248728399999996</v>
      </c>
      <c r="QX8" s="947">
        <v>4.0248728399999996</v>
      </c>
      <c r="QY8" s="947">
        <v>4.0248728399999996</v>
      </c>
      <c r="QZ8" s="947">
        <v>4.0248728399999996</v>
      </c>
      <c r="RA8" s="947">
        <v>4.0248728399999996</v>
      </c>
      <c r="RB8" s="947">
        <v>4.0248728399999996</v>
      </c>
      <c r="RC8" s="947">
        <v>4.0248728399999996</v>
      </c>
      <c r="RD8" s="947">
        <v>4.0233728399999995</v>
      </c>
      <c r="RE8" s="947">
        <v>4.0233728399999995</v>
      </c>
      <c r="RF8" s="947">
        <v>4.0233728399999995</v>
      </c>
      <c r="RG8" s="947">
        <v>4.0233728399999995</v>
      </c>
      <c r="RH8" s="947">
        <v>4.0233728399999995</v>
      </c>
      <c r="RI8" s="947">
        <v>4.0233728399999995</v>
      </c>
      <c r="RJ8" s="947">
        <v>4.0233728399999995</v>
      </c>
      <c r="RK8" s="947">
        <v>4.0233728399999995</v>
      </c>
      <c r="RL8" s="947">
        <v>4.0233728399999995</v>
      </c>
      <c r="RM8" s="947">
        <v>4.0233728399999995</v>
      </c>
      <c r="RN8" s="947">
        <v>4.0233728399999995</v>
      </c>
      <c r="RO8" s="947">
        <v>4.0233728399999995</v>
      </c>
      <c r="RP8" s="947">
        <v>4.0233728399999995</v>
      </c>
      <c r="RQ8" s="947">
        <v>3.9983535099999998</v>
      </c>
      <c r="RR8" s="947">
        <v>3.9983535099999998</v>
      </c>
      <c r="RS8" s="947">
        <v>3.9983535099999998</v>
      </c>
      <c r="RT8" s="947">
        <v>3.9983535099999998</v>
      </c>
      <c r="RU8" s="947">
        <v>3.9983535099999998</v>
      </c>
      <c r="RV8" s="947">
        <v>3.9983535099999998</v>
      </c>
      <c r="RW8" s="947">
        <v>3.9983535099999998</v>
      </c>
      <c r="RX8" s="947">
        <v>3.9983535099999998</v>
      </c>
      <c r="RY8" s="947">
        <v>3.9968535099999998</v>
      </c>
      <c r="RZ8" s="947">
        <v>3.9968535099999998</v>
      </c>
      <c r="SA8" s="947">
        <v>3.9968535099999998</v>
      </c>
      <c r="SB8" s="947">
        <v>3.9968535099999998</v>
      </c>
      <c r="SC8" s="947">
        <v>3.9968535099999998</v>
      </c>
      <c r="SD8" s="947">
        <v>3.9968535099999998</v>
      </c>
      <c r="SE8" s="947">
        <v>3.9968535099999998</v>
      </c>
      <c r="SF8" s="947">
        <v>3.9968535099999998</v>
      </c>
      <c r="SG8" s="947">
        <v>3.9866525099999999</v>
      </c>
      <c r="SH8" s="947">
        <v>3.9866525099999999</v>
      </c>
      <c r="SI8" s="947">
        <v>3.9866525099999999</v>
      </c>
      <c r="SJ8" s="947">
        <v>3.9866525099999999</v>
      </c>
      <c r="SK8" s="947">
        <v>3.9866525099999999</v>
      </c>
      <c r="SL8" s="947">
        <v>3.9866525099999999</v>
      </c>
      <c r="SM8" s="947">
        <v>3.9866525099999999</v>
      </c>
      <c r="SN8" s="947">
        <v>3.9866525099999999</v>
      </c>
      <c r="SO8" s="947">
        <v>3.9866525099999999</v>
      </c>
      <c r="SP8" s="947">
        <v>3.9866525099999999</v>
      </c>
      <c r="SQ8" s="947">
        <v>3.9866525099999999</v>
      </c>
      <c r="SR8" s="947">
        <v>3.9866525099999999</v>
      </c>
      <c r="SS8" s="947">
        <v>3.9851525099999998</v>
      </c>
      <c r="ST8" s="947">
        <v>3.9851525099999998</v>
      </c>
      <c r="SU8" s="947">
        <v>3.9851525099999998</v>
      </c>
      <c r="SV8" s="947">
        <v>3.9851525099999998</v>
      </c>
      <c r="SW8" s="947">
        <v>3.9851525099999998</v>
      </c>
      <c r="SX8" s="947">
        <v>3.9851525099999998</v>
      </c>
      <c r="SY8" s="947">
        <v>3.9851525099999998</v>
      </c>
      <c r="SZ8" s="947">
        <v>3.9851525099999998</v>
      </c>
      <c r="TA8" s="947">
        <v>3.9851525099999998</v>
      </c>
      <c r="TB8" s="947">
        <v>3.9851525099999998</v>
      </c>
      <c r="TC8" s="947">
        <v>3.9851525099999998</v>
      </c>
      <c r="TD8" s="947">
        <v>3.9851525099999998</v>
      </c>
      <c r="TE8" s="947">
        <v>3.9851525099999998</v>
      </c>
      <c r="TF8" s="947">
        <v>3.9782765099999997</v>
      </c>
      <c r="TG8" s="947">
        <v>3.9767765099999997</v>
      </c>
      <c r="TH8" s="947">
        <v>3.9767765099999997</v>
      </c>
      <c r="TI8" s="947">
        <v>3.9741305099999997</v>
      </c>
      <c r="TJ8" s="947">
        <v>3.9741305099999997</v>
      </c>
      <c r="TK8" s="947">
        <v>3.9741305099999997</v>
      </c>
      <c r="TL8" s="947">
        <v>3.9741305099999997</v>
      </c>
      <c r="TM8" s="947">
        <v>3.9741305099999997</v>
      </c>
      <c r="TN8" s="947">
        <v>3.9741305099999997</v>
      </c>
      <c r="TO8" s="947">
        <v>3.9726305099999997</v>
      </c>
      <c r="TP8" s="947">
        <v>3.9726305099999997</v>
      </c>
      <c r="TQ8" s="947">
        <v>3.9726305099999997</v>
      </c>
      <c r="TR8" s="947">
        <v>3.9691725099999999</v>
      </c>
      <c r="TS8" s="947">
        <v>3.9691725099999999</v>
      </c>
      <c r="TT8" s="947">
        <v>3.9691725099999999</v>
      </c>
      <c r="TU8" s="947">
        <v>3.9691725099999999</v>
      </c>
      <c r="TV8" s="947">
        <v>3.9691725099999999</v>
      </c>
      <c r="TW8" s="947">
        <v>3.9676725099999999</v>
      </c>
      <c r="TX8" s="947">
        <v>3.9676725099999999</v>
      </c>
      <c r="TY8" s="947">
        <v>3.8677925099999997</v>
      </c>
      <c r="TZ8" s="947">
        <v>3.8742445099999996</v>
      </c>
      <c r="UA8" s="947">
        <v>3.8742445099999996</v>
      </c>
      <c r="UB8" s="947">
        <v>2.3080181099999999</v>
      </c>
      <c r="UC8" s="947">
        <v>3.6604957000000002</v>
      </c>
      <c r="UD8" s="947">
        <v>20.515838559999999</v>
      </c>
      <c r="UE8" s="947">
        <v>15.65417948</v>
      </c>
      <c r="UF8" s="947">
        <v>6.90144527</v>
      </c>
      <c r="UG8" s="947">
        <v>3.0169603199999999</v>
      </c>
      <c r="UH8" s="947">
        <v>1.72531232</v>
      </c>
      <c r="UI8" s="947">
        <v>0.71657336999999999</v>
      </c>
      <c r="UJ8" s="947">
        <v>1.83502744</v>
      </c>
      <c r="UK8" s="947">
        <v>0.94249042000000005</v>
      </c>
      <c r="UL8" s="947">
        <v>5.2516385099999994</v>
      </c>
      <c r="UM8" s="947">
        <v>6.3435833600000002</v>
      </c>
      <c r="UN8" s="947">
        <v>7.1666881799999995</v>
      </c>
      <c r="UO8" s="947">
        <v>6.4603819099999997</v>
      </c>
      <c r="UP8" s="947">
        <v>2.81404991</v>
      </c>
      <c r="UQ8" s="947">
        <v>5.43131378</v>
      </c>
      <c r="UR8" s="947">
        <v>3.7284196199999999</v>
      </c>
      <c r="US8" s="947">
        <v>3.7284196199999999</v>
      </c>
      <c r="UT8" s="947">
        <v>1.40623429</v>
      </c>
      <c r="UU8" s="947">
        <v>3.1424995299999998</v>
      </c>
      <c r="UV8" s="947">
        <v>2.2310002599999996</v>
      </c>
      <c r="UW8" s="947">
        <v>2.2310002599999996</v>
      </c>
      <c r="UX8" s="947">
        <v>6.7440931399999995</v>
      </c>
      <c r="UY8" s="947">
        <v>6.7440931399999995</v>
      </c>
      <c r="UZ8" s="947">
        <v>2.1441097099999999</v>
      </c>
      <c r="VA8" s="947">
        <v>2.00607011</v>
      </c>
      <c r="VB8" s="947">
        <v>4.87269386</v>
      </c>
      <c r="VC8" s="947">
        <v>9.6527501199999985</v>
      </c>
      <c r="VD8" s="947">
        <v>3.73888592</v>
      </c>
      <c r="VE8" s="947">
        <v>3.3804128100000002</v>
      </c>
      <c r="VF8" s="947">
        <v>9.2502239800000012</v>
      </c>
      <c r="VG8" s="947">
        <v>12.032032510000001</v>
      </c>
      <c r="VH8" s="947">
        <v>15.37658785</v>
      </c>
      <c r="VI8" s="947">
        <v>21.109899859999999</v>
      </c>
      <c r="VJ8" s="947">
        <v>28.213645140000001</v>
      </c>
      <c r="VK8" s="947">
        <v>20.471626309999998</v>
      </c>
      <c r="VL8" s="947">
        <v>48.600398470000002</v>
      </c>
      <c r="VM8" s="947">
        <v>50.530730699999999</v>
      </c>
      <c r="VN8" s="947">
        <v>26.6040712</v>
      </c>
      <c r="VO8" s="947">
        <v>53.247797920000004</v>
      </c>
      <c r="VP8" s="947">
        <v>75.216354480000007</v>
      </c>
      <c r="VQ8" s="947">
        <v>70.006252129999993</v>
      </c>
      <c r="VR8" s="947">
        <v>110.7769444</v>
      </c>
      <c r="VS8" s="947">
        <v>129.95271828</v>
      </c>
      <c r="VT8" s="947">
        <v>142.68955249000001</v>
      </c>
      <c r="VU8" s="947">
        <v>150.57673611000001</v>
      </c>
      <c r="VV8" s="947">
        <v>151.99330609</v>
      </c>
      <c r="VW8" s="947">
        <v>160.27330609000001</v>
      </c>
      <c r="VX8" s="947">
        <v>123.64991999999999</v>
      </c>
      <c r="VY8" s="947">
        <v>123.79326711</v>
      </c>
      <c r="VZ8" s="947">
        <v>126.45241743000001</v>
      </c>
      <c r="WA8" s="947">
        <v>136.53191128</v>
      </c>
      <c r="WB8" s="947">
        <v>144.20078525</v>
      </c>
      <c r="WC8" s="947">
        <v>179.93283718000001</v>
      </c>
      <c r="WD8" s="947">
        <v>187.94236918000001</v>
      </c>
      <c r="WE8" s="947">
        <v>154.48196066</v>
      </c>
      <c r="WF8" s="947">
        <v>154.46021066</v>
      </c>
      <c r="WG8" s="947">
        <v>203.44717735</v>
      </c>
      <c r="WH8" s="947">
        <v>194.38503287</v>
      </c>
      <c r="WI8" s="947">
        <v>191.40826084</v>
      </c>
      <c r="WJ8" s="947">
        <v>222.32161024000001</v>
      </c>
      <c r="WK8" s="947">
        <v>154.94998342</v>
      </c>
      <c r="WL8" s="947">
        <v>154.94998342</v>
      </c>
      <c r="WM8" s="947">
        <v>23.063609329999998</v>
      </c>
      <c r="WN8" s="947">
        <v>34.055742739999999</v>
      </c>
      <c r="WO8" s="947">
        <v>42.411742740000001</v>
      </c>
      <c r="WP8" s="947">
        <v>68.861742739999997</v>
      </c>
      <c r="WQ8" s="947">
        <v>85.39630240999999</v>
      </c>
      <c r="WR8" s="947">
        <v>85.046890200000007</v>
      </c>
      <c r="WS8" s="947">
        <v>70.38983356</v>
      </c>
      <c r="WT8" s="947">
        <v>60.110192009999999</v>
      </c>
      <c r="WU8" s="947">
        <v>60.110192009999999</v>
      </c>
      <c r="WV8" s="947">
        <v>57.306194560000002</v>
      </c>
      <c r="WW8" s="947">
        <v>57.456879489999999</v>
      </c>
      <c r="WX8" s="947">
        <v>56.28278272</v>
      </c>
      <c r="WY8" s="947">
        <v>54.701525609999997</v>
      </c>
      <c r="WZ8" s="947">
        <v>43.264278170000004</v>
      </c>
      <c r="XA8" s="947">
        <v>43.264233859999997</v>
      </c>
      <c r="XB8" s="947">
        <v>43.159217859999998</v>
      </c>
      <c r="XC8" s="947">
        <v>31.912555989999998</v>
      </c>
      <c r="XD8" s="947">
        <v>31.99888932</v>
      </c>
      <c r="XE8" s="947">
        <v>31.163440569999999</v>
      </c>
      <c r="XF8" s="947">
        <v>30.121173260000003</v>
      </c>
      <c r="XG8" s="947">
        <v>31.867934390000002</v>
      </c>
      <c r="XH8" s="947">
        <v>18.790276219999999</v>
      </c>
      <c r="XI8" s="947">
        <v>20.633381660000001</v>
      </c>
      <c r="XJ8" s="947">
        <v>58.740328499999997</v>
      </c>
      <c r="XK8" s="947">
        <v>57.963883350000003</v>
      </c>
      <c r="XL8" s="947">
        <v>42.674321689999999</v>
      </c>
      <c r="XM8" s="947">
        <v>48.114680100000001</v>
      </c>
      <c r="XN8" s="947">
        <v>46.252107209999998</v>
      </c>
      <c r="XO8" s="947">
        <v>58.803288119999998</v>
      </c>
      <c r="XP8" s="947">
        <v>66.465690840000008</v>
      </c>
      <c r="XQ8" s="947">
        <v>84.797917249999998</v>
      </c>
      <c r="XR8" s="947">
        <v>91.509586430000013</v>
      </c>
      <c r="XS8" s="947">
        <v>91.501686430000007</v>
      </c>
      <c r="XT8" s="947">
        <v>94.622713430000005</v>
      </c>
      <c r="XU8" s="947">
        <v>103.77215943</v>
      </c>
      <c r="XV8" s="947">
        <v>95.516795909999999</v>
      </c>
      <c r="XW8" s="947">
        <v>95.308473079999999</v>
      </c>
      <c r="XX8" s="947">
        <v>101.30847308</v>
      </c>
      <c r="XY8" s="947">
        <v>113.68794740999999</v>
      </c>
      <c r="XZ8" s="947">
        <v>124.84332162999999</v>
      </c>
      <c r="YA8" s="947">
        <v>127.81368883</v>
      </c>
      <c r="YB8" s="947">
        <v>143.23210125</v>
      </c>
      <c r="YC8" s="947">
        <v>141.27382266999999</v>
      </c>
      <c r="YD8" s="947">
        <v>156.46277021</v>
      </c>
      <c r="YE8" s="947">
        <v>158.92430413999998</v>
      </c>
      <c r="YF8" s="947">
        <v>169.54432516999998</v>
      </c>
      <c r="YG8" s="947">
        <v>167.59664130000002</v>
      </c>
      <c r="YH8" s="947">
        <v>170.86358153999998</v>
      </c>
    </row>
    <row r="9" spans="2:658">
      <c r="B9" s="917" t="s">
        <v>25</v>
      </c>
      <c r="C9" s="918">
        <v>291.67094104</v>
      </c>
      <c r="D9" s="130">
        <v>143.41350702</v>
      </c>
      <c r="E9" s="130">
        <v>139.23295874999999</v>
      </c>
      <c r="F9" s="130">
        <v>139.24422579</v>
      </c>
      <c r="G9" s="130">
        <v>135.85650455000001</v>
      </c>
      <c r="H9" s="130">
        <v>78.809209269999997</v>
      </c>
      <c r="I9" s="130">
        <v>78.771749499999999</v>
      </c>
      <c r="J9" s="130">
        <v>78.677473789999993</v>
      </c>
      <c r="K9" s="130">
        <v>78.670905410000003</v>
      </c>
      <c r="L9" s="130">
        <v>8.7956709800000006</v>
      </c>
      <c r="M9" s="130">
        <v>8.3645048000000006</v>
      </c>
      <c r="N9" s="130">
        <v>8.2840634299999998</v>
      </c>
      <c r="O9" s="130">
        <v>8.2491265200000008</v>
      </c>
      <c r="P9" s="130">
        <v>49.797562079999999</v>
      </c>
      <c r="Q9" s="130">
        <v>48.954145910000001</v>
      </c>
      <c r="R9" s="130">
        <v>48.42126768</v>
      </c>
      <c r="S9" s="130">
        <v>44.233155549999999</v>
      </c>
      <c r="T9" s="130">
        <v>44.163772039999998</v>
      </c>
      <c r="U9" s="130">
        <v>48.846396380000002</v>
      </c>
      <c r="V9" s="130">
        <v>44.575218739999997</v>
      </c>
      <c r="W9" s="130">
        <v>47.459014840000002</v>
      </c>
      <c r="X9" s="130">
        <v>45.82451494</v>
      </c>
      <c r="Y9" s="130">
        <v>36.720462589999997</v>
      </c>
      <c r="Z9" s="130">
        <v>39.554518700000003</v>
      </c>
      <c r="AA9" s="130">
        <v>39.553999390000001</v>
      </c>
      <c r="AB9" s="130">
        <v>37.726343419999999</v>
      </c>
      <c r="AC9" s="130">
        <v>42.823219510000001</v>
      </c>
      <c r="AD9" s="130">
        <v>42.955158619999999</v>
      </c>
      <c r="AE9" s="130">
        <v>47.747112989999998</v>
      </c>
      <c r="AF9" s="130">
        <v>43.002547419999999</v>
      </c>
      <c r="AG9" s="130">
        <v>37.865492549999999</v>
      </c>
      <c r="AH9" s="130">
        <v>40.121133290000003</v>
      </c>
      <c r="AI9" s="130">
        <v>47.40028659</v>
      </c>
      <c r="AJ9" s="130">
        <v>68.016511080000001</v>
      </c>
      <c r="AK9" s="130">
        <v>69.323084850000001</v>
      </c>
      <c r="AL9" s="130">
        <v>147.13494545</v>
      </c>
      <c r="AM9" s="130">
        <v>160.65739895999999</v>
      </c>
      <c r="AN9" s="130">
        <v>170.19360810000001</v>
      </c>
      <c r="AO9" s="130">
        <v>180.1266081</v>
      </c>
      <c r="AP9" s="130">
        <v>144.79288966999999</v>
      </c>
      <c r="AQ9" s="130">
        <v>149.18389382999999</v>
      </c>
      <c r="AR9" s="130">
        <v>152.55880773999999</v>
      </c>
      <c r="AS9" s="130">
        <v>158.45568237000001</v>
      </c>
      <c r="AT9" s="130">
        <v>167.83231420999999</v>
      </c>
      <c r="AU9" s="130">
        <v>108.09742876</v>
      </c>
      <c r="AV9" s="130">
        <v>137.15783231999998</v>
      </c>
      <c r="AW9" s="130">
        <v>136.99334515000001</v>
      </c>
      <c r="AX9" s="130">
        <v>156.29841099999999</v>
      </c>
      <c r="AY9" s="130">
        <v>170.21107512</v>
      </c>
      <c r="AZ9" s="130">
        <v>186.9648287</v>
      </c>
      <c r="BA9" s="130">
        <v>197.39995332999999</v>
      </c>
      <c r="BB9" s="130">
        <v>214.79365032999999</v>
      </c>
      <c r="BC9" s="130">
        <v>225.85946387999999</v>
      </c>
      <c r="BD9" s="130">
        <v>195.38044468999999</v>
      </c>
      <c r="BE9" s="130">
        <v>273.45695241999994</v>
      </c>
      <c r="BF9" s="130">
        <v>56.596395180000002</v>
      </c>
      <c r="BG9" s="130">
        <v>58.719282840000005</v>
      </c>
      <c r="BH9" s="130">
        <v>163.81194063000001</v>
      </c>
      <c r="BI9" s="130">
        <v>168.85360528999999</v>
      </c>
      <c r="BJ9" s="130">
        <v>173.42238813999998</v>
      </c>
      <c r="BK9" s="130">
        <v>46.105791840000002</v>
      </c>
      <c r="BL9" s="130">
        <v>54.319193599999998</v>
      </c>
      <c r="BM9" s="130">
        <v>65.524512139999999</v>
      </c>
      <c r="BN9" s="130">
        <v>61.024706189999996</v>
      </c>
      <c r="BO9" s="130">
        <v>53.80598681</v>
      </c>
      <c r="BP9" s="130">
        <v>66.497865700000006</v>
      </c>
      <c r="BQ9" s="130">
        <v>71.234825239999992</v>
      </c>
      <c r="BR9" s="130">
        <v>79.880350440000001</v>
      </c>
      <c r="BS9" s="130">
        <v>71.49769762999999</v>
      </c>
      <c r="BT9" s="130">
        <v>82.226435330000001</v>
      </c>
      <c r="BU9" s="130">
        <v>90.178988290000007</v>
      </c>
      <c r="BV9" s="130">
        <v>96.639988290000005</v>
      </c>
      <c r="BW9" s="130">
        <v>102.11301923000001</v>
      </c>
      <c r="BX9" s="130">
        <v>111.36516259</v>
      </c>
      <c r="BY9" s="130">
        <v>111.30368075999999</v>
      </c>
      <c r="BZ9" s="130">
        <v>103.39978328000001</v>
      </c>
      <c r="CA9" s="130">
        <v>98.343856979999998</v>
      </c>
      <c r="CB9" s="130">
        <v>102.13357687999999</v>
      </c>
      <c r="CC9" s="130">
        <v>108.00887245</v>
      </c>
      <c r="CD9" s="130">
        <v>114.29185145000001</v>
      </c>
      <c r="CE9" s="130">
        <v>123.3532337</v>
      </c>
      <c r="CF9" s="130">
        <v>130.31951701</v>
      </c>
      <c r="CG9" s="130">
        <v>136.33679505000001</v>
      </c>
      <c r="CH9" s="130">
        <v>142.45424074000002</v>
      </c>
      <c r="CI9" s="130">
        <v>148.21963830000001</v>
      </c>
      <c r="CJ9" s="130">
        <v>206.29399620999999</v>
      </c>
      <c r="CK9" s="130">
        <v>213.65537130000001</v>
      </c>
      <c r="CL9" s="130">
        <v>219.34775485</v>
      </c>
      <c r="CM9" s="130">
        <v>246.10681219</v>
      </c>
      <c r="CN9" s="130">
        <v>227.63594159000002</v>
      </c>
      <c r="CO9" s="130">
        <v>231.72112009</v>
      </c>
      <c r="CP9" s="130">
        <v>244.94903595</v>
      </c>
      <c r="CQ9" s="130">
        <v>251.79406358</v>
      </c>
      <c r="CR9" s="130">
        <v>264.90438146000002</v>
      </c>
      <c r="CS9" s="130">
        <v>275.58618515999996</v>
      </c>
      <c r="CT9" s="130">
        <v>285.50366000999998</v>
      </c>
      <c r="CU9" s="130">
        <v>312.89287533999999</v>
      </c>
      <c r="CV9" s="130">
        <v>302.69675218999998</v>
      </c>
      <c r="CW9" s="130">
        <v>299.47453695000002</v>
      </c>
      <c r="CX9" s="130">
        <v>306.55214531000001</v>
      </c>
      <c r="CY9" s="130">
        <v>315.75846117000003</v>
      </c>
      <c r="CZ9" s="130">
        <v>320.98180439999999</v>
      </c>
      <c r="DA9" s="130">
        <v>328.23735075999997</v>
      </c>
      <c r="DB9" s="130">
        <v>321.41453868999997</v>
      </c>
      <c r="DC9" s="130">
        <v>334.96035022000001</v>
      </c>
      <c r="DD9" s="130">
        <v>334.75307263000002</v>
      </c>
      <c r="DE9" s="130">
        <v>346.89838140999996</v>
      </c>
      <c r="DF9" s="130">
        <v>356.35850399999998</v>
      </c>
      <c r="DG9" s="130">
        <v>356.27415680000001</v>
      </c>
      <c r="DH9" s="130">
        <v>363.75257649999998</v>
      </c>
      <c r="DI9" s="130">
        <v>364.32578923</v>
      </c>
      <c r="DJ9" s="130">
        <v>368.29236957000001</v>
      </c>
      <c r="DK9" s="130">
        <v>382.02494289999999</v>
      </c>
      <c r="DL9" s="130">
        <v>382.7348571</v>
      </c>
      <c r="DM9" s="130">
        <v>390.06520007</v>
      </c>
      <c r="DN9" s="130">
        <v>393.61480116999996</v>
      </c>
      <c r="DO9" s="130">
        <v>401.18967681999999</v>
      </c>
      <c r="DP9" s="130">
        <v>403.82239482</v>
      </c>
      <c r="DQ9" s="130">
        <v>411.31745941000003</v>
      </c>
      <c r="DR9" s="130">
        <v>415.45618199</v>
      </c>
      <c r="DS9" s="130">
        <v>428.51567511000002</v>
      </c>
      <c r="DT9" s="130">
        <v>430.99991298999998</v>
      </c>
      <c r="DU9" s="130">
        <v>446.33772319000002</v>
      </c>
      <c r="DV9" s="130">
        <v>459.59172355999999</v>
      </c>
      <c r="DW9" s="130">
        <v>431.38998498000001</v>
      </c>
      <c r="DX9" s="944">
        <v>435.87662798000002</v>
      </c>
      <c r="DY9" s="130">
        <v>317.20245335000004</v>
      </c>
      <c r="DZ9" s="130">
        <v>328.61287110000001</v>
      </c>
      <c r="EA9" s="130">
        <v>333.79402279999999</v>
      </c>
      <c r="EB9" s="130">
        <v>341.29101751000002</v>
      </c>
      <c r="EC9" s="130">
        <v>350.71163740999998</v>
      </c>
      <c r="ED9" s="130">
        <v>353.82739887000002</v>
      </c>
      <c r="EE9" s="130">
        <v>353.75146360000002</v>
      </c>
      <c r="EF9" s="130">
        <v>342.21678797000004</v>
      </c>
      <c r="EG9" s="130">
        <v>362.66634999000001</v>
      </c>
      <c r="EH9" s="130">
        <v>362.66634999000001</v>
      </c>
      <c r="EI9" s="130">
        <v>268.94401582</v>
      </c>
      <c r="EJ9" s="130">
        <v>268.88765798000003</v>
      </c>
      <c r="EK9" s="130">
        <v>285.51236669999997</v>
      </c>
      <c r="EL9" s="130">
        <v>284.73402750000002</v>
      </c>
      <c r="EM9" s="130">
        <v>269.97377143</v>
      </c>
      <c r="EN9" s="130">
        <v>285.88600150000002</v>
      </c>
      <c r="EO9" s="130">
        <v>288.49414612999999</v>
      </c>
      <c r="EP9" s="130">
        <v>282.04144325999999</v>
      </c>
      <c r="EQ9" s="130">
        <v>291.17508688999999</v>
      </c>
      <c r="ER9" s="130">
        <v>297.48433115</v>
      </c>
      <c r="ES9" s="130">
        <v>295.94466067000002</v>
      </c>
      <c r="ET9" s="130">
        <v>308.53183378</v>
      </c>
      <c r="EU9" s="130">
        <v>322.26729274000002</v>
      </c>
      <c r="EV9" s="944">
        <v>316.60889193999998</v>
      </c>
      <c r="EW9" s="130">
        <v>333.65579076999995</v>
      </c>
      <c r="EX9" s="130">
        <v>350.45927401999995</v>
      </c>
      <c r="EY9" s="130">
        <v>466.64708187999997</v>
      </c>
      <c r="EZ9" s="130">
        <v>436.55817301000002</v>
      </c>
      <c r="FA9" s="130">
        <v>472.08036742000002</v>
      </c>
      <c r="FB9" s="130">
        <v>474.22735095000002</v>
      </c>
      <c r="FC9" s="130">
        <v>476.99588688</v>
      </c>
      <c r="FD9" s="130">
        <v>482.20737097000006</v>
      </c>
      <c r="FE9" s="130">
        <v>485.78505788999996</v>
      </c>
      <c r="FF9" s="130">
        <v>504.60078593000003</v>
      </c>
      <c r="FG9" s="130">
        <v>511.23297973000001</v>
      </c>
      <c r="FH9" s="130">
        <v>526.43788210000002</v>
      </c>
      <c r="FI9" s="130">
        <v>514.61468568999999</v>
      </c>
      <c r="FJ9" s="130">
        <v>518.09353951000003</v>
      </c>
      <c r="FK9" s="130">
        <v>532.94793632999995</v>
      </c>
      <c r="FL9" s="130">
        <v>532.87085249999996</v>
      </c>
      <c r="FM9" s="130">
        <v>550.87549683999998</v>
      </c>
      <c r="FN9" s="944">
        <v>562.53512403999991</v>
      </c>
      <c r="FO9" s="130">
        <v>556.84407249000003</v>
      </c>
      <c r="FP9" s="130">
        <v>569.00140139999996</v>
      </c>
      <c r="FQ9" s="130">
        <v>578.76385107999999</v>
      </c>
      <c r="FR9" s="130">
        <v>591.3817670599999</v>
      </c>
      <c r="FS9" s="130">
        <v>583.12222196000005</v>
      </c>
      <c r="FT9" s="130">
        <v>590.64090924000004</v>
      </c>
      <c r="FU9" s="130">
        <v>591.77704734000008</v>
      </c>
      <c r="FV9" s="130">
        <v>603.76033045000008</v>
      </c>
      <c r="FW9" s="130">
        <v>585.54894499</v>
      </c>
      <c r="FX9" s="130">
        <v>589.93634700999996</v>
      </c>
      <c r="FY9" s="130">
        <v>584.46144849000007</v>
      </c>
      <c r="FZ9" s="130">
        <v>501.30612394999997</v>
      </c>
      <c r="GA9" s="130">
        <v>420.42560847000004</v>
      </c>
      <c r="GB9" s="130">
        <v>516.42401369000004</v>
      </c>
      <c r="GC9" s="130">
        <v>502.36689048</v>
      </c>
      <c r="GD9" s="130">
        <v>520.70227527999998</v>
      </c>
      <c r="GE9" s="130">
        <v>519.34752779000007</v>
      </c>
      <c r="GF9" s="130">
        <v>530.17735718999995</v>
      </c>
      <c r="GG9" s="130">
        <v>417.39117285000003</v>
      </c>
      <c r="GH9" s="130">
        <v>420.96484656000001</v>
      </c>
      <c r="GI9" s="130">
        <v>299.77147243000002</v>
      </c>
      <c r="GJ9" s="130">
        <v>310.34325151999997</v>
      </c>
      <c r="GK9" s="130">
        <v>314.02537829000005</v>
      </c>
      <c r="GL9" s="130">
        <v>317.01758022000001</v>
      </c>
      <c r="GM9" s="130">
        <v>318.97530985000003</v>
      </c>
      <c r="GN9" s="130">
        <v>325.63396735000003</v>
      </c>
      <c r="GO9" s="130">
        <v>324.20602270999996</v>
      </c>
      <c r="GP9" s="130">
        <v>276.02915511999998</v>
      </c>
      <c r="GQ9" s="130">
        <v>280.12314242000002</v>
      </c>
      <c r="GR9" s="130">
        <v>284.83518863</v>
      </c>
      <c r="GS9" s="130">
        <v>290.82698181000001</v>
      </c>
      <c r="GT9" s="130">
        <v>235.92828086</v>
      </c>
      <c r="GU9" s="650">
        <v>235.92828086</v>
      </c>
      <c r="GV9" s="130">
        <v>264.89050477000001</v>
      </c>
      <c r="GW9" s="130">
        <v>232.73313305000002</v>
      </c>
      <c r="GX9" s="130">
        <v>210.25562864</v>
      </c>
      <c r="GY9" s="130">
        <v>229.34807362000001</v>
      </c>
      <c r="GZ9" s="130">
        <v>231.66648230000001</v>
      </c>
      <c r="HA9" s="130">
        <v>230.08264530000002</v>
      </c>
      <c r="HB9" s="130">
        <v>231.89517058999999</v>
      </c>
      <c r="HC9" s="130">
        <v>215.67107965</v>
      </c>
      <c r="HD9" s="130">
        <v>218.21740833999999</v>
      </c>
      <c r="HE9" s="130">
        <v>105.040621</v>
      </c>
      <c r="HF9" s="130">
        <v>116.15791852</v>
      </c>
      <c r="HG9" s="130">
        <v>115.60836399999999</v>
      </c>
      <c r="HH9" s="130">
        <v>132.08304150000001</v>
      </c>
      <c r="HI9" s="130">
        <v>126.43295843999999</v>
      </c>
      <c r="HJ9" s="130">
        <v>117.71018466</v>
      </c>
      <c r="HK9" s="130">
        <v>124.98787876</v>
      </c>
      <c r="HL9" s="130">
        <v>82.077356219999999</v>
      </c>
      <c r="HM9" s="130">
        <v>87.211532009999999</v>
      </c>
      <c r="HN9" s="130">
        <v>93.005072510000005</v>
      </c>
      <c r="HO9" s="130">
        <v>101.371111</v>
      </c>
      <c r="HP9" s="130">
        <v>116.40167912999999</v>
      </c>
      <c r="HQ9" s="130">
        <v>124.38913045</v>
      </c>
      <c r="HR9" s="944">
        <v>160.64956090000001</v>
      </c>
      <c r="HS9" s="945">
        <v>168.22421780000002</v>
      </c>
      <c r="HT9" s="946">
        <v>180.21671033999999</v>
      </c>
      <c r="HU9" s="946">
        <v>21.009421280000002</v>
      </c>
      <c r="HV9" s="946">
        <v>30.247178870000003</v>
      </c>
      <c r="HW9" s="946">
        <v>31.937565420000002</v>
      </c>
      <c r="HX9" s="946">
        <v>35.234015419999999</v>
      </c>
      <c r="HY9" s="946">
        <v>47.809311139999998</v>
      </c>
      <c r="HZ9" s="946">
        <v>47.358455790000001</v>
      </c>
      <c r="IA9" s="946">
        <v>66.394618309999998</v>
      </c>
      <c r="IB9" s="946">
        <v>67.693103870000002</v>
      </c>
      <c r="IC9" s="946">
        <v>51.278298899999996</v>
      </c>
      <c r="ID9" s="946">
        <v>58.301709439999996</v>
      </c>
      <c r="IE9" s="946">
        <v>55.8575473</v>
      </c>
      <c r="IF9" s="946">
        <v>63.798891210000001</v>
      </c>
      <c r="IG9" s="946">
        <v>72.265751390000005</v>
      </c>
      <c r="IH9" s="946">
        <v>82.389980919999999</v>
      </c>
      <c r="II9" s="946">
        <v>45.279339700000001</v>
      </c>
      <c r="IJ9" s="946">
        <v>54.737779459999999</v>
      </c>
      <c r="IK9" s="946">
        <v>59.455273670000004</v>
      </c>
      <c r="IL9" s="946">
        <v>64.047026729999999</v>
      </c>
      <c r="IM9" s="946">
        <v>84.253439729999982</v>
      </c>
      <c r="IN9" s="946">
        <v>58.731626759999997</v>
      </c>
      <c r="IO9" s="946">
        <v>26.75755195</v>
      </c>
      <c r="IP9" s="946">
        <v>21.237813790000001</v>
      </c>
      <c r="IQ9" s="946">
        <v>36.55089246</v>
      </c>
      <c r="IR9" s="946">
        <v>51.833706240000005</v>
      </c>
      <c r="IS9" s="946">
        <v>59.899525390000001</v>
      </c>
      <c r="IT9" s="946">
        <v>64.15879425</v>
      </c>
      <c r="IU9" s="946">
        <v>82.328505250000006</v>
      </c>
      <c r="IV9" s="946">
        <v>96.560901060000006</v>
      </c>
      <c r="IW9" s="946">
        <v>109.35896916</v>
      </c>
      <c r="IX9" s="946">
        <v>108.09613277</v>
      </c>
      <c r="IY9" s="947">
        <v>116.57973512999999</v>
      </c>
      <c r="IZ9" s="946">
        <v>132.00103870999999</v>
      </c>
      <c r="JA9" s="946">
        <v>148.58510006</v>
      </c>
      <c r="JB9" s="946">
        <v>160.29883447</v>
      </c>
      <c r="JC9" s="946">
        <v>178.20186842000001</v>
      </c>
      <c r="JD9" s="946">
        <v>187.13173813</v>
      </c>
      <c r="JE9" s="946">
        <v>193.69767906999999</v>
      </c>
      <c r="JF9" s="946">
        <v>204.23934609</v>
      </c>
      <c r="JG9" s="946">
        <v>204.68813628999999</v>
      </c>
      <c r="JH9" s="946">
        <v>159.17566103000001</v>
      </c>
      <c r="JI9" s="946">
        <v>169.48454692999999</v>
      </c>
      <c r="JJ9" s="946">
        <v>169.48454692999999</v>
      </c>
      <c r="JK9" s="946">
        <v>187.84143194999999</v>
      </c>
      <c r="JL9" s="946">
        <v>184.37953825</v>
      </c>
      <c r="JM9" s="946">
        <v>203.60950366</v>
      </c>
      <c r="JN9" s="946">
        <v>207.52935072</v>
      </c>
      <c r="JO9" s="946">
        <v>207.52935072</v>
      </c>
      <c r="JP9" s="946">
        <v>207.52935072</v>
      </c>
      <c r="JQ9" s="946">
        <v>236.30925887000001</v>
      </c>
      <c r="JR9" s="946">
        <v>240.96079811999999</v>
      </c>
      <c r="JS9" s="946">
        <v>240.96079811999999</v>
      </c>
      <c r="JT9" s="946">
        <v>261.39158149000002</v>
      </c>
      <c r="JU9" s="946">
        <v>256.68369530000001</v>
      </c>
      <c r="JV9" s="946">
        <v>268.95369529999999</v>
      </c>
      <c r="JW9" s="946">
        <v>229.61778477999999</v>
      </c>
      <c r="JX9" s="946">
        <v>241.15718477999999</v>
      </c>
      <c r="JY9" s="946">
        <v>241.15718477999999</v>
      </c>
      <c r="JZ9" s="946">
        <v>260.61422755000001</v>
      </c>
      <c r="KA9" s="946">
        <v>262.38131162000002</v>
      </c>
      <c r="KB9" s="946">
        <v>274.66465092000004</v>
      </c>
      <c r="KC9" s="946">
        <v>146.63669589</v>
      </c>
      <c r="KD9" s="946">
        <v>157.9909394</v>
      </c>
      <c r="KE9" s="946">
        <v>155.43052996</v>
      </c>
      <c r="KF9" s="946">
        <v>168.01928866</v>
      </c>
      <c r="KG9" s="946">
        <v>172.96533632999999</v>
      </c>
      <c r="KH9" s="946">
        <v>187.98323019</v>
      </c>
      <c r="KI9" s="946">
        <v>189.96195818999999</v>
      </c>
      <c r="KJ9" s="946">
        <v>189.96195818999999</v>
      </c>
      <c r="KK9" s="946">
        <v>189.96195818999999</v>
      </c>
      <c r="KL9" s="946">
        <v>189.96195818999999</v>
      </c>
      <c r="KM9" s="946">
        <v>189.96195818999999</v>
      </c>
      <c r="KN9" s="946">
        <v>189.96195818999999</v>
      </c>
      <c r="KO9" s="946">
        <v>189.96195818999999</v>
      </c>
      <c r="KP9" s="946">
        <v>189.96195818999999</v>
      </c>
      <c r="KQ9" s="946">
        <v>189.96195818999999</v>
      </c>
      <c r="KR9" s="946">
        <v>171.23707272999999</v>
      </c>
      <c r="KS9" s="947">
        <v>179.25774587000001</v>
      </c>
      <c r="KT9" s="947">
        <v>164.51382359000002</v>
      </c>
      <c r="KU9" s="947">
        <v>164.40701749000002</v>
      </c>
      <c r="KV9" s="947">
        <v>174.80864459</v>
      </c>
      <c r="KW9" s="947">
        <v>179.20697847999998</v>
      </c>
      <c r="KX9" s="947">
        <v>184.64784576</v>
      </c>
      <c r="KY9" s="947">
        <v>212.81219719999999</v>
      </c>
      <c r="KZ9" s="947">
        <v>205.89829499000001</v>
      </c>
      <c r="LA9" s="947">
        <v>187.46142327000001</v>
      </c>
      <c r="LB9" s="947">
        <v>206.16825066999999</v>
      </c>
      <c r="LC9" s="947">
        <v>235.92334054</v>
      </c>
      <c r="LD9" s="947">
        <v>231.54237166999999</v>
      </c>
      <c r="LE9" s="947">
        <v>233.96036140999999</v>
      </c>
      <c r="LF9" s="947">
        <v>251.22767221000001</v>
      </c>
      <c r="LG9" s="947">
        <v>258.36327283000003</v>
      </c>
      <c r="LH9" s="947">
        <v>261.08028072999997</v>
      </c>
      <c r="LI9" s="947">
        <v>277.36005529000005</v>
      </c>
      <c r="LJ9" s="947">
        <v>294.61426468000002</v>
      </c>
      <c r="LK9" s="947">
        <v>282.82050611</v>
      </c>
      <c r="LL9" s="947">
        <v>294.61426468000002</v>
      </c>
      <c r="LM9" s="947">
        <v>306.34362266000005</v>
      </c>
      <c r="LN9" s="947">
        <v>307.61637972000005</v>
      </c>
      <c r="LO9" s="947">
        <v>315.48162926999998</v>
      </c>
      <c r="LP9" s="947">
        <v>300.41968894999997</v>
      </c>
      <c r="LQ9" s="947">
        <v>300.41968894999997</v>
      </c>
      <c r="LR9" s="947">
        <v>305.17110474999998</v>
      </c>
      <c r="LS9" s="947">
        <v>328.44876010000002</v>
      </c>
      <c r="LT9" s="947">
        <v>329.29401845999996</v>
      </c>
      <c r="LU9" s="947">
        <v>360.22082669000002</v>
      </c>
      <c r="LV9" s="947">
        <v>368.85047252999999</v>
      </c>
      <c r="LW9" s="947">
        <v>368.71110899000001</v>
      </c>
      <c r="LX9" s="947">
        <v>383.33494181999998</v>
      </c>
      <c r="LY9" s="947">
        <v>394.33783464999999</v>
      </c>
      <c r="LZ9" s="947">
        <v>394.28795387000002</v>
      </c>
      <c r="MA9" s="947">
        <v>400.902109</v>
      </c>
      <c r="MB9" s="947">
        <v>403.70425711000001</v>
      </c>
      <c r="MC9" s="947">
        <v>420.31527947000001</v>
      </c>
      <c r="MD9" s="947">
        <v>419.04405281999999</v>
      </c>
      <c r="ME9" s="947">
        <v>432.46305701</v>
      </c>
      <c r="MF9" s="947">
        <v>444.71787692999999</v>
      </c>
      <c r="MG9" s="947">
        <v>455.17014225000003</v>
      </c>
      <c r="MH9" s="947">
        <v>466.41862732999999</v>
      </c>
      <c r="MI9" s="947">
        <v>473.78133358999997</v>
      </c>
      <c r="MJ9" s="947">
        <v>484.04611210000002</v>
      </c>
      <c r="MK9" s="947">
        <v>484.04611210000002</v>
      </c>
      <c r="ML9" s="947">
        <v>484.04611210000002</v>
      </c>
      <c r="MM9" s="947">
        <v>484.04611210000002</v>
      </c>
      <c r="MN9" s="947">
        <v>357.46184304000002</v>
      </c>
      <c r="MO9" s="947">
        <v>360.12290731999997</v>
      </c>
      <c r="MP9" s="947">
        <v>370.19719206000002</v>
      </c>
      <c r="MQ9" s="947">
        <v>375.07255076999996</v>
      </c>
      <c r="MR9" s="947">
        <v>379.84675677999996</v>
      </c>
      <c r="MS9" s="947">
        <v>396.30417523</v>
      </c>
      <c r="MT9" s="947">
        <v>384.15242194000001</v>
      </c>
      <c r="MU9" s="947">
        <v>373.73307285999999</v>
      </c>
      <c r="MV9" s="947">
        <v>363.92760426000001</v>
      </c>
      <c r="MW9" s="947">
        <v>381.17300485999999</v>
      </c>
      <c r="MX9" s="947">
        <v>381.17300485999999</v>
      </c>
      <c r="MY9" s="947">
        <v>317.25013508000001</v>
      </c>
      <c r="MZ9" s="947">
        <v>337.92431963000001</v>
      </c>
      <c r="NA9" s="947">
        <v>346.48463272000004</v>
      </c>
      <c r="NB9" s="947">
        <v>358.91213776000001</v>
      </c>
      <c r="NC9" s="947">
        <v>355.39942927999999</v>
      </c>
      <c r="ND9" s="947">
        <v>372.92416567000004</v>
      </c>
      <c r="NE9" s="947">
        <v>372.62013741000004</v>
      </c>
      <c r="NF9" s="947">
        <v>380.95041035000003</v>
      </c>
      <c r="NG9" s="947">
        <v>388.96725410000005</v>
      </c>
      <c r="NH9" s="947">
        <v>377.59832582000001</v>
      </c>
      <c r="NI9" s="947">
        <v>411.12215982999999</v>
      </c>
      <c r="NJ9" s="947">
        <v>406.85483966999999</v>
      </c>
      <c r="NK9" s="947">
        <v>422.32546516000002</v>
      </c>
      <c r="NL9" s="947">
        <v>438.32565966000004</v>
      </c>
      <c r="NM9" s="947">
        <v>407.02785101000001</v>
      </c>
      <c r="NN9" s="947">
        <v>412.70202004000004</v>
      </c>
      <c r="NO9" s="947">
        <v>424.41784430000001</v>
      </c>
      <c r="NP9" s="947">
        <v>426.83765695</v>
      </c>
      <c r="NQ9" s="947">
        <v>430.25212341000002</v>
      </c>
      <c r="NR9" s="947">
        <v>432.60212341000005</v>
      </c>
      <c r="NS9" s="947">
        <v>460.83473318</v>
      </c>
      <c r="NT9" s="947">
        <v>460.83473318</v>
      </c>
      <c r="NU9" s="947">
        <v>485.36692019999998</v>
      </c>
      <c r="NV9" s="947">
        <v>463.29972479000003</v>
      </c>
      <c r="NW9" s="947">
        <v>473.23080456000002</v>
      </c>
      <c r="NX9" s="947">
        <v>498.91884422000004</v>
      </c>
      <c r="NY9" s="947">
        <v>509.59758558999999</v>
      </c>
      <c r="NZ9" s="947">
        <v>525.73235190000003</v>
      </c>
      <c r="OA9" s="947">
        <v>525.73235190000003</v>
      </c>
      <c r="OB9" s="947">
        <v>528.75751986</v>
      </c>
      <c r="OC9" s="947">
        <v>409.28441189</v>
      </c>
      <c r="OD9" s="947">
        <v>419.58000480000004</v>
      </c>
      <c r="OE9" s="947">
        <v>432.34646093999999</v>
      </c>
      <c r="OF9" s="947">
        <v>415.07653750999998</v>
      </c>
      <c r="OG9" s="947">
        <v>417.88145741000005</v>
      </c>
      <c r="OH9" s="947">
        <v>426.02803793999999</v>
      </c>
      <c r="OI9" s="947">
        <v>435.97656783999997</v>
      </c>
      <c r="OJ9" s="947">
        <v>463.57598808</v>
      </c>
      <c r="OK9" s="947">
        <v>472.36812018000001</v>
      </c>
      <c r="OL9" s="947">
        <v>474.23251382999996</v>
      </c>
      <c r="OM9" s="947">
        <v>487.17042524999999</v>
      </c>
      <c r="ON9" s="947">
        <v>500.67022541</v>
      </c>
      <c r="OO9" s="947">
        <v>512.20752922999998</v>
      </c>
      <c r="OP9" s="947">
        <v>513.39611940999998</v>
      </c>
      <c r="OQ9" s="947">
        <v>513.39611940999998</v>
      </c>
      <c r="OR9" s="947">
        <v>535.10860793999996</v>
      </c>
      <c r="OS9" s="947">
        <v>535.10860793999996</v>
      </c>
      <c r="OT9" s="947">
        <v>529.74542988999997</v>
      </c>
      <c r="OU9" s="947">
        <v>542.13731890999998</v>
      </c>
      <c r="OV9" s="947">
        <v>542.13731890999998</v>
      </c>
      <c r="OW9" s="947">
        <v>556.19502680999994</v>
      </c>
      <c r="OX9" s="947">
        <v>364.14919805</v>
      </c>
      <c r="OY9" s="947">
        <v>281.98298893999998</v>
      </c>
      <c r="OZ9" s="947">
        <v>289.35337407999998</v>
      </c>
      <c r="PA9" s="947">
        <v>295.213908</v>
      </c>
      <c r="PB9" s="947">
        <v>295.17536194000002</v>
      </c>
      <c r="PC9" s="947">
        <v>295.17536194000002</v>
      </c>
      <c r="PD9" s="947">
        <v>280.79858464</v>
      </c>
      <c r="PE9" s="947">
        <v>290.37764573000004</v>
      </c>
      <c r="PF9" s="947">
        <v>312.57046848000005</v>
      </c>
      <c r="PG9" s="947">
        <v>313.69978132</v>
      </c>
      <c r="PH9" s="947">
        <v>322.93537312000001</v>
      </c>
      <c r="PI9" s="947">
        <v>317.50287842</v>
      </c>
      <c r="PJ9" s="947">
        <v>312.48243658999996</v>
      </c>
      <c r="PK9" s="947">
        <v>319.73109232999997</v>
      </c>
      <c r="PL9" s="947">
        <v>329.92119660000003</v>
      </c>
      <c r="PM9" s="947">
        <v>339.11724444999999</v>
      </c>
      <c r="PN9" s="947">
        <v>352.97620899000003</v>
      </c>
      <c r="PO9" s="947">
        <v>239.78862249000002</v>
      </c>
      <c r="PP9" s="947">
        <v>242.76284609999999</v>
      </c>
      <c r="PQ9" s="947">
        <v>258.52043018000001</v>
      </c>
      <c r="PR9" s="947">
        <v>257.75839968000003</v>
      </c>
      <c r="PS9" s="947">
        <v>257.95882344</v>
      </c>
      <c r="PT9" s="947">
        <v>270.10729073000005</v>
      </c>
      <c r="PU9" s="947">
        <v>270.10729073000005</v>
      </c>
      <c r="PV9" s="947">
        <v>296.33132431000001</v>
      </c>
      <c r="PW9" s="947">
        <v>303.00124705000002</v>
      </c>
      <c r="PX9" s="947">
        <v>299.92901417000002</v>
      </c>
      <c r="PY9" s="947">
        <v>278.20987543000001</v>
      </c>
      <c r="PZ9" s="947">
        <v>292.74927843</v>
      </c>
      <c r="QA9" s="947">
        <v>292.74927843</v>
      </c>
      <c r="QB9" s="947">
        <v>295.42850252</v>
      </c>
      <c r="QC9" s="947">
        <v>295.42850252</v>
      </c>
      <c r="QD9" s="947">
        <v>161.02292932</v>
      </c>
      <c r="QE9" s="947">
        <v>166.0011327</v>
      </c>
      <c r="QF9" s="947">
        <v>181.11793157</v>
      </c>
      <c r="QG9" s="947">
        <v>185.21685115</v>
      </c>
      <c r="QH9" s="947">
        <v>185.21685115</v>
      </c>
      <c r="QI9" s="947">
        <v>185.21685115</v>
      </c>
      <c r="QJ9" s="947">
        <v>196.57629336000002</v>
      </c>
      <c r="QK9" s="947">
        <v>196.57629336000002</v>
      </c>
      <c r="QL9" s="947">
        <v>220.12089511000002</v>
      </c>
      <c r="QM9" s="947">
        <v>220.12089511000002</v>
      </c>
      <c r="QN9" s="947">
        <v>220.12089511000002</v>
      </c>
      <c r="QO9" s="947">
        <v>266.89368342</v>
      </c>
      <c r="QP9" s="947">
        <v>266.54851635</v>
      </c>
      <c r="QQ9" s="947">
        <v>275.72602645999996</v>
      </c>
      <c r="QR9" s="947">
        <v>280.06866557000001</v>
      </c>
      <c r="QS9" s="947">
        <v>299.83528067000003</v>
      </c>
      <c r="QT9" s="947">
        <v>314.34650986999998</v>
      </c>
      <c r="QU9" s="947">
        <v>316.68238814</v>
      </c>
      <c r="QV9" s="947">
        <v>327.05060577</v>
      </c>
      <c r="QW9" s="947">
        <v>348.71089058000001</v>
      </c>
      <c r="QX9" s="947">
        <v>350.48893198000002</v>
      </c>
      <c r="QY9" s="947">
        <v>357.47610889999999</v>
      </c>
      <c r="QZ9" s="947">
        <v>360.83967038999998</v>
      </c>
      <c r="RA9" s="947">
        <v>371.86167766</v>
      </c>
      <c r="RB9" s="947">
        <v>370.77043995999998</v>
      </c>
      <c r="RC9" s="947">
        <v>263.68666604999999</v>
      </c>
      <c r="RD9" s="947">
        <v>263.71018294999999</v>
      </c>
      <c r="RE9" s="947">
        <v>260.47853965000002</v>
      </c>
      <c r="RF9" s="947">
        <v>268.26232105000003</v>
      </c>
      <c r="RG9" s="947">
        <v>279.27263786999998</v>
      </c>
      <c r="RH9" s="947">
        <v>284.04760369999997</v>
      </c>
      <c r="RI9" s="947">
        <v>306.14767863999998</v>
      </c>
      <c r="RJ9" s="947">
        <v>289.26454142</v>
      </c>
      <c r="RK9" s="947">
        <v>308.72925581999999</v>
      </c>
      <c r="RL9" s="947">
        <v>282.27684675</v>
      </c>
      <c r="RM9" s="947">
        <v>296.92648407999997</v>
      </c>
      <c r="RN9" s="947">
        <v>300.91185502999997</v>
      </c>
      <c r="RO9" s="947">
        <v>237.60359872999999</v>
      </c>
      <c r="RP9" s="947">
        <v>246.90497515999999</v>
      </c>
      <c r="RQ9" s="947">
        <v>263.53966716000002</v>
      </c>
      <c r="RR9" s="947">
        <v>207.52895319999999</v>
      </c>
      <c r="RS9" s="947">
        <v>216.66049530000001</v>
      </c>
      <c r="RT9" s="947">
        <v>235.79185994999997</v>
      </c>
      <c r="RU9" s="947">
        <v>239.66847616999999</v>
      </c>
      <c r="RV9" s="947">
        <v>242.82117099999999</v>
      </c>
      <c r="RW9" s="947">
        <v>268.31806310000002</v>
      </c>
      <c r="RX9" s="947">
        <v>289.51108779000003</v>
      </c>
      <c r="RY9" s="947">
        <v>287.40549121000004</v>
      </c>
      <c r="RZ9" s="947">
        <v>309.17723776999998</v>
      </c>
      <c r="SA9" s="947">
        <v>324.08007107999998</v>
      </c>
      <c r="SB9" s="947">
        <v>323.64375695999996</v>
      </c>
      <c r="SC9" s="947">
        <v>336.39330585000005</v>
      </c>
      <c r="SD9" s="947">
        <v>377.81002599999999</v>
      </c>
      <c r="SE9" s="947">
        <v>378.60243862999999</v>
      </c>
      <c r="SF9" s="947">
        <v>379.10226236</v>
      </c>
      <c r="SG9" s="947">
        <v>417.44739304000001</v>
      </c>
      <c r="SH9" s="947">
        <v>431.11972556000001</v>
      </c>
      <c r="SI9" s="947">
        <v>444.83975636000002</v>
      </c>
      <c r="SJ9" s="947">
        <v>444.24927938000002</v>
      </c>
      <c r="SK9" s="947">
        <v>451.74680130000002</v>
      </c>
      <c r="SL9" s="947">
        <v>455.87511810000001</v>
      </c>
      <c r="SM9" s="947">
        <v>479.54960624</v>
      </c>
      <c r="SN9" s="947">
        <v>480.63951650000001</v>
      </c>
      <c r="SO9" s="947">
        <v>477.04442383999998</v>
      </c>
      <c r="SP9" s="947">
        <v>501.74997608999996</v>
      </c>
      <c r="SQ9" s="947">
        <v>518.36317445999998</v>
      </c>
      <c r="SR9" s="947">
        <v>513.27830648999998</v>
      </c>
      <c r="SS9" s="947">
        <v>532.46379853999997</v>
      </c>
      <c r="ST9" s="947">
        <v>535.00092627000004</v>
      </c>
      <c r="SU9" s="947">
        <v>548.47545109999999</v>
      </c>
      <c r="SV9" s="947">
        <v>548.55231715999992</v>
      </c>
      <c r="SW9" s="947">
        <v>533.99782789999995</v>
      </c>
      <c r="SX9" s="947">
        <v>539.37274535000006</v>
      </c>
      <c r="SY9" s="947">
        <v>536.65158874999997</v>
      </c>
      <c r="SZ9" s="947">
        <v>581.99569689999998</v>
      </c>
      <c r="TA9" s="947">
        <v>586.9446055599999</v>
      </c>
      <c r="TB9" s="947">
        <v>586.9446055599999</v>
      </c>
      <c r="TC9" s="947">
        <v>202.41751746999998</v>
      </c>
      <c r="TD9" s="947">
        <v>207.67946627000001</v>
      </c>
      <c r="TE9" s="947">
        <v>207.67946627000001</v>
      </c>
      <c r="TF9" s="947">
        <v>231.55746597999999</v>
      </c>
      <c r="TG9" s="947">
        <v>112.07819425</v>
      </c>
      <c r="TH9" s="947">
        <v>52.455744850000002</v>
      </c>
      <c r="TI9" s="947">
        <v>98.13500676000001</v>
      </c>
      <c r="TJ9" s="947">
        <v>104.72374692</v>
      </c>
      <c r="TK9" s="947">
        <v>104.72374692</v>
      </c>
      <c r="TL9" s="947">
        <v>116.90620636</v>
      </c>
      <c r="TM9" s="947">
        <v>149.62931544999998</v>
      </c>
      <c r="TN9" s="947">
        <v>123.18891568000001</v>
      </c>
      <c r="TO9" s="947">
        <v>163.80190604000001</v>
      </c>
      <c r="TP9" s="947">
        <v>192.2115336</v>
      </c>
      <c r="TQ9" s="947">
        <v>208.09533877000001</v>
      </c>
      <c r="TR9" s="947">
        <v>267.42874988</v>
      </c>
      <c r="TS9" s="947">
        <v>227.62809896000002</v>
      </c>
      <c r="TT9" s="947">
        <v>217.45862493999999</v>
      </c>
      <c r="TU9" s="947">
        <v>219.32354844999998</v>
      </c>
      <c r="TV9" s="947">
        <v>211.94552073</v>
      </c>
      <c r="TW9" s="947">
        <v>219.94907643000002</v>
      </c>
      <c r="TX9" s="947">
        <v>194.24758869999999</v>
      </c>
      <c r="TY9" s="947">
        <v>192.67045395</v>
      </c>
      <c r="TZ9" s="947">
        <v>197.97510927000002</v>
      </c>
      <c r="UA9" s="947">
        <v>216.81195306999999</v>
      </c>
      <c r="UB9" s="947">
        <v>229.96353383000002</v>
      </c>
      <c r="UC9" s="947">
        <v>185.97854888000001</v>
      </c>
      <c r="UD9" s="947">
        <v>184.39597487999998</v>
      </c>
      <c r="UE9" s="947">
        <v>200.92279477000002</v>
      </c>
      <c r="UF9" s="947">
        <v>224.17256641</v>
      </c>
      <c r="UG9" s="947">
        <v>98.152977669999999</v>
      </c>
      <c r="UH9" s="947">
        <v>79.58618903</v>
      </c>
      <c r="UI9" s="947">
        <v>88.873619340000005</v>
      </c>
      <c r="UJ9" s="947">
        <v>52.581103939999998</v>
      </c>
      <c r="UK9" s="947">
        <v>59.751874479999998</v>
      </c>
      <c r="UL9" s="947">
        <v>68.166261000000006</v>
      </c>
      <c r="UM9" s="947">
        <v>72.799696940000004</v>
      </c>
      <c r="UN9" s="947">
        <v>38.368170670000005</v>
      </c>
      <c r="UO9" s="947">
        <v>40.015715700000001</v>
      </c>
      <c r="UP9" s="947">
        <v>61.889428009999996</v>
      </c>
      <c r="UQ9" s="947">
        <v>19.887984320000001</v>
      </c>
      <c r="UR9" s="947">
        <v>47.898661429999997</v>
      </c>
      <c r="US9" s="947">
        <v>47.898661429999997</v>
      </c>
      <c r="UT9" s="947">
        <v>59.988141450000001</v>
      </c>
      <c r="UU9" s="947">
        <v>73.198671480000002</v>
      </c>
      <c r="UV9" s="947">
        <v>102.04509418000001</v>
      </c>
      <c r="UW9" s="947">
        <v>102.04509418000001</v>
      </c>
      <c r="UX9" s="947">
        <v>98.699780200000006</v>
      </c>
      <c r="UY9" s="947">
        <v>98.699780200000006</v>
      </c>
      <c r="UZ9" s="947">
        <v>111.9573347</v>
      </c>
      <c r="VA9" s="947">
        <v>112.30888788</v>
      </c>
      <c r="VB9" s="947">
        <v>111.82626497</v>
      </c>
      <c r="VC9" s="947">
        <v>50.944371509999996</v>
      </c>
      <c r="VD9" s="947">
        <v>44.271631310000004</v>
      </c>
      <c r="VE9" s="947">
        <v>4.9129479900000002</v>
      </c>
      <c r="VF9" s="947">
        <v>30.194944100000001</v>
      </c>
      <c r="VG9" s="947">
        <v>45.176896490000004</v>
      </c>
      <c r="VH9" s="947">
        <v>82.860399770000001</v>
      </c>
      <c r="VI9" s="947">
        <v>138.36271662999999</v>
      </c>
      <c r="VJ9" s="947">
        <v>176.73428749000001</v>
      </c>
      <c r="VK9" s="947">
        <v>170.90394803000001</v>
      </c>
      <c r="VL9" s="947">
        <v>82.330918159999996</v>
      </c>
      <c r="VM9" s="947">
        <v>116.12173847</v>
      </c>
      <c r="VN9" s="947">
        <v>116.13609416</v>
      </c>
      <c r="VO9" s="947">
        <v>170.62522202000002</v>
      </c>
      <c r="VP9" s="947">
        <v>180.65538802</v>
      </c>
      <c r="VQ9" s="947">
        <v>179.30197737</v>
      </c>
      <c r="VR9" s="947">
        <v>217.38499659999999</v>
      </c>
      <c r="VS9" s="947">
        <v>229.27381409999998</v>
      </c>
      <c r="VT9" s="947">
        <v>223.16377196000002</v>
      </c>
      <c r="VU9" s="947">
        <v>234.00719447999998</v>
      </c>
      <c r="VV9" s="947">
        <v>241.59215383</v>
      </c>
      <c r="VW9" s="947">
        <v>252.74877644999998</v>
      </c>
      <c r="VX9" s="947">
        <v>292.31587005</v>
      </c>
      <c r="VY9" s="947">
        <v>308.72581137000003</v>
      </c>
      <c r="VZ9" s="947">
        <v>319.66906177999999</v>
      </c>
      <c r="WA9" s="947">
        <v>342.20356256000002</v>
      </c>
      <c r="WB9" s="947">
        <v>361.97774289</v>
      </c>
      <c r="WC9" s="947">
        <v>358.45756588</v>
      </c>
      <c r="WD9" s="947">
        <v>363.56077488</v>
      </c>
      <c r="WE9" s="947">
        <v>391.17796264999998</v>
      </c>
      <c r="WF9" s="947">
        <v>393.89424172000002</v>
      </c>
      <c r="WG9" s="947">
        <v>411.64741229999998</v>
      </c>
      <c r="WH9" s="947">
        <v>294.88554746</v>
      </c>
      <c r="WI9" s="947">
        <v>275.93513080999998</v>
      </c>
      <c r="WJ9" s="947">
        <v>275.01734641000002</v>
      </c>
      <c r="WK9" s="947">
        <v>146.59281224</v>
      </c>
      <c r="WL9" s="947">
        <v>146.59281224</v>
      </c>
      <c r="WM9" s="947">
        <v>174.70533723</v>
      </c>
      <c r="WN9" s="947">
        <v>68.151970590000005</v>
      </c>
      <c r="WO9" s="947">
        <v>83.999587040000009</v>
      </c>
      <c r="WP9" s="947">
        <v>101.87630162000001</v>
      </c>
      <c r="WQ9" s="947">
        <v>102.14210347</v>
      </c>
      <c r="WR9" s="947">
        <v>124.31243564</v>
      </c>
      <c r="WS9" s="947">
        <v>132.36337417000001</v>
      </c>
      <c r="WT9" s="947">
        <v>143.97615703</v>
      </c>
      <c r="WU9" s="947">
        <v>143.97615703</v>
      </c>
      <c r="WV9" s="947">
        <v>151.56534875</v>
      </c>
      <c r="WW9" s="947">
        <v>163.31112444999999</v>
      </c>
      <c r="WX9" s="947">
        <v>171.20069676</v>
      </c>
      <c r="WY9" s="947">
        <v>178.96405894999998</v>
      </c>
      <c r="WZ9" s="947">
        <v>195.93031627000002</v>
      </c>
      <c r="XA9" s="947">
        <v>206.94599971</v>
      </c>
      <c r="XB9" s="947">
        <v>231.57323883000001</v>
      </c>
      <c r="XC9" s="947">
        <v>233.51275846999999</v>
      </c>
      <c r="XD9" s="947">
        <v>233.30114322999998</v>
      </c>
      <c r="XE9" s="947">
        <v>238.63946799999999</v>
      </c>
      <c r="XF9" s="947">
        <v>251.86361561000001</v>
      </c>
      <c r="XG9" s="947">
        <v>253.40599703000001</v>
      </c>
      <c r="XH9" s="947">
        <v>256.32103913999998</v>
      </c>
      <c r="XI9" s="947">
        <v>262.97100804000002</v>
      </c>
      <c r="XJ9" s="947">
        <v>267.18584384000002</v>
      </c>
      <c r="XK9" s="947">
        <v>279.47195737999999</v>
      </c>
      <c r="XL9" s="947">
        <v>275.61910932000001</v>
      </c>
      <c r="XM9" s="947">
        <v>266.73377282000001</v>
      </c>
      <c r="XN9" s="947">
        <v>237.32568094999999</v>
      </c>
      <c r="XO9" s="947">
        <v>243.48607090000002</v>
      </c>
      <c r="XP9" s="947">
        <v>263.76140521000002</v>
      </c>
      <c r="XQ9" s="947">
        <v>161.17139227999999</v>
      </c>
      <c r="XR9" s="947">
        <v>176.99631390000002</v>
      </c>
      <c r="XS9" s="947">
        <v>175.68332122000001</v>
      </c>
      <c r="XT9" s="947">
        <v>196.35619498</v>
      </c>
      <c r="XU9" s="947">
        <v>204.12159441</v>
      </c>
      <c r="XV9" s="947">
        <v>219.08694394</v>
      </c>
      <c r="XW9" s="947">
        <v>193.12273689</v>
      </c>
      <c r="XX9" s="947">
        <v>196.36277195</v>
      </c>
      <c r="XY9" s="947">
        <v>236.97322902000002</v>
      </c>
      <c r="XZ9" s="947">
        <v>266.24147621999998</v>
      </c>
      <c r="YA9" s="947">
        <v>287.99064877999996</v>
      </c>
      <c r="YB9" s="947">
        <v>292.37310516000002</v>
      </c>
      <c r="YC9" s="947">
        <v>229.33891426</v>
      </c>
      <c r="YD9" s="947">
        <v>251.06859052000001</v>
      </c>
      <c r="YE9" s="947">
        <v>237.74483171</v>
      </c>
      <c r="YF9" s="947">
        <v>280.65558922000002</v>
      </c>
      <c r="YG9" s="947">
        <v>278.62050714999998</v>
      </c>
      <c r="YH9" s="947">
        <v>309.95950563999997</v>
      </c>
    </row>
    <row r="10" spans="2:658">
      <c r="B10" s="917" t="s">
        <v>26</v>
      </c>
      <c r="C10" s="918">
        <v>11.829453579999999</v>
      </c>
      <c r="D10" s="130">
        <v>14.31426227</v>
      </c>
      <c r="E10" s="130">
        <v>14.30958985</v>
      </c>
      <c r="F10" s="130">
        <v>14.29538168</v>
      </c>
      <c r="G10" s="130">
        <v>14.29538168</v>
      </c>
      <c r="H10" s="130">
        <v>12.733503539999999</v>
      </c>
      <c r="I10" s="130">
        <v>12.733503539999999</v>
      </c>
      <c r="J10" s="130">
        <v>12.699696360000001</v>
      </c>
      <c r="K10" s="130">
        <v>12.699696360000001</v>
      </c>
      <c r="L10" s="130">
        <v>13.119091789999999</v>
      </c>
      <c r="M10" s="130">
        <v>13.088639710000001</v>
      </c>
      <c r="N10" s="130">
        <v>13.088639710000001</v>
      </c>
      <c r="O10" s="130">
        <v>13.088639710000001</v>
      </c>
      <c r="P10" s="130">
        <v>12.56102692</v>
      </c>
      <c r="Q10" s="130">
        <v>12.56102692</v>
      </c>
      <c r="R10" s="130">
        <v>12.56102692</v>
      </c>
      <c r="S10" s="130">
        <v>11.47516922</v>
      </c>
      <c r="T10" s="130">
        <v>10.57509022</v>
      </c>
      <c r="U10" s="130">
        <v>10.295359299999999</v>
      </c>
      <c r="V10" s="130">
        <v>10.2934433</v>
      </c>
      <c r="W10" s="130">
        <v>9.7849713000000005</v>
      </c>
      <c r="X10" s="130">
        <v>9.7843380199999999</v>
      </c>
      <c r="Y10" s="130">
        <v>9.4532175899999995</v>
      </c>
      <c r="Z10" s="130">
        <v>7.81264731</v>
      </c>
      <c r="AA10" s="130">
        <v>7.81264731</v>
      </c>
      <c r="AB10" s="130">
        <v>7.81264731</v>
      </c>
      <c r="AC10" s="130">
        <v>7.7222730899999998</v>
      </c>
      <c r="AD10" s="130">
        <v>7.7026917399999997</v>
      </c>
      <c r="AE10" s="130">
        <v>7.7019927399999997</v>
      </c>
      <c r="AF10" s="130">
        <v>6.54861336</v>
      </c>
      <c r="AG10" s="130">
        <v>9.1742685300000009</v>
      </c>
      <c r="AH10" s="130">
        <v>9.1607835299999998</v>
      </c>
      <c r="AI10" s="130">
        <v>9.1607835299999998</v>
      </c>
      <c r="AJ10" s="130">
        <v>9.1606670099999992</v>
      </c>
      <c r="AK10" s="130">
        <v>8.3826670100000005</v>
      </c>
      <c r="AL10" s="130">
        <v>8.3040192800000003</v>
      </c>
      <c r="AM10" s="130">
        <v>8.3032232799999992</v>
      </c>
      <c r="AN10" s="130">
        <v>8.3032232799999992</v>
      </c>
      <c r="AO10" s="130">
        <v>8.3032232799999992</v>
      </c>
      <c r="AP10" s="130">
        <v>8.1186811700000003</v>
      </c>
      <c r="AQ10" s="130">
        <v>8.1186811700000003</v>
      </c>
      <c r="AR10" s="130">
        <v>7.3875194100000003</v>
      </c>
      <c r="AS10" s="130">
        <v>7.3874511399999996</v>
      </c>
      <c r="AT10" s="130">
        <v>7.2492237099999999</v>
      </c>
      <c r="AU10" s="130">
        <v>7.12983659</v>
      </c>
      <c r="AV10" s="130">
        <v>9.8298365899999993</v>
      </c>
      <c r="AW10" s="130">
        <v>8.5748704</v>
      </c>
      <c r="AX10" s="130">
        <v>8.5748704</v>
      </c>
      <c r="AY10" s="130">
        <v>8.5411660600000001</v>
      </c>
      <c r="AZ10" s="130">
        <v>8.5411660600000001</v>
      </c>
      <c r="BA10" s="130">
        <v>8.5408746099999995</v>
      </c>
      <c r="BB10" s="130">
        <v>8.2201953299999992</v>
      </c>
      <c r="BC10" s="130">
        <v>8.219695530000001</v>
      </c>
      <c r="BD10" s="130">
        <v>8.219695530000001</v>
      </c>
      <c r="BE10" s="130">
        <v>7.10466496</v>
      </c>
      <c r="BF10" s="130">
        <v>6.3648339600000003</v>
      </c>
      <c r="BG10" s="130">
        <v>6.3648123700000001</v>
      </c>
      <c r="BH10" s="130">
        <v>6.2438179299999996</v>
      </c>
      <c r="BI10" s="130">
        <v>6.2438179299999996</v>
      </c>
      <c r="BJ10" s="130">
        <v>6.1828679299999996</v>
      </c>
      <c r="BK10" s="130">
        <v>5.2888192300000005</v>
      </c>
      <c r="BL10" s="130">
        <v>5.28595433</v>
      </c>
      <c r="BM10" s="130">
        <v>5.28595433</v>
      </c>
      <c r="BN10" s="130">
        <v>4.0983217200000004</v>
      </c>
      <c r="BO10" s="130">
        <v>4.0969287200000002</v>
      </c>
      <c r="BP10" s="130">
        <v>5.4538942300000004</v>
      </c>
      <c r="BQ10" s="130">
        <v>5.45386872</v>
      </c>
      <c r="BR10" s="130">
        <v>5.37231872</v>
      </c>
      <c r="BS10" s="130">
        <v>5.37231872</v>
      </c>
      <c r="BT10" s="130">
        <v>5.3704088700000003</v>
      </c>
      <c r="BU10" s="130">
        <v>5.3479499700000002</v>
      </c>
      <c r="BV10" s="130">
        <v>5.3479499700000002</v>
      </c>
      <c r="BW10" s="130">
        <v>5.3479499700000002</v>
      </c>
      <c r="BX10" s="130">
        <v>5.3479499700000002</v>
      </c>
      <c r="BY10" s="130">
        <v>5.3479499700000002</v>
      </c>
      <c r="BZ10" s="130">
        <v>3.6303698099999999</v>
      </c>
      <c r="CA10" s="130">
        <v>2.9406330899999999</v>
      </c>
      <c r="CB10" s="130">
        <v>2.9403096500000001</v>
      </c>
      <c r="CC10" s="130">
        <v>2.9106106499999997</v>
      </c>
      <c r="CD10" s="130">
        <v>2.9986106499999998</v>
      </c>
      <c r="CE10" s="130">
        <v>2.9955819199999998</v>
      </c>
      <c r="CF10" s="130">
        <v>2.9162018700000001</v>
      </c>
      <c r="CG10" s="130">
        <v>2.8804583699999999</v>
      </c>
      <c r="CH10" s="130">
        <v>2.8701423699999999</v>
      </c>
      <c r="CI10" s="130">
        <v>2.8701423699999999</v>
      </c>
      <c r="CJ10" s="130">
        <v>2.8701423699999999</v>
      </c>
      <c r="CK10" s="130">
        <v>2.8701423699999999</v>
      </c>
      <c r="CL10" s="130">
        <v>2.8701423699999999</v>
      </c>
      <c r="CM10" s="130">
        <v>5.2440490500000001</v>
      </c>
      <c r="CN10" s="130">
        <v>5.24403066</v>
      </c>
      <c r="CO10" s="130">
        <v>5.24403066</v>
      </c>
      <c r="CP10" s="130">
        <v>5.2169478700000003</v>
      </c>
      <c r="CQ10" s="130">
        <v>5.2169478700000003</v>
      </c>
      <c r="CR10" s="130">
        <v>4.86684187</v>
      </c>
      <c r="CS10" s="130">
        <v>4.86684187</v>
      </c>
      <c r="CT10" s="130">
        <v>4.8255888699999998</v>
      </c>
      <c r="CU10" s="130">
        <v>4.0205404700000003</v>
      </c>
      <c r="CV10" s="130">
        <v>4.0205404700000003</v>
      </c>
      <c r="CW10" s="130">
        <v>3.9646741000000003</v>
      </c>
      <c r="CX10" s="130">
        <v>3.3643741</v>
      </c>
      <c r="CY10" s="130">
        <v>3.3643741</v>
      </c>
      <c r="CZ10" s="130">
        <v>3.3643741</v>
      </c>
      <c r="DA10" s="130">
        <v>3.3643575399999999</v>
      </c>
      <c r="DB10" s="130">
        <v>3.21161881</v>
      </c>
      <c r="DC10" s="130">
        <v>3.9563666099999999</v>
      </c>
      <c r="DD10" s="130">
        <v>3.6762894700000004</v>
      </c>
      <c r="DE10" s="130">
        <v>3.5170770299999998</v>
      </c>
      <c r="DF10" s="130">
        <v>3.5170770299999998</v>
      </c>
      <c r="DG10" s="130">
        <v>5.4273406299999998</v>
      </c>
      <c r="DH10" s="130">
        <v>5.4273406299999998</v>
      </c>
      <c r="DI10" s="130">
        <v>4.2949699800000003</v>
      </c>
      <c r="DJ10" s="130">
        <v>4.2947862800000003</v>
      </c>
      <c r="DK10" s="130">
        <v>4.2873847699999992</v>
      </c>
      <c r="DL10" s="130">
        <v>4.2873847699999992</v>
      </c>
      <c r="DM10" s="130">
        <v>4.2938097500000003</v>
      </c>
      <c r="DN10" s="130">
        <v>4.2938097500000003</v>
      </c>
      <c r="DO10" s="130">
        <v>4.2938097500000003</v>
      </c>
      <c r="DP10" s="130">
        <v>4.2938097500000003</v>
      </c>
      <c r="DQ10" s="130">
        <v>4.2938097500000003</v>
      </c>
      <c r="DR10" s="130">
        <v>4.2938097500000003</v>
      </c>
      <c r="DS10" s="130">
        <v>3.6526529000000001</v>
      </c>
      <c r="DT10" s="130">
        <v>3.3032727200000003</v>
      </c>
      <c r="DU10" s="130">
        <v>3.3032727200000003</v>
      </c>
      <c r="DV10" s="130">
        <v>3.2883837200000001</v>
      </c>
      <c r="DW10" s="130">
        <v>3.2883837200000001</v>
      </c>
      <c r="DX10" s="944">
        <v>3.2037887200000004</v>
      </c>
      <c r="DY10" s="130">
        <v>3.1601693599999998</v>
      </c>
      <c r="DZ10" s="130">
        <v>3.1576333599999997</v>
      </c>
      <c r="EA10" s="130">
        <v>3.1576333599999997</v>
      </c>
      <c r="EB10" s="130">
        <v>2.3493765600000001</v>
      </c>
      <c r="EC10" s="130">
        <v>2.2551516600000001</v>
      </c>
      <c r="ED10" s="130">
        <v>1.1976126</v>
      </c>
      <c r="EE10" s="130">
        <v>1.1976126</v>
      </c>
      <c r="EF10" s="130">
        <v>1.05634597</v>
      </c>
      <c r="EG10" s="130">
        <v>3.7398269700000002</v>
      </c>
      <c r="EH10" s="130">
        <v>3.7398269700000002</v>
      </c>
      <c r="EI10" s="130">
        <v>3.7398269700000002</v>
      </c>
      <c r="EJ10" s="130">
        <v>3.7398269700000002</v>
      </c>
      <c r="EK10" s="130">
        <v>3.7398269700000002</v>
      </c>
      <c r="EL10" s="130">
        <v>3.1502269700000003</v>
      </c>
      <c r="EM10" s="130">
        <v>2.8313124700000003</v>
      </c>
      <c r="EN10" s="130">
        <v>2.8309144700000002</v>
      </c>
      <c r="EO10" s="130">
        <v>1.3722581399999998</v>
      </c>
      <c r="EP10" s="130">
        <v>1.3664722900000001</v>
      </c>
      <c r="EQ10" s="130">
        <v>1.3663722899999999</v>
      </c>
      <c r="ER10" s="130">
        <v>1.3407674700000001</v>
      </c>
      <c r="ES10" s="130">
        <v>1.39957347</v>
      </c>
      <c r="ET10" s="130">
        <v>4.9074878099999992</v>
      </c>
      <c r="EU10" s="130">
        <v>4.7772615800000002</v>
      </c>
      <c r="EV10" s="944">
        <v>5.8472615800000005</v>
      </c>
      <c r="EW10" s="130">
        <v>7.3672615800000001</v>
      </c>
      <c r="EX10" s="130">
        <v>7.3672615800000001</v>
      </c>
      <c r="EY10" s="130">
        <v>9.2967111799999991</v>
      </c>
      <c r="EZ10" s="130">
        <v>7.8976257300000006</v>
      </c>
      <c r="FA10" s="130">
        <v>9.4725799899999998</v>
      </c>
      <c r="FB10" s="130">
        <v>9.4725799899999998</v>
      </c>
      <c r="FC10" s="130">
        <v>9.4725799899999998</v>
      </c>
      <c r="FD10" s="130">
        <v>9.4570799900000004</v>
      </c>
      <c r="FE10" s="130">
        <v>9.4570799900000004</v>
      </c>
      <c r="FF10" s="130">
        <v>9.4570799900000004</v>
      </c>
      <c r="FG10" s="130">
        <v>9.4570799900000004</v>
      </c>
      <c r="FH10" s="130">
        <v>9.4570799900000004</v>
      </c>
      <c r="FI10" s="130">
        <v>9.4570799900000004</v>
      </c>
      <c r="FJ10" s="130">
        <v>9.4570799900000004</v>
      </c>
      <c r="FK10" s="130">
        <v>9.1052299899999998</v>
      </c>
      <c r="FL10" s="130">
        <v>9.1052299899999998</v>
      </c>
      <c r="FM10" s="130">
        <v>9.1037024899999999</v>
      </c>
      <c r="FN10" s="944">
        <v>9.1037024899999999</v>
      </c>
      <c r="FO10" s="130">
        <v>8.2956567099999994</v>
      </c>
      <c r="FP10" s="130">
        <v>8.2877486400000002</v>
      </c>
      <c r="FQ10" s="130">
        <v>8.2835486399999994</v>
      </c>
      <c r="FR10" s="130">
        <v>8.2835486399999994</v>
      </c>
      <c r="FS10" s="130">
        <v>8.2835486399999994</v>
      </c>
      <c r="FT10" s="130">
        <v>8.2835486399999994</v>
      </c>
      <c r="FU10" s="130">
        <v>7.4228530099999999</v>
      </c>
      <c r="FV10" s="130">
        <v>7.4187364499999999</v>
      </c>
      <c r="FW10" s="130">
        <v>7.4187364499999999</v>
      </c>
      <c r="FX10" s="130">
        <v>7.4182646299999995</v>
      </c>
      <c r="FY10" s="130">
        <v>7.4182646299999995</v>
      </c>
      <c r="FZ10" s="130">
        <v>7.4002646299999997</v>
      </c>
      <c r="GA10" s="130">
        <v>7.4002646299999997</v>
      </c>
      <c r="GB10" s="130">
        <v>7.4002646299999997</v>
      </c>
      <c r="GC10" s="130">
        <v>7.4002646299999997</v>
      </c>
      <c r="GD10" s="130">
        <v>6.6531082300000008</v>
      </c>
      <c r="GE10" s="130">
        <v>5.7768516700000001</v>
      </c>
      <c r="GF10" s="130">
        <v>5.7768516700000001</v>
      </c>
      <c r="GG10" s="130">
        <v>5.7015923200000005</v>
      </c>
      <c r="GH10" s="130">
        <v>5.7015923200000005</v>
      </c>
      <c r="GI10" s="130">
        <v>7.8884265400000002</v>
      </c>
      <c r="GJ10" s="130">
        <v>7.8884265400000002</v>
      </c>
      <c r="GK10" s="130">
        <v>16.724528539999998</v>
      </c>
      <c r="GL10" s="130">
        <v>16.073701539999998</v>
      </c>
      <c r="GM10" s="130">
        <v>16.073701539999998</v>
      </c>
      <c r="GN10" s="130">
        <v>16.06166911</v>
      </c>
      <c r="GO10" s="130">
        <v>16.06166911</v>
      </c>
      <c r="GP10" s="130">
        <v>16.927269110000001</v>
      </c>
      <c r="GQ10" s="130">
        <v>16.927269110000001</v>
      </c>
      <c r="GR10" s="130">
        <v>16.927269110000001</v>
      </c>
      <c r="GS10" s="130">
        <v>16.69439582</v>
      </c>
      <c r="GT10" s="130">
        <v>16.697351820000002</v>
      </c>
      <c r="GU10" s="650">
        <v>16.697351820000002</v>
      </c>
      <c r="GV10" s="130">
        <v>16.64264713</v>
      </c>
      <c r="GW10" s="130">
        <v>16.64264713</v>
      </c>
      <c r="GX10" s="130">
        <v>16.642571529999998</v>
      </c>
      <c r="GY10" s="130">
        <v>16.642571529999998</v>
      </c>
      <c r="GZ10" s="130">
        <v>16.642571529999998</v>
      </c>
      <c r="HA10" s="130">
        <v>16.642571529999998</v>
      </c>
      <c r="HB10" s="130">
        <v>16.633176150000001</v>
      </c>
      <c r="HC10" s="130">
        <v>16.633176150000001</v>
      </c>
      <c r="HD10" s="130">
        <v>16.631979149999999</v>
      </c>
      <c r="HE10" s="130">
        <v>16.631979149999999</v>
      </c>
      <c r="HF10" s="130">
        <v>16.631979149999999</v>
      </c>
      <c r="HG10" s="130">
        <v>16.609279149999999</v>
      </c>
      <c r="HH10" s="130">
        <v>16.609279149999999</v>
      </c>
      <c r="HI10" s="130">
        <v>16.609279149999999</v>
      </c>
      <c r="HJ10" s="130">
        <v>16.609279149999999</v>
      </c>
      <c r="HK10" s="130">
        <v>16.609279149999999</v>
      </c>
      <c r="HL10" s="130">
        <v>16.604257149999999</v>
      </c>
      <c r="HM10" s="130">
        <v>16.604257149999999</v>
      </c>
      <c r="HN10" s="130">
        <v>16.604257149999999</v>
      </c>
      <c r="HO10" s="130">
        <v>16.604257149999999</v>
      </c>
      <c r="HP10" s="130">
        <v>17.06755184</v>
      </c>
      <c r="HQ10" s="130">
        <v>17.06755184</v>
      </c>
      <c r="HR10" s="944">
        <v>15.765897839999999</v>
      </c>
      <c r="HS10" s="945">
        <v>15.765897839999999</v>
      </c>
      <c r="HT10" s="946">
        <v>15.765897839999999</v>
      </c>
      <c r="HU10" s="946">
        <v>15.765897839999999</v>
      </c>
      <c r="HV10" s="946">
        <v>15.80814277</v>
      </c>
      <c r="HW10" s="946">
        <v>15.80814277</v>
      </c>
      <c r="HX10" s="946">
        <v>15.79101277</v>
      </c>
      <c r="HY10" s="946">
        <v>15.79101277</v>
      </c>
      <c r="HZ10" s="946">
        <v>15.79101277</v>
      </c>
      <c r="IA10" s="946">
        <v>15.79101277</v>
      </c>
      <c r="IB10" s="946">
        <v>15.79101277</v>
      </c>
      <c r="IC10" s="946">
        <v>15.79101277</v>
      </c>
      <c r="ID10" s="946">
        <v>15.79101277</v>
      </c>
      <c r="IE10" s="946">
        <v>15.79101277</v>
      </c>
      <c r="IF10" s="946">
        <v>15.79101277</v>
      </c>
      <c r="IG10" s="946">
        <v>15.79101277</v>
      </c>
      <c r="IH10" s="946">
        <v>15.79101277</v>
      </c>
      <c r="II10" s="946">
        <v>15.79101277</v>
      </c>
      <c r="IJ10" s="946">
        <v>15.79101277</v>
      </c>
      <c r="IK10" s="946">
        <v>15.79101277</v>
      </c>
      <c r="IL10" s="946">
        <v>15.79101277</v>
      </c>
      <c r="IM10" s="946">
        <v>15.79101277</v>
      </c>
      <c r="IN10" s="946">
        <v>15.79101277</v>
      </c>
      <c r="IO10" s="946">
        <v>15.788348769999999</v>
      </c>
      <c r="IP10" s="946">
        <v>15.788348769999999</v>
      </c>
      <c r="IQ10" s="946">
        <v>15.788348769999999</v>
      </c>
      <c r="IR10" s="946">
        <v>15.788348769999999</v>
      </c>
      <c r="IS10" s="946">
        <v>15.788348769999999</v>
      </c>
      <c r="IT10" s="946">
        <v>15.788348769999999</v>
      </c>
      <c r="IU10" s="946">
        <v>15.788348769999999</v>
      </c>
      <c r="IV10" s="946">
        <v>15.788348769999999</v>
      </c>
      <c r="IW10" s="946">
        <v>15.788348769999999</v>
      </c>
      <c r="IX10" s="946">
        <v>15.788348769999999</v>
      </c>
      <c r="IY10" s="947">
        <v>15.788348769999999</v>
      </c>
      <c r="IZ10" s="946">
        <v>15.788348769999999</v>
      </c>
      <c r="JA10" s="946">
        <v>15.788348769999999</v>
      </c>
      <c r="JB10" s="946">
        <v>15.788348769999999</v>
      </c>
      <c r="JC10" s="946">
        <v>15.788348769999999</v>
      </c>
      <c r="JD10" s="946">
        <v>15.788348769999999</v>
      </c>
      <c r="JE10" s="946">
        <v>15.788348769999999</v>
      </c>
      <c r="JF10" s="946">
        <v>15.788348769999999</v>
      </c>
      <c r="JG10" s="946">
        <v>15.788348769999999</v>
      </c>
      <c r="JH10" s="946">
        <v>15.788348769999999</v>
      </c>
      <c r="JI10" s="946">
        <v>15.788348769999999</v>
      </c>
      <c r="JJ10" s="946">
        <v>15.788348769999999</v>
      </c>
      <c r="JK10" s="946">
        <v>15.787448769999999</v>
      </c>
      <c r="JL10" s="946">
        <v>15.7705112</v>
      </c>
      <c r="JM10" s="946">
        <v>15.7705112</v>
      </c>
      <c r="JN10" s="946">
        <v>15.7705112</v>
      </c>
      <c r="JO10" s="946">
        <v>15.7705112</v>
      </c>
      <c r="JP10" s="946">
        <v>15.7705112</v>
      </c>
      <c r="JQ10" s="946">
        <v>15.7705112</v>
      </c>
      <c r="JR10" s="946">
        <v>15.7705112</v>
      </c>
      <c r="JS10" s="946">
        <v>15.7705112</v>
      </c>
      <c r="JT10" s="946">
        <v>15.7705112</v>
      </c>
      <c r="JU10" s="946">
        <v>15.7705112</v>
      </c>
      <c r="JV10" s="946">
        <v>15.7705112</v>
      </c>
      <c r="JW10" s="946">
        <v>15.7705112</v>
      </c>
      <c r="JX10" s="946">
        <v>15.7705112</v>
      </c>
      <c r="JY10" s="946">
        <v>15.7705112</v>
      </c>
      <c r="JZ10" s="946">
        <v>15.7705112</v>
      </c>
      <c r="KA10" s="946">
        <v>15.7705112</v>
      </c>
      <c r="KB10" s="946">
        <v>15.7705112</v>
      </c>
      <c r="KC10" s="946">
        <v>15.7705112</v>
      </c>
      <c r="KD10" s="946">
        <v>15.768551199999999</v>
      </c>
      <c r="KE10" s="946">
        <v>15.768551199999999</v>
      </c>
      <c r="KF10" s="946">
        <v>15.768551199999999</v>
      </c>
      <c r="KG10" s="946">
        <v>15.768551199999999</v>
      </c>
      <c r="KH10" s="946">
        <v>15.768551199999999</v>
      </c>
      <c r="KI10" s="946">
        <v>15.768551199999999</v>
      </c>
      <c r="KJ10" s="946">
        <v>15.768551199999999</v>
      </c>
      <c r="KK10" s="946">
        <v>15.768551199999999</v>
      </c>
      <c r="KL10" s="946">
        <v>15.768551199999999</v>
      </c>
      <c r="KM10" s="946">
        <v>15.768551199999999</v>
      </c>
      <c r="KN10" s="946">
        <v>15.768551199999999</v>
      </c>
      <c r="KO10" s="946">
        <v>15.768551199999999</v>
      </c>
      <c r="KP10" s="946">
        <v>15.768551199999999</v>
      </c>
      <c r="KQ10" s="946">
        <v>15.768551199999999</v>
      </c>
      <c r="KR10" s="946">
        <v>15.63679791</v>
      </c>
      <c r="KS10" s="947">
        <v>15.63679791</v>
      </c>
      <c r="KT10" s="947">
        <v>15.63679791</v>
      </c>
      <c r="KU10" s="947">
        <v>15.63679791</v>
      </c>
      <c r="KV10" s="947">
        <v>15.63490191</v>
      </c>
      <c r="KW10" s="947">
        <v>15.63490191</v>
      </c>
      <c r="KX10" s="947">
        <v>15.63490191</v>
      </c>
      <c r="KY10" s="947">
        <v>15.63490191</v>
      </c>
      <c r="KZ10" s="947">
        <v>15.63490191</v>
      </c>
      <c r="LA10" s="947">
        <v>15.63490191</v>
      </c>
      <c r="LB10" s="947">
        <v>15.63490191</v>
      </c>
      <c r="LC10" s="947">
        <v>15.63490191</v>
      </c>
      <c r="LD10" s="947">
        <v>15.62419191</v>
      </c>
      <c r="LE10" s="947">
        <v>15.62419191</v>
      </c>
      <c r="LF10" s="947">
        <v>15.62419191</v>
      </c>
      <c r="LG10" s="947">
        <v>15.62419191</v>
      </c>
      <c r="LH10" s="947">
        <v>15.62149391</v>
      </c>
      <c r="LI10" s="947">
        <v>15.62149391</v>
      </c>
      <c r="LJ10" s="947">
        <v>16.724816969999999</v>
      </c>
      <c r="LK10" s="947">
        <v>15.687094310000001</v>
      </c>
      <c r="LL10" s="947">
        <v>16.724816969999999</v>
      </c>
      <c r="LM10" s="947">
        <v>16.709442970000001</v>
      </c>
      <c r="LN10" s="947">
        <v>16.709442970000001</v>
      </c>
      <c r="LO10" s="947">
        <v>16.709442970000001</v>
      </c>
      <c r="LP10" s="947">
        <v>16.709442970000001</v>
      </c>
      <c r="LQ10" s="947">
        <v>16.709442970000001</v>
      </c>
      <c r="LR10" s="947">
        <v>16.70757897</v>
      </c>
      <c r="LS10" s="947">
        <v>16.70757897</v>
      </c>
      <c r="LT10" s="947">
        <v>16.70757897</v>
      </c>
      <c r="LU10" s="947">
        <v>16.70757897</v>
      </c>
      <c r="LV10" s="947">
        <v>16.70757897</v>
      </c>
      <c r="LW10" s="947">
        <v>16.707572970000001</v>
      </c>
      <c r="LX10" s="947">
        <v>16.707572970000001</v>
      </c>
      <c r="LY10" s="947">
        <v>16.707572970000001</v>
      </c>
      <c r="LZ10" s="947">
        <v>16.707572970000001</v>
      </c>
      <c r="MA10" s="947">
        <v>16.707572970000001</v>
      </c>
      <c r="MB10" s="947">
        <v>16.707572970000001</v>
      </c>
      <c r="MC10" s="947">
        <v>16.707572970000001</v>
      </c>
      <c r="MD10" s="947">
        <v>16.696862970000002</v>
      </c>
      <c r="ME10" s="947">
        <v>16.690030970000002</v>
      </c>
      <c r="MF10" s="947">
        <v>16.689780970000001</v>
      </c>
      <c r="MG10" s="947">
        <v>16.68953097</v>
      </c>
      <c r="MH10" s="947">
        <v>16.68953097</v>
      </c>
      <c r="MI10" s="947">
        <v>16.686608970000002</v>
      </c>
      <c r="MJ10" s="947">
        <v>16.686608970000002</v>
      </c>
      <c r="MK10" s="947">
        <v>16.686608970000002</v>
      </c>
      <c r="ML10" s="947">
        <v>16.686608970000002</v>
      </c>
      <c r="MM10" s="947">
        <v>16.686608970000002</v>
      </c>
      <c r="MN10" s="947">
        <v>1.079897E-2</v>
      </c>
      <c r="MO10" s="947">
        <v>1.079897E-2</v>
      </c>
      <c r="MP10" s="947">
        <v>1.079897E-2</v>
      </c>
      <c r="MQ10" s="947">
        <v>1.079897E-2</v>
      </c>
      <c r="MR10" s="947">
        <v>1.079897E-2</v>
      </c>
      <c r="MS10" s="947">
        <v>1.079897E-2</v>
      </c>
      <c r="MT10" s="947">
        <v>1.079897E-2</v>
      </c>
      <c r="MU10" s="947">
        <v>1.079897E-2</v>
      </c>
      <c r="MV10" s="947">
        <v>1.079897E-2</v>
      </c>
      <c r="MW10" s="947">
        <v>1.079897E-2</v>
      </c>
      <c r="MX10" s="947">
        <v>1.079897E-2</v>
      </c>
      <c r="MY10" s="947">
        <v>1.079897E-2</v>
      </c>
      <c r="MZ10" s="947">
        <v>1.079897E-2</v>
      </c>
      <c r="NA10" s="947">
        <v>1.079897E-2</v>
      </c>
      <c r="NB10" s="947">
        <v>1.079897E-2</v>
      </c>
      <c r="NC10" s="947">
        <v>0</v>
      </c>
      <c r="ND10" s="947">
        <v>0</v>
      </c>
      <c r="NE10" s="947">
        <v>0</v>
      </c>
      <c r="NF10" s="947">
        <v>0</v>
      </c>
      <c r="NG10" s="947">
        <v>0</v>
      </c>
      <c r="NH10" s="947">
        <v>0</v>
      </c>
      <c r="NI10" s="947">
        <v>0</v>
      </c>
      <c r="NJ10" s="947">
        <v>0</v>
      </c>
      <c r="NK10" s="947">
        <v>0</v>
      </c>
      <c r="NL10" s="947">
        <v>0</v>
      </c>
      <c r="NM10" s="947">
        <v>0</v>
      </c>
      <c r="NN10" s="947">
        <v>0</v>
      </c>
      <c r="NO10" s="947">
        <v>0</v>
      </c>
      <c r="NP10" s="947">
        <v>0</v>
      </c>
      <c r="NQ10" s="947">
        <v>0</v>
      </c>
      <c r="NR10" s="947">
        <v>0</v>
      </c>
      <c r="NS10" s="947">
        <v>0</v>
      </c>
      <c r="NT10" s="947">
        <v>0</v>
      </c>
      <c r="NU10" s="947">
        <v>0</v>
      </c>
      <c r="NV10" s="947">
        <v>0</v>
      </c>
      <c r="NW10" s="947">
        <v>0</v>
      </c>
      <c r="NX10" s="947">
        <v>0</v>
      </c>
      <c r="NY10" s="947">
        <v>0</v>
      </c>
      <c r="NZ10" s="947">
        <v>0</v>
      </c>
      <c r="OA10" s="947">
        <v>0</v>
      </c>
      <c r="OB10" s="947">
        <v>0</v>
      </c>
      <c r="OC10" s="947">
        <v>0</v>
      </c>
      <c r="OD10" s="947">
        <v>0</v>
      </c>
      <c r="OE10" s="947">
        <v>0</v>
      </c>
      <c r="OF10" s="947">
        <v>0</v>
      </c>
      <c r="OG10" s="947">
        <v>0</v>
      </c>
      <c r="OH10" s="947">
        <v>0</v>
      </c>
      <c r="OI10" s="947">
        <v>0</v>
      </c>
      <c r="OJ10" s="947">
        <v>0</v>
      </c>
      <c r="OK10" s="947">
        <v>0</v>
      </c>
      <c r="OL10" s="947">
        <v>0</v>
      </c>
      <c r="OM10" s="947">
        <v>0</v>
      </c>
      <c r="ON10" s="947">
        <v>0</v>
      </c>
      <c r="OO10" s="947">
        <v>0</v>
      </c>
      <c r="OP10" s="947">
        <v>0</v>
      </c>
      <c r="OQ10" s="947">
        <v>0</v>
      </c>
      <c r="OR10" s="947">
        <v>0</v>
      </c>
      <c r="OS10" s="947">
        <v>0</v>
      </c>
      <c r="OT10" s="947">
        <v>0</v>
      </c>
      <c r="OU10" s="947">
        <v>0</v>
      </c>
      <c r="OV10" s="947">
        <v>0</v>
      </c>
      <c r="OW10" s="947">
        <v>0</v>
      </c>
      <c r="OX10" s="947">
        <v>0</v>
      </c>
      <c r="OY10" s="947">
        <v>0</v>
      </c>
      <c r="OZ10" s="947">
        <v>0</v>
      </c>
      <c r="PA10" s="947">
        <v>0</v>
      </c>
      <c r="PB10" s="947">
        <v>0</v>
      </c>
      <c r="PC10" s="947">
        <v>0</v>
      </c>
      <c r="PD10" s="947">
        <v>0</v>
      </c>
      <c r="PE10" s="947">
        <v>0</v>
      </c>
      <c r="PF10" s="947">
        <v>0</v>
      </c>
      <c r="PG10" s="947">
        <v>0</v>
      </c>
      <c r="PH10" s="947">
        <v>0</v>
      </c>
      <c r="PI10" s="947">
        <v>0</v>
      </c>
      <c r="PJ10" s="947">
        <v>0</v>
      </c>
      <c r="PK10" s="947">
        <v>0</v>
      </c>
      <c r="PL10" s="947">
        <v>0</v>
      </c>
      <c r="PM10" s="947">
        <v>0</v>
      </c>
      <c r="PN10" s="947">
        <v>0</v>
      </c>
      <c r="PO10" s="947">
        <v>0</v>
      </c>
      <c r="PP10" s="947">
        <v>0</v>
      </c>
      <c r="PQ10" s="947">
        <v>0</v>
      </c>
      <c r="PR10" s="947">
        <v>0</v>
      </c>
      <c r="PS10" s="947">
        <v>0</v>
      </c>
      <c r="PT10" s="947">
        <v>0</v>
      </c>
      <c r="PU10" s="947">
        <v>0</v>
      </c>
      <c r="PV10" s="947">
        <v>0</v>
      </c>
      <c r="PW10" s="947">
        <v>0</v>
      </c>
      <c r="PX10" s="947">
        <v>0</v>
      </c>
      <c r="PY10" s="947">
        <v>0</v>
      </c>
      <c r="PZ10" s="947">
        <v>0</v>
      </c>
      <c r="QA10" s="947">
        <v>0</v>
      </c>
      <c r="QB10" s="947">
        <v>0</v>
      </c>
      <c r="QC10" s="947">
        <v>0</v>
      </c>
      <c r="QD10" s="947">
        <v>0</v>
      </c>
      <c r="QE10" s="947">
        <v>0</v>
      </c>
      <c r="QF10" s="947">
        <v>0</v>
      </c>
      <c r="QG10" s="947">
        <v>0</v>
      </c>
      <c r="QH10" s="947">
        <v>0</v>
      </c>
      <c r="QI10" s="947">
        <v>0</v>
      </c>
      <c r="QJ10" s="947">
        <v>0</v>
      </c>
      <c r="QK10" s="947">
        <v>0</v>
      </c>
      <c r="QL10" s="947">
        <v>0</v>
      </c>
      <c r="QM10" s="947">
        <v>0</v>
      </c>
      <c r="QN10" s="947">
        <v>0</v>
      </c>
      <c r="QO10" s="947">
        <v>0</v>
      </c>
      <c r="QP10" s="947">
        <v>0</v>
      </c>
      <c r="QQ10" s="947">
        <v>0</v>
      </c>
      <c r="QR10" s="947">
        <v>0</v>
      </c>
      <c r="QS10" s="947">
        <v>0</v>
      </c>
      <c r="QT10" s="947">
        <v>0</v>
      </c>
      <c r="QU10" s="947">
        <v>0</v>
      </c>
      <c r="QV10" s="947">
        <v>0</v>
      </c>
      <c r="QW10" s="947">
        <v>0</v>
      </c>
      <c r="QX10" s="947">
        <v>0</v>
      </c>
      <c r="QY10" s="947">
        <v>0</v>
      </c>
      <c r="QZ10" s="947">
        <v>0</v>
      </c>
      <c r="RA10" s="947">
        <v>0</v>
      </c>
      <c r="RB10" s="947">
        <v>0</v>
      </c>
      <c r="RC10" s="947">
        <v>0</v>
      </c>
      <c r="RD10" s="947">
        <v>0</v>
      </c>
      <c r="RE10" s="947">
        <v>0</v>
      </c>
      <c r="RF10" s="947">
        <v>0</v>
      </c>
      <c r="RG10" s="947">
        <v>0</v>
      </c>
      <c r="RH10" s="947">
        <v>0</v>
      </c>
      <c r="RI10" s="947">
        <v>0</v>
      </c>
      <c r="RJ10" s="947">
        <v>0</v>
      </c>
      <c r="RK10" s="947">
        <v>0</v>
      </c>
      <c r="RL10" s="947">
        <v>0</v>
      </c>
      <c r="RM10" s="947">
        <v>0</v>
      </c>
      <c r="RN10" s="947">
        <v>0</v>
      </c>
      <c r="RO10" s="947">
        <v>0</v>
      </c>
      <c r="RP10" s="947">
        <v>0</v>
      </c>
      <c r="RQ10" s="947">
        <v>0</v>
      </c>
      <c r="RR10" s="947">
        <v>0</v>
      </c>
      <c r="RS10" s="947">
        <v>0</v>
      </c>
      <c r="RT10" s="947">
        <v>0</v>
      </c>
      <c r="RU10" s="947">
        <v>0</v>
      </c>
      <c r="RV10" s="947">
        <v>0</v>
      </c>
      <c r="RW10" s="947">
        <v>0</v>
      </c>
      <c r="RX10" s="947">
        <v>0</v>
      </c>
      <c r="RY10" s="947">
        <v>0</v>
      </c>
      <c r="RZ10" s="947">
        <v>0</v>
      </c>
      <c r="SA10" s="947">
        <v>0</v>
      </c>
      <c r="SB10" s="947">
        <v>0</v>
      </c>
      <c r="SC10" s="947">
        <v>0</v>
      </c>
      <c r="SD10" s="947">
        <v>0</v>
      </c>
      <c r="SE10" s="947">
        <v>0</v>
      </c>
      <c r="SF10" s="947">
        <v>0</v>
      </c>
      <c r="SG10" s="947">
        <v>0</v>
      </c>
      <c r="SH10" s="947">
        <v>0</v>
      </c>
      <c r="SI10" s="947">
        <v>0</v>
      </c>
      <c r="SJ10" s="947">
        <v>0</v>
      </c>
      <c r="SK10" s="947">
        <v>0</v>
      </c>
      <c r="SL10" s="947">
        <v>0</v>
      </c>
      <c r="SM10" s="947">
        <v>0</v>
      </c>
      <c r="SN10" s="947">
        <v>0</v>
      </c>
      <c r="SO10" s="947">
        <v>0</v>
      </c>
      <c r="SP10" s="947">
        <v>0</v>
      </c>
      <c r="SQ10" s="947">
        <v>0</v>
      </c>
      <c r="SR10" s="947">
        <v>0</v>
      </c>
      <c r="SS10" s="947">
        <v>0</v>
      </c>
      <c r="ST10" s="947">
        <v>0</v>
      </c>
      <c r="SU10" s="947">
        <v>0</v>
      </c>
      <c r="SV10" s="947">
        <v>0</v>
      </c>
      <c r="SW10" s="947">
        <v>0</v>
      </c>
      <c r="SX10" s="947">
        <v>0</v>
      </c>
      <c r="SY10" s="947">
        <v>0</v>
      </c>
      <c r="SZ10" s="947">
        <v>0</v>
      </c>
      <c r="TA10" s="947">
        <v>0</v>
      </c>
      <c r="TB10" s="947">
        <v>0</v>
      </c>
      <c r="TC10" s="947">
        <v>0</v>
      </c>
      <c r="TD10" s="947">
        <v>0</v>
      </c>
      <c r="TE10" s="947">
        <v>0</v>
      </c>
      <c r="TF10" s="947">
        <v>0</v>
      </c>
      <c r="TG10" s="947">
        <v>0</v>
      </c>
      <c r="TH10" s="947">
        <v>0</v>
      </c>
      <c r="TI10" s="947">
        <v>0</v>
      </c>
      <c r="TJ10" s="947">
        <v>0</v>
      </c>
      <c r="TK10" s="947">
        <v>0</v>
      </c>
      <c r="TL10" s="947">
        <v>0</v>
      </c>
      <c r="TM10" s="947">
        <v>0</v>
      </c>
      <c r="TN10" s="947">
        <v>0</v>
      </c>
      <c r="TO10" s="947">
        <v>0</v>
      </c>
      <c r="TP10" s="947">
        <v>0</v>
      </c>
      <c r="TQ10" s="947">
        <v>0</v>
      </c>
      <c r="TR10" s="947">
        <v>0</v>
      </c>
      <c r="TS10" s="947">
        <v>0</v>
      </c>
      <c r="TT10" s="947">
        <v>0</v>
      </c>
      <c r="TU10" s="947">
        <v>0</v>
      </c>
      <c r="TV10" s="947">
        <v>0</v>
      </c>
      <c r="TW10" s="947">
        <v>0</v>
      </c>
      <c r="TX10" s="947">
        <v>0</v>
      </c>
      <c r="TY10" s="947">
        <v>0</v>
      </c>
      <c r="TZ10" s="947">
        <v>0</v>
      </c>
      <c r="UA10" s="947">
        <v>0</v>
      </c>
      <c r="UB10" s="947">
        <v>0</v>
      </c>
      <c r="UC10" s="947">
        <v>0</v>
      </c>
      <c r="UD10" s="947">
        <v>0</v>
      </c>
      <c r="UE10" s="947">
        <v>0</v>
      </c>
      <c r="UF10" s="947">
        <v>0</v>
      </c>
      <c r="UG10" s="947">
        <v>0</v>
      </c>
      <c r="UH10" s="947">
        <v>0</v>
      </c>
      <c r="UI10" s="947">
        <v>0</v>
      </c>
      <c r="UJ10" s="947">
        <v>0</v>
      </c>
      <c r="UK10" s="947">
        <v>0</v>
      </c>
      <c r="UL10" s="947">
        <v>0</v>
      </c>
      <c r="UM10" s="947">
        <v>0</v>
      </c>
      <c r="UN10" s="947">
        <v>0</v>
      </c>
      <c r="UO10" s="947">
        <v>0</v>
      </c>
      <c r="UP10" s="947">
        <v>0</v>
      </c>
      <c r="UQ10" s="947">
        <v>0</v>
      </c>
      <c r="UR10" s="947">
        <v>0</v>
      </c>
      <c r="US10" s="947">
        <v>0</v>
      </c>
      <c r="UT10" s="947">
        <v>0</v>
      </c>
      <c r="UU10" s="947">
        <v>0</v>
      </c>
      <c r="UV10" s="947">
        <v>0</v>
      </c>
      <c r="UW10" s="947">
        <v>0</v>
      </c>
      <c r="UX10" s="947">
        <v>0</v>
      </c>
      <c r="UY10" s="947">
        <v>0</v>
      </c>
      <c r="UZ10" s="947">
        <v>0</v>
      </c>
      <c r="VA10" s="947">
        <v>0</v>
      </c>
      <c r="VB10" s="947">
        <v>0</v>
      </c>
      <c r="VC10" s="947">
        <v>0</v>
      </c>
      <c r="VD10" s="947">
        <v>0</v>
      </c>
      <c r="VE10" s="947">
        <v>0</v>
      </c>
      <c r="VF10" s="947">
        <v>0</v>
      </c>
      <c r="VG10" s="947">
        <v>0</v>
      </c>
      <c r="VH10" s="947">
        <v>0</v>
      </c>
      <c r="VI10" s="947">
        <v>0</v>
      </c>
      <c r="VJ10" s="947">
        <v>0</v>
      </c>
      <c r="VK10" s="947">
        <v>0</v>
      </c>
      <c r="VL10" s="947">
        <v>0</v>
      </c>
      <c r="VM10" s="947">
        <v>0</v>
      </c>
      <c r="VN10" s="947">
        <v>0</v>
      </c>
      <c r="VO10" s="947">
        <v>0</v>
      </c>
      <c r="VP10" s="947">
        <v>0</v>
      </c>
      <c r="VQ10" s="947">
        <v>0</v>
      </c>
      <c r="VR10" s="947">
        <v>0</v>
      </c>
      <c r="VS10" s="947">
        <v>0</v>
      </c>
      <c r="VT10" s="947">
        <v>0</v>
      </c>
      <c r="VU10" s="947">
        <v>0</v>
      </c>
      <c r="VV10" s="947">
        <v>0</v>
      </c>
      <c r="VW10" s="947">
        <v>0</v>
      </c>
      <c r="VX10" s="947">
        <v>0</v>
      </c>
      <c r="VY10" s="947">
        <v>0</v>
      </c>
      <c r="VZ10" s="947">
        <v>0</v>
      </c>
      <c r="WA10" s="947">
        <v>0</v>
      </c>
      <c r="WB10" s="947">
        <v>0</v>
      </c>
      <c r="WC10" s="947">
        <v>0</v>
      </c>
      <c r="WD10" s="947">
        <v>0</v>
      </c>
      <c r="WE10" s="947">
        <v>0</v>
      </c>
      <c r="WF10" s="947">
        <v>0</v>
      </c>
      <c r="WG10" s="947">
        <v>0</v>
      </c>
      <c r="WH10" s="947">
        <v>0</v>
      </c>
      <c r="WI10" s="947">
        <v>0</v>
      </c>
      <c r="WJ10" s="947">
        <v>0</v>
      </c>
      <c r="WK10" s="947">
        <v>0</v>
      </c>
      <c r="WL10" s="947">
        <v>0</v>
      </c>
      <c r="WM10" s="947">
        <v>0</v>
      </c>
      <c r="WN10" s="947">
        <v>0</v>
      </c>
      <c r="WO10" s="947">
        <v>0</v>
      </c>
      <c r="WP10" s="947">
        <v>0</v>
      </c>
      <c r="WQ10" s="947">
        <v>0</v>
      </c>
      <c r="WR10" s="947">
        <v>0</v>
      </c>
      <c r="WS10" s="947">
        <v>0</v>
      </c>
      <c r="WT10" s="947">
        <v>0</v>
      </c>
      <c r="WU10" s="947">
        <v>0</v>
      </c>
      <c r="WV10" s="947">
        <v>0</v>
      </c>
      <c r="WW10" s="947">
        <v>0</v>
      </c>
      <c r="WX10" s="947">
        <v>0</v>
      </c>
      <c r="WY10" s="947">
        <v>0</v>
      </c>
      <c r="WZ10" s="947">
        <v>0</v>
      </c>
      <c r="XA10" s="947">
        <v>0</v>
      </c>
      <c r="XB10" s="947">
        <v>0</v>
      </c>
      <c r="XC10" s="947">
        <v>0</v>
      </c>
      <c r="XD10" s="947">
        <v>0</v>
      </c>
      <c r="XE10" s="947">
        <v>0</v>
      </c>
      <c r="XF10" s="947">
        <v>0</v>
      </c>
      <c r="XG10" s="947">
        <v>0</v>
      </c>
      <c r="XH10" s="947">
        <v>0</v>
      </c>
      <c r="XI10" s="947">
        <v>0</v>
      </c>
      <c r="XJ10" s="947">
        <v>0</v>
      </c>
      <c r="XK10" s="947">
        <v>0</v>
      </c>
      <c r="XL10" s="947">
        <v>0</v>
      </c>
      <c r="XM10" s="947">
        <v>0</v>
      </c>
      <c r="XN10" s="947">
        <v>0</v>
      </c>
      <c r="XO10" s="947">
        <v>0</v>
      </c>
      <c r="XP10" s="947">
        <v>0</v>
      </c>
      <c r="XQ10" s="947">
        <v>0</v>
      </c>
      <c r="XR10" s="947">
        <v>0</v>
      </c>
      <c r="XS10" s="947">
        <v>0</v>
      </c>
      <c r="XT10" s="947">
        <v>0</v>
      </c>
      <c r="XU10" s="947">
        <v>0</v>
      </c>
      <c r="XV10" s="947">
        <v>0</v>
      </c>
      <c r="XW10" s="947">
        <v>0</v>
      </c>
      <c r="XX10" s="947">
        <v>0</v>
      </c>
      <c r="XY10" s="947">
        <v>0</v>
      </c>
      <c r="XZ10" s="947">
        <v>0</v>
      </c>
      <c r="YA10" s="947">
        <v>0</v>
      </c>
      <c r="YB10" s="947">
        <v>0</v>
      </c>
      <c r="YC10" s="947">
        <v>0</v>
      </c>
      <c r="YD10" s="947">
        <v>0</v>
      </c>
      <c r="YE10" s="947">
        <v>0</v>
      </c>
      <c r="YF10" s="947">
        <v>0</v>
      </c>
      <c r="YG10" s="947">
        <v>0</v>
      </c>
      <c r="YH10" s="947">
        <v>0</v>
      </c>
    </row>
    <row r="11" spans="2:658" s="948" customFormat="1">
      <c r="B11" s="919" t="s">
        <v>62</v>
      </c>
      <c r="C11" s="920">
        <f t="shared" ref="C11:H11" si="118">SUM(C5:C10)</f>
        <v>392.13076576999998</v>
      </c>
      <c r="D11" s="128">
        <f t="shared" si="118"/>
        <v>242.17728765999999</v>
      </c>
      <c r="E11" s="128">
        <f t="shared" si="118"/>
        <v>221.21667332999999</v>
      </c>
      <c r="F11" s="128">
        <f t="shared" si="118"/>
        <v>213.87828789999998</v>
      </c>
      <c r="G11" s="128">
        <f t="shared" si="118"/>
        <v>218.08177821000001</v>
      </c>
      <c r="H11" s="128">
        <f t="shared" si="118"/>
        <v>139.56172276999999</v>
      </c>
      <c r="I11" s="128">
        <f t="shared" ref="I11:P11" si="119">SUM(I5:I10)</f>
        <v>125.77774896</v>
      </c>
      <c r="J11" s="128">
        <f t="shared" si="119"/>
        <v>132.84291549999998</v>
      </c>
      <c r="K11" s="128">
        <f t="shared" si="119"/>
        <v>136.33007807000001</v>
      </c>
      <c r="L11" s="128">
        <f t="shared" si="119"/>
        <v>604.06801706999988</v>
      </c>
      <c r="M11" s="128">
        <f t="shared" si="119"/>
        <v>509.65680574999999</v>
      </c>
      <c r="N11" s="128">
        <f t="shared" si="119"/>
        <v>200.81580895000002</v>
      </c>
      <c r="O11" s="128">
        <f t="shared" si="119"/>
        <v>186.04006429</v>
      </c>
      <c r="P11" s="128">
        <f t="shared" si="119"/>
        <v>182.10892676999998</v>
      </c>
      <c r="Q11" s="128">
        <f t="shared" ref="Q11:R11" si="120">SUM(Q5:Q10)</f>
        <v>189.78219154999999</v>
      </c>
      <c r="R11" s="128">
        <f t="shared" si="120"/>
        <v>172.73174315</v>
      </c>
      <c r="S11" s="128">
        <f t="shared" ref="S11:T11" si="121">SUM(S5:S10)</f>
        <v>167.83991039</v>
      </c>
      <c r="T11" s="128">
        <f t="shared" si="121"/>
        <v>164.08445384999999</v>
      </c>
      <c r="U11" s="128">
        <f t="shared" ref="U11" si="122">SUM(U5:U10)</f>
        <v>201.32024090000002</v>
      </c>
      <c r="V11" s="128">
        <f t="shared" ref="V11:X11" si="123">SUM(V5:V10)</f>
        <v>200.83385458000001</v>
      </c>
      <c r="W11" s="128">
        <f t="shared" si="123"/>
        <v>186.12276204</v>
      </c>
      <c r="X11" s="128">
        <f t="shared" si="123"/>
        <v>126.51167028</v>
      </c>
      <c r="Y11" s="128">
        <f t="shared" ref="Y11:Z11" si="124">SUM(Y5:Y10)</f>
        <v>110.84593234999998</v>
      </c>
      <c r="Z11" s="128">
        <f t="shared" si="124"/>
        <v>123.60293163</v>
      </c>
      <c r="AA11" s="128">
        <f t="shared" ref="AA11:AF11" si="125">SUM(AA5:AA10)</f>
        <v>128.99774972</v>
      </c>
      <c r="AB11" s="128">
        <f t="shared" si="125"/>
        <v>84.916235320000013</v>
      </c>
      <c r="AC11" s="128">
        <f t="shared" si="125"/>
        <v>87.836760990000002</v>
      </c>
      <c r="AD11" s="128">
        <f t="shared" si="125"/>
        <v>73.111305460000011</v>
      </c>
      <c r="AE11" s="128">
        <f t="shared" si="125"/>
        <v>91.509198059999989</v>
      </c>
      <c r="AF11" s="128">
        <f t="shared" si="125"/>
        <v>63.250681149999998</v>
      </c>
      <c r="AG11" s="128">
        <f t="shared" ref="AG11:AH11" si="126">SUM(AG5:AG10)</f>
        <v>64.850339140000003</v>
      </c>
      <c r="AH11" s="128">
        <f t="shared" si="126"/>
        <v>220.46722189000002</v>
      </c>
      <c r="AI11" s="128">
        <f t="shared" ref="AI11:AJ11" si="127">SUM(AI5:AI10)</f>
        <v>209.86040459</v>
      </c>
      <c r="AJ11" s="128">
        <f t="shared" si="127"/>
        <v>236.92527709000001</v>
      </c>
      <c r="AK11" s="128">
        <f t="shared" ref="AK11:AL11" si="128">SUM(AK5:AK10)</f>
        <v>240.36579846999999</v>
      </c>
      <c r="AL11" s="128">
        <f t="shared" si="128"/>
        <v>269.95420902999996</v>
      </c>
      <c r="AM11" s="128">
        <f t="shared" ref="AM11:AN11" si="129">SUM(AM5:AM10)</f>
        <v>254.42634985000001</v>
      </c>
      <c r="AN11" s="128">
        <f t="shared" si="129"/>
        <v>266.74830276</v>
      </c>
      <c r="AO11" s="128">
        <f t="shared" ref="AO11:AP11" si="130">SUM(AO5:AO10)</f>
        <v>285.98381262999999</v>
      </c>
      <c r="AP11" s="128">
        <f t="shared" si="130"/>
        <v>220.95905979</v>
      </c>
      <c r="AQ11" s="128">
        <f t="shared" ref="AQ11:AR11" si="131">SUM(AQ5:AQ10)</f>
        <v>203.30745044</v>
      </c>
      <c r="AR11" s="128">
        <f t="shared" si="131"/>
        <v>195.05333504000001</v>
      </c>
      <c r="AS11" s="128">
        <f t="shared" ref="AS11:AU11" si="132">SUM(AS5:AS10)</f>
        <v>190.32259246999999</v>
      </c>
      <c r="AT11" s="128">
        <f t="shared" si="132"/>
        <v>206.75026043</v>
      </c>
      <c r="AU11" s="128">
        <f t="shared" si="132"/>
        <v>197.02964982</v>
      </c>
      <c r="AV11" s="128">
        <f t="shared" ref="AV11:AW11" si="133">SUM(AV5:AV10)</f>
        <v>209.09228681000002</v>
      </c>
      <c r="AW11" s="128">
        <f t="shared" si="133"/>
        <v>187.70308284000004</v>
      </c>
      <c r="AX11" s="128">
        <f t="shared" ref="AX11:AY11" si="134">SUM(AX5:AX10)</f>
        <v>191.63813195</v>
      </c>
      <c r="AY11" s="128">
        <f t="shared" si="134"/>
        <v>221.47636033000001</v>
      </c>
      <c r="AZ11" s="128">
        <f t="shared" ref="AZ11:BA11" si="135">SUM(AZ5:AZ10)</f>
        <v>225.06054168999998</v>
      </c>
      <c r="BA11" s="128">
        <f t="shared" si="135"/>
        <v>247.99288852000001</v>
      </c>
      <c r="BB11" s="128">
        <f t="shared" ref="BB11:BC11" si="136">SUM(BB5:BB10)</f>
        <v>272.74289583000001</v>
      </c>
      <c r="BC11" s="128">
        <f t="shared" si="136"/>
        <v>261.02466450000003</v>
      </c>
      <c r="BD11" s="128">
        <f t="shared" ref="BD11:BE11" si="137">SUM(BD5:BD10)</f>
        <v>232.36039200999997</v>
      </c>
      <c r="BE11" s="128">
        <f t="shared" si="137"/>
        <v>307.5231900899999</v>
      </c>
      <c r="BF11" s="128">
        <f t="shared" ref="BF11:BG11" si="138">SUM(BF5:BF10)</f>
        <v>300.09894201000003</v>
      </c>
      <c r="BG11" s="128">
        <f t="shared" si="138"/>
        <v>287.57333884000002</v>
      </c>
      <c r="BH11" s="128">
        <f t="shared" ref="BH11:BI11" si="139">SUM(BH5:BH10)</f>
        <v>308.56462320999998</v>
      </c>
      <c r="BI11" s="128">
        <f t="shared" si="139"/>
        <v>275.76186650999995</v>
      </c>
      <c r="BJ11" s="128">
        <f t="shared" ref="BJ11:BK11" si="140">SUM(BJ5:BJ10)</f>
        <v>287.77957533</v>
      </c>
      <c r="BK11" s="128">
        <f t="shared" si="140"/>
        <v>159.07177671000002</v>
      </c>
      <c r="BL11" s="128">
        <f t="shared" ref="BL11:BM11" si="141">SUM(BL5:BL10)</f>
        <v>169.20203204000001</v>
      </c>
      <c r="BM11" s="128">
        <f t="shared" si="141"/>
        <v>200.49836647000004</v>
      </c>
      <c r="BN11" s="128">
        <f t="shared" ref="BN11:BO11" si="142">SUM(BN5:BN10)</f>
        <v>176.22029943999999</v>
      </c>
      <c r="BO11" s="128">
        <f t="shared" si="142"/>
        <v>182.02635328</v>
      </c>
      <c r="BP11" s="128">
        <f t="shared" ref="BP11:BQ11" si="143">SUM(BP5:BP10)</f>
        <v>171.73426130999999</v>
      </c>
      <c r="BQ11" s="128">
        <f t="shared" si="143"/>
        <v>153.27861454999999</v>
      </c>
      <c r="BR11" s="128">
        <f t="shared" ref="BR11:BS11" si="144">SUM(BR5:BR10)</f>
        <v>180.81661468999999</v>
      </c>
      <c r="BS11" s="128">
        <f t="shared" si="144"/>
        <v>162.43320624999998</v>
      </c>
      <c r="BT11" s="128">
        <f t="shared" ref="BT11:BU11" si="145">SUM(BT5:BT10)</f>
        <v>174.52153083000002</v>
      </c>
      <c r="BU11" s="128">
        <f t="shared" si="145"/>
        <v>256.81628680000006</v>
      </c>
      <c r="BV11" s="128">
        <f t="shared" ref="BV11:BW11" si="146">SUM(BV5:BV10)</f>
        <v>139.39070833</v>
      </c>
      <c r="BW11" s="128">
        <f t="shared" si="146"/>
        <v>149.07611108</v>
      </c>
      <c r="BX11" s="128">
        <f t="shared" ref="BX11:BY11" si="147">SUM(BX5:BX10)</f>
        <v>167.99712264999999</v>
      </c>
      <c r="BY11" s="128">
        <f t="shared" si="147"/>
        <v>162.16955153999999</v>
      </c>
      <c r="BZ11" s="128">
        <f t="shared" ref="BZ11:CB11" si="148">SUM(BZ5:BZ10)</f>
        <v>288.77279331</v>
      </c>
      <c r="CA11" s="128">
        <f t="shared" ref="CA11" si="149">SUM(CA5:CA10)</f>
        <v>266.09218297999996</v>
      </c>
      <c r="CB11" s="128">
        <f t="shared" si="148"/>
        <v>272.18979477999994</v>
      </c>
      <c r="CC11" s="128">
        <f t="shared" ref="CC11:CD11" si="150">SUM(CC5:CC10)</f>
        <v>243.50012761000002</v>
      </c>
      <c r="CD11" s="128">
        <f t="shared" si="150"/>
        <v>249.88240268000004</v>
      </c>
      <c r="CE11" s="128">
        <f t="shared" ref="CE11:CF11" si="151">SUM(CE5:CE10)</f>
        <v>363.23012686999999</v>
      </c>
      <c r="CF11" s="128">
        <f t="shared" si="151"/>
        <v>462.63112071</v>
      </c>
      <c r="CG11" s="128">
        <f t="shared" ref="CG11:CH11" si="152">SUM(CG5:CG10)</f>
        <v>475.82283737000006</v>
      </c>
      <c r="CH11" s="128">
        <f t="shared" si="152"/>
        <v>469.92496070999999</v>
      </c>
      <c r="CI11" s="128">
        <f t="shared" ref="CI11:CJ11" si="153">SUM(CI5:CI10)</f>
        <v>470.09202248000003</v>
      </c>
      <c r="CJ11" s="128">
        <f t="shared" si="153"/>
        <v>524.48048320999999</v>
      </c>
      <c r="CK11" s="128">
        <f t="shared" ref="CK11:CL11" si="154">SUM(CK5:CK10)</f>
        <v>542.48546036000005</v>
      </c>
      <c r="CL11" s="128">
        <f t="shared" si="154"/>
        <v>550.15083211000012</v>
      </c>
      <c r="CM11" s="128">
        <f t="shared" ref="CM11:CN11" si="155">SUM(CM5:CM10)</f>
        <v>556.04499637000004</v>
      </c>
      <c r="CN11" s="128">
        <f t="shared" si="155"/>
        <v>517.93066668000017</v>
      </c>
      <c r="CO11" s="128">
        <f t="shared" ref="CO11:CP11" si="156">SUM(CO5:CO10)</f>
        <v>526.76696861000005</v>
      </c>
      <c r="CP11" s="128">
        <f t="shared" si="156"/>
        <v>550.20421240999997</v>
      </c>
      <c r="CQ11" s="128">
        <f t="shared" ref="CQ11:CR11" si="157">SUM(CQ5:CQ10)</f>
        <v>539.15399131000004</v>
      </c>
      <c r="CR11" s="128">
        <f t="shared" si="157"/>
        <v>555.40796396000007</v>
      </c>
      <c r="CS11" s="128">
        <f t="shared" ref="CS11:CT11" si="158">SUM(CS5:CS10)</f>
        <v>588.24394332999998</v>
      </c>
      <c r="CT11" s="128">
        <f t="shared" si="158"/>
        <v>595.94352329000003</v>
      </c>
      <c r="CU11" s="128">
        <f t="shared" ref="CU11:CV11" si="159">SUM(CU5:CU10)</f>
        <v>627.37927276000005</v>
      </c>
      <c r="CV11" s="128">
        <f t="shared" si="159"/>
        <v>628.20143445999997</v>
      </c>
      <c r="CW11" s="128">
        <f t="shared" ref="CW11:CX11" si="160">SUM(CW5:CW10)</f>
        <v>623.85671420999995</v>
      </c>
      <c r="CX11" s="128">
        <f t="shared" si="160"/>
        <v>614.79016080000008</v>
      </c>
      <c r="CY11" s="128">
        <f t="shared" ref="CY11:CZ11" si="161">SUM(CY5:CY10)</f>
        <v>614.63476813999989</v>
      </c>
      <c r="CZ11" s="128">
        <f t="shared" si="161"/>
        <v>610.47112836999997</v>
      </c>
      <c r="DA11" s="128">
        <f t="shared" ref="DA11:DB11" si="162">SUM(DA5:DA10)</f>
        <v>623.83795643999997</v>
      </c>
      <c r="DB11" s="128">
        <f t="shared" si="162"/>
        <v>588.13978628000007</v>
      </c>
      <c r="DC11" s="128">
        <f t="shared" ref="DC11:DD11" si="163">SUM(DC5:DC10)</f>
        <v>616.07633839000005</v>
      </c>
      <c r="DD11" s="128">
        <f t="shared" si="163"/>
        <v>598.7222214200001</v>
      </c>
      <c r="DE11" s="128">
        <f t="shared" ref="DE11:DF11" si="164">SUM(DE5:DE10)</f>
        <v>603.03104423999991</v>
      </c>
      <c r="DF11" s="128">
        <f t="shared" si="164"/>
        <v>625.00930460999996</v>
      </c>
      <c r="DG11" s="128">
        <f t="shared" ref="DG11:DH11" si="165">SUM(DG5:DG10)</f>
        <v>550.74587789999998</v>
      </c>
      <c r="DH11" s="128">
        <f t="shared" si="165"/>
        <v>558.42112270999996</v>
      </c>
      <c r="DI11" s="128">
        <f t="shared" ref="DI11:DJ11" si="166">SUM(DI5:DI10)</f>
        <v>542.85802031000003</v>
      </c>
      <c r="DJ11" s="128">
        <f t="shared" si="166"/>
        <v>474.20243298999998</v>
      </c>
      <c r="DK11" s="128">
        <f t="shared" ref="DK11:DL11" si="167">SUM(DK5:DK10)</f>
        <v>545.76119506999999</v>
      </c>
      <c r="DL11" s="128">
        <f t="shared" si="167"/>
        <v>498.62308029000002</v>
      </c>
      <c r="DM11" s="128">
        <f t="shared" ref="DM11:DN11" si="168">SUM(DM5:DM10)</f>
        <v>504.89281899999997</v>
      </c>
      <c r="DN11" s="128">
        <f t="shared" si="168"/>
        <v>512.84925744999998</v>
      </c>
      <c r="DO11" s="128">
        <f t="shared" ref="DO11:DP11" si="169">SUM(DO5:DO10)</f>
        <v>518.18735602000004</v>
      </c>
      <c r="DP11" s="128">
        <f t="shared" si="169"/>
        <v>515.41595396000002</v>
      </c>
      <c r="DQ11" s="128">
        <f t="shared" ref="DQ11:DR11" si="170">SUM(DQ5:DQ10)</f>
        <v>475.51261676000001</v>
      </c>
      <c r="DR11" s="128">
        <f t="shared" si="170"/>
        <v>490.34629903999996</v>
      </c>
      <c r="DS11" s="128">
        <f t="shared" ref="DS11:DT11" si="171">SUM(DS5:DS10)</f>
        <v>519.05546306000008</v>
      </c>
      <c r="DT11" s="128">
        <f t="shared" si="171"/>
        <v>506.05087083000001</v>
      </c>
      <c r="DU11" s="128">
        <f t="shared" ref="DU11:DV11" si="172">SUM(DU5:DU10)</f>
        <v>533.28984167999999</v>
      </c>
      <c r="DV11" s="128">
        <f t="shared" si="172"/>
        <v>555.05415731999994</v>
      </c>
      <c r="DW11" s="128">
        <f t="shared" ref="DW11:DX11" si="173">SUM(DW5:DW10)</f>
        <v>500.57737206000002</v>
      </c>
      <c r="DX11" s="128">
        <f t="shared" si="173"/>
        <v>508.92697781999999</v>
      </c>
      <c r="DY11" s="128">
        <f t="shared" ref="DY11:DZ11" si="174">SUM(DY5:DY10)</f>
        <v>463.32390409000004</v>
      </c>
      <c r="DZ11" s="128">
        <f t="shared" si="174"/>
        <v>474.27841792999999</v>
      </c>
      <c r="EA11" s="128">
        <f t="shared" ref="EA11:EB11" si="175">SUM(EA5:EA10)</f>
        <v>507.82173847000001</v>
      </c>
      <c r="EB11" s="128">
        <f t="shared" si="175"/>
        <v>506.52435384</v>
      </c>
      <c r="EC11" s="128">
        <f t="shared" ref="EC11:ED11" si="176">SUM(EC5:EC10)</f>
        <v>520.30269447000001</v>
      </c>
      <c r="ED11" s="128">
        <f t="shared" si="176"/>
        <v>523.35507181999992</v>
      </c>
      <c r="EE11" s="128">
        <f t="shared" ref="EE11:EF11" si="177">SUM(EE5:EE10)</f>
        <v>497.36634149000002</v>
      </c>
      <c r="EF11" s="128">
        <f t="shared" si="177"/>
        <v>466.72343428000005</v>
      </c>
      <c r="EG11" s="128">
        <f t="shared" ref="EG11:EH11" si="178">SUM(EG5:EG10)</f>
        <v>461.72063178000002</v>
      </c>
      <c r="EH11" s="128">
        <f t="shared" si="178"/>
        <v>461.72063178000002</v>
      </c>
      <c r="EI11" s="128">
        <f t="shared" ref="EI11:EJ11" si="179">SUM(EI5:EI10)</f>
        <v>483.84006277000003</v>
      </c>
      <c r="EJ11" s="128">
        <f t="shared" si="179"/>
        <v>540.27396496999995</v>
      </c>
      <c r="EK11" s="128">
        <f t="shared" ref="EK11:EL11" si="180">SUM(EK5:EK10)</f>
        <v>523.34316904999991</v>
      </c>
      <c r="EL11" s="128">
        <f t="shared" si="180"/>
        <v>529.23521165</v>
      </c>
      <c r="EM11" s="128">
        <f t="shared" ref="EM11:EN11" si="181">SUM(EM5:EM10)</f>
        <v>519.09683300000006</v>
      </c>
      <c r="EN11" s="128">
        <f t="shared" si="181"/>
        <v>534.08315425000012</v>
      </c>
      <c r="EO11" s="128">
        <f t="shared" ref="EO11:EP11" si="182">SUM(EO5:EO10)</f>
        <v>550.52108774999999</v>
      </c>
      <c r="EP11" s="128">
        <f t="shared" si="182"/>
        <v>568.90674517000002</v>
      </c>
      <c r="EQ11" s="128">
        <f t="shared" ref="EQ11:ER11" si="183">SUM(EQ5:EQ10)</f>
        <v>551.15766429999996</v>
      </c>
      <c r="ER11" s="128">
        <f t="shared" si="183"/>
        <v>561.44435241999997</v>
      </c>
      <c r="ES11" s="128">
        <f t="shared" ref="ES11:ET11" si="184">SUM(ES5:ES10)</f>
        <v>558.22580100999994</v>
      </c>
      <c r="ET11" s="128">
        <f t="shared" si="184"/>
        <v>571.93967289</v>
      </c>
      <c r="EU11" s="128">
        <f t="shared" ref="EU11:EV11" si="185">SUM(EU5:EU10)</f>
        <v>579.67908649999993</v>
      </c>
      <c r="EV11" s="128">
        <f t="shared" si="185"/>
        <v>585.76043197000001</v>
      </c>
      <c r="EW11" s="128">
        <f t="shared" ref="EW11:EX11" si="186">SUM(EW5:EW10)</f>
        <v>616.05171377999989</v>
      </c>
      <c r="EX11" s="128">
        <f t="shared" si="186"/>
        <v>640.61106675000008</v>
      </c>
      <c r="EY11" s="128">
        <f t="shared" ref="EY11:EZ11" si="187">SUM(EY5:EY10)</f>
        <v>734.74419764999993</v>
      </c>
      <c r="EZ11" s="128">
        <f t="shared" si="187"/>
        <v>703.11875146999989</v>
      </c>
      <c r="FA11" s="128">
        <f t="shared" ref="FA11:FB11" si="188">SUM(FA5:FA10)</f>
        <v>726.68722264999997</v>
      </c>
      <c r="FB11" s="128">
        <f t="shared" si="188"/>
        <v>730.81336953000005</v>
      </c>
      <c r="FC11" s="128">
        <f t="shared" ref="FC11:FD11" si="189">SUM(FC5:FC10)</f>
        <v>745.63539977000005</v>
      </c>
      <c r="FD11" s="128">
        <f t="shared" si="189"/>
        <v>745.27241823000008</v>
      </c>
      <c r="FE11" s="128">
        <f t="shared" ref="FE11:FF11" si="190">SUM(FE5:FE10)</f>
        <v>684.47962675999997</v>
      </c>
      <c r="FF11" s="128">
        <f t="shared" si="190"/>
        <v>700.22924077000005</v>
      </c>
      <c r="FG11" s="128">
        <f t="shared" ref="FG11:FI11" si="191">SUM(FG5:FG10)</f>
        <v>711.58408054000006</v>
      </c>
      <c r="FH11" s="128">
        <f t="shared" si="191"/>
        <v>740.90521588000001</v>
      </c>
      <c r="FI11" s="128">
        <f t="shared" si="191"/>
        <v>720.36326740999993</v>
      </c>
      <c r="FJ11" s="128">
        <f t="shared" ref="FJ11" si="192">SUM(FJ5:FJ10)</f>
        <v>744.99161864000007</v>
      </c>
      <c r="FK11" s="128">
        <f t="shared" ref="FK11:FL11" si="193">SUM(FK5:FK10)</f>
        <v>768.66468528999997</v>
      </c>
      <c r="FL11" s="128">
        <f t="shared" si="193"/>
        <v>740.15594949000001</v>
      </c>
      <c r="FM11" s="128">
        <f t="shared" ref="FM11:FN11" si="194">SUM(FM5:FM10)</f>
        <v>608.28991918999998</v>
      </c>
      <c r="FN11" s="128">
        <f t="shared" si="194"/>
        <v>601.57709381999996</v>
      </c>
      <c r="FO11" s="128">
        <f t="shared" ref="FO11:FP11" si="195">SUM(FO5:FO10)</f>
        <v>590.14162213999998</v>
      </c>
      <c r="FP11" s="128">
        <f t="shared" si="195"/>
        <v>599.78124578999996</v>
      </c>
      <c r="FQ11" s="128">
        <f t="shared" ref="FQ11:FR11" si="196">SUM(FQ5:FQ10)</f>
        <v>611.07272611000008</v>
      </c>
      <c r="FR11" s="128">
        <f t="shared" si="196"/>
        <v>613.94898444</v>
      </c>
      <c r="FS11" s="128">
        <f t="shared" ref="FS11:FT11" si="197">SUM(FS5:FS10)</f>
        <v>659.33554977000006</v>
      </c>
      <c r="FT11" s="128">
        <f t="shared" si="197"/>
        <v>622.68699866000009</v>
      </c>
      <c r="FU11" s="128">
        <f t="shared" ref="FU11:FV11" si="198">SUM(FU5:FU10)</f>
        <v>636.62853839000013</v>
      </c>
      <c r="FV11" s="128">
        <f t="shared" si="198"/>
        <v>627.40889255000002</v>
      </c>
      <c r="FW11" s="128">
        <f t="shared" ref="FW11:FX11" si="199">SUM(FW5:FW10)</f>
        <v>709.82245538999996</v>
      </c>
      <c r="FX11" s="128">
        <f t="shared" si="199"/>
        <v>609.94415916999992</v>
      </c>
      <c r="FY11" s="128">
        <f t="shared" ref="FY11:FZ11" si="200">SUM(FY5:FY10)</f>
        <v>613.83246431999999</v>
      </c>
      <c r="FZ11" s="128">
        <f t="shared" si="200"/>
        <v>599.30197695000004</v>
      </c>
      <c r="GA11" s="128">
        <f t="shared" ref="GA11:GB11" si="201">SUM(GA5:GA10)</f>
        <v>514.27003204000005</v>
      </c>
      <c r="GB11" s="128">
        <f t="shared" si="201"/>
        <v>605.46859770000015</v>
      </c>
      <c r="GC11" s="128">
        <f t="shared" ref="GC11:GD11" si="202">SUM(GC5:GC10)</f>
        <v>572.72351958000002</v>
      </c>
      <c r="GD11" s="128">
        <f t="shared" si="202"/>
        <v>594.96082679000006</v>
      </c>
      <c r="GE11" s="128">
        <f t="shared" ref="GE11:GF11" si="203">SUM(GE5:GE10)</f>
        <v>601.18946196000013</v>
      </c>
      <c r="GF11" s="128">
        <f t="shared" si="203"/>
        <v>607.61228403999996</v>
      </c>
      <c r="GG11" s="128">
        <f t="shared" ref="GG11:GH11" si="204">SUM(GG5:GG10)</f>
        <v>659.48553484000001</v>
      </c>
      <c r="GH11" s="128">
        <f t="shared" si="204"/>
        <v>604.82678854000005</v>
      </c>
      <c r="GI11" s="128">
        <f t="shared" ref="GI11:GJ11" si="205">SUM(GI5:GI10)</f>
        <v>450.58492913000003</v>
      </c>
      <c r="GJ11" s="128">
        <f t="shared" si="205"/>
        <v>482.39370609999997</v>
      </c>
      <c r="GK11" s="128">
        <f t="shared" ref="GK11:GL11" si="206">SUM(GK5:GK10)</f>
        <v>488.69557976000004</v>
      </c>
      <c r="GL11" s="128">
        <f t="shared" si="206"/>
        <v>464.39109786</v>
      </c>
      <c r="GM11" s="128">
        <f t="shared" ref="GM11:GN11" si="207">SUM(GM5:GM10)</f>
        <v>469.81718794000005</v>
      </c>
      <c r="GN11" s="128">
        <f t="shared" si="207"/>
        <v>500.07441444000006</v>
      </c>
      <c r="GO11" s="128">
        <f t="shared" ref="GO11:GP11" si="208">SUM(GO5:GO10)</f>
        <v>499.41945776</v>
      </c>
      <c r="GP11" s="128">
        <f t="shared" si="208"/>
        <v>325.90091703999997</v>
      </c>
      <c r="GQ11" s="128">
        <f t="shared" ref="GQ11:GR11" si="209">SUM(GQ5:GQ10)</f>
        <v>387.37918100000002</v>
      </c>
      <c r="GR11" s="128">
        <f t="shared" si="209"/>
        <v>393.89841690999998</v>
      </c>
      <c r="GS11" s="128">
        <f t="shared" ref="GS11:GT11" si="210">SUM(GS5:GS10)</f>
        <v>387.83501413000005</v>
      </c>
      <c r="GT11" s="128">
        <f t="shared" si="210"/>
        <v>266.74615901999999</v>
      </c>
      <c r="GU11" s="128">
        <f t="shared" ref="GU11:GV11" si="211">SUM(GU5:GU10)</f>
        <v>266.74615901999999</v>
      </c>
      <c r="GV11" s="128">
        <f t="shared" si="211"/>
        <v>318.31176643000003</v>
      </c>
      <c r="GW11" s="128">
        <f t="shared" ref="GW11:GX11" si="212">SUM(GW5:GW10)</f>
        <v>337.75325163000002</v>
      </c>
      <c r="GX11" s="128">
        <f t="shared" si="212"/>
        <v>254.125989</v>
      </c>
      <c r="GY11" s="128">
        <f t="shared" ref="GY11:GZ11" si="213">SUM(GY5:GY10)</f>
        <v>278.29148992</v>
      </c>
      <c r="GZ11" s="128">
        <f t="shared" si="213"/>
        <v>266.46130543000004</v>
      </c>
      <c r="HA11" s="128">
        <f t="shared" ref="HA11:HB11" si="214">SUM(HA5:HA10)</f>
        <v>278.49363904000001</v>
      </c>
      <c r="HB11" s="128">
        <f t="shared" si="214"/>
        <v>308.01504337</v>
      </c>
      <c r="HC11" s="128">
        <f t="shared" ref="HC11:HD11" si="215">SUM(HC5:HC10)</f>
        <v>272.84891756999997</v>
      </c>
      <c r="HD11" s="128">
        <f t="shared" si="215"/>
        <v>299.83757815000001</v>
      </c>
      <c r="HE11" s="128">
        <f t="shared" ref="HE11:HF11" si="216">SUM(HE5:HE10)</f>
        <v>141.23579525</v>
      </c>
      <c r="HF11" s="128">
        <f t="shared" si="216"/>
        <v>157.28054521999999</v>
      </c>
      <c r="HG11" s="128">
        <f t="shared" ref="HG11:HH11" si="217">SUM(HG5:HG10)</f>
        <v>204.25085253999998</v>
      </c>
      <c r="HH11" s="128">
        <f t="shared" si="217"/>
        <v>234.02223996999999</v>
      </c>
      <c r="HI11" s="128">
        <f t="shared" ref="HI11:HJ11" si="218">SUM(HI5:HI10)</f>
        <v>160.0239996</v>
      </c>
      <c r="HJ11" s="128">
        <f t="shared" si="218"/>
        <v>160.31118803999999</v>
      </c>
      <c r="HK11" s="128">
        <f t="shared" ref="HK11:HL11" si="219">SUM(HK5:HK10)</f>
        <v>180.96702923000001</v>
      </c>
      <c r="HL11" s="128">
        <f t="shared" si="219"/>
        <v>139.65733164</v>
      </c>
      <c r="HM11" s="128">
        <f t="shared" ref="HM11" si="220">SUM(HM5:HM10)</f>
        <v>145.38437567</v>
      </c>
      <c r="HN11" s="128">
        <f t="shared" ref="HN11" si="221">SUM(HN5:HN10)</f>
        <v>158.02240402999999</v>
      </c>
      <c r="HO11" s="128">
        <v>487.59587949999997</v>
      </c>
      <c r="HP11" s="128">
        <v>462.32349281000006</v>
      </c>
      <c r="HQ11" s="128">
        <v>462.54262445000001</v>
      </c>
      <c r="HR11" s="128">
        <f>SUM(HR5:HR10)</f>
        <v>486.90088914</v>
      </c>
      <c r="HS11" s="128">
        <f>SUM(HS5:HS10)</f>
        <v>442.94925071</v>
      </c>
      <c r="HT11" s="128">
        <f>SUM(HT5:HT10)</f>
        <v>380.94058365000001</v>
      </c>
      <c r="HU11" s="128">
        <f>SUM(HU5:HU10)</f>
        <v>521.98953623</v>
      </c>
      <c r="HV11" s="128">
        <v>550.12161277000007</v>
      </c>
      <c r="HW11" s="128">
        <v>566.72644276000017</v>
      </c>
      <c r="HX11" s="128">
        <v>512.33304322999993</v>
      </c>
      <c r="HY11" s="128">
        <v>510.70380230000001</v>
      </c>
      <c r="HZ11" s="128">
        <v>519.69178727999997</v>
      </c>
      <c r="IA11" s="128">
        <v>543.77050693000001</v>
      </c>
      <c r="IB11" s="128">
        <v>500.52814498000004</v>
      </c>
      <c r="IC11" s="128">
        <v>393.79979112000007</v>
      </c>
      <c r="ID11" s="128">
        <v>398.92363985000003</v>
      </c>
      <c r="IE11" s="128">
        <v>388.60046696000006</v>
      </c>
      <c r="IF11" s="128">
        <v>419.71548476000004</v>
      </c>
      <c r="IG11" s="128">
        <v>408.79992820000001</v>
      </c>
      <c r="IH11" s="128">
        <v>419.22179650000004</v>
      </c>
      <c r="II11" s="128">
        <v>389.84516208000008</v>
      </c>
      <c r="IJ11" s="128">
        <v>403.32598587000012</v>
      </c>
      <c r="IK11" s="128">
        <v>429.45318845999998</v>
      </c>
      <c r="IL11" s="128">
        <v>594.21660554999994</v>
      </c>
      <c r="IM11" s="128">
        <v>619.00074700999983</v>
      </c>
      <c r="IN11" s="128">
        <v>589.36869789000002</v>
      </c>
      <c r="IO11" s="128">
        <v>572.45004979999999</v>
      </c>
      <c r="IP11" s="128">
        <v>575.73707665999984</v>
      </c>
      <c r="IQ11" s="128">
        <v>537.16405814000007</v>
      </c>
      <c r="IR11" s="128">
        <v>615.69954463999989</v>
      </c>
      <c r="IS11" s="128">
        <v>638.60844104</v>
      </c>
      <c r="IT11" s="128">
        <v>644.31151619000002</v>
      </c>
      <c r="IU11" s="128">
        <v>623.99574706999999</v>
      </c>
      <c r="IV11" s="128">
        <v>643.65173760000005</v>
      </c>
      <c r="IW11" s="128">
        <v>670.71811413</v>
      </c>
      <c r="IX11" s="128">
        <v>675.80200238999998</v>
      </c>
      <c r="IY11" s="128">
        <f>SUM(IY5:IY10)</f>
        <v>628.89035351999996</v>
      </c>
      <c r="IZ11" s="128">
        <v>639.99674232999985</v>
      </c>
      <c r="JA11" s="128">
        <v>682.29603615000008</v>
      </c>
      <c r="JB11" s="128">
        <v>657.17628444000002</v>
      </c>
      <c r="JC11" s="128">
        <v>666.19207620999998</v>
      </c>
      <c r="JD11" s="128">
        <v>665.67144121000001</v>
      </c>
      <c r="JE11" s="128">
        <v>678.12055485999997</v>
      </c>
      <c r="JF11" s="128">
        <v>683.71126103999995</v>
      </c>
      <c r="JG11" s="128">
        <v>698.26700947000006</v>
      </c>
      <c r="JH11" s="128">
        <v>620.76873588000001</v>
      </c>
      <c r="JI11" s="128">
        <v>620.31942198000002</v>
      </c>
      <c r="JJ11" s="128">
        <v>620.31942198000002</v>
      </c>
      <c r="JK11" s="128">
        <v>665.88881001999994</v>
      </c>
      <c r="JL11" s="128">
        <v>640.73446947000002</v>
      </c>
      <c r="JM11" s="128">
        <v>660.73707418000004</v>
      </c>
      <c r="JN11" s="128">
        <v>667.51041453000005</v>
      </c>
      <c r="JO11" s="128">
        <v>667.51041453000005</v>
      </c>
      <c r="JP11" s="128">
        <v>667.51041453000005</v>
      </c>
      <c r="JQ11" s="128">
        <v>693.85139898</v>
      </c>
      <c r="JR11" s="128">
        <v>669.81271523999999</v>
      </c>
      <c r="JS11" s="128">
        <f>SUM(JS5:JS10)</f>
        <v>669.81271523999999</v>
      </c>
      <c r="JT11" s="128">
        <v>715.19861756</v>
      </c>
      <c r="JU11" s="128">
        <v>678.08760467000002</v>
      </c>
      <c r="JV11" s="128">
        <v>698.39654417999998</v>
      </c>
      <c r="JW11" s="128">
        <v>677.80805181999995</v>
      </c>
      <c r="JX11" s="128">
        <v>681.58043921000001</v>
      </c>
      <c r="JY11" s="128">
        <v>681.58043921000001</v>
      </c>
      <c r="JZ11" s="128">
        <v>695.07268641999997</v>
      </c>
      <c r="KA11" s="128">
        <v>691.01457687000004</v>
      </c>
      <c r="KB11" s="128">
        <v>716.35391162999997</v>
      </c>
      <c r="KC11" s="128">
        <v>587.47083720000001</v>
      </c>
      <c r="KD11" s="128">
        <v>621.55481641000006</v>
      </c>
      <c r="KE11" s="128">
        <v>615.77723489000005</v>
      </c>
      <c r="KF11" s="128">
        <v>587.22048570000015</v>
      </c>
      <c r="KG11" s="128">
        <v>611.27550520000011</v>
      </c>
      <c r="KH11" s="128">
        <v>639.40289741000015</v>
      </c>
      <c r="KI11" s="128">
        <v>650.63498913000001</v>
      </c>
      <c r="KJ11" s="128">
        <f>SUM(KJ5:KJ10)</f>
        <v>650.63498913000001</v>
      </c>
      <c r="KK11" s="128">
        <v>650.63498913000001</v>
      </c>
      <c r="KL11" s="128">
        <v>650.63498913000001</v>
      </c>
      <c r="KM11" s="128">
        <v>650.63498913000001</v>
      </c>
      <c r="KN11" s="128">
        <v>650.63498913000001</v>
      </c>
      <c r="KO11" s="128">
        <v>650.63498913000001</v>
      </c>
      <c r="KP11" s="128">
        <v>650.63498913000001</v>
      </c>
      <c r="KQ11" s="128">
        <v>650.63498913000001</v>
      </c>
      <c r="KR11" s="128">
        <v>552.6209234800001</v>
      </c>
      <c r="KS11" s="128">
        <f>SUM(KS5:KS10)</f>
        <v>480.86075396000001</v>
      </c>
      <c r="KT11" s="128">
        <v>419.08281599000003</v>
      </c>
      <c r="KU11" s="128">
        <f>SUM(KU5:KU10)</f>
        <v>407.18197722999997</v>
      </c>
      <c r="KV11" s="128">
        <f>SUM(KV5:KV10)</f>
        <v>435.64899063999997</v>
      </c>
      <c r="KW11" s="128">
        <f>SUM(KW5:KW10)</f>
        <v>414.31999300999996</v>
      </c>
      <c r="KX11" s="128">
        <v>423.33009465000004</v>
      </c>
      <c r="KY11" s="128">
        <v>466.29697349999998</v>
      </c>
      <c r="KZ11" s="128">
        <v>460.83167969000004</v>
      </c>
      <c r="LA11" s="128">
        <v>441.13044030999998</v>
      </c>
      <c r="LB11" s="128">
        <v>470.40221930000001</v>
      </c>
      <c r="LC11" s="128">
        <v>519.29495954000004</v>
      </c>
      <c r="LD11" s="128">
        <v>712.32251541000005</v>
      </c>
      <c r="LE11" s="128">
        <f>SUM(LE5:LE10)</f>
        <v>657.51978775000009</v>
      </c>
      <c r="LF11" s="967">
        <v>684.42986080000014</v>
      </c>
      <c r="LG11" s="967">
        <v>707.23120688000006</v>
      </c>
      <c r="LH11" s="967">
        <v>722.91037952000011</v>
      </c>
      <c r="LI11" s="967">
        <v>756.31649215000004</v>
      </c>
      <c r="LJ11" s="967">
        <v>723.72513992000006</v>
      </c>
      <c r="LK11" s="967">
        <v>703.00760293999997</v>
      </c>
      <c r="LL11" s="967">
        <v>723.72513992000006</v>
      </c>
      <c r="LM11" s="967">
        <v>727.30698802000006</v>
      </c>
      <c r="LN11" s="967">
        <v>727.88888892</v>
      </c>
      <c r="LO11" s="967">
        <v>719.49284190000003</v>
      </c>
      <c r="LP11" s="967">
        <v>659.08949483000004</v>
      </c>
      <c r="LQ11" s="967">
        <v>659.08949483000004</v>
      </c>
      <c r="LR11" s="967">
        <v>720.90712770000005</v>
      </c>
      <c r="LS11" s="967">
        <v>771.05394578999994</v>
      </c>
      <c r="LT11" s="967">
        <v>737.41472447000001</v>
      </c>
      <c r="LU11" s="967">
        <v>730.38000548000014</v>
      </c>
      <c r="LV11" s="967">
        <v>753.11461987000007</v>
      </c>
      <c r="LW11" s="967">
        <v>745.12665798</v>
      </c>
      <c r="LX11" s="967">
        <v>776.83910743999991</v>
      </c>
      <c r="LY11" s="967">
        <v>758.62505452000005</v>
      </c>
      <c r="LZ11" s="967">
        <v>717.82019205999995</v>
      </c>
      <c r="MA11" s="967">
        <v>735.19660778999992</v>
      </c>
      <c r="MB11" s="967">
        <v>754.24675531000003</v>
      </c>
      <c r="MC11" s="967">
        <v>784.27476204999994</v>
      </c>
      <c r="MD11" s="967">
        <v>770.64070100000004</v>
      </c>
      <c r="ME11" s="967">
        <v>716.69083268999998</v>
      </c>
      <c r="MF11" s="967">
        <v>743.55838514000004</v>
      </c>
      <c r="MG11" s="967">
        <v>774.67942358999994</v>
      </c>
      <c r="MH11" s="967">
        <v>789.5906573499999</v>
      </c>
      <c r="MI11" s="967">
        <v>746.71007469999995</v>
      </c>
      <c r="MJ11" s="967">
        <v>745.48167459000001</v>
      </c>
      <c r="MK11" s="967">
        <v>745.48167459000001</v>
      </c>
      <c r="ML11" s="967">
        <v>745.48167459000001</v>
      </c>
      <c r="MM11" s="967">
        <v>745.48167459000001</v>
      </c>
      <c r="MN11" s="967">
        <v>624.72036832000003</v>
      </c>
      <c r="MO11" s="967">
        <v>525.24061502999996</v>
      </c>
      <c r="MP11" s="967">
        <v>578.44752566000011</v>
      </c>
      <c r="MQ11" s="967">
        <v>589.97226178000005</v>
      </c>
      <c r="MR11" s="967">
        <v>616.36589657000002</v>
      </c>
      <c r="MS11" s="967">
        <v>459.21465074000002</v>
      </c>
      <c r="MT11" s="967">
        <v>436.88912531</v>
      </c>
      <c r="MU11" s="967">
        <v>427.65731599999998</v>
      </c>
      <c r="MV11" s="967">
        <v>406.53069850999998</v>
      </c>
      <c r="MW11" s="967">
        <v>446.65918834999997</v>
      </c>
      <c r="MX11" s="967">
        <v>446.65918834999997</v>
      </c>
      <c r="MY11" s="967">
        <v>413.35211672999998</v>
      </c>
      <c r="MZ11" s="967">
        <v>443.93967952000003</v>
      </c>
      <c r="NA11" s="967">
        <v>471.46392660000004</v>
      </c>
      <c r="NB11" s="967">
        <v>513.77915278</v>
      </c>
      <c r="NC11" s="967">
        <v>492.40184167000001</v>
      </c>
      <c r="ND11" s="967">
        <v>625.1739057100001</v>
      </c>
      <c r="NE11" s="967">
        <v>693.18656942000007</v>
      </c>
      <c r="NF11" s="967">
        <v>819.19819217000008</v>
      </c>
      <c r="NG11" s="967">
        <v>830.96191342000009</v>
      </c>
      <c r="NH11" s="967">
        <v>866.40984798</v>
      </c>
      <c r="NI11" s="967">
        <v>894.73748161000003</v>
      </c>
      <c r="NJ11" s="967">
        <v>910.38408844000003</v>
      </c>
      <c r="NK11" s="967">
        <v>962.88576769999997</v>
      </c>
      <c r="NL11" s="967">
        <v>1003.82513885</v>
      </c>
      <c r="NM11" s="967">
        <v>928.80670886000007</v>
      </c>
      <c r="NN11" s="967">
        <v>900.38618487999997</v>
      </c>
      <c r="NO11" s="967">
        <v>898.83850217000008</v>
      </c>
      <c r="NP11" s="967">
        <v>919.29430188000003</v>
      </c>
      <c r="NQ11" s="967">
        <v>718.46372188000009</v>
      </c>
      <c r="NR11" s="967">
        <v>805.09410951000007</v>
      </c>
      <c r="NS11" s="967">
        <v>856.66376371000001</v>
      </c>
      <c r="NT11" s="967">
        <v>856.66376371000001</v>
      </c>
      <c r="NU11" s="967">
        <f>SUM(NU5:NU10)</f>
        <v>917.03745737999998</v>
      </c>
      <c r="NV11" s="967">
        <v>891.56673674000001</v>
      </c>
      <c r="NW11" s="967">
        <v>877.03291233000004</v>
      </c>
      <c r="NX11" s="967">
        <v>913.33413380000002</v>
      </c>
      <c r="NY11" s="967">
        <v>918.28970497</v>
      </c>
      <c r="NZ11" s="967">
        <v>960.78764096999998</v>
      </c>
      <c r="OA11" s="967">
        <v>960.78764096999998</v>
      </c>
      <c r="OB11" s="967">
        <v>1070.85661648</v>
      </c>
      <c r="OC11" s="967">
        <v>970.3291062400001</v>
      </c>
      <c r="OD11" s="967">
        <v>992.67223846000002</v>
      </c>
      <c r="OE11" s="967">
        <v>1025.3598778099999</v>
      </c>
      <c r="OF11" s="967">
        <v>1009.5248478000001</v>
      </c>
      <c r="OG11" s="967">
        <v>986.31970953000007</v>
      </c>
      <c r="OH11" s="967">
        <v>966.40419201000009</v>
      </c>
      <c r="OI11" s="967">
        <v>964.28483367000013</v>
      </c>
      <c r="OJ11" s="967">
        <v>1009.14422948</v>
      </c>
      <c r="OK11" s="967">
        <v>1098.8947166400001</v>
      </c>
      <c r="OL11" s="967">
        <v>1024.4266464100001</v>
      </c>
      <c r="OM11" s="967">
        <v>946.45874363000007</v>
      </c>
      <c r="ON11" s="967">
        <v>959.62717257999998</v>
      </c>
      <c r="OO11" s="967">
        <v>1001.2272458800001</v>
      </c>
      <c r="OP11" s="967">
        <v>959.53999309999995</v>
      </c>
      <c r="OQ11" s="967">
        <v>959.53999309999995</v>
      </c>
      <c r="OR11" s="967">
        <v>966.91103462000001</v>
      </c>
      <c r="OS11" s="967">
        <v>966.91103462000001</v>
      </c>
      <c r="OT11" s="967">
        <v>1016.81929135</v>
      </c>
      <c r="OU11" s="967">
        <v>943.51878857999998</v>
      </c>
      <c r="OV11" s="967">
        <v>943.51878857999998</v>
      </c>
      <c r="OW11" s="967">
        <v>944.49001456999997</v>
      </c>
      <c r="OX11" s="967">
        <v>773.55943929</v>
      </c>
      <c r="OY11" s="967">
        <v>796.43780186000004</v>
      </c>
      <c r="OZ11" s="967">
        <v>635.37075877000007</v>
      </c>
      <c r="PA11" s="967">
        <v>669.77904747000002</v>
      </c>
      <c r="PB11" s="967">
        <v>678.92871822999996</v>
      </c>
      <c r="PC11" s="967">
        <v>678.92871822999996</v>
      </c>
      <c r="PD11" s="967">
        <v>654.03758779999998</v>
      </c>
      <c r="PE11" s="967">
        <v>820.82303222999997</v>
      </c>
      <c r="PF11" s="967">
        <v>823.01437353000006</v>
      </c>
      <c r="PG11" s="967">
        <v>831.9926931</v>
      </c>
      <c r="PH11" s="967">
        <v>863.17636964999997</v>
      </c>
      <c r="PI11" s="967">
        <v>880.98365518999992</v>
      </c>
      <c r="PJ11" s="967">
        <v>834.44439547000002</v>
      </c>
      <c r="PK11" s="967">
        <v>813.93656739999994</v>
      </c>
      <c r="PL11" s="967">
        <v>827.36931505999996</v>
      </c>
      <c r="PM11" s="967">
        <v>869.45595223999999</v>
      </c>
      <c r="PN11" s="967">
        <v>901.11804112000016</v>
      </c>
      <c r="PO11" s="967">
        <v>742.35077702000001</v>
      </c>
      <c r="PP11" s="967">
        <v>759.63370261</v>
      </c>
      <c r="PQ11" s="967">
        <v>795.1704972</v>
      </c>
      <c r="PR11" s="967">
        <v>801.00814929000012</v>
      </c>
      <c r="PS11" s="967">
        <v>715.83313384999997</v>
      </c>
      <c r="PT11" s="967">
        <v>683.47121018000007</v>
      </c>
      <c r="PU11" s="967">
        <v>683.47121018000007</v>
      </c>
      <c r="PV11" s="967">
        <v>726.94109705999995</v>
      </c>
      <c r="PW11" s="967">
        <v>751.36569066999994</v>
      </c>
      <c r="PX11" s="967">
        <v>752.46967039000003</v>
      </c>
      <c r="PY11" s="967">
        <v>761.26335525000002</v>
      </c>
      <c r="PZ11" s="967">
        <v>754.07204571</v>
      </c>
      <c r="QA11" s="967">
        <v>754.07204571</v>
      </c>
      <c r="QB11" s="967">
        <v>828.52979697000001</v>
      </c>
      <c r="QC11" s="967">
        <v>828.52979697000001</v>
      </c>
      <c r="QD11" s="967">
        <v>654.40897451000001</v>
      </c>
      <c r="QE11" s="967">
        <v>657.04523045999997</v>
      </c>
      <c r="QF11" s="967">
        <v>693.95510531000002</v>
      </c>
      <c r="QG11" s="967">
        <v>675.0874523</v>
      </c>
      <c r="QH11" s="967">
        <f>SUM(QH5:QH10)</f>
        <v>675.0874523</v>
      </c>
      <c r="QI11" s="967">
        <v>675.0874523</v>
      </c>
      <c r="QJ11" s="967">
        <v>681.78877714999999</v>
      </c>
      <c r="QK11" s="967">
        <v>681.78877714999999</v>
      </c>
      <c r="QL11" s="967">
        <v>705.38209924000012</v>
      </c>
      <c r="QM11" s="967">
        <v>705.38209924000012</v>
      </c>
      <c r="QN11" s="967">
        <v>705.38209924000012</v>
      </c>
      <c r="QO11" s="967">
        <v>730.63018951999993</v>
      </c>
      <c r="QP11" s="967">
        <v>682.10082143</v>
      </c>
      <c r="QQ11" s="967">
        <v>675.73346289999995</v>
      </c>
      <c r="QR11" s="967">
        <v>698.60162243000013</v>
      </c>
      <c r="QS11" s="967">
        <v>732.41586571000005</v>
      </c>
      <c r="QT11" s="967">
        <v>756.09165051000002</v>
      </c>
      <c r="QU11" s="967">
        <v>746.72588568000003</v>
      </c>
      <c r="QV11" s="967">
        <v>684.5922693</v>
      </c>
      <c r="QW11" s="967">
        <v>731.91111262000004</v>
      </c>
      <c r="QX11" s="967">
        <v>739.26362418999997</v>
      </c>
      <c r="QY11" s="967">
        <v>744.80000085000006</v>
      </c>
      <c r="QZ11" s="967">
        <v>756.12941021999995</v>
      </c>
      <c r="RA11" s="967">
        <v>719.25377991000005</v>
      </c>
      <c r="RB11" s="967">
        <v>696.48198348000005</v>
      </c>
      <c r="RC11" s="967">
        <v>554.49674249999998</v>
      </c>
      <c r="RD11" s="967">
        <v>565.30794521999997</v>
      </c>
      <c r="RE11" s="967">
        <v>530.03815076000001</v>
      </c>
      <c r="RF11" s="967">
        <v>552.66697164000004</v>
      </c>
      <c r="RG11" s="967">
        <f>SUM(RG5:RG10)</f>
        <v>605.50854286000003</v>
      </c>
      <c r="RH11" s="967">
        <v>640.53898893999985</v>
      </c>
      <c r="RI11" s="967">
        <v>673.93232319000003</v>
      </c>
      <c r="RJ11" s="967">
        <v>553.70756802999995</v>
      </c>
      <c r="RK11" s="967">
        <v>558.33160525999995</v>
      </c>
      <c r="RL11" s="967">
        <v>595.48086721999994</v>
      </c>
      <c r="RM11" s="967">
        <v>587.12695776999999</v>
      </c>
      <c r="RN11" s="967">
        <v>600.60577101999991</v>
      </c>
      <c r="RO11" s="967">
        <v>487.73324147999995</v>
      </c>
      <c r="RP11" s="967">
        <v>524.52001069999994</v>
      </c>
      <c r="RQ11" s="967">
        <v>568.24463192999997</v>
      </c>
      <c r="RR11" s="967">
        <v>526.51006600999995</v>
      </c>
      <c r="RS11" s="967">
        <v>530.68875285000001</v>
      </c>
      <c r="RT11" s="967">
        <v>499.86350525</v>
      </c>
      <c r="RU11" s="967">
        <v>526.67911283000001</v>
      </c>
      <c r="RV11" s="967">
        <v>519.63478110000005</v>
      </c>
      <c r="RW11" s="967">
        <v>563.63033827000004</v>
      </c>
      <c r="RX11" s="967">
        <v>555.99020370000005</v>
      </c>
      <c r="RY11" s="967">
        <v>631.25549407000005</v>
      </c>
      <c r="RZ11" s="967">
        <v>645.82580332999999</v>
      </c>
      <c r="SA11" s="967">
        <v>673.80868225999996</v>
      </c>
      <c r="SB11" s="967">
        <v>634.69182574999991</v>
      </c>
      <c r="SC11" s="967">
        <v>690.29505798000002</v>
      </c>
      <c r="SD11" s="967">
        <v>759.5694367399999</v>
      </c>
      <c r="SE11" s="967">
        <v>728.14552527000001</v>
      </c>
      <c r="SF11" s="967">
        <v>724.13389613000004</v>
      </c>
      <c r="SG11" s="967">
        <v>792.25330117999999</v>
      </c>
      <c r="SH11" s="967">
        <v>807.39180298999997</v>
      </c>
      <c r="SI11" s="967">
        <v>844.68848689000004</v>
      </c>
      <c r="SJ11" s="967">
        <v>826.47700416999999</v>
      </c>
      <c r="SK11" s="967">
        <v>814.40324566999993</v>
      </c>
      <c r="SL11" s="967">
        <v>777.76925402999996</v>
      </c>
      <c r="SM11" s="967">
        <v>800.52876738000009</v>
      </c>
      <c r="SN11" s="967">
        <v>813.48090810999997</v>
      </c>
      <c r="SO11" s="967">
        <v>747.15117137999994</v>
      </c>
      <c r="SP11" s="967">
        <v>770.49826297999994</v>
      </c>
      <c r="SQ11" s="967">
        <v>844.29427854000005</v>
      </c>
      <c r="SR11" s="967">
        <v>827.16856508000001</v>
      </c>
      <c r="SS11" s="967">
        <v>862.50226949</v>
      </c>
      <c r="ST11" s="967">
        <v>875.74462659000005</v>
      </c>
      <c r="SU11" s="967">
        <v>785.73234189000004</v>
      </c>
      <c r="SV11" s="967">
        <v>808.37225594999995</v>
      </c>
      <c r="SW11" s="967">
        <v>831.60384012999998</v>
      </c>
      <c r="SX11" s="967">
        <v>821.08555638999997</v>
      </c>
      <c r="SY11" s="967">
        <v>765.85807404000002</v>
      </c>
      <c r="SZ11" s="967">
        <v>840.16894748999994</v>
      </c>
      <c r="TA11" s="967">
        <v>868.98907699999984</v>
      </c>
      <c r="TB11" s="967">
        <v>868.98907699999984</v>
      </c>
      <c r="TC11" s="967">
        <v>893.63844908999999</v>
      </c>
      <c r="TD11" s="967">
        <v>897.84313787000008</v>
      </c>
      <c r="TE11" s="967">
        <f>SUM(TE5:TE10)</f>
        <v>897.84313787000008</v>
      </c>
      <c r="TF11" s="967">
        <f>SUM(TF5:TF10)</f>
        <v>830.83731182000008</v>
      </c>
      <c r="TG11" s="967">
        <v>753.22284091000006</v>
      </c>
      <c r="TH11" s="967">
        <v>560.05851771000005</v>
      </c>
      <c r="TI11" s="967">
        <v>574.74167033000003</v>
      </c>
      <c r="TJ11" s="967">
        <v>829.61987553000017</v>
      </c>
      <c r="TK11" s="967">
        <v>829.61987553000017</v>
      </c>
      <c r="TL11" s="967">
        <v>855.99206075000006</v>
      </c>
      <c r="TM11" s="967">
        <v>890.29713186000004</v>
      </c>
      <c r="TN11" s="967">
        <v>793.68309678000014</v>
      </c>
      <c r="TO11" s="967">
        <v>908.51206443000001</v>
      </c>
      <c r="TP11" s="967">
        <v>850.98532073999991</v>
      </c>
      <c r="TQ11" s="967">
        <v>869.63762303999999</v>
      </c>
      <c r="TR11" s="967">
        <v>815.83490510999991</v>
      </c>
      <c r="TS11" s="967">
        <v>844.22578869999995</v>
      </c>
      <c r="TT11" s="967">
        <v>848.45258405999994</v>
      </c>
      <c r="TU11" s="967">
        <v>883.05265852999992</v>
      </c>
      <c r="TV11" s="967">
        <v>815.37527110999986</v>
      </c>
      <c r="TW11" s="967">
        <v>783.13574189000008</v>
      </c>
      <c r="TX11" s="967">
        <v>714.58305573000007</v>
      </c>
      <c r="TY11" s="967">
        <v>729.80568292999999</v>
      </c>
      <c r="TZ11" s="967">
        <f t="shared" ref="TZ11:UE11" si="222">SUM(TZ5:TZ10)</f>
        <v>678.99768145999997</v>
      </c>
      <c r="UA11" s="967">
        <f t="shared" si="222"/>
        <v>690.85110413999996</v>
      </c>
      <c r="UB11" s="967">
        <f t="shared" si="222"/>
        <v>730.82687616999999</v>
      </c>
      <c r="UC11" s="967">
        <f t="shared" si="222"/>
        <v>686.32758233999994</v>
      </c>
      <c r="UD11" s="967">
        <f t="shared" si="222"/>
        <v>717.56869551999989</v>
      </c>
      <c r="UE11" s="967">
        <f t="shared" si="222"/>
        <v>732.39708191</v>
      </c>
      <c r="UF11" s="967">
        <v>850.5744905900001</v>
      </c>
      <c r="UG11" s="967">
        <v>723.18110938999996</v>
      </c>
      <c r="UH11" s="967">
        <v>749.84509049999997</v>
      </c>
      <c r="UI11" s="967">
        <v>690.51947852000001</v>
      </c>
      <c r="UJ11" s="967">
        <v>750.59761249000019</v>
      </c>
      <c r="UK11" s="967">
        <v>771.92302802000006</v>
      </c>
      <c r="UL11" s="967">
        <v>742.34998731999997</v>
      </c>
      <c r="UM11" s="967">
        <v>739.95270100000016</v>
      </c>
      <c r="UN11" s="967">
        <v>676.40853448000007</v>
      </c>
      <c r="UO11" s="967">
        <v>695.59498833999999</v>
      </c>
      <c r="UP11" s="967">
        <v>714.26394259999995</v>
      </c>
      <c r="UQ11" s="967">
        <v>656.00900256999989</v>
      </c>
      <c r="UR11" s="967">
        <v>591.03296055999988</v>
      </c>
      <c r="US11" s="967">
        <v>591.03296055999988</v>
      </c>
      <c r="UT11" s="967">
        <v>610.92583227</v>
      </c>
      <c r="UU11" s="967">
        <v>729.1673424600001</v>
      </c>
      <c r="UV11" s="967">
        <v>627.49707414999989</v>
      </c>
      <c r="UW11" s="967">
        <v>627.49707414999989</v>
      </c>
      <c r="UX11" s="967">
        <v>627.85446343000001</v>
      </c>
      <c r="UY11" s="967">
        <v>627.85446343000001</v>
      </c>
      <c r="UZ11" s="967">
        <v>434.74379134999998</v>
      </c>
      <c r="VA11" s="967">
        <v>466.37969838999999</v>
      </c>
      <c r="VB11" s="967">
        <v>506.85199389000002</v>
      </c>
      <c r="VC11" s="967">
        <v>397.08653836000002</v>
      </c>
      <c r="VD11" s="967">
        <v>396.76728850999996</v>
      </c>
      <c r="VE11" s="967">
        <v>408.17407756</v>
      </c>
      <c r="VF11" s="967">
        <v>415.04162132999994</v>
      </c>
      <c r="VG11" s="967">
        <v>417.64870926999998</v>
      </c>
      <c r="VH11" s="967">
        <v>501.28213431000006</v>
      </c>
      <c r="VI11" s="967">
        <v>388.52557158000002</v>
      </c>
      <c r="VJ11" s="967">
        <v>485.52670636000005</v>
      </c>
      <c r="VK11" s="967">
        <v>772.70872275999989</v>
      </c>
      <c r="VL11" s="967">
        <v>634.47516682000003</v>
      </c>
      <c r="VM11" s="967">
        <v>738.73213719</v>
      </c>
      <c r="VN11" s="967">
        <v>670.44660426000007</v>
      </c>
      <c r="VO11" s="967">
        <v>999.29203652000001</v>
      </c>
      <c r="VP11" s="967">
        <v>1049.2417223800001</v>
      </c>
      <c r="VQ11" s="967">
        <v>982.18275022</v>
      </c>
      <c r="VR11" s="967">
        <v>1079.2859143600001</v>
      </c>
      <c r="VS11" s="967">
        <v>1087.8460015400001</v>
      </c>
      <c r="VT11" s="967">
        <v>1108.9589460300001</v>
      </c>
      <c r="VU11" s="967">
        <v>1039.2748008799999</v>
      </c>
      <c r="VV11" s="967">
        <f t="shared" ref="VV11" si="223">SUM(VV5:VV10)</f>
        <v>1068.6316234599999</v>
      </c>
      <c r="VW11" s="967">
        <v>1080.38192837</v>
      </c>
      <c r="VX11" s="967">
        <v>1042.26944432</v>
      </c>
      <c r="VY11" s="967">
        <v>1071.1545935000001</v>
      </c>
      <c r="VZ11" s="967">
        <v>1048.9001880800001</v>
      </c>
      <c r="WA11" s="967">
        <v>1080.7472419600001</v>
      </c>
      <c r="WB11" s="967">
        <v>1101.2792677499999</v>
      </c>
      <c r="WC11" s="967">
        <v>1040.33257931</v>
      </c>
      <c r="WD11" s="967">
        <v>1055.0589959900001</v>
      </c>
      <c r="WE11" s="967">
        <v>1021.9370161500001</v>
      </c>
      <c r="WF11" s="967">
        <v>1058.5133203600001</v>
      </c>
      <c r="WG11" s="967">
        <v>1171.9481649700001</v>
      </c>
      <c r="WH11" s="967">
        <v>1130.2514375000001</v>
      </c>
      <c r="WI11" s="967">
        <v>1155.7404055499999</v>
      </c>
      <c r="WJ11" s="967">
        <v>1090.40333465</v>
      </c>
      <c r="WK11" s="967">
        <v>953.71936170000004</v>
      </c>
      <c r="WL11" s="967">
        <v>953.71936170000004</v>
      </c>
      <c r="WM11" s="967">
        <v>823.26142987000003</v>
      </c>
      <c r="WN11" s="967">
        <v>607.07098527000005</v>
      </c>
      <c r="WO11" s="967">
        <v>582.41635555000005</v>
      </c>
      <c r="WP11" s="967">
        <v>648.87813438000001</v>
      </c>
      <c r="WQ11" s="967">
        <v>557.02504375000001</v>
      </c>
      <c r="WR11" s="967">
        <f t="shared" ref="WR11:WS11" si="224">SUM(WR5:WR10)</f>
        <v>649.90892747999999</v>
      </c>
      <c r="WS11" s="967">
        <f t="shared" si="224"/>
        <v>713.2967824000001</v>
      </c>
      <c r="WT11" s="967">
        <f t="shared" ref="WT11:WU11" si="225">SUM(WT5:WT10)</f>
        <v>722.72010453999997</v>
      </c>
      <c r="WU11" s="967">
        <f t="shared" si="225"/>
        <v>722.72010453999997</v>
      </c>
      <c r="WV11" s="967">
        <f t="shared" ref="WV11" si="226">SUM(WV5:WV10)</f>
        <v>743.43573833999994</v>
      </c>
      <c r="WW11" s="967">
        <v>762.83775567999999</v>
      </c>
      <c r="WX11" s="967">
        <v>761.35017933999995</v>
      </c>
      <c r="WY11" s="967">
        <v>771.91739609999991</v>
      </c>
      <c r="WZ11" s="967">
        <v>733.12287327000001</v>
      </c>
      <c r="XA11" s="967">
        <v>743.14304532000006</v>
      </c>
      <c r="XB11" s="967">
        <v>786.57646266999996</v>
      </c>
      <c r="XC11" s="967">
        <v>689.25814076999995</v>
      </c>
      <c r="XD11" s="967">
        <v>722.46602001999986</v>
      </c>
      <c r="XE11" s="967">
        <v>717.87974004</v>
      </c>
      <c r="XF11" s="967">
        <v>720.21192801999996</v>
      </c>
      <c r="XG11" s="967">
        <v>749.08164494000005</v>
      </c>
      <c r="XH11" s="967">
        <v>643.86215913000001</v>
      </c>
      <c r="XI11" s="967">
        <v>658.70795420000002</v>
      </c>
      <c r="XJ11" s="967">
        <v>606.65290166</v>
      </c>
      <c r="XK11" s="967">
        <v>662.67278076999992</v>
      </c>
      <c r="XL11" s="967">
        <v>624.71959284000002</v>
      </c>
      <c r="XM11" s="967">
        <v>679.07125481000003</v>
      </c>
      <c r="XN11" s="967">
        <v>646.41167771000005</v>
      </c>
      <c r="XO11" s="967">
        <v>667.12345503000006</v>
      </c>
      <c r="XP11" s="967">
        <v>722.58462894000002</v>
      </c>
      <c r="XQ11" s="967">
        <v>617.62232681</v>
      </c>
      <c r="XR11" s="967">
        <v>603.99864013000001</v>
      </c>
      <c r="XS11" s="967">
        <v>617.04294991000006</v>
      </c>
      <c r="XT11" s="967">
        <v>661.17153301999997</v>
      </c>
      <c r="XU11" s="967">
        <v>632.54638970999997</v>
      </c>
      <c r="XV11" s="967">
        <v>640.90170697999997</v>
      </c>
      <c r="XW11" s="967">
        <v>635.13787752999997</v>
      </c>
      <c r="XX11" s="967">
        <v>665.97715726000001</v>
      </c>
      <c r="XY11" s="967">
        <v>477.71730775000003</v>
      </c>
      <c r="XZ11" s="967">
        <v>551.47550980999995</v>
      </c>
      <c r="YA11" s="967">
        <v>596.76291103999995</v>
      </c>
      <c r="YB11" s="967">
        <v>586.85940942000002</v>
      </c>
      <c r="YC11" s="967">
        <v>566.34933563000004</v>
      </c>
      <c r="YD11" s="967">
        <v>631.68186513000001</v>
      </c>
      <c r="YE11" s="967">
        <v>654.17173777999994</v>
      </c>
      <c r="YF11" s="967">
        <v>715.86036601000001</v>
      </c>
      <c r="YG11" s="967">
        <v>731.88668485999995</v>
      </c>
      <c r="YH11" s="967">
        <f>SUM(YH5:YH10)</f>
        <v>752.99224331000005</v>
      </c>
    </row>
    <row r="12" spans="2:658" s="948" customFormat="1" ht="15" thickBot="1">
      <c r="B12" s="921" t="s">
        <v>63</v>
      </c>
      <c r="C12" s="922">
        <f t="shared" ref="C12:H12" si="227">C11/C2</f>
        <v>4.6634988335626648</v>
      </c>
      <c r="D12" s="129">
        <f t="shared" si="227"/>
        <v>2.9034667150223532</v>
      </c>
      <c r="E12" s="129">
        <f t="shared" si="227"/>
        <v>2.6515719847534114</v>
      </c>
      <c r="F12" s="129">
        <f t="shared" si="227"/>
        <v>2.5585608386806582</v>
      </c>
      <c r="G12" s="129">
        <f t="shared" si="227"/>
        <v>2.6163952659804206</v>
      </c>
      <c r="H12" s="129">
        <f t="shared" si="227"/>
        <v>1.6896869682866766</v>
      </c>
      <c r="I12" s="129">
        <f t="shared" ref="I12:P12" si="228">I11/I2</f>
        <v>1.6494425780968254</v>
      </c>
      <c r="J12" s="129">
        <f t="shared" si="228"/>
        <v>1.7747860791101144</v>
      </c>
      <c r="K12" s="129">
        <f t="shared" si="228"/>
        <v>1.7222178746481793</v>
      </c>
      <c r="L12" s="129">
        <f t="shared" si="228"/>
        <v>7.5861828600456613</v>
      </c>
      <c r="M12" s="129">
        <f t="shared" si="228"/>
        <v>6.3829094074800459</v>
      </c>
      <c r="N12" s="129">
        <f t="shared" si="228"/>
        <v>2.4704237888741267</v>
      </c>
      <c r="O12" s="129">
        <f t="shared" si="228"/>
        <v>2.3242311923361862</v>
      </c>
      <c r="P12" s="129">
        <f t="shared" si="228"/>
        <v>2.292036247512677</v>
      </c>
      <c r="Q12" s="129">
        <f t="shared" ref="Q12:R12" si="229">Q11/Q2</f>
        <v>2.4014338025299669</v>
      </c>
      <c r="R12" s="129">
        <f t="shared" si="229"/>
        <v>2.240914975694368</v>
      </c>
      <c r="S12" s="129">
        <f t="shared" ref="S12:X12" si="230">S11/S2</f>
        <v>2.2378953104708064</v>
      </c>
      <c r="T12" s="129">
        <f t="shared" si="230"/>
        <v>2.2322896925379228</v>
      </c>
      <c r="U12" s="129">
        <f t="shared" si="230"/>
        <v>2.7442369443751531</v>
      </c>
      <c r="V12" s="129">
        <f t="shared" si="230"/>
        <v>2.7621632919766359</v>
      </c>
      <c r="W12" s="129">
        <f t="shared" si="230"/>
        <v>2.5539511013167497</v>
      </c>
      <c r="X12" s="129">
        <f t="shared" si="230"/>
        <v>1.7499293907072799</v>
      </c>
      <c r="Y12" s="129">
        <f t="shared" ref="Y12:AA12" si="231">Y11/Y2</f>
        <v>1.5606893522866307</v>
      </c>
      <c r="Z12" s="129">
        <f t="shared" si="231"/>
        <v>1.780611553964504</v>
      </c>
      <c r="AA12" s="129">
        <f t="shared" si="231"/>
        <v>1.9474944777755303</v>
      </c>
      <c r="AB12" s="129">
        <f t="shared" ref="AB12:AF12" si="232">AB11/AB2</f>
        <v>1.2601783400584412</v>
      </c>
      <c r="AC12" s="129">
        <f t="shared" si="232"/>
        <v>1.2759756618714129</v>
      </c>
      <c r="AD12" s="129">
        <f t="shared" si="232"/>
        <v>1.111255927200433</v>
      </c>
      <c r="AE12" s="129">
        <f t="shared" si="232"/>
        <v>1.43476546780412</v>
      </c>
      <c r="AF12" s="129">
        <f t="shared" si="232"/>
        <v>0.99694506458400645</v>
      </c>
      <c r="AG12" s="129">
        <f t="shared" ref="AG12:AH12" si="233">AG11/AG2</f>
        <v>1.0205772981360595</v>
      </c>
      <c r="AH12" s="129">
        <f t="shared" si="233"/>
        <v>3.4684126449909778</v>
      </c>
      <c r="AI12" s="129">
        <f t="shared" ref="AI12:AJ12" si="234">AI11/AI2</f>
        <v>3.362980438311558</v>
      </c>
      <c r="AJ12" s="129">
        <f t="shared" si="234"/>
        <v>4.0234431342148076</v>
      </c>
      <c r="AK12" s="129">
        <f t="shared" ref="AK12:AL12" si="235">AK11/AK2</f>
        <v>4.1293792589423912</v>
      </c>
      <c r="AL12" s="129">
        <f t="shared" si="235"/>
        <v>4.7386158968912913</v>
      </c>
      <c r="AM12" s="129">
        <f t="shared" ref="AM12:AN12" si="236">AM11/AM2</f>
        <v>4.5191502222040656</v>
      </c>
      <c r="AN12" s="129">
        <f t="shared" si="236"/>
        <v>4.2989597460092348</v>
      </c>
      <c r="AO12" s="129">
        <f t="shared" ref="AO12:AP12" si="237">AO11/AO2</f>
        <v>4.306797031906739</v>
      </c>
      <c r="AP12" s="129">
        <f t="shared" si="237"/>
        <v>3.5018671070961607</v>
      </c>
      <c r="AQ12" s="129">
        <f t="shared" ref="AQ12:AR12" si="238">AQ11/AQ2</f>
        <v>3.3000759726589064</v>
      </c>
      <c r="AR12" s="129">
        <f t="shared" si="238"/>
        <v>3.1729764798701225</v>
      </c>
      <c r="AS12" s="129">
        <f t="shared" ref="AS12:AU12" si="239">AS11/AS2</f>
        <v>3.0909069016646362</v>
      </c>
      <c r="AT12" s="129">
        <f t="shared" si="239"/>
        <v>3.3365167040259238</v>
      </c>
      <c r="AU12" s="129">
        <f t="shared" si="239"/>
        <v>3.2242118204400634</v>
      </c>
      <c r="AV12" s="129">
        <f t="shared" ref="AV12:AY12" si="240">AV11/AV2</f>
        <v>3.4301885247676625</v>
      </c>
      <c r="AW12" s="129">
        <f t="shared" si="240"/>
        <v>3.1165315058394576</v>
      </c>
      <c r="AX12" s="129">
        <f t="shared" si="240"/>
        <v>3.2820649594533267</v>
      </c>
      <c r="AY12" s="129">
        <f t="shared" si="240"/>
        <v>3.8332299548270972</v>
      </c>
      <c r="AZ12" s="129">
        <f t="shared" ref="AZ12:BA12" si="241">AZ11/AZ2</f>
        <v>3.9420264918746035</v>
      </c>
      <c r="BA12" s="129">
        <f t="shared" si="241"/>
        <v>4.3766746293838601</v>
      </c>
      <c r="BB12" s="129">
        <f t="shared" ref="BB12:BC12" si="242">BB11/BB2</f>
        <v>4.7959770038562244</v>
      </c>
      <c r="BC12" s="129">
        <f t="shared" si="242"/>
        <v>4.6027897058901335</v>
      </c>
      <c r="BD12" s="129">
        <f t="shared" ref="BD12:BE12" si="243">BD11/BD2</f>
        <v>4.1365359331134162</v>
      </c>
      <c r="BE12" s="129">
        <f t="shared" si="243"/>
        <v>5.6211637781242612</v>
      </c>
      <c r="BF12" s="129">
        <f t="shared" ref="BF12:BG12" si="244">BF11/BF2</f>
        <v>5.6326145110250243</v>
      </c>
      <c r="BG12" s="129">
        <f t="shared" si="244"/>
        <v>5.3895276574371511</v>
      </c>
      <c r="BH12" s="129">
        <f t="shared" ref="BH12:BI12" si="245">BH11/BH2</f>
        <v>5.786664451441581</v>
      </c>
      <c r="BI12" s="129">
        <f t="shared" si="245"/>
        <v>5.1675539643693034</v>
      </c>
      <c r="BJ12" s="129">
        <f t="shared" ref="BJ12:BL12" si="246">BJ11/BJ2</f>
        <v>5.4328887789102867</v>
      </c>
      <c r="BK12" s="129">
        <f t="shared" si="246"/>
        <v>3.1094213360569221</v>
      </c>
      <c r="BL12" s="129">
        <f t="shared" si="246"/>
        <v>3.2221409467877047</v>
      </c>
      <c r="BM12" s="129">
        <f t="shared" ref="BM12:BN12" si="247">BM11/BM2</f>
        <v>3.7289811423608277</v>
      </c>
      <c r="BN12" s="129">
        <f t="shared" si="247"/>
        <v>3.1990149809932866</v>
      </c>
      <c r="BO12" s="129">
        <f t="shared" ref="BO12:BP12" si="248">BO11/BO2</f>
        <v>3.1109340898758879</v>
      </c>
      <c r="BP12" s="129">
        <f t="shared" si="248"/>
        <v>2.7297970356535419</v>
      </c>
      <c r="BQ12" s="129">
        <f t="shared" ref="BQ12:BR12" si="249">BQ11/BQ2</f>
        <v>2.4274954119795318</v>
      </c>
      <c r="BR12" s="129">
        <f t="shared" si="249"/>
        <v>2.9513177645495738</v>
      </c>
      <c r="BS12" s="129">
        <f t="shared" ref="BS12:BT12" si="250">BS11/BS2</f>
        <v>2.6496130993646467</v>
      </c>
      <c r="BT12" s="129">
        <f t="shared" si="250"/>
        <v>2.9653249447362207</v>
      </c>
      <c r="BU12" s="129">
        <f t="shared" ref="BU12:BV12" si="251">BU11/BU2</f>
        <v>4.3876069377197515</v>
      </c>
      <c r="BV12" s="129">
        <f t="shared" si="251"/>
        <v>2.3926942147526127</v>
      </c>
      <c r="BW12" s="129">
        <f t="shared" ref="BW12:BX12" si="252">BW11/BW2</f>
        <v>2.577730975250855</v>
      </c>
      <c r="BX12" s="129">
        <f t="shared" si="252"/>
        <v>2.9701621356185113</v>
      </c>
      <c r="BY12" s="129">
        <f t="shared" ref="BY12:BZ12" si="253">BY11/BY2</f>
        <v>2.9252945061962228</v>
      </c>
      <c r="BZ12" s="129">
        <f t="shared" si="253"/>
        <v>5.2648592831969898</v>
      </c>
      <c r="CA12" s="129">
        <f t="shared" ref="CA12" si="254">CA11/CA2</f>
        <v>4.7114056722670474</v>
      </c>
      <c r="CB12" s="129">
        <f t="shared" ref="CB12:CC12" si="255">CB11/CB2</f>
        <v>4.7426682739838677</v>
      </c>
      <c r="CC12" s="129">
        <f t="shared" si="255"/>
        <v>4.2141100377106406</v>
      </c>
      <c r="CD12" s="129">
        <f t="shared" ref="CD12:CE12" si="256">CD11/CD2</f>
        <v>4.2598069003844161</v>
      </c>
      <c r="CE12" s="129">
        <f t="shared" si="256"/>
        <v>6.0317391766495403</v>
      </c>
      <c r="CF12" s="129">
        <f t="shared" ref="CF12:CG12" si="257">CF11/CF2</f>
        <v>7.6845066235791846</v>
      </c>
      <c r="CG12" s="129">
        <f t="shared" si="257"/>
        <v>7.7609209146616962</v>
      </c>
      <c r="CH12" s="129">
        <f t="shared" ref="CH12:CI12" si="258">CH11/CH2</f>
        <v>7.5732540976235523</v>
      </c>
      <c r="CI12" s="129">
        <f t="shared" si="258"/>
        <v>7.8140945732594194</v>
      </c>
      <c r="CJ12" s="129">
        <f t="shared" ref="CJ12:CK12" si="259">CJ11/CJ2</f>
        <v>8.7068911209647162</v>
      </c>
      <c r="CK12" s="129">
        <f t="shared" si="259"/>
        <v>9.0027126748315585</v>
      </c>
      <c r="CL12" s="129">
        <f t="shared" ref="CL12:CM12" si="260">CL11/CL2</f>
        <v>9.113044182999392</v>
      </c>
      <c r="CM12" s="129">
        <f t="shared" si="260"/>
        <v>9.2188027861410831</v>
      </c>
      <c r="CN12" s="129">
        <f t="shared" ref="CN12:CO12" si="261">CN11/CN2</f>
        <v>8.5776525002732651</v>
      </c>
      <c r="CO12" s="129">
        <f t="shared" si="261"/>
        <v>8.7134883698733923</v>
      </c>
      <c r="CP12" s="129">
        <f t="shared" ref="CP12:CQ12" si="262">CP11/CP2</f>
        <v>9.075847780459199</v>
      </c>
      <c r="CQ12" s="129">
        <f t="shared" si="262"/>
        <v>8.8532050665607009</v>
      </c>
      <c r="CR12" s="129">
        <f t="shared" ref="CR12:CS12" si="263">CR11/CR2</f>
        <v>9.0494611616838885</v>
      </c>
      <c r="CS12" s="129">
        <f t="shared" si="263"/>
        <v>9.5766677465254197</v>
      </c>
      <c r="CT12" s="129">
        <f t="shared" ref="CT12:CU12" si="264">CT11/CT2</f>
        <v>9.8089303185570955</v>
      </c>
      <c r="CU12" s="129">
        <f t="shared" si="264"/>
        <v>10.463820283870108</v>
      </c>
      <c r="CV12" s="129">
        <f t="shared" ref="CV12:CW12" si="265">CV11/CV2</f>
        <v>10.623695665467656</v>
      </c>
      <c r="CW12" s="129">
        <f t="shared" si="265"/>
        <v>10.44253219616383</v>
      </c>
      <c r="CX12" s="129">
        <f t="shared" ref="CX12:CY12" si="266">CX11/CX2</f>
        <v>10.264242712821996</v>
      </c>
      <c r="CY12" s="129">
        <f t="shared" si="266"/>
        <v>10.244356724458058</v>
      </c>
      <c r="CZ12" s="129">
        <f t="shared" ref="CZ12:DA12" si="267">CZ11/CZ2</f>
        <v>10.213688300800236</v>
      </c>
      <c r="DA12" s="129">
        <f t="shared" si="267"/>
        <v>10.381312053437705</v>
      </c>
      <c r="DB12" s="129">
        <f t="shared" ref="DB12:DC12" si="268">DB11/DB2</f>
        <v>9.7432854614370257</v>
      </c>
      <c r="DC12" s="129">
        <f t="shared" si="268"/>
        <v>10.205396899169591</v>
      </c>
      <c r="DD12" s="129">
        <f t="shared" ref="DD12:DE12" si="269">DD11/DD2</f>
        <v>9.939178888951604</v>
      </c>
      <c r="DE12" s="129">
        <f t="shared" si="269"/>
        <v>10.010974056476915</v>
      </c>
      <c r="DF12" s="129">
        <f t="shared" ref="DF12:DG12" si="270">DF11/DF2</f>
        <v>10.352755441906998</v>
      </c>
      <c r="DG12" s="129">
        <f t="shared" si="270"/>
        <v>9.0429562585278624</v>
      </c>
      <c r="DH12" s="129">
        <f t="shared" ref="DH12:DI12" si="271">DH11/DH2</f>
        <v>9.1763475231043277</v>
      </c>
      <c r="DI12" s="129">
        <f t="shared" si="271"/>
        <v>8.8729257635490537</v>
      </c>
      <c r="DJ12" s="129">
        <f t="shared" ref="DJ12:DK12" si="272">DJ11/DJ2</f>
        <v>7.7992538443446646</v>
      </c>
      <c r="DK12" s="129">
        <f t="shared" si="272"/>
        <v>9.0253812671160389</v>
      </c>
      <c r="DL12" s="129">
        <f t="shared" ref="DL12:DM12" si="273">DL11/DL2</f>
        <v>8.2475929968175627</v>
      </c>
      <c r="DM12" s="129">
        <f t="shared" si="273"/>
        <v>8.4054102211508361</v>
      </c>
      <c r="DN12" s="129">
        <f t="shared" ref="DN12:DO12" si="274">DN11/DN2</f>
        <v>8.5378682925570519</v>
      </c>
      <c r="DO12" s="129">
        <f t="shared" si="274"/>
        <v>8.6267364772356494</v>
      </c>
      <c r="DP12" s="129">
        <f t="shared" ref="DP12:DQ12" si="275">DP11/DP2</f>
        <v>8.5857440741209636</v>
      </c>
      <c r="DQ12" s="129">
        <f t="shared" si="275"/>
        <v>7.9033180882289393</v>
      </c>
      <c r="DR12" s="129">
        <f t="shared" ref="DR12:DS12" si="276">DR11/DR2</f>
        <v>8.1702868084737688</v>
      </c>
      <c r="DS12" s="129">
        <f t="shared" si="276"/>
        <v>8.5274889813286041</v>
      </c>
      <c r="DT12" s="129">
        <f t="shared" ref="DT12:DU12" si="277">DT11/DT2</f>
        <v>8.4578914695864071</v>
      </c>
      <c r="DU12" s="129">
        <f t="shared" si="277"/>
        <v>9.1787320902021658</v>
      </c>
      <c r="DV12" s="129">
        <f t="shared" ref="DV12:DW12" si="278">DV11/DV2</f>
        <v>9.5700642652459518</v>
      </c>
      <c r="DW12" s="129">
        <f t="shared" si="278"/>
        <v>8.6045931981793053</v>
      </c>
      <c r="DX12" s="129">
        <f t="shared" ref="DX12:DY12" si="279">DX11/DX2</f>
        <v>8.7072718345209879</v>
      </c>
      <c r="DY12" s="129">
        <f t="shared" si="279"/>
        <v>8.0700173147196637</v>
      </c>
      <c r="DZ12" s="129">
        <f t="shared" ref="DZ12:EA12" si="280">DZ11/DZ2</f>
        <v>8.5766648751236474</v>
      </c>
      <c r="EA12" s="129">
        <f t="shared" si="280"/>
        <v>8.8214954985894547</v>
      </c>
      <c r="EB12" s="129">
        <f t="shared" ref="EB12:EC12" si="281">EB11/EB2</f>
        <v>8.6156345214342931</v>
      </c>
      <c r="EC12" s="129">
        <f t="shared" si="281"/>
        <v>8.7586705755307275</v>
      </c>
      <c r="ED12" s="129">
        <f t="shared" ref="ED12:EE12" si="282">ED11/ED2</f>
        <v>8.6859010747941188</v>
      </c>
      <c r="EE12" s="129">
        <f t="shared" si="282"/>
        <v>8.120598252826646</v>
      </c>
      <c r="EF12" s="129">
        <f t="shared" ref="EF12:EG12" si="283">EF11/EF2</f>
        <v>7.4900330636179522</v>
      </c>
      <c r="EG12" s="129">
        <f t="shared" si="283"/>
        <v>7.2501826483889209</v>
      </c>
      <c r="EH12" s="129">
        <f t="shared" ref="EH12:EI12" si="284">EH11/EH2</f>
        <v>7.2420063363547538</v>
      </c>
      <c r="EI12" s="129">
        <f t="shared" si="284"/>
        <v>7.6205246161309272</v>
      </c>
      <c r="EJ12" s="129">
        <f t="shared" ref="EJ12:EK12" si="285">EJ11/EJ2</f>
        <v>8.5681882550058823</v>
      </c>
      <c r="EK12" s="129">
        <f t="shared" si="285"/>
        <v>8.4733542688712067</v>
      </c>
      <c r="EL12" s="129">
        <f t="shared" ref="EL12:EM12" si="286">EL11/EL2</f>
        <v>8.5771112624628856</v>
      </c>
      <c r="EM12" s="129">
        <f t="shared" si="286"/>
        <v>8.4281964426331992</v>
      </c>
      <c r="EN12" s="129">
        <f t="shared" ref="EN12:EO12" si="287">EN11/EN2</f>
        <v>8.6840247643158435</v>
      </c>
      <c r="EO12" s="129">
        <f t="shared" si="287"/>
        <v>8.9960599869598887</v>
      </c>
      <c r="EP12" s="129">
        <f t="shared" ref="EP12:EQ12" si="288">EP11/EP2</f>
        <v>9.3015005039002396</v>
      </c>
      <c r="EQ12" s="129">
        <f t="shared" si="288"/>
        <v>8.9863737115335063</v>
      </c>
      <c r="ER12" s="129">
        <f t="shared" ref="ER12:ES12" si="289">ER11/ER2</f>
        <v>9.1399214429320974</v>
      </c>
      <c r="ES12" s="129">
        <f t="shared" si="289"/>
        <v>9.0977152623335815</v>
      </c>
      <c r="ET12" s="129">
        <f t="shared" ref="ET12:EU12" si="290">ET11/ET2</f>
        <v>9.2946482350493955</v>
      </c>
      <c r="EU12" s="129">
        <f t="shared" si="290"/>
        <v>9.4068777435011963</v>
      </c>
      <c r="EV12" s="129">
        <f t="shared" ref="EV12:EW12" si="291">EV11/EV2</f>
        <v>9.5358012611615326</v>
      </c>
      <c r="EW12" s="129">
        <f t="shared" si="291"/>
        <v>9.9979991687426448</v>
      </c>
      <c r="EX12" s="129">
        <f t="shared" ref="EX12:EY12" si="292">EX11/EX2</f>
        <v>10.316545752107642</v>
      </c>
      <c r="EY12" s="129">
        <f t="shared" si="292"/>
        <v>11.998429008258119</v>
      </c>
      <c r="EZ12" s="129">
        <f t="shared" ref="EZ12:FA12" si="293">EZ11/EZ2</f>
        <v>11.530808979556358</v>
      </c>
      <c r="FA12" s="129">
        <f t="shared" si="293"/>
        <v>11.900984794738385</v>
      </c>
      <c r="FB12" s="129">
        <f t="shared" ref="FB12:FC12" si="294">FB11/FB2</f>
        <v>11.932932683848383</v>
      </c>
      <c r="FC12" s="129">
        <f t="shared" si="294"/>
        <v>11.979348810797612</v>
      </c>
      <c r="FD12" s="129">
        <f t="shared" ref="FD12:FE12" si="295">FD11/FD2</f>
        <v>12.339315049620685</v>
      </c>
      <c r="FE12" s="129">
        <f t="shared" si="295"/>
        <v>11.34905435703911</v>
      </c>
      <c r="FF12" s="129">
        <f t="shared" ref="FF12:FG12" si="296">FF11/FF2</f>
        <v>11.6031119428187</v>
      </c>
      <c r="FG12" s="129">
        <f t="shared" si="296"/>
        <v>11.783261309766283</v>
      </c>
      <c r="FH12" s="129">
        <f t="shared" ref="FH12:FJ12" si="297">FH11/FH2</f>
        <v>12.271904937382089</v>
      </c>
      <c r="FI12" s="129">
        <f t="shared" ref="FI12" si="298">FI11/FI2</f>
        <v>11.860193839596032</v>
      </c>
      <c r="FJ12" s="129">
        <f t="shared" si="297"/>
        <v>12.282119647985546</v>
      </c>
      <c r="FK12" s="129">
        <f t="shared" ref="FK12:FL12" si="299">FK11/FK2</f>
        <v>12.704298459613614</v>
      </c>
      <c r="FL12" s="129">
        <f t="shared" si="299"/>
        <v>12.256956832972879</v>
      </c>
      <c r="FM12" s="129">
        <f t="shared" ref="FM12:FN12" si="300">FM11/FM2</f>
        <v>10.05775357996154</v>
      </c>
      <c r="FN12" s="129">
        <f t="shared" si="300"/>
        <v>9.9021776043587035</v>
      </c>
      <c r="FO12" s="129">
        <f t="shared" ref="FO12:FP12" si="301">FO11/FO2</f>
        <v>9.6626991780489959</v>
      </c>
      <c r="FP12" s="129">
        <f t="shared" si="301"/>
        <v>9.8518116006327165</v>
      </c>
      <c r="FQ12" s="129">
        <f t="shared" ref="FQ12:FR12" si="302">FQ11/FQ2</f>
        <v>9.9933558815593031</v>
      </c>
      <c r="FR12" s="129">
        <f t="shared" si="302"/>
        <v>9.9384860912765536</v>
      </c>
      <c r="FS12" s="129">
        <f t="shared" ref="FS12:FT12" si="303">FS11/FS2</f>
        <v>10.602823993766977</v>
      </c>
      <c r="FT12" s="129">
        <f t="shared" si="303"/>
        <v>9.8980134995382336</v>
      </c>
      <c r="FU12" s="129">
        <f t="shared" ref="FU12:FV12" si="304">FU11/FU2</f>
        <v>10.11529808110307</v>
      </c>
      <c r="FV12" s="129">
        <f t="shared" si="304"/>
        <v>10.026959137604239</v>
      </c>
      <c r="FW12" s="129">
        <f t="shared" ref="FW12:FX12" si="305">FW11/FW2</f>
        <v>11.378769845931391</v>
      </c>
      <c r="FX12" s="129">
        <f t="shared" si="305"/>
        <v>9.7175310618250865</v>
      </c>
      <c r="FY12" s="129">
        <f t="shared" ref="FY12:FZ12" si="306">FY11/FY2</f>
        <v>9.7106951895209761</v>
      </c>
      <c r="FZ12" s="129">
        <f t="shared" si="306"/>
        <v>9.4588294788427856</v>
      </c>
      <c r="GA12" s="129">
        <f t="shared" ref="GA12:GB12" si="307">GA11/GA2</f>
        <v>7.997792151660537</v>
      </c>
      <c r="GB12" s="129">
        <f t="shared" si="307"/>
        <v>9.371447374775185</v>
      </c>
      <c r="GC12" s="129">
        <f t="shared" ref="GC12:GD12" si="308">GC11/GC2</f>
        <v>8.7295034977548411</v>
      </c>
      <c r="GD12" s="129">
        <f t="shared" si="308"/>
        <v>8.9322996224165951</v>
      </c>
      <c r="GE12" s="129">
        <f t="shared" ref="GE12:GF12" si="309">GE11/GE2</f>
        <v>8.5244147084179378</v>
      </c>
      <c r="GF12" s="129">
        <f t="shared" si="309"/>
        <v>8.4237797001549968</v>
      </c>
      <c r="GG12" s="129">
        <f t="shared" ref="GG12:GH12" si="310">GG11/GG2</f>
        <v>9.6028530322092145</v>
      </c>
      <c r="GH12" s="129">
        <f t="shared" si="310"/>
        <v>8.8362056334159753</v>
      </c>
      <c r="GI12" s="129">
        <f t="shared" ref="GI12:GJ12" si="311">GI11/GI2</f>
        <v>6.4730471621648809</v>
      </c>
      <c r="GJ12" s="129">
        <f t="shared" si="311"/>
        <v>6.9891670279135667</v>
      </c>
      <c r="GK12" s="129">
        <f t="shared" ref="GK12:GL12" si="312">GK11/GK2</f>
        <v>7.1562645302624732</v>
      </c>
      <c r="GL12" s="129">
        <f t="shared" si="312"/>
        <v>6.7632004045764615</v>
      </c>
      <c r="GM12" s="129">
        <f t="shared" ref="GM12:GN12" si="313">GM11/GM2</f>
        <v>6.8215200767211446</v>
      </c>
      <c r="GN12" s="129">
        <f t="shared" si="313"/>
        <v>7.2827502335958627</v>
      </c>
      <c r="GO12" s="129">
        <f t="shared" ref="GO12:GP12" si="314">GO11/GO2</f>
        <v>7.277111908703052</v>
      </c>
      <c r="GP12" s="129">
        <f t="shared" si="314"/>
        <v>4.7401770258418185</v>
      </c>
      <c r="GQ12" s="129">
        <f t="shared" ref="GQ12:GR12" si="315">GQ11/GQ2</f>
        <v>5.6176674695790005</v>
      </c>
      <c r="GR12" s="129">
        <f t="shared" si="315"/>
        <v>5.6982424476646365</v>
      </c>
      <c r="GS12" s="129">
        <f t="shared" ref="GS12:GT12" si="316">GS11/GS2</f>
        <v>5.5934622991698548</v>
      </c>
      <c r="GT12" s="129">
        <f t="shared" si="316"/>
        <v>3.7826998587582641</v>
      </c>
      <c r="GU12" s="129">
        <f t="shared" ref="GU12:GV12" si="317">GU11/GU2</f>
        <v>3.8084070138518076</v>
      </c>
      <c r="GV12" s="129">
        <f t="shared" si="317"/>
        <v>4.522456818456285</v>
      </c>
      <c r="GW12" s="129">
        <f t="shared" ref="GW12:GX12" si="318">GW11/GW2</f>
        <v>4.7841013784878275</v>
      </c>
      <c r="GX12" s="129">
        <f t="shared" si="318"/>
        <v>3.5504208655658367</v>
      </c>
      <c r="GY12" s="129">
        <f t="shared" ref="GY12:GZ12" si="319">GY11/GY2</f>
        <v>3.823089666352073</v>
      </c>
      <c r="GZ12" s="129">
        <f t="shared" si="319"/>
        <v>3.6074339558245168</v>
      </c>
      <c r="HA12" s="129">
        <f t="shared" ref="HA12:HB12" si="320">HA11/HA2</f>
        <v>3.7528940937395983</v>
      </c>
      <c r="HB12" s="129">
        <f t="shared" si="320"/>
        <v>4.1201175429514656</v>
      </c>
      <c r="HC12" s="129">
        <f t="shared" ref="HC12:HD12" si="321">HC11/HC2</f>
        <v>3.6448086493916607</v>
      </c>
      <c r="HD12" s="129">
        <f t="shared" si="321"/>
        <v>4.013422508355788</v>
      </c>
      <c r="HE12" s="129">
        <f t="shared" ref="HE12:HF12" si="322">HE11/HE2</f>
        <v>1.8723517014594544</v>
      </c>
      <c r="HF12" s="129">
        <f t="shared" si="322"/>
        <v>2.1000644280121561</v>
      </c>
      <c r="HG12" s="129">
        <f t="shared" ref="HG12:HH12" si="323">HG11/HG2</f>
        <v>2.706280698634874</v>
      </c>
      <c r="HH12" s="129">
        <f t="shared" si="323"/>
        <v>3.1013082562497352</v>
      </c>
      <c r="HI12" s="129">
        <f t="shared" ref="HI12:HJ12" si="324">HI11/HI2</f>
        <v>2.1202870385092374</v>
      </c>
      <c r="HJ12" s="129">
        <f t="shared" si="324"/>
        <v>2.1120589496039672</v>
      </c>
      <c r="HK12" s="129">
        <f t="shared" ref="HK12:HL12" si="325">HK11/HK2</f>
        <v>2.3830076300424281</v>
      </c>
      <c r="HL12" s="129">
        <f t="shared" si="325"/>
        <v>1.8573256664543232</v>
      </c>
      <c r="HM12" s="129">
        <f t="shared" ref="HM12" si="326">HM11/HM2</f>
        <v>1.9193746400125684</v>
      </c>
      <c r="HN12" s="129">
        <f t="shared" ref="HN12" si="327">HN11/HN2</f>
        <v>2.0680989147946263</v>
      </c>
      <c r="HO12" s="129">
        <v>6.3125581547392482</v>
      </c>
      <c r="HP12" s="129">
        <v>6.0169148682996418</v>
      </c>
      <c r="HQ12" s="129">
        <v>6.0615855967719954</v>
      </c>
      <c r="HR12" s="129">
        <f t="shared" ref="HR12" si="328">HR11/HR2</f>
        <v>6.3592144985646408</v>
      </c>
      <c r="HS12" s="129">
        <f t="shared" ref="HS12:HT12" si="329">HS11/HS2</f>
        <v>5.783087826967944</v>
      </c>
      <c r="HT12" s="129">
        <f t="shared" si="329"/>
        <v>4.9486877910730458</v>
      </c>
      <c r="HU12" s="129">
        <f t="shared" ref="HU12" si="330">HU11/HU2</f>
        <v>6.7714955346151005</v>
      </c>
      <c r="HV12" s="129">
        <v>7.114564597863775</v>
      </c>
      <c r="HW12" s="129">
        <v>7.2702908591294557</v>
      </c>
      <c r="HX12" s="129">
        <v>6.4561105196436817</v>
      </c>
      <c r="HY12" s="129">
        <v>6.4242623512348409</v>
      </c>
      <c r="HZ12" s="129">
        <v>6.4420901520119296</v>
      </c>
      <c r="IA12" s="129">
        <v>6.5992527431224737</v>
      </c>
      <c r="IB12" s="129">
        <v>6.1231103526737716</v>
      </c>
      <c r="IC12" s="129">
        <v>4.7919234644967936</v>
      </c>
      <c r="ID12" s="129">
        <v>4.8593874763379272</v>
      </c>
      <c r="IE12" s="129">
        <v>4.7578409634187864</v>
      </c>
      <c r="IF12" s="129">
        <v>5.14959891490654</v>
      </c>
      <c r="IG12" s="129">
        <v>5.0080907165319708</v>
      </c>
      <c r="IH12" s="129">
        <v>5.1373457344600926</v>
      </c>
      <c r="II12" s="129">
        <v>4.7743021187950765</v>
      </c>
      <c r="IJ12" s="129">
        <v>4.9415819133581991</v>
      </c>
      <c r="IK12" s="129">
        <v>5.2702501949407443</v>
      </c>
      <c r="IL12" s="129">
        <v>7.3112305280253942</v>
      </c>
      <c r="IM12" s="129">
        <v>7.5904537836343131</v>
      </c>
      <c r="IN12" s="129">
        <v>7.220231171028356</v>
      </c>
      <c r="IO12" s="129">
        <v>7.0187512006483557</v>
      </c>
      <c r="IP12" s="129">
        <v>7.1511872126574181</v>
      </c>
      <c r="IQ12" s="129">
        <v>6.7178340681508102</v>
      </c>
      <c r="IR12" s="129">
        <v>7.7634857993798772</v>
      </c>
      <c r="IS12" s="129">
        <v>8.1233527536478913</v>
      </c>
      <c r="IT12" s="129">
        <v>8.3872122512551961</v>
      </c>
      <c r="IU12" s="129">
        <v>8.1362909352756265</v>
      </c>
      <c r="IV12" s="129">
        <v>8.4819810290889066</v>
      </c>
      <c r="IW12" s="129">
        <v>8.6875970852584263</v>
      </c>
      <c r="IX12" s="129">
        <v>8.5435977869897002</v>
      </c>
      <c r="IY12" s="129">
        <f t="shared" ref="IY12" si="331">IY11/IY2</f>
        <v>7.8631148555010135</v>
      </c>
      <c r="IZ12" s="129">
        <v>7.9963009714305677</v>
      </c>
      <c r="JA12" s="129">
        <v>8.5383808411536588</v>
      </c>
      <c r="JB12" s="129">
        <v>8.2210851728654379</v>
      </c>
      <c r="JC12" s="129">
        <v>8.310105545458514</v>
      </c>
      <c r="JD12" s="129">
        <v>8.324337209645492</v>
      </c>
      <c r="JE12" s="129">
        <v>8.4781919764053111</v>
      </c>
      <c r="JF12" s="129">
        <v>8.5499496795541141</v>
      </c>
      <c r="JG12" s="129">
        <v>8.7222865320933618</v>
      </c>
      <c r="JH12" s="129">
        <v>7.6935218458441978</v>
      </c>
      <c r="JI12" s="129">
        <v>7.6588128777122311</v>
      </c>
      <c r="JJ12" s="129">
        <v>7.6615087868072536</v>
      </c>
      <c r="JK12" s="129">
        <v>8.2334945276449254</v>
      </c>
      <c r="JL12" s="129">
        <v>7.8782638193568371</v>
      </c>
      <c r="JM12" s="129">
        <v>8.1321285877450151</v>
      </c>
      <c r="JN12" s="129">
        <v>8.1945247253495967</v>
      </c>
      <c r="JO12" s="129">
        <v>8.1311489960167123</v>
      </c>
      <c r="JP12" s="129">
        <v>8.0771621896693802</v>
      </c>
      <c r="JQ12" s="129">
        <v>8.2956390621768161</v>
      </c>
      <c r="JR12" s="129">
        <v>7.9432375874741625</v>
      </c>
      <c r="JS12" s="129">
        <f t="shared" ref="JS12" si="332">JS11/JS2</f>
        <v>7.9776553098994647</v>
      </c>
      <c r="JT12" s="129">
        <v>8.5499142563401236</v>
      </c>
      <c r="JU12" s="129">
        <v>8.0737594410298801</v>
      </c>
      <c r="JV12" s="129">
        <v>8.291187176851043</v>
      </c>
      <c r="JW12" s="129">
        <v>8.0455145640125956</v>
      </c>
      <c r="JX12" s="129">
        <v>8.1521252134671816</v>
      </c>
      <c r="JY12" s="129">
        <v>8.1064000201000717</v>
      </c>
      <c r="JZ12" s="129">
        <v>8.2101663881407987</v>
      </c>
      <c r="KA12" s="129">
        <v>8.1247657491322798</v>
      </c>
      <c r="KB12" s="129">
        <v>8.3667438101500586</v>
      </c>
      <c r="KC12" s="129">
        <v>6.7498927110178659</v>
      </c>
      <c r="KD12" s="129">
        <v>7.0324040940482719</v>
      </c>
      <c r="KE12" s="129">
        <v>6.8936332278016916</v>
      </c>
      <c r="KF12" s="129">
        <v>6.5578255145457609</v>
      </c>
      <c r="KG12" s="129">
        <v>6.7665379485930632</v>
      </c>
      <c r="KH12" s="129">
        <v>6.9072739661551603</v>
      </c>
      <c r="KI12" s="129">
        <v>7.0961925088261379</v>
      </c>
      <c r="KJ12" s="129">
        <f t="shared" ref="KJ12" si="333">KJ11/KJ2</f>
        <v>7.1113011705800764</v>
      </c>
      <c r="KK12" s="129">
        <v>7.1889794333983401</v>
      </c>
      <c r="KL12" s="129">
        <v>7.1793968034312714</v>
      </c>
      <c r="KM12" s="129">
        <v>7.2151919988422595</v>
      </c>
      <c r="KN12" s="129">
        <v>7.2197315674829952</v>
      </c>
      <c r="KO12" s="129">
        <v>7.1955624493899144</v>
      </c>
      <c r="KP12" s="129">
        <v>7.1742274186078818</v>
      </c>
      <c r="KQ12" s="129">
        <v>7.1337957639198022</v>
      </c>
      <c r="KR12" s="129">
        <v>6.0824826891348263</v>
      </c>
      <c r="KS12" s="129">
        <f t="shared" ref="KS12" si="334">KS11/KS2</f>
        <v>5.3201624387340321</v>
      </c>
      <c r="KT12" s="129">
        <v>4.6313122698891576</v>
      </c>
      <c r="KU12" s="129">
        <f t="shared" ref="KU12:KV12" si="335">KU11/KU2</f>
        <v>4.5194987177907642</v>
      </c>
      <c r="KV12" s="129">
        <f t="shared" si="335"/>
        <v>4.7884934170016358</v>
      </c>
      <c r="KW12" s="129">
        <f t="shared" ref="KW12" si="336">KW11/KW2</f>
        <v>4.4626834373821911</v>
      </c>
      <c r="KX12" s="129">
        <v>4.5141150132438748</v>
      </c>
      <c r="KY12" s="129">
        <v>4.9183501480893934</v>
      </c>
      <c r="KZ12" s="129">
        <v>4.7721544018234017</v>
      </c>
      <c r="LA12" s="129">
        <v>4.5914977315756875</v>
      </c>
      <c r="LB12" s="129">
        <v>4.8295965324399717</v>
      </c>
      <c r="LC12" s="129">
        <v>5.3381801238494484</v>
      </c>
      <c r="LD12" s="129">
        <v>7.2533059428796038</v>
      </c>
      <c r="LE12" s="129">
        <f t="shared" ref="LE12" si="337">LE11/LE2</f>
        <v>6.5075261134462732</v>
      </c>
      <c r="LF12" s="968">
        <v>7.025435409154225</v>
      </c>
      <c r="LG12" s="968">
        <v>7.3133226155970004</v>
      </c>
      <c r="LH12" s="968">
        <v>7.7113730667975187</v>
      </c>
      <c r="LI12" s="968">
        <v>8.0971995215444199</v>
      </c>
      <c r="LJ12" s="968">
        <v>7.6875577839528217</v>
      </c>
      <c r="LK12" s="968">
        <v>7.4693880899079348</v>
      </c>
      <c r="LL12" s="968">
        <v>7.6631622964758312</v>
      </c>
      <c r="LM12" s="968">
        <v>7.7044660476034608</v>
      </c>
      <c r="LN12" s="968">
        <v>7.68531120146719</v>
      </c>
      <c r="LO12" s="968">
        <v>7.5361896970515874</v>
      </c>
      <c r="LP12" s="968">
        <v>6.8865338463226315</v>
      </c>
      <c r="LQ12" s="968">
        <v>6.8706470856879571</v>
      </c>
      <c r="LR12" s="968">
        <v>7.4833821324469767</v>
      </c>
      <c r="LS12" s="968">
        <v>8.0033749437156096</v>
      </c>
      <c r="LT12" s="968">
        <v>7.632120551459896</v>
      </c>
      <c r="LU12" s="968">
        <v>7.4881354860603482</v>
      </c>
      <c r="LV12" s="968">
        <v>7.6971034461013925</v>
      </c>
      <c r="LW12" s="968">
        <v>7.588149203277931</v>
      </c>
      <c r="LX12" s="968">
        <v>7.9330737524266235</v>
      </c>
      <c r="LY12" s="968">
        <v>7.8607234250318365</v>
      </c>
      <c r="LZ12" s="968">
        <v>7.5796585349010321</v>
      </c>
      <c r="MA12" s="968">
        <v>7.6599416936342584</v>
      </c>
      <c r="MB12" s="968">
        <v>7.8435908493992885</v>
      </c>
      <c r="MC12" s="968">
        <v>8.1159466154699498</v>
      </c>
      <c r="MD12" s="968">
        <v>7.9737509312220123</v>
      </c>
      <c r="ME12" s="968">
        <v>7.4481814512240234</v>
      </c>
      <c r="MF12" s="968">
        <v>7.6959214833383713</v>
      </c>
      <c r="MG12" s="968">
        <v>8.0631771821741491</v>
      </c>
      <c r="MH12" s="968">
        <v>8.2213144195398034</v>
      </c>
      <c r="MI12" s="968">
        <v>7.7664508277029833</v>
      </c>
      <c r="MJ12" s="968">
        <v>7.7462460134167666</v>
      </c>
      <c r="MK12" s="968">
        <v>7.7251987004145075</v>
      </c>
      <c r="ML12" s="968">
        <v>7.6852354759396215</v>
      </c>
      <c r="MM12" s="968">
        <v>7.6526609904870622</v>
      </c>
      <c r="MN12" s="968">
        <v>6.3437234352675969</v>
      </c>
      <c r="MO12" s="968">
        <v>5.2911532656644598</v>
      </c>
      <c r="MP12" s="968">
        <v>5.8161441615596932</v>
      </c>
      <c r="MQ12" s="968">
        <v>5.9188879770697529</v>
      </c>
      <c r="MR12" s="968">
        <v>6.1335371646842356</v>
      </c>
      <c r="MS12" s="968">
        <v>4.5305402214684714</v>
      </c>
      <c r="MT12" s="968">
        <v>4.3717372540523884</v>
      </c>
      <c r="MU12" s="968">
        <v>4.277394419728588</v>
      </c>
      <c r="MV12" s="968">
        <v>4.1912628152230837</v>
      </c>
      <c r="MW12" s="968">
        <v>4.5901825486216374</v>
      </c>
      <c r="MX12" s="968">
        <v>4.5911733729756952</v>
      </c>
      <c r="MY12" s="968">
        <v>4.2462244568332688</v>
      </c>
      <c r="MZ12" s="968">
        <v>4.5591941815134476</v>
      </c>
      <c r="NA12" s="968">
        <v>4.8450983851176792</v>
      </c>
      <c r="NB12" s="968">
        <v>5.357150780822332</v>
      </c>
      <c r="NC12" s="968">
        <v>5.1991523604633603</v>
      </c>
      <c r="ND12" s="968">
        <v>6.6847504524049857</v>
      </c>
      <c r="NE12" s="968">
        <v>7.4415604973446259</v>
      </c>
      <c r="NF12" s="968">
        <v>8.7557095236721061</v>
      </c>
      <c r="NG12" s="968">
        <v>8.9142361127858116</v>
      </c>
      <c r="NH12" s="968">
        <v>9.2919061165657659</v>
      </c>
      <c r="NI12" s="968">
        <v>9.7230189280676704</v>
      </c>
      <c r="NJ12" s="968">
        <v>9.7596817374766971</v>
      </c>
      <c r="NK12" s="968">
        <v>10.33438622455003</v>
      </c>
      <c r="NL12" s="968">
        <v>10.78974643817226</v>
      </c>
      <c r="NM12" s="968">
        <v>10.050378226718362</v>
      </c>
      <c r="NN12" s="968">
        <v>9.7658628276533044</v>
      </c>
      <c r="NO12" s="968">
        <v>9.7777846909382067</v>
      </c>
      <c r="NP12" s="968">
        <v>9.9865219886261798</v>
      </c>
      <c r="NQ12" s="968">
        <v>7.7993423892052096</v>
      </c>
      <c r="NR12" s="968">
        <v>8.8222723682566819</v>
      </c>
      <c r="NS12" s="968">
        <v>9.5763165752069437</v>
      </c>
      <c r="NT12" s="968">
        <v>9.6312142758688921</v>
      </c>
      <c r="NU12" s="968">
        <f t="shared" ref="NU12" si="338">NU11/NU2</f>
        <v>10.289490420393228</v>
      </c>
      <c r="NV12" s="968">
        <v>10.074724073115664</v>
      </c>
      <c r="NW12" s="968">
        <v>9.981016435966275</v>
      </c>
      <c r="NX12" s="968">
        <v>10.359396650363864</v>
      </c>
      <c r="NY12" s="968">
        <v>10.420829011264109</v>
      </c>
      <c r="NZ12" s="968">
        <v>10.818060368998788</v>
      </c>
      <c r="OA12" s="968">
        <v>10.831329199420548</v>
      </c>
      <c r="OB12" s="968">
        <v>12.085026514780465</v>
      </c>
      <c r="OC12" s="968">
        <v>10.916790587292891</v>
      </c>
      <c r="OD12" s="968">
        <v>11.206264919357114</v>
      </c>
      <c r="OE12" s="968">
        <v>11.42310799804817</v>
      </c>
      <c r="OF12" s="968">
        <v>11.1337120702129</v>
      </c>
      <c r="OG12" s="968">
        <v>10.769763475365874</v>
      </c>
      <c r="OH12" s="968">
        <v>10.415791236826733</v>
      </c>
      <c r="OI12" s="968">
        <v>10.417335566745244</v>
      </c>
      <c r="OJ12" s="968">
        <v>11.012025611903947</v>
      </c>
      <c r="OK12" s="968">
        <v>12.077810054009142</v>
      </c>
      <c r="OL12" s="968">
        <v>11.355290829433427</v>
      </c>
      <c r="OM12" s="968">
        <v>10.528772597855664</v>
      </c>
      <c r="ON12" s="968">
        <v>10.701274644295287</v>
      </c>
      <c r="OO12" s="968">
        <v>11.162376788863792</v>
      </c>
      <c r="OP12" s="968">
        <v>10.612478660903687</v>
      </c>
      <c r="OQ12" s="968">
        <v>10.651259261602672</v>
      </c>
      <c r="OR12" s="968">
        <v>10.695255986576052</v>
      </c>
      <c r="OS12" s="968">
        <v>10.543573222094036</v>
      </c>
      <c r="OT12" s="968">
        <v>11.059728704063241</v>
      </c>
      <c r="OU12" s="968">
        <v>10.259095875566768</v>
      </c>
      <c r="OV12" s="968">
        <v>10.288416559495522</v>
      </c>
      <c r="OW12" s="968">
        <v>10.299209254119999</v>
      </c>
      <c r="OX12" s="968">
        <v>8.5661607755351081</v>
      </c>
      <c r="OY12" s="968">
        <v>8.880063529579667</v>
      </c>
      <c r="OZ12" s="968">
        <v>7.0281266179593835</v>
      </c>
      <c r="PA12" s="968">
        <v>7.4924468836240505</v>
      </c>
      <c r="PB12" s="968">
        <v>7.6471609972989949</v>
      </c>
      <c r="PC12" s="968">
        <v>7.703508791658912</v>
      </c>
      <c r="PD12" s="968">
        <v>7.459608516239113</v>
      </c>
      <c r="PE12" s="968">
        <v>9.3652401912472598</v>
      </c>
      <c r="PF12" s="968">
        <v>9.3149645010978563</v>
      </c>
      <c r="PG12" s="968">
        <v>9.3839759657572106</v>
      </c>
      <c r="PH12" s="968">
        <v>9.7435406599645997</v>
      </c>
      <c r="PI12" s="968">
        <v>10.01431875440479</v>
      </c>
      <c r="PJ12" s="968">
        <v>9.4909616078953682</v>
      </c>
      <c r="PK12" s="968">
        <v>9.2196401273632826</v>
      </c>
      <c r="PL12" s="968">
        <v>9.332334513096658</v>
      </c>
      <c r="PM12" s="968">
        <v>9.7128661192034045</v>
      </c>
      <c r="PN12" s="968">
        <v>10.056110894218216</v>
      </c>
      <c r="PO12" s="968">
        <v>8.3140506807692347</v>
      </c>
      <c r="PP12" s="968">
        <v>8.4716442536785781</v>
      </c>
      <c r="PQ12" s="968">
        <v>8.8127161528495535</v>
      </c>
      <c r="PR12" s="968">
        <v>8.835044983157335</v>
      </c>
      <c r="PS12" s="968">
        <v>7.8453141142263441</v>
      </c>
      <c r="PT12" s="968">
        <v>7.5368279168807799</v>
      </c>
      <c r="PU12" s="968">
        <v>7.4981976160541706</v>
      </c>
      <c r="PV12" s="968">
        <v>7.965945258015628</v>
      </c>
      <c r="PW12" s="968">
        <v>8.2667495213450071</v>
      </c>
      <c r="PX12" s="968">
        <v>8.2620154902839182</v>
      </c>
      <c r="PY12" s="968">
        <v>8.3466642463135532</v>
      </c>
      <c r="PZ12" s="968">
        <v>8.2473898051658292</v>
      </c>
      <c r="QA12" s="968">
        <v>8.2121723009419139</v>
      </c>
      <c r="QB12" s="968">
        <v>8.9523172212185518</v>
      </c>
      <c r="QC12" s="968">
        <v>8.9657829651921546</v>
      </c>
      <c r="QD12" s="968">
        <v>7.0862594560850685</v>
      </c>
      <c r="QE12" s="968">
        <v>7.1079021065852288</v>
      </c>
      <c r="QF12" s="968">
        <v>7.4818424777282191</v>
      </c>
      <c r="QG12" s="968">
        <v>7.2878349114399876</v>
      </c>
      <c r="QH12" s="968">
        <f t="shared" ref="QH12" si="339">QH11/QH2</f>
        <v>7.3345188613955505</v>
      </c>
      <c r="QI12" s="968">
        <v>7.3483545334018361</v>
      </c>
      <c r="QJ12" s="968">
        <v>7.5051906121927781</v>
      </c>
      <c r="QK12" s="968">
        <v>7.4648188306384506</v>
      </c>
      <c r="QL12" s="968">
        <v>7.7214652026087718</v>
      </c>
      <c r="QM12" s="968">
        <v>7.7378126822611586</v>
      </c>
      <c r="QN12" s="968">
        <v>7.8079779684130841</v>
      </c>
      <c r="QO12" s="968">
        <v>8.0510834741424997</v>
      </c>
      <c r="QP12" s="968">
        <v>7.5266131432537522</v>
      </c>
      <c r="QQ12" s="968">
        <v>7.4353001690107368</v>
      </c>
      <c r="QR12" s="968">
        <v>7.631245677585536</v>
      </c>
      <c r="QS12" s="968">
        <v>7.9926738942925208</v>
      </c>
      <c r="QT12" s="968">
        <v>8.2300168772178068</v>
      </c>
      <c r="QU12" s="968">
        <v>8.1180946206305737</v>
      </c>
      <c r="QV12" s="968">
        <v>7.4231224232658857</v>
      </c>
      <c r="QW12" s="968">
        <v>7.8966653319106106</v>
      </c>
      <c r="QX12" s="968">
        <v>8.0398523999482325</v>
      </c>
      <c r="QY12" s="968">
        <v>8.0421717410740321</v>
      </c>
      <c r="QZ12" s="968">
        <v>8.1500452187578478</v>
      </c>
      <c r="RA12" s="968">
        <v>7.7694589753117764</v>
      </c>
      <c r="RB12" s="968">
        <v>7.5220616866054169</v>
      </c>
      <c r="RC12" s="968">
        <v>6.0099708929275941</v>
      </c>
      <c r="RD12" s="968">
        <v>6.1203034148929252</v>
      </c>
      <c r="RE12" s="968">
        <v>5.7430936225910543</v>
      </c>
      <c r="RF12" s="968">
        <v>5.9731378804090554</v>
      </c>
      <c r="RG12" s="968">
        <f t="shared" ref="RG12" si="340">RG11/RG2</f>
        <v>6.5538887971754276</v>
      </c>
      <c r="RH12" s="968">
        <v>6.9393146361333722</v>
      </c>
      <c r="RI12" s="968">
        <v>7.2924165663768532</v>
      </c>
      <c r="RJ12" s="968">
        <v>5.980790529698317</v>
      </c>
      <c r="RK12" s="968">
        <v>6.0199879160678096</v>
      </c>
      <c r="RL12" s="968">
        <v>6.3879226003488521</v>
      </c>
      <c r="RM12" s="968">
        <v>6.2647189890908628</v>
      </c>
      <c r="RN12" s="968">
        <v>6.4275851734607263</v>
      </c>
      <c r="RO12" s="968">
        <v>5.2114321163468817</v>
      </c>
      <c r="RP12" s="968">
        <v>5.5755989495525862</v>
      </c>
      <c r="RQ12" s="968">
        <v>6.0243779637675159</v>
      </c>
      <c r="RR12" s="968">
        <v>5.5956823839808179</v>
      </c>
      <c r="RS12" s="968">
        <v>5.6794054086593775</v>
      </c>
      <c r="RT12" s="968">
        <v>5.3603573251590584</v>
      </c>
      <c r="RU12" s="968">
        <v>5.6455027433279241</v>
      </c>
      <c r="RV12" s="968">
        <v>5.6173210879750251</v>
      </c>
      <c r="RW12" s="968">
        <v>6.1176790786854429</v>
      </c>
      <c r="RX12" s="968">
        <v>6.0424916772991759</v>
      </c>
      <c r="RY12" s="968">
        <v>6.87798740748166</v>
      </c>
      <c r="RZ12" s="968">
        <v>7.0157430038738218</v>
      </c>
      <c r="SA12" s="968">
        <v>7.3486253106602764</v>
      </c>
      <c r="SB12" s="968">
        <v>6.9507736709362575</v>
      </c>
      <c r="SC12" s="968">
        <v>7.575412359544397</v>
      </c>
      <c r="SD12" s="968">
        <v>8.2720232612642235</v>
      </c>
      <c r="SE12" s="968">
        <v>7.9463241983783144</v>
      </c>
      <c r="SF12" s="968">
        <v>7.9262371907122562</v>
      </c>
      <c r="SG12" s="968">
        <v>8.6815334354621498</v>
      </c>
      <c r="SH12" s="968">
        <v>8.8798633031579151</v>
      </c>
      <c r="SI12" s="968">
        <v>9.2835866861638934</v>
      </c>
      <c r="SJ12" s="968">
        <v>9.1168590379653551</v>
      </c>
      <c r="SK12" s="968">
        <v>9.0080683574056337</v>
      </c>
      <c r="SL12" s="968">
        <v>8.6237993676591405</v>
      </c>
      <c r="SM12" s="968">
        <v>8.8702624459548414</v>
      </c>
      <c r="SN12" s="968">
        <v>9.0686435856931684</v>
      </c>
      <c r="SO12" s="968">
        <v>8.4247560064136966</v>
      </c>
      <c r="SP12" s="968">
        <v>8.7123478499505289</v>
      </c>
      <c r="SQ12" s="968">
        <v>9.4589366274959712</v>
      </c>
      <c r="SR12" s="968">
        <v>9.2125751649739556</v>
      </c>
      <c r="SS12" s="968">
        <v>9.5630105884700889</v>
      </c>
      <c r="ST12" s="968">
        <v>9.7984864598240016</v>
      </c>
      <c r="SU12" s="968">
        <v>8.8525840311906396</v>
      </c>
      <c r="SV12" s="968">
        <v>9.109076665246846</v>
      </c>
      <c r="SW12" s="968">
        <v>9.3690862155871297</v>
      </c>
      <c r="SX12" s="968">
        <v>9.2505633849928905</v>
      </c>
      <c r="SY12" s="968">
        <v>8.6056883808419418</v>
      </c>
      <c r="SZ12" s="968">
        <v>9.4378312123826404</v>
      </c>
      <c r="TA12" s="968">
        <v>9.8515902979321588</v>
      </c>
      <c r="TB12" s="968">
        <v>9.7567088265080404</v>
      </c>
      <c r="TC12" s="968">
        <v>10.035254942341318</v>
      </c>
      <c r="TD12" s="968">
        <v>10.315838588321535</v>
      </c>
      <c r="TE12" s="968">
        <f t="shared" ref="TE12:TF12" si="341">TE11/TE2</f>
        <v>10.866061924016256</v>
      </c>
      <c r="TF12" s="968">
        <f t="shared" si="341"/>
        <v>9.519544803556494</v>
      </c>
      <c r="TG12" s="968">
        <v>8.6282588778334244</v>
      </c>
      <c r="TH12" s="968">
        <v>6.3521168226175249</v>
      </c>
      <c r="TI12" s="968">
        <v>6.5503075507136215</v>
      </c>
      <c r="TJ12" s="968">
        <v>9.448144929544906</v>
      </c>
      <c r="TK12" s="968">
        <v>9.4510725677115097</v>
      </c>
      <c r="TL12" s="968">
        <v>9.7175532966197142</v>
      </c>
      <c r="TM12" s="968">
        <v>10.4049217771285</v>
      </c>
      <c r="TN12" s="968">
        <v>9.1935954683192413</v>
      </c>
      <c r="TO12" s="968">
        <v>10.600777392815138</v>
      </c>
      <c r="TP12" s="968">
        <v>9.8309227795998471</v>
      </c>
      <c r="TQ12" s="968">
        <v>9.6682800860501956</v>
      </c>
      <c r="TR12" s="968">
        <v>8.9954275579308085</v>
      </c>
      <c r="TS12" s="968">
        <v>9.2077737838409703</v>
      </c>
      <c r="TT12" s="968">
        <v>9.2942298509882448</v>
      </c>
      <c r="TU12" s="968">
        <v>9.6219827787675207</v>
      </c>
      <c r="TV12" s="968">
        <v>8.9130851765454331</v>
      </c>
      <c r="TW12" s="968">
        <v>8.5882577510122076</v>
      </c>
      <c r="TX12" s="968">
        <v>8.0641974966088039</v>
      </c>
      <c r="TY12" s="968">
        <v>8.2066291564712444</v>
      </c>
      <c r="TZ12" s="968">
        <f t="shared" ref="TZ12:UA12" si="342">TZ11/TZ2</f>
        <v>7.452283616444249</v>
      </c>
      <c r="UA12" s="968">
        <f t="shared" si="342"/>
        <v>7.582637879433122</v>
      </c>
      <c r="UB12" s="968">
        <f t="shared" ref="UB12:UC12" si="343">UB11/UB2</f>
        <v>8.0185257138562438</v>
      </c>
      <c r="UC12" s="968">
        <f t="shared" si="343"/>
        <v>7.5066563235815247</v>
      </c>
      <c r="UD12" s="968">
        <f t="shared" ref="UD12:UE12" si="344">UD11/UD2</f>
        <v>7.7410799527920222</v>
      </c>
      <c r="UE12" s="968">
        <f t="shared" si="344"/>
        <v>7.8820176701463627</v>
      </c>
      <c r="UF12" s="968">
        <v>9.206547285253496</v>
      </c>
      <c r="UG12" s="968">
        <v>7.8002462382675066</v>
      </c>
      <c r="UH12" s="968">
        <v>8.0436408373121822</v>
      </c>
      <c r="UI12" s="968">
        <v>7.3964602805755479</v>
      </c>
      <c r="UJ12" s="968">
        <v>7.7190687364381123</v>
      </c>
      <c r="UK12" s="968">
        <v>8.0351231101525364</v>
      </c>
      <c r="UL12" s="968">
        <v>7.7245969372157326</v>
      </c>
      <c r="UM12" s="968">
        <v>7.6166785144468818</v>
      </c>
      <c r="UN12" s="968">
        <v>7.0027531786342117</v>
      </c>
      <c r="UO12" s="968">
        <v>7.1979522355100842</v>
      </c>
      <c r="UP12" s="968">
        <v>7.3833209213956552</v>
      </c>
      <c r="UQ12" s="968">
        <v>6.7403194268546658</v>
      </c>
      <c r="UR12" s="968">
        <v>6.0917040005112204</v>
      </c>
      <c r="US12" s="968">
        <v>6.0655967512381936</v>
      </c>
      <c r="UT12" s="968">
        <v>6.2627007538705834</v>
      </c>
      <c r="UU12" s="968">
        <v>7.4349751353589086</v>
      </c>
      <c r="UV12" s="968">
        <v>6.4059728870399661</v>
      </c>
      <c r="UW12" s="968">
        <v>6.4059140301911359</v>
      </c>
      <c r="UX12" s="968">
        <v>6.3828597105495106</v>
      </c>
      <c r="UY12" s="968">
        <v>6.2787329962898886</v>
      </c>
      <c r="UZ12" s="968">
        <v>4.3459255314150669</v>
      </c>
      <c r="VA12" s="968">
        <v>4.6535963008086272</v>
      </c>
      <c r="VB12" s="968">
        <v>4.8834000112726752</v>
      </c>
      <c r="VC12" s="968">
        <v>3.6237731442932994</v>
      </c>
      <c r="VD12" s="968">
        <v>3.6826060345699725</v>
      </c>
      <c r="VE12" s="968">
        <v>3.8084537513132632</v>
      </c>
      <c r="VF12" s="968">
        <v>4.0145750377477292</v>
      </c>
      <c r="VG12" s="968">
        <v>4.0442130175354674</v>
      </c>
      <c r="VH12" s="968">
        <v>4.8465600989069966</v>
      </c>
      <c r="VI12" s="968">
        <v>3.7803031591913698</v>
      </c>
      <c r="VJ12" s="968">
        <v>4.7440754238165876</v>
      </c>
      <c r="VK12" s="968">
        <v>7.7571461690048933</v>
      </c>
      <c r="VL12" s="968">
        <v>6.2399394059974611</v>
      </c>
      <c r="VM12" s="968">
        <v>7.2485408095601613</v>
      </c>
      <c r="VN12" s="968">
        <v>6.527689678418743</v>
      </c>
      <c r="VO12" s="968">
        <v>9.7609799594046276</v>
      </c>
      <c r="VP12" s="968">
        <v>10.245130508711236</v>
      </c>
      <c r="VQ12" s="968">
        <v>9.8288846413725057</v>
      </c>
      <c r="VR12" s="968">
        <v>10.983577991850494</v>
      </c>
      <c r="VS12" s="968">
        <v>11.099042383734336</v>
      </c>
      <c r="VT12" s="968">
        <v>11.095880824727622</v>
      </c>
      <c r="VU12" s="968">
        <v>10.54741530685979</v>
      </c>
      <c r="VV12" s="968">
        <f t="shared" ref="VV12" si="345">VV11/VV2</f>
        <v>11.027006631486403</v>
      </c>
      <c r="VW12" s="968">
        <v>11.106333598249108</v>
      </c>
      <c r="VX12" s="968">
        <v>11.449572227574471</v>
      </c>
      <c r="VY12" s="968">
        <v>11.714968097450969</v>
      </c>
      <c r="VZ12" s="968">
        <v>11.599439414863737</v>
      </c>
      <c r="WA12" s="968">
        <v>12.257872982365406</v>
      </c>
      <c r="WB12" s="968">
        <v>12.712182682917819</v>
      </c>
      <c r="WC12" s="968">
        <v>11.862847510909759</v>
      </c>
      <c r="WD12" s="968">
        <v>11.82207810415845</v>
      </c>
      <c r="WE12" s="968">
        <v>11.56204762850277</v>
      </c>
      <c r="WF12" s="968">
        <v>12.22769118866449</v>
      </c>
      <c r="WG12" s="968">
        <v>13.695879192444965</v>
      </c>
      <c r="WH12" s="968">
        <v>13.867809514636487</v>
      </c>
      <c r="WI12" s="968">
        <v>13.950012559641852</v>
      </c>
      <c r="WJ12" s="968">
        <v>12.882837129607751</v>
      </c>
      <c r="WK12" s="968">
        <v>11.327775013362157</v>
      </c>
      <c r="WL12" s="968">
        <v>11.325958942599442</v>
      </c>
      <c r="WM12" s="968">
        <v>9.8200557748760371</v>
      </c>
      <c r="WN12" s="968">
        <v>7.1005527171351277</v>
      </c>
      <c r="WO12" s="968">
        <v>6.8882460249408064</v>
      </c>
      <c r="WP12" s="968">
        <v>7.6993136283274044</v>
      </c>
      <c r="WQ12" s="968">
        <v>6.5176494428654834</v>
      </c>
      <c r="WR12" s="968">
        <f t="shared" ref="WR12:WS12" si="346">WR11/WR2</f>
        <v>7.7366426298747673</v>
      </c>
      <c r="WS12" s="968">
        <f t="shared" si="346"/>
        <v>8.8323357119949701</v>
      </c>
      <c r="WT12" s="968">
        <f t="shared" ref="WT12:WU12" si="347">WT11/WT2</f>
        <v>8.8718679205028099</v>
      </c>
      <c r="WU12" s="968">
        <f t="shared" si="347"/>
        <v>8.7747406265138643</v>
      </c>
      <c r="WV12" s="968">
        <f t="shared" ref="WV12" si="348">WV11/WV2</f>
        <v>8.9726348798335405</v>
      </c>
      <c r="WW12" s="968">
        <v>9.2291897477342548</v>
      </c>
      <c r="WX12" s="968">
        <v>9.3346645889732418</v>
      </c>
      <c r="WY12" s="968">
        <v>9.4721577859774957</v>
      </c>
      <c r="WZ12" s="968">
        <v>8.9499421131019599</v>
      </c>
      <c r="XA12" s="968">
        <v>9.1786395665255363</v>
      </c>
      <c r="XB12" s="968">
        <v>9.7274893604101837</v>
      </c>
      <c r="XC12" s="968">
        <v>8.521110479142223</v>
      </c>
      <c r="XD12" s="968">
        <v>9.005643220394969</v>
      </c>
      <c r="XE12" s="968">
        <v>8.9273312885739617</v>
      </c>
      <c r="XF12" s="968">
        <v>9.0305308642935049</v>
      </c>
      <c r="XG12" s="968">
        <v>9.3974924971271143</v>
      </c>
      <c r="XH12" s="968">
        <v>8.0827499175232376</v>
      </c>
      <c r="XI12" s="968">
        <v>8.324534828791144</v>
      </c>
      <c r="XJ12" s="968">
        <v>7.6932809712522623</v>
      </c>
      <c r="XK12" s="968">
        <v>8.3747785940864823</v>
      </c>
      <c r="XL12" s="968">
        <v>7.8908327092356609</v>
      </c>
      <c r="XM12" s="968">
        <v>8.5955340166424499</v>
      </c>
      <c r="XN12" s="968">
        <v>8.2338409041521317</v>
      </c>
      <c r="XO12" s="968">
        <v>8.4753372042915132</v>
      </c>
      <c r="XP12" s="968">
        <v>9.2293192170877596</v>
      </c>
      <c r="XQ12" s="968">
        <v>7.8709587517284003</v>
      </c>
      <c r="XR12" s="968">
        <v>7.7022860810195608</v>
      </c>
      <c r="XS12" s="968">
        <v>7.832174031105656</v>
      </c>
      <c r="XT12" s="968">
        <v>8.3867340435895539</v>
      </c>
      <c r="XU12" s="968">
        <v>8.0355493271594334</v>
      </c>
      <c r="XV12" s="968">
        <v>8.1990081258107512</v>
      </c>
      <c r="XW12" s="968">
        <v>8.1248041519609782</v>
      </c>
      <c r="XX12" s="968">
        <v>8.5488108563352583</v>
      </c>
      <c r="XY12" s="968">
        <v>6.0954944195773502</v>
      </c>
      <c r="XZ12" s="968">
        <v>7.0534153323629925</v>
      </c>
      <c r="YA12" s="968">
        <v>7.620237675274443</v>
      </c>
      <c r="YB12" s="968">
        <v>7.5153404665493637</v>
      </c>
      <c r="YC12" s="968">
        <v>7.1814965532326598</v>
      </c>
      <c r="YD12" s="968">
        <v>7.6828529553136287</v>
      </c>
      <c r="YE12" s="968">
        <v>8.1449436512887168</v>
      </c>
      <c r="YF12" s="968">
        <v>8.942777124136466</v>
      </c>
      <c r="YG12" s="968">
        <v>9.1267478165987868</v>
      </c>
      <c r="YH12" s="968">
        <f>YH11/YH2</f>
        <v>9.438405849490346</v>
      </c>
    </row>
    <row r="13" spans="2:658" s="948" customFormat="1" ht="15" thickTop="1">
      <c r="B13" s="917" t="s">
        <v>575</v>
      </c>
      <c r="C13" s="1160"/>
      <c r="D13" s="1161"/>
      <c r="E13" s="1161"/>
      <c r="F13" s="1161"/>
      <c r="G13" s="1161"/>
      <c r="H13" s="1161"/>
      <c r="I13" s="1161"/>
      <c r="J13" s="1161"/>
      <c r="K13" s="1161"/>
      <c r="L13" s="1161"/>
      <c r="M13" s="1161"/>
      <c r="N13" s="1161"/>
      <c r="O13" s="1161"/>
      <c r="P13" s="1161"/>
      <c r="Q13" s="1161"/>
      <c r="R13" s="1161"/>
      <c r="S13" s="1161"/>
      <c r="T13" s="1161"/>
      <c r="U13" s="1161"/>
      <c r="V13" s="1161"/>
      <c r="W13" s="1161"/>
      <c r="X13" s="1161"/>
      <c r="Y13" s="1161"/>
      <c r="Z13" s="1161"/>
      <c r="AA13" s="1161"/>
      <c r="AB13" s="1161"/>
      <c r="AC13" s="1161"/>
      <c r="AD13" s="1161"/>
      <c r="AE13" s="1161"/>
      <c r="AF13" s="1161"/>
      <c r="AG13" s="1161"/>
      <c r="AH13" s="1161"/>
      <c r="AI13" s="1161"/>
      <c r="AJ13" s="1161"/>
      <c r="AK13" s="1161"/>
      <c r="AL13" s="1161"/>
      <c r="AM13" s="1161"/>
      <c r="AN13" s="1161"/>
      <c r="AO13" s="1161"/>
      <c r="AP13" s="1161"/>
      <c r="AQ13" s="1161"/>
      <c r="AR13" s="1161"/>
      <c r="AS13" s="1161"/>
      <c r="AT13" s="1161"/>
      <c r="AU13" s="1161"/>
      <c r="AV13" s="1161"/>
      <c r="AW13" s="1161"/>
      <c r="AX13" s="1161"/>
      <c r="AY13" s="1161"/>
      <c r="AZ13" s="1161"/>
      <c r="BA13" s="1161"/>
      <c r="BB13" s="1161"/>
      <c r="BC13" s="1161"/>
      <c r="BD13" s="1161"/>
      <c r="BE13" s="1161"/>
      <c r="BF13" s="1161"/>
      <c r="BG13" s="1161"/>
      <c r="BH13" s="1161"/>
      <c r="BI13" s="1161"/>
      <c r="BJ13" s="1161"/>
      <c r="BK13" s="1161"/>
      <c r="BL13" s="1161"/>
      <c r="BM13" s="1161"/>
      <c r="BN13" s="1161"/>
      <c r="BO13" s="1161"/>
      <c r="BP13" s="1161"/>
      <c r="BQ13" s="1161"/>
      <c r="BR13" s="1161"/>
      <c r="BS13" s="1161"/>
      <c r="BT13" s="1161"/>
      <c r="BU13" s="1161"/>
      <c r="BV13" s="1161"/>
      <c r="BW13" s="1161"/>
      <c r="BX13" s="1161"/>
      <c r="BY13" s="1161"/>
      <c r="BZ13" s="1161"/>
      <c r="CA13" s="1161"/>
      <c r="CB13" s="1161"/>
      <c r="CC13" s="1161"/>
      <c r="CD13" s="1161"/>
      <c r="CE13" s="1161"/>
      <c r="CF13" s="1161"/>
      <c r="CG13" s="1161"/>
      <c r="CH13" s="1161"/>
      <c r="CI13" s="1161"/>
      <c r="CJ13" s="1161"/>
      <c r="CK13" s="1161"/>
      <c r="CL13" s="1161"/>
      <c r="CM13" s="1161"/>
      <c r="CN13" s="1161"/>
      <c r="CO13" s="1161"/>
      <c r="CP13" s="1161"/>
      <c r="CQ13" s="1161"/>
      <c r="CR13" s="1161"/>
      <c r="CS13" s="1161"/>
      <c r="CT13" s="1161"/>
      <c r="CU13" s="1161"/>
      <c r="CV13" s="1161"/>
      <c r="CW13" s="1161"/>
      <c r="CX13" s="1161"/>
      <c r="CY13" s="1161"/>
      <c r="CZ13" s="1161"/>
      <c r="DA13" s="1161"/>
      <c r="DB13" s="1161"/>
      <c r="DC13" s="1161"/>
      <c r="DD13" s="1161"/>
      <c r="DE13" s="1161"/>
      <c r="DF13" s="1161"/>
      <c r="DG13" s="1161"/>
      <c r="DH13" s="1161"/>
      <c r="DI13" s="1161"/>
      <c r="DJ13" s="1161"/>
      <c r="DK13" s="1161"/>
      <c r="DL13" s="1161"/>
      <c r="DM13" s="1161"/>
      <c r="DN13" s="1161"/>
      <c r="DO13" s="1161"/>
      <c r="DP13" s="1161"/>
      <c r="DQ13" s="1161"/>
      <c r="DR13" s="1161"/>
      <c r="DS13" s="1161"/>
      <c r="DT13" s="1161"/>
      <c r="DU13" s="1161"/>
      <c r="DV13" s="1161"/>
      <c r="DW13" s="1161"/>
      <c r="DX13" s="1161"/>
      <c r="DY13" s="1161"/>
      <c r="DZ13" s="1161"/>
      <c r="EA13" s="1161"/>
      <c r="EB13" s="1161"/>
      <c r="EC13" s="1161"/>
      <c r="ED13" s="1161"/>
      <c r="EE13" s="1161"/>
      <c r="EF13" s="1161"/>
      <c r="EG13" s="1161"/>
      <c r="EH13" s="1161"/>
      <c r="EI13" s="1161"/>
      <c r="EJ13" s="1161"/>
      <c r="EK13" s="1161"/>
      <c r="EL13" s="1161"/>
      <c r="EM13" s="1161"/>
      <c r="EN13" s="1161"/>
      <c r="EO13" s="1161"/>
      <c r="EP13" s="1161"/>
      <c r="EQ13" s="1161"/>
      <c r="ER13" s="1161"/>
      <c r="ES13" s="1161"/>
      <c r="ET13" s="1161"/>
      <c r="EU13" s="1161"/>
      <c r="EV13" s="1161"/>
      <c r="EW13" s="1161"/>
      <c r="EX13" s="1161"/>
      <c r="EY13" s="1161"/>
      <c r="EZ13" s="1161"/>
      <c r="FA13" s="1161"/>
      <c r="FB13" s="1161"/>
      <c r="FC13" s="1161"/>
      <c r="FD13" s="1161"/>
      <c r="FE13" s="1161"/>
      <c r="FF13" s="1161"/>
      <c r="FG13" s="1161"/>
      <c r="FH13" s="1161"/>
      <c r="FI13" s="1161"/>
      <c r="FJ13" s="1161"/>
      <c r="FK13" s="1161"/>
      <c r="FL13" s="1161"/>
      <c r="FM13" s="1161"/>
      <c r="FN13" s="1161"/>
      <c r="FO13" s="1161"/>
      <c r="FP13" s="1161"/>
      <c r="FQ13" s="1161"/>
      <c r="FR13" s="1161"/>
      <c r="FS13" s="1161"/>
      <c r="FT13" s="1161"/>
      <c r="FU13" s="1161"/>
      <c r="FV13" s="1161"/>
      <c r="FW13" s="1161"/>
      <c r="FX13" s="1161"/>
      <c r="FY13" s="1161"/>
      <c r="FZ13" s="1161"/>
      <c r="GA13" s="1161"/>
      <c r="GB13" s="1161"/>
      <c r="GC13" s="1161"/>
      <c r="GD13" s="1161"/>
      <c r="GE13" s="1161"/>
      <c r="GF13" s="1161"/>
      <c r="GG13" s="1161"/>
      <c r="GH13" s="1161"/>
      <c r="GI13" s="1161"/>
      <c r="GJ13" s="1161"/>
      <c r="GK13" s="1161"/>
      <c r="GL13" s="1161"/>
      <c r="GM13" s="1161"/>
      <c r="GN13" s="1161"/>
      <c r="GO13" s="1161"/>
      <c r="GP13" s="1161"/>
      <c r="GQ13" s="1161"/>
      <c r="GR13" s="1161"/>
      <c r="GS13" s="1161"/>
      <c r="GT13" s="1161"/>
      <c r="GU13" s="1161"/>
      <c r="GV13" s="1161"/>
      <c r="GW13" s="1161"/>
      <c r="GX13" s="1161"/>
      <c r="GY13" s="1161"/>
      <c r="GZ13" s="1161"/>
      <c r="HA13" s="1161"/>
      <c r="HB13" s="1161"/>
      <c r="HC13" s="1161"/>
      <c r="HD13" s="1161"/>
      <c r="HE13" s="1161"/>
      <c r="HF13" s="1161"/>
      <c r="HG13" s="1161"/>
      <c r="HH13" s="1161"/>
      <c r="HI13" s="1161"/>
      <c r="HJ13" s="1161"/>
      <c r="HK13" s="1161"/>
      <c r="HL13" s="1161"/>
      <c r="HM13" s="1161"/>
      <c r="HN13" s="1161"/>
      <c r="HO13" s="1161"/>
      <c r="HP13" s="1161"/>
      <c r="HQ13" s="1161"/>
      <c r="HR13" s="1161"/>
      <c r="HS13" s="1161"/>
      <c r="HT13" s="1161"/>
      <c r="HU13" s="1161"/>
      <c r="HV13" s="1161"/>
      <c r="HW13" s="1161"/>
      <c r="HX13" s="1161"/>
      <c r="HY13" s="1161"/>
      <c r="HZ13" s="1161"/>
      <c r="IA13" s="1161"/>
      <c r="IB13" s="1161"/>
      <c r="IC13" s="1161"/>
      <c r="ID13" s="1161"/>
      <c r="IE13" s="1161"/>
      <c r="IF13" s="1161"/>
      <c r="IG13" s="1161"/>
      <c r="IH13" s="1161"/>
      <c r="II13" s="1161"/>
      <c r="IJ13" s="1161"/>
      <c r="IK13" s="1161"/>
      <c r="IL13" s="1161"/>
      <c r="IM13" s="1161"/>
      <c r="IN13" s="1161"/>
      <c r="IO13" s="1161"/>
      <c r="IP13" s="1161"/>
      <c r="IQ13" s="1161"/>
      <c r="IR13" s="1161"/>
      <c r="IS13" s="1161"/>
      <c r="IT13" s="1161"/>
      <c r="IU13" s="1161"/>
      <c r="IV13" s="1161"/>
      <c r="IW13" s="1161"/>
      <c r="IX13" s="1161"/>
      <c r="IY13" s="1161"/>
      <c r="IZ13" s="1161"/>
      <c r="JA13" s="1161"/>
      <c r="JB13" s="1161"/>
      <c r="JC13" s="1161"/>
      <c r="JD13" s="1161"/>
      <c r="JE13" s="1161"/>
      <c r="JF13" s="1161"/>
      <c r="JG13" s="1161"/>
      <c r="JH13" s="1161"/>
      <c r="JI13" s="1161"/>
      <c r="JJ13" s="1161"/>
      <c r="JK13" s="1161"/>
      <c r="JL13" s="1161"/>
      <c r="JM13" s="1161"/>
      <c r="JN13" s="1161"/>
      <c r="JO13" s="1161"/>
      <c r="JP13" s="1161"/>
      <c r="JQ13" s="1161"/>
      <c r="JR13" s="1161"/>
      <c r="JS13" s="1161"/>
      <c r="JT13" s="1161"/>
      <c r="JU13" s="1161"/>
      <c r="JV13" s="1161"/>
      <c r="JW13" s="1161"/>
      <c r="JX13" s="1161"/>
      <c r="JY13" s="1161"/>
      <c r="JZ13" s="1161"/>
      <c r="KA13" s="1161"/>
      <c r="KB13" s="1161"/>
      <c r="KC13" s="1161"/>
      <c r="KD13" s="1161"/>
      <c r="KE13" s="1161"/>
      <c r="KF13" s="1161"/>
      <c r="KG13" s="1161"/>
      <c r="KH13" s="1161"/>
      <c r="KI13" s="1161"/>
      <c r="KJ13" s="1161"/>
      <c r="KK13" s="1161"/>
      <c r="KL13" s="1161"/>
      <c r="KM13" s="1161"/>
      <c r="KN13" s="1161"/>
      <c r="KO13" s="1161"/>
      <c r="KP13" s="1161"/>
      <c r="KQ13" s="1161"/>
      <c r="KR13" s="1161"/>
      <c r="KS13" s="1161"/>
      <c r="KT13" s="1161"/>
      <c r="KU13" s="1161"/>
      <c r="KV13" s="1161"/>
      <c r="KW13" s="1161"/>
      <c r="KX13" s="1161"/>
      <c r="KY13" s="1161"/>
      <c r="KZ13" s="1161"/>
      <c r="LA13" s="1161"/>
      <c r="LB13" s="1161"/>
      <c r="LC13" s="1161"/>
      <c r="LD13" s="1161"/>
      <c r="LE13" s="1161"/>
      <c r="LF13" s="1162"/>
      <c r="LG13" s="1162"/>
      <c r="LH13" s="1162"/>
      <c r="LI13" s="1162"/>
      <c r="LJ13" s="1162"/>
      <c r="LK13" s="1162"/>
      <c r="LL13" s="1162"/>
      <c r="LM13" s="1162"/>
      <c r="LN13" s="1162"/>
      <c r="LO13" s="1162"/>
      <c r="LP13" s="1162"/>
      <c r="LQ13" s="1162"/>
      <c r="LR13" s="1162"/>
      <c r="LS13" s="1162"/>
      <c r="LT13" s="1162"/>
      <c r="LU13" s="1162"/>
      <c r="LV13" s="1162"/>
      <c r="LW13" s="1162"/>
      <c r="LX13" s="1162"/>
      <c r="LY13" s="1162"/>
      <c r="LZ13" s="1162"/>
      <c r="MA13" s="1162"/>
      <c r="MB13" s="1162"/>
      <c r="MC13" s="1162"/>
      <c r="MD13" s="1162"/>
      <c r="ME13" s="1162"/>
      <c r="MF13" s="1162"/>
      <c r="MG13" s="1162"/>
      <c r="MH13" s="1162"/>
      <c r="MI13" s="1162"/>
      <c r="MJ13" s="1162"/>
      <c r="MK13" s="1162"/>
      <c r="ML13" s="1162"/>
      <c r="MM13" s="1162"/>
      <c r="MN13" s="1162"/>
      <c r="MO13" s="1162"/>
      <c r="MP13" s="1162"/>
      <c r="MQ13" s="1162"/>
      <c r="MR13" s="1162"/>
      <c r="MS13" s="1162"/>
      <c r="MT13" s="1162"/>
      <c r="MU13" s="1162"/>
      <c r="MV13" s="1162"/>
      <c r="MW13" s="1162"/>
      <c r="MX13" s="1162"/>
      <c r="MY13" s="1162"/>
      <c r="MZ13" s="1162"/>
      <c r="NA13" s="1162"/>
      <c r="NB13" s="1162"/>
      <c r="NC13" s="1162"/>
      <c r="ND13" s="1162"/>
      <c r="NE13" s="1162"/>
      <c r="NF13" s="1162"/>
      <c r="NG13" s="1162"/>
      <c r="NH13" s="1162"/>
      <c r="NI13" s="1162"/>
      <c r="NJ13" s="1162"/>
      <c r="NK13" s="1162"/>
      <c r="NL13" s="1162"/>
      <c r="NM13" s="1162"/>
      <c r="NN13" s="1162"/>
      <c r="NO13" s="1162"/>
      <c r="NP13" s="1162"/>
      <c r="NQ13" s="1162"/>
      <c r="NR13" s="1162"/>
      <c r="NS13" s="1162"/>
      <c r="NT13" s="1162"/>
      <c r="NU13" s="1162"/>
      <c r="NV13" s="1162"/>
      <c r="NW13" s="1162"/>
      <c r="NX13" s="1162"/>
      <c r="NY13" s="1162"/>
      <c r="NZ13" s="1162"/>
      <c r="OA13" s="1162"/>
      <c r="OB13" s="1162"/>
      <c r="OC13" s="1162"/>
      <c r="OD13" s="1162"/>
      <c r="OE13" s="1162"/>
      <c r="OF13" s="1162"/>
      <c r="OG13" s="1162"/>
      <c r="OH13" s="1162"/>
      <c r="OI13" s="1162"/>
      <c r="OJ13" s="1162"/>
      <c r="OK13" s="1162"/>
      <c r="OL13" s="1162"/>
      <c r="OM13" s="1162"/>
      <c r="ON13" s="1162"/>
      <c r="OO13" s="1162"/>
      <c r="OP13" s="1162"/>
      <c r="OQ13" s="1162"/>
      <c r="OR13" s="1162"/>
      <c r="OS13" s="1162"/>
      <c r="OT13" s="1162"/>
      <c r="OU13" s="1162"/>
      <c r="OV13" s="1162"/>
      <c r="OW13" s="1162"/>
      <c r="OX13" s="1162"/>
      <c r="OY13" s="1162"/>
      <c r="OZ13" s="1162"/>
      <c r="PA13" s="1162"/>
      <c r="PB13" s="1162"/>
      <c r="PC13" s="1162"/>
      <c r="PD13" s="1162"/>
      <c r="PE13" s="1162"/>
      <c r="PF13" s="1162"/>
      <c r="PG13" s="1162"/>
      <c r="PH13" s="1162"/>
      <c r="PI13" s="1162"/>
      <c r="PJ13" s="1162"/>
      <c r="PK13" s="1162"/>
      <c r="PL13" s="1162"/>
      <c r="PM13" s="1162"/>
      <c r="PN13" s="1162"/>
      <c r="PO13" s="1162"/>
      <c r="PP13" s="1162"/>
      <c r="PQ13" s="1162"/>
      <c r="PR13" s="1162"/>
      <c r="PS13" s="1162"/>
      <c r="PT13" s="1162"/>
      <c r="PU13" s="1162"/>
      <c r="PV13" s="1162"/>
      <c r="PW13" s="1162"/>
      <c r="PX13" s="1162"/>
      <c r="PY13" s="1162"/>
      <c r="PZ13" s="1162"/>
      <c r="QA13" s="1162"/>
      <c r="QB13" s="1162"/>
      <c r="QC13" s="1162"/>
      <c r="QD13" s="1162"/>
      <c r="QE13" s="1162"/>
      <c r="QF13" s="1162"/>
      <c r="QG13" s="1162"/>
      <c r="QH13" s="1162"/>
      <c r="QI13" s="1162"/>
      <c r="QJ13" s="1162"/>
      <c r="QK13" s="1162"/>
      <c r="QL13" s="1162"/>
      <c r="QM13" s="1162"/>
      <c r="QN13" s="1162"/>
      <c r="QO13" s="1162"/>
      <c r="QP13" s="1162"/>
      <c r="QQ13" s="1162"/>
      <c r="QR13" s="1162"/>
      <c r="QS13" s="1162"/>
      <c r="QT13" s="1162"/>
      <c r="QU13" s="1162"/>
      <c r="QV13" s="1162"/>
      <c r="QW13" s="1162"/>
      <c r="QX13" s="1162"/>
      <c r="QY13" s="1162"/>
      <c r="QZ13" s="1162"/>
      <c r="RA13" s="1162"/>
      <c r="RB13" s="1162"/>
      <c r="RC13" s="1162"/>
      <c r="RD13" s="1162"/>
      <c r="RE13" s="1162"/>
      <c r="RF13" s="1162"/>
      <c r="RG13" s="1162"/>
      <c r="RH13" s="1162"/>
      <c r="RI13" s="1162"/>
      <c r="RJ13" s="1162"/>
      <c r="RK13" s="1162"/>
      <c r="RL13" s="1162"/>
      <c r="RM13" s="1162"/>
      <c r="RN13" s="1162"/>
      <c r="RO13" s="1162"/>
      <c r="RP13" s="1162"/>
      <c r="RQ13" s="1162"/>
      <c r="RR13" s="1162"/>
      <c r="RS13" s="1162"/>
      <c r="RT13" s="1162"/>
      <c r="RU13" s="1162"/>
      <c r="RV13" s="1162"/>
      <c r="RW13" s="1162"/>
      <c r="RX13" s="1162"/>
      <c r="RY13" s="1162"/>
      <c r="RZ13" s="1162"/>
      <c r="SA13" s="1162"/>
      <c r="SB13" s="1162"/>
      <c r="SC13" s="1162"/>
      <c r="SD13" s="1162"/>
      <c r="SE13" s="1162"/>
      <c r="SF13" s="1162"/>
      <c r="SG13" s="1162"/>
      <c r="SH13" s="1162"/>
      <c r="SI13" s="1162"/>
      <c r="SJ13" s="1162"/>
      <c r="SK13" s="1162"/>
      <c r="SL13" s="1162"/>
      <c r="SM13" s="1162"/>
      <c r="SN13" s="1162"/>
      <c r="SO13" s="1162"/>
      <c r="SP13" s="1162"/>
      <c r="SQ13" s="1162"/>
      <c r="SR13" s="1162"/>
      <c r="SS13" s="1162"/>
      <c r="ST13" s="1162"/>
      <c r="SU13" s="1162"/>
      <c r="SV13" s="1162"/>
      <c r="SW13" s="1162"/>
      <c r="SX13" s="1162"/>
      <c r="SY13" s="1162"/>
      <c r="SZ13" s="1162"/>
      <c r="TA13" s="1162"/>
      <c r="TB13" s="1162"/>
      <c r="TC13" s="1162"/>
      <c r="TD13" s="1162"/>
      <c r="TE13" s="1162"/>
      <c r="TF13" s="130">
        <v>569.59588165999992</v>
      </c>
      <c r="TG13" s="130">
        <v>18.414340840000001</v>
      </c>
      <c r="TH13" s="130">
        <v>17.632944479999999</v>
      </c>
      <c r="TI13" s="130">
        <v>17.632944479999999</v>
      </c>
      <c r="TJ13" s="130">
        <v>17.590468670000003</v>
      </c>
      <c r="TK13" s="130">
        <v>17.596354600000002</v>
      </c>
      <c r="TL13" s="130">
        <v>17.12252514</v>
      </c>
      <c r="TM13" s="130">
        <v>16.292424199999999</v>
      </c>
      <c r="TN13" s="130">
        <v>16.242619990000001</v>
      </c>
      <c r="TO13" s="130">
        <v>16.240519989999999</v>
      </c>
      <c r="TP13" s="130">
        <v>15.810111379999999</v>
      </c>
      <c r="TQ13" s="130">
        <v>15.809133900000001</v>
      </c>
      <c r="TR13" s="130">
        <v>15.39177155</v>
      </c>
      <c r="TS13" s="130">
        <v>15.397227289999998</v>
      </c>
      <c r="TT13" s="130">
        <v>15.40228303</v>
      </c>
      <c r="TU13" s="130">
        <v>12.802094519999999</v>
      </c>
      <c r="TV13" s="130">
        <v>12.389437599999999</v>
      </c>
      <c r="TW13" s="130">
        <v>12.393952349999999</v>
      </c>
      <c r="TX13" s="130">
        <v>12.393952349999999</v>
      </c>
      <c r="TY13" s="130">
        <v>12.393952349999999</v>
      </c>
      <c r="TZ13" s="130">
        <v>11.880466299999998</v>
      </c>
      <c r="UA13" s="130">
        <v>11.880466299999998</v>
      </c>
      <c r="UB13" s="130">
        <v>11.89503285</v>
      </c>
      <c r="UC13" s="130">
        <v>11.89503285</v>
      </c>
      <c r="UD13" s="130">
        <v>11.89503285</v>
      </c>
      <c r="UE13" s="130">
        <v>11.344316119999998</v>
      </c>
      <c r="UF13" s="130">
        <v>6.3440961199999988</v>
      </c>
      <c r="UG13" s="130">
        <v>6.3440961199999988</v>
      </c>
      <c r="UH13" s="130">
        <v>5.9844764699999997</v>
      </c>
      <c r="UI13" s="130">
        <v>5.9817064699999998</v>
      </c>
      <c r="UJ13" s="130">
        <v>2.90824938</v>
      </c>
      <c r="UK13" s="130">
        <v>2.90824938</v>
      </c>
      <c r="UL13" s="130">
        <v>2.90824938</v>
      </c>
      <c r="UM13" s="130">
        <v>2.8988976900000001</v>
      </c>
      <c r="UN13" s="130">
        <v>2.2285501400000003</v>
      </c>
      <c r="UO13" s="130">
        <v>2.2285501400000003</v>
      </c>
      <c r="UP13" s="130">
        <v>137.26698257999999</v>
      </c>
      <c r="UQ13" s="130">
        <v>10.643492469999998</v>
      </c>
      <c r="UR13" s="130">
        <v>10.643492469999998</v>
      </c>
      <c r="US13" s="130">
        <v>10.643492469999998</v>
      </c>
      <c r="UT13" s="130">
        <v>10.4740354</v>
      </c>
      <c r="UU13" s="130">
        <v>9.9228451299999989</v>
      </c>
      <c r="UV13" s="130">
        <v>9.9228451299999989</v>
      </c>
      <c r="UW13" s="130">
        <v>9.9228451299999989</v>
      </c>
      <c r="UX13" s="130">
        <v>9.9228451299999989</v>
      </c>
      <c r="UY13" s="130">
        <v>9.8943601000000001</v>
      </c>
      <c r="UZ13" s="130">
        <v>9.8943601000000001</v>
      </c>
      <c r="VA13" s="130">
        <v>9.8943601000000001</v>
      </c>
      <c r="VB13" s="130">
        <v>13.29719734</v>
      </c>
      <c r="VC13" s="130">
        <v>12.30331198</v>
      </c>
      <c r="VD13" s="130">
        <v>12.322916900000001</v>
      </c>
      <c r="VE13" s="130">
        <v>12.322916900000001</v>
      </c>
      <c r="VF13" s="130">
        <v>12.3214299</v>
      </c>
      <c r="VG13" s="130">
        <v>11.64199571</v>
      </c>
      <c r="VH13" s="130">
        <v>11.614678080000001</v>
      </c>
      <c r="VI13" s="130">
        <v>11.64457644</v>
      </c>
      <c r="VJ13" s="130">
        <v>10.763421139999998</v>
      </c>
      <c r="VK13" s="130">
        <v>12.010553539999998</v>
      </c>
      <c r="VL13" s="130">
        <v>11.17672653</v>
      </c>
      <c r="VM13" s="130">
        <v>11.206651669999999</v>
      </c>
      <c r="VN13" s="130">
        <v>11.225036879999999</v>
      </c>
      <c r="VO13" s="130">
        <v>11.206031250000001</v>
      </c>
      <c r="VP13" s="130">
        <v>11.22560824</v>
      </c>
      <c r="VQ13" s="130">
        <v>10.77339445</v>
      </c>
      <c r="VR13" s="130">
        <v>131.37114747000001</v>
      </c>
      <c r="VS13" s="130">
        <v>7.9556250799999999</v>
      </c>
      <c r="VT13" s="130">
        <v>7.9535250800000004</v>
      </c>
      <c r="VU13" s="130">
        <v>7.9535250800000004</v>
      </c>
      <c r="VV13" s="130">
        <v>4.2626410999999997</v>
      </c>
      <c r="VW13" s="130">
        <v>4.2626410999999997</v>
      </c>
      <c r="VX13" s="130">
        <v>4.1881630300000001</v>
      </c>
      <c r="VY13" s="130">
        <v>4.1881630300000001</v>
      </c>
      <c r="VZ13" s="130">
        <v>4.1881630300000001</v>
      </c>
      <c r="WA13" s="130">
        <v>3.4243009100000004</v>
      </c>
      <c r="WB13" s="130">
        <v>4.2739307100000001</v>
      </c>
      <c r="WC13" s="130">
        <v>2.3265336000000003</v>
      </c>
      <c r="WD13" s="130">
        <v>2.3244335999999999</v>
      </c>
      <c r="WE13" s="130">
        <v>1.6265868700000001</v>
      </c>
      <c r="WF13" s="130">
        <v>1.6265868700000001</v>
      </c>
      <c r="WG13" s="130">
        <v>1.39455532</v>
      </c>
      <c r="WH13" s="130">
        <v>1.39455532</v>
      </c>
      <c r="WI13" s="130">
        <v>1.39455532</v>
      </c>
      <c r="WJ13" s="130">
        <v>0.55396226999999998</v>
      </c>
      <c r="WK13" s="130">
        <v>3.6230236900000001</v>
      </c>
      <c r="WL13" s="130">
        <v>3.6230236900000001</v>
      </c>
      <c r="WM13" s="130">
        <v>3.1375219400000001</v>
      </c>
      <c r="WN13" s="130">
        <v>3.1375219400000001</v>
      </c>
      <c r="WO13" s="130">
        <v>3.1409349500000001</v>
      </c>
      <c r="WP13" s="130">
        <v>2.6096254600000002</v>
      </c>
      <c r="WQ13" s="130">
        <v>2.6096254600000002</v>
      </c>
      <c r="WR13" s="130">
        <v>2.6096254600000002</v>
      </c>
      <c r="WS13" s="130">
        <v>2.2630743500000001</v>
      </c>
      <c r="WT13" s="130">
        <v>1.2060024200000001</v>
      </c>
      <c r="WU13" s="130">
        <v>1.2060024200000001</v>
      </c>
      <c r="WV13" s="130">
        <v>5.0790771499999892</v>
      </c>
      <c r="WW13" s="130">
        <v>5.0805441299999998</v>
      </c>
      <c r="WX13" s="130">
        <v>4.2795903499999994</v>
      </c>
      <c r="WY13" s="130">
        <v>4.2766583499999999</v>
      </c>
      <c r="WZ13" s="130">
        <v>4.2902364299999993</v>
      </c>
      <c r="XA13" s="130">
        <v>4.0629909</v>
      </c>
      <c r="XB13" s="130">
        <v>4.0629909</v>
      </c>
      <c r="XC13" s="130">
        <v>4.0629909</v>
      </c>
      <c r="XD13" s="130">
        <v>4.0629909</v>
      </c>
      <c r="XE13" s="130">
        <v>4.0498700100000002</v>
      </c>
      <c r="XF13" s="130">
        <v>3.5351814700000004</v>
      </c>
      <c r="XG13" s="130">
        <v>4.5172632299999833</v>
      </c>
      <c r="XH13" s="130">
        <v>4.56142351</v>
      </c>
      <c r="XI13" s="130">
        <v>4.02512458</v>
      </c>
      <c r="XJ13" s="130">
        <v>4.02512458</v>
      </c>
      <c r="XK13" s="130">
        <v>4.02512458</v>
      </c>
      <c r="XL13" s="130">
        <v>3.4435564599999999</v>
      </c>
      <c r="XM13" s="130">
        <v>3.4435564599999999</v>
      </c>
      <c r="XN13" s="130">
        <v>3.4435564599999999</v>
      </c>
      <c r="XO13" s="130">
        <v>3.08265514</v>
      </c>
      <c r="XP13" s="130">
        <v>2.7100403499999999</v>
      </c>
      <c r="XQ13" s="130">
        <v>5.1748482399999993</v>
      </c>
      <c r="XR13" s="130">
        <v>5.1738782399999996</v>
      </c>
      <c r="XS13" s="130">
        <v>5.1717782399999992</v>
      </c>
      <c r="XT13" s="130">
        <v>4.9111255499999995</v>
      </c>
      <c r="XU13" s="130">
        <v>4.9111255499999995</v>
      </c>
      <c r="XV13" s="130">
        <v>4.9111255499999995</v>
      </c>
      <c r="XW13" s="130">
        <v>4.9111255499999995</v>
      </c>
      <c r="XX13" s="130">
        <v>4.9111255499999995</v>
      </c>
      <c r="XY13" s="130">
        <v>4.2678869899999992</v>
      </c>
      <c r="XZ13" s="130">
        <v>4.2678869899999992</v>
      </c>
      <c r="YA13" s="130">
        <v>3.9126621500000001</v>
      </c>
      <c r="YB13" s="130">
        <v>3.9124621500000001</v>
      </c>
      <c r="YC13" s="130">
        <v>4.9719732800000003</v>
      </c>
      <c r="YD13" s="130">
        <v>4.4893962799999994</v>
      </c>
      <c r="YE13" s="130">
        <v>4.4893962799999994</v>
      </c>
      <c r="YF13" s="130">
        <v>4.4872962799999989</v>
      </c>
      <c r="YG13" s="130">
        <v>4.29615159</v>
      </c>
      <c r="YH13" s="130">
        <v>4.2949515900000002</v>
      </c>
    </row>
    <row r="14" spans="2:658">
      <c r="B14" s="917" t="s">
        <v>28</v>
      </c>
      <c r="C14" s="918">
        <v>1.36488655</v>
      </c>
      <c r="D14" s="130">
        <v>1.36288655</v>
      </c>
      <c r="E14" s="130">
        <v>1.3599760400000001</v>
      </c>
      <c r="F14" s="130">
        <v>1.3571731899999999</v>
      </c>
      <c r="G14" s="130">
        <v>1.3571731899999999</v>
      </c>
      <c r="H14" s="130">
        <v>1.3571731899999999</v>
      </c>
      <c r="I14" s="130">
        <v>1.3571731899999999</v>
      </c>
      <c r="J14" s="130">
        <v>1.1291381599999999</v>
      </c>
      <c r="K14" s="130">
        <v>1.1291381599999999</v>
      </c>
      <c r="L14" s="130">
        <v>1.1291381599999999</v>
      </c>
      <c r="M14" s="130">
        <v>1.1291381599999999</v>
      </c>
      <c r="N14" s="130">
        <v>1.08413016</v>
      </c>
      <c r="O14" s="130">
        <v>1.08413016</v>
      </c>
      <c r="P14" s="130">
        <v>1.08413016</v>
      </c>
      <c r="Q14" s="130">
        <v>1.08413016</v>
      </c>
      <c r="R14" s="130">
        <v>1.0806301599999999</v>
      </c>
      <c r="S14" s="130">
        <v>1.0806301599999999</v>
      </c>
      <c r="T14" s="130">
        <v>1.0806301599999999</v>
      </c>
      <c r="U14" s="130">
        <v>1.05860916</v>
      </c>
      <c r="V14" s="130">
        <v>1.5461643599999999</v>
      </c>
      <c r="W14" s="130">
        <v>1.8121035599999999</v>
      </c>
      <c r="X14" s="130">
        <v>1.81236899</v>
      </c>
      <c r="Y14" s="130">
        <v>1.81236899</v>
      </c>
      <c r="Z14" s="130">
        <v>1.80836899</v>
      </c>
      <c r="AA14" s="130">
        <v>1.80836899</v>
      </c>
      <c r="AB14" s="130">
        <v>1.6220003000000001</v>
      </c>
      <c r="AC14" s="130">
        <v>1.6220003000000001</v>
      </c>
      <c r="AD14" s="130">
        <v>1.6220003000000001</v>
      </c>
      <c r="AE14" s="130">
        <v>1.6220003000000001</v>
      </c>
      <c r="AF14" s="130">
        <v>1.6214002999999999</v>
      </c>
      <c r="AG14" s="130">
        <v>1.5041083</v>
      </c>
      <c r="AH14" s="130">
        <v>1.5041083</v>
      </c>
      <c r="AI14" s="130">
        <v>1.5041083</v>
      </c>
      <c r="AJ14" s="130">
        <v>1.5041083</v>
      </c>
      <c r="AK14" s="130">
        <v>1.5041083</v>
      </c>
      <c r="AL14" s="130">
        <v>1.60409231</v>
      </c>
      <c r="AM14" s="130">
        <v>1.6020873099999999</v>
      </c>
      <c r="AN14" s="130">
        <v>1.6020873099999999</v>
      </c>
      <c r="AO14" s="130">
        <v>1.6020873099999999</v>
      </c>
      <c r="AP14" s="130">
        <v>1.6020873099999999</v>
      </c>
      <c r="AQ14" s="130">
        <v>2.0543986699999999</v>
      </c>
      <c r="AR14" s="130">
        <v>2.0523986700000001</v>
      </c>
      <c r="AS14" s="130">
        <v>2.0523986700000001</v>
      </c>
      <c r="AT14" s="130">
        <v>2.0478986699999999</v>
      </c>
      <c r="AU14" s="130">
        <v>2.0478986699999999</v>
      </c>
      <c r="AV14" s="130">
        <v>2.2510453500000001</v>
      </c>
      <c r="AW14" s="130">
        <f>2.73860055+268.3281</f>
        <v>271.06670055000001</v>
      </c>
      <c r="AX14" s="130">
        <f>2.73860055+268.3281</f>
        <v>271.06670055000001</v>
      </c>
      <c r="AY14" s="130">
        <f>2.5286202+268.3281</f>
        <v>270.85672019999998</v>
      </c>
      <c r="AZ14" s="130">
        <f>2.5286202+268.3281</f>
        <v>270.85672019999998</v>
      </c>
      <c r="BA14" s="130">
        <f>2.5286202+268.3281</f>
        <v>270.85672019999998</v>
      </c>
      <c r="BB14" s="130">
        <v>270.85672019999998</v>
      </c>
      <c r="BC14" s="130">
        <f>2.5286202+268.3281</f>
        <v>270.85672019999998</v>
      </c>
      <c r="BD14" s="130">
        <f>2.5286202+268.3281</f>
        <v>270.85672019999998</v>
      </c>
      <c r="BE14" s="130">
        <v>4.1131533500000002</v>
      </c>
      <c r="BF14" s="130">
        <v>3.03882816</v>
      </c>
      <c r="BG14" s="130">
        <v>198.56880165999999</v>
      </c>
      <c r="BH14" s="130">
        <v>3.0374066599999998</v>
      </c>
      <c r="BI14" s="130">
        <v>3.0374066599999998</v>
      </c>
      <c r="BJ14" s="130">
        <v>3.0374066599999998</v>
      </c>
      <c r="BK14" s="130">
        <v>3.0888415500000002</v>
      </c>
      <c r="BL14" s="130">
        <v>3.3660479799999998</v>
      </c>
      <c r="BM14" s="130">
        <v>3.36404798</v>
      </c>
      <c r="BN14" s="130">
        <v>3.3027479799999999</v>
      </c>
      <c r="BO14" s="130">
        <v>3.3027479799999999</v>
      </c>
      <c r="BP14" s="130">
        <v>3.3010609799999999</v>
      </c>
      <c r="BQ14" s="130">
        <v>3.3010609799999999</v>
      </c>
      <c r="BR14" s="130">
        <v>3.15469336</v>
      </c>
      <c r="BS14" s="130">
        <v>3.15469336</v>
      </c>
      <c r="BT14" s="130">
        <v>3.1486620200000002</v>
      </c>
      <c r="BU14" s="130">
        <v>3.1486620200000002</v>
      </c>
      <c r="BV14" s="130">
        <v>3.1486620200000002</v>
      </c>
      <c r="BW14" s="130">
        <v>3.1486620200000002</v>
      </c>
      <c r="BX14" s="130">
        <v>3.1486620200000002</v>
      </c>
      <c r="BY14" s="130">
        <v>3.0334700200000002</v>
      </c>
      <c r="BZ14" s="130">
        <v>3.0334700200000002</v>
      </c>
      <c r="CA14" s="130">
        <v>3.0334700200000002</v>
      </c>
      <c r="CB14" s="130">
        <v>3.0334700200000002</v>
      </c>
      <c r="CC14" s="130">
        <v>3.0314490200000002</v>
      </c>
      <c r="CD14" s="130">
        <v>3.0314490200000002</v>
      </c>
      <c r="CE14" s="130">
        <v>3.0314490200000002</v>
      </c>
      <c r="CF14" s="130">
        <v>3.0314490200000002</v>
      </c>
      <c r="CG14" s="130">
        <v>3.0314490200000002</v>
      </c>
      <c r="CH14" s="130">
        <v>3.0214490199999999</v>
      </c>
      <c r="CI14" s="130">
        <v>2.96691102</v>
      </c>
      <c r="CJ14" s="130">
        <v>2.96691102</v>
      </c>
      <c r="CK14" s="130">
        <v>2.96691102</v>
      </c>
      <c r="CL14" s="130">
        <f>0.73595879+220</f>
        <v>220.73595879000001</v>
      </c>
      <c r="CM14" s="130">
        <f>0.73595879+220</f>
        <v>220.73595879000001</v>
      </c>
      <c r="CN14" s="130">
        <f>0.73595879+220</f>
        <v>220.73595879000001</v>
      </c>
      <c r="CO14" s="130">
        <f>0.57569408+220</f>
        <v>220.57569408000001</v>
      </c>
      <c r="CP14" s="130">
        <f>0.57569408+220</f>
        <v>220.57569408000001</v>
      </c>
      <c r="CQ14" s="130">
        <f>201.20248431+220</f>
        <v>421.20248430999999</v>
      </c>
      <c r="CR14" s="130">
        <f>1.18407353+420.5</f>
        <v>421.68407352999998</v>
      </c>
      <c r="CS14" s="130">
        <f>1.1764445+420.5</f>
        <v>421.6764445</v>
      </c>
      <c r="CT14" s="130">
        <f>1.0588445+420.5</f>
        <v>421.55884450000002</v>
      </c>
      <c r="CU14" s="130">
        <f>1.0588445+420.5</f>
        <v>421.55884450000002</v>
      </c>
      <c r="CV14" s="130">
        <f>1.0588445+420.5</f>
        <v>421.55884450000002</v>
      </c>
      <c r="CW14" s="130">
        <f>1.25275724+420.5</f>
        <v>421.75275723999999</v>
      </c>
      <c r="CX14" s="130">
        <f>1.25275724+420.5</f>
        <v>421.75275723999999</v>
      </c>
      <c r="CY14" s="130">
        <f>3.38300933+330+90</f>
        <v>423.38300932999999</v>
      </c>
      <c r="CZ14" s="130">
        <v>423.38300932999999</v>
      </c>
      <c r="DA14" s="130">
        <f>3.38300933+330+90</f>
        <v>423.38300932999999</v>
      </c>
      <c r="DB14" s="130">
        <f>3.38300933+330+90</f>
        <v>423.38300932999999</v>
      </c>
      <c r="DC14" s="130">
        <f>3.38300933+330+90</f>
        <v>423.38300932999999</v>
      </c>
      <c r="DD14" s="130">
        <f>3.38300933+330+90</f>
        <v>423.38300932999999</v>
      </c>
      <c r="DE14" s="130">
        <f>3.38100933+330+90</f>
        <v>423.38100932999998</v>
      </c>
      <c r="DF14" s="130">
        <f>3.38100933+330+90</f>
        <v>423.38100932999998</v>
      </c>
      <c r="DG14" s="130">
        <f>3.35100933+330+90</f>
        <v>423.35100933000001</v>
      </c>
      <c r="DH14" s="130">
        <f>3.35100933+330+90</f>
        <v>423.35100933000001</v>
      </c>
      <c r="DI14" s="130">
        <f>3.35100933+330+90</f>
        <v>423.35100933000001</v>
      </c>
      <c r="DJ14" s="130">
        <f>3.35100933+330+90</f>
        <v>423.35100933000001</v>
      </c>
      <c r="DK14" s="130">
        <f>3.20239029+330+90</f>
        <v>423.20239028999998</v>
      </c>
      <c r="DL14" s="130">
        <f>3.21006132+330+90</f>
        <v>423.21006132000002</v>
      </c>
      <c r="DM14" s="130">
        <f>3.21006132+330+90</f>
        <v>423.21006132000002</v>
      </c>
      <c r="DN14" s="130">
        <f>3.21006132+330+90</f>
        <v>423.21006132000002</v>
      </c>
      <c r="DO14" s="130">
        <f>2.65161853+330+90</f>
        <v>422.65161853000001</v>
      </c>
      <c r="DP14" s="130">
        <f>2.65161853+330+90</f>
        <v>422.65161853000001</v>
      </c>
      <c r="DQ14" s="130">
        <f>2.65161853+330+90</f>
        <v>422.65161853000001</v>
      </c>
      <c r="DR14" s="130">
        <v>422.65161853000001</v>
      </c>
      <c r="DS14" s="130">
        <v>422.65161853000001</v>
      </c>
      <c r="DT14" s="130">
        <f>5.24220614</f>
        <v>5.2422061400000004</v>
      </c>
      <c r="DU14" s="130">
        <v>5.1260131400000004</v>
      </c>
      <c r="DV14" s="130">
        <v>5.1260131400000004</v>
      </c>
      <c r="DW14" s="130">
        <v>5.1260131400000004</v>
      </c>
      <c r="DX14" s="130">
        <v>5.6468107400000003</v>
      </c>
      <c r="DY14" s="130">
        <v>7.2867691399999996</v>
      </c>
      <c r="DZ14" s="130">
        <v>7.2867691399999996</v>
      </c>
      <c r="EA14" s="130">
        <v>7.2847691399999999</v>
      </c>
      <c r="EB14" s="130">
        <v>7.2547691399999996</v>
      </c>
      <c r="EC14" s="130">
        <v>7.1601192600000001</v>
      </c>
      <c r="ED14" s="130">
        <v>7.1601192600000001</v>
      </c>
      <c r="EE14" s="130">
        <v>7.1601192600000001</v>
      </c>
      <c r="EF14" s="130">
        <v>7.0068535900000004</v>
      </c>
      <c r="EG14" s="130">
        <v>7.0068535900000004</v>
      </c>
      <c r="EH14" s="130">
        <v>7.0068535900000004</v>
      </c>
      <c r="EI14" s="130">
        <v>7.0068535900000004</v>
      </c>
      <c r="EJ14" s="130">
        <v>7.0068535900000004</v>
      </c>
      <c r="EK14" s="130">
        <v>7.0068535900000004</v>
      </c>
      <c r="EL14" s="130">
        <v>7.0068535900000004</v>
      </c>
      <c r="EM14" s="130">
        <v>7.0068535900000004</v>
      </c>
      <c r="EN14" s="130">
        <v>9.8550330200000005</v>
      </c>
      <c r="EO14" s="130">
        <v>9.9981965200000005</v>
      </c>
      <c r="EP14" s="130">
        <v>9.9981965200000005</v>
      </c>
      <c r="EQ14" s="130">
        <v>9.9981965200000005</v>
      </c>
      <c r="ER14" s="130">
        <v>9.9981965200000005</v>
      </c>
      <c r="ES14" s="130">
        <v>9.9981965200000005</v>
      </c>
      <c r="ET14" s="130">
        <v>9.9981965200000005</v>
      </c>
      <c r="EU14" s="130">
        <v>9.8773545200000008</v>
      </c>
      <c r="EV14" s="130">
        <v>9.8753545200000001</v>
      </c>
      <c r="EW14" s="130">
        <v>9.8753545200000001</v>
      </c>
      <c r="EX14" s="130">
        <v>9.8753545200000001</v>
      </c>
      <c r="EY14" s="130">
        <v>9.8753545200000001</v>
      </c>
      <c r="EZ14" s="130">
        <v>9.8753545200000001</v>
      </c>
      <c r="FA14" s="130">
        <v>9.8753545200000001</v>
      </c>
      <c r="FB14" s="130">
        <v>10</v>
      </c>
      <c r="FC14" s="130">
        <v>9.70342357</v>
      </c>
      <c r="FD14" s="130">
        <v>9.70342357</v>
      </c>
      <c r="FE14" s="130">
        <v>9.70342357</v>
      </c>
      <c r="FF14" s="130">
        <v>9.70342357</v>
      </c>
      <c r="FG14" s="130">
        <v>9.70342357</v>
      </c>
      <c r="FH14" s="130">
        <v>10</v>
      </c>
      <c r="FI14" s="130">
        <v>9.6154235700000008</v>
      </c>
      <c r="FJ14" s="130">
        <v>9.6154235700000008</v>
      </c>
      <c r="FK14" s="130">
        <v>9.6154235700000008</v>
      </c>
      <c r="FL14" s="130">
        <v>9.9009448199999994</v>
      </c>
      <c r="FM14" s="130">
        <v>10</v>
      </c>
      <c r="FN14" s="130">
        <v>9.9009448199999994</v>
      </c>
      <c r="FO14" s="130">
        <f>0.28010282+9.5</f>
        <v>9.7801028199999998</v>
      </c>
      <c r="FP14" s="130">
        <f>0.28010282+9.5</f>
        <v>9.7801028199999998</v>
      </c>
      <c r="FQ14" s="130">
        <f>0.28010282+9.5</f>
        <v>9.7801028199999998</v>
      </c>
      <c r="FR14" s="130">
        <v>9.7481028199999997</v>
      </c>
      <c r="FS14" s="130">
        <v>9.7481028199999997</v>
      </c>
      <c r="FT14" s="130">
        <f>0.12352932+9.5</f>
        <v>9.6235293199999994</v>
      </c>
      <c r="FU14" s="130">
        <f>0.12352932+9.5</f>
        <v>9.6235293199999994</v>
      </c>
      <c r="FV14" s="130">
        <f>0.36730692+9.5</f>
        <v>9.8673069200000008</v>
      </c>
      <c r="FW14" s="130">
        <f>0.34186692+9.5</f>
        <v>9.8418669199999993</v>
      </c>
      <c r="FX14" s="130">
        <f>0.34186692+9.5</f>
        <v>9.8418669199999993</v>
      </c>
      <c r="FY14" s="130">
        <v>10</v>
      </c>
      <c r="FZ14" s="130">
        <f>0.33482992+9.5</f>
        <v>9.8348299200000007</v>
      </c>
      <c r="GA14" s="130">
        <f>0.34182992+9.5</f>
        <v>9.8418299200000003</v>
      </c>
      <c r="GB14" s="130">
        <f>0.34182992+9.5</f>
        <v>9.8418299200000003</v>
      </c>
      <c r="GC14" s="130">
        <f>0.34182992+9.5</f>
        <v>9.8418299200000003</v>
      </c>
      <c r="GD14" s="130">
        <f>1150.24865323+9.5</f>
        <v>1159.7486532299999</v>
      </c>
      <c r="GE14" s="130">
        <f>1150.24865323+9.5</f>
        <v>1159.7486532299999</v>
      </c>
      <c r="GF14" s="130">
        <f>827.5052191</f>
        <v>827.50521909999998</v>
      </c>
      <c r="GG14" s="130">
        <f>13.87274702</f>
        <v>13.87274702</v>
      </c>
      <c r="GH14" s="130">
        <f>13.87922357</f>
        <v>13.879223570000001</v>
      </c>
      <c r="GI14" s="130">
        <v>13.734093849999999</v>
      </c>
      <c r="GJ14" s="130">
        <v>13.734093849999999</v>
      </c>
      <c r="GK14" s="130">
        <v>13.74701658</v>
      </c>
      <c r="GL14" s="130">
        <v>13.74701658</v>
      </c>
      <c r="GM14" s="130">
        <v>13.74701658</v>
      </c>
      <c r="GN14" s="130">
        <v>13.701086159999999</v>
      </c>
      <c r="GO14" s="130">
        <v>13.701086159999999</v>
      </c>
      <c r="GP14" s="130">
        <v>22.920032490000001</v>
      </c>
      <c r="GQ14" s="130">
        <v>22.903847349999999</v>
      </c>
      <c r="GR14" s="130">
        <v>22.906238770000002</v>
      </c>
      <c r="GS14" s="130">
        <v>22.908622879999999</v>
      </c>
      <c r="GT14" s="130">
        <v>22.918198</v>
      </c>
      <c r="GU14" s="130">
        <v>1.0903339999999999E-2</v>
      </c>
      <c r="GV14" s="130">
        <v>22.771415770000001</v>
      </c>
      <c r="GW14" s="130">
        <v>22.771415770000001</v>
      </c>
      <c r="GX14" s="130">
        <v>22.76</v>
      </c>
      <c r="GY14" s="130">
        <v>22.771326039999998</v>
      </c>
      <c r="GZ14" s="130">
        <v>22.784250399999998</v>
      </c>
      <c r="HA14" s="130">
        <v>22.790607940000001</v>
      </c>
      <c r="HB14" s="130">
        <v>22.79372438</v>
      </c>
      <c r="HC14" s="130">
        <v>22.582276710000002</v>
      </c>
      <c r="HD14" s="130">
        <v>0.84733196</v>
      </c>
      <c r="HE14" s="130">
        <v>0.84733196</v>
      </c>
      <c r="HF14" s="130">
        <v>0.84733196</v>
      </c>
      <c r="HG14" s="130">
        <v>0.81523195999999998</v>
      </c>
      <c r="HH14" s="130">
        <v>0.81523195999999998</v>
      </c>
      <c r="HI14" s="130">
        <v>200.74616104</v>
      </c>
      <c r="HJ14" s="130">
        <v>200.74616104</v>
      </c>
      <c r="HK14" s="130">
        <v>200.74616104</v>
      </c>
      <c r="HL14" s="130">
        <v>200.74616104</v>
      </c>
      <c r="HM14" s="130">
        <v>200.74616104</v>
      </c>
      <c r="HN14" s="130">
        <v>200.74345303999999</v>
      </c>
      <c r="HO14" s="130">
        <v>200.65914788999999</v>
      </c>
      <c r="HP14" s="130">
        <v>200.65914788999999</v>
      </c>
      <c r="HQ14" s="130">
        <v>2.3056112299999998</v>
      </c>
      <c r="HR14" s="130">
        <v>2.3056112299999998</v>
      </c>
      <c r="HS14" s="130">
        <v>2.2157006200000002</v>
      </c>
      <c r="HT14" s="949">
        <v>2.2157006200000002</v>
      </c>
      <c r="HU14" s="949">
        <v>2.2157006200000002</v>
      </c>
      <c r="HV14" s="949">
        <v>2.2157006200000002</v>
      </c>
      <c r="HW14" s="949">
        <v>2.2157006200000002</v>
      </c>
      <c r="HX14" s="949">
        <v>2.18360062</v>
      </c>
      <c r="HY14" s="949">
        <v>2.18360062</v>
      </c>
      <c r="HZ14" s="949">
        <v>2.0756357599999999</v>
      </c>
      <c r="IA14" s="949">
        <v>2.0306277600000002</v>
      </c>
      <c r="IB14" s="949">
        <v>2.0306277600000002</v>
      </c>
      <c r="IC14" s="949">
        <v>2.0306277600000002</v>
      </c>
      <c r="ID14" s="949">
        <v>2.0306277600000002</v>
      </c>
      <c r="IE14" s="949">
        <v>2.0306277600000002</v>
      </c>
      <c r="IF14" s="949">
        <v>2.0306277600000002</v>
      </c>
      <c r="IG14" s="949">
        <v>2.0306277600000002</v>
      </c>
      <c r="IH14" s="949">
        <v>2.0306277600000002</v>
      </c>
      <c r="II14" s="949">
        <v>2.0306277600000002</v>
      </c>
      <c r="IJ14" s="949">
        <v>2.0306277600000002</v>
      </c>
      <c r="IK14" s="949">
        <v>1.9340587600000001</v>
      </c>
      <c r="IL14" s="949">
        <v>1.9340587600000001</v>
      </c>
      <c r="IM14" s="949">
        <v>1.9340587600000001</v>
      </c>
      <c r="IN14" s="949">
        <v>1.9341317499999999</v>
      </c>
      <c r="IO14" s="949">
        <v>1.8373317499999999</v>
      </c>
      <c r="IP14" s="949">
        <v>1.8373317499999999</v>
      </c>
      <c r="IQ14" s="949">
        <v>1.8352317499999999</v>
      </c>
      <c r="IR14" s="949">
        <v>1.8352317499999999</v>
      </c>
      <c r="IS14" s="949">
        <v>1.8352317499999999</v>
      </c>
      <c r="IT14" s="949">
        <v>1.7390957499999999</v>
      </c>
      <c r="IU14" s="949">
        <v>1.7090957499999999</v>
      </c>
      <c r="IV14" s="949">
        <v>1.7090957499999999</v>
      </c>
      <c r="IW14" s="949">
        <v>1.7086557499999999</v>
      </c>
      <c r="IX14" s="949">
        <v>1.7086557499999999</v>
      </c>
      <c r="IY14" s="949">
        <v>1.7086557499999999</v>
      </c>
      <c r="IZ14" s="949">
        <v>1.7086557499999999</v>
      </c>
      <c r="JA14" s="949">
        <v>1.63579425</v>
      </c>
      <c r="JB14" s="949">
        <v>1.63579425</v>
      </c>
      <c r="JC14" s="949">
        <v>1.40341575</v>
      </c>
      <c r="JD14" s="949">
        <v>1.40341575</v>
      </c>
      <c r="JE14" s="949">
        <v>1.40341575</v>
      </c>
      <c r="JF14" s="949">
        <v>1.40341575</v>
      </c>
      <c r="JG14" s="949">
        <v>1.3021247499999999</v>
      </c>
      <c r="JH14" s="949">
        <v>1.3021247499999999</v>
      </c>
      <c r="JI14" s="949">
        <v>1.3021247499999999</v>
      </c>
      <c r="JJ14" s="949">
        <v>1.28678775</v>
      </c>
      <c r="JK14" s="949">
        <v>1.25678775</v>
      </c>
      <c r="JL14" s="949">
        <v>1.25678775</v>
      </c>
      <c r="JM14" s="949">
        <v>1.1408170399999999</v>
      </c>
      <c r="JN14" s="949">
        <v>1.1408170399999999</v>
      </c>
      <c r="JO14" s="949">
        <v>1.1408170399999999</v>
      </c>
      <c r="JP14" s="949">
        <v>4.9145054999999997</v>
      </c>
      <c r="JQ14" s="949">
        <v>4.9145054999999997</v>
      </c>
      <c r="JR14" s="949">
        <v>4.9145054999999997</v>
      </c>
      <c r="JS14" s="949">
        <v>4.9145054999999997</v>
      </c>
      <c r="JT14" s="949">
        <v>4.9145054999999997</v>
      </c>
      <c r="JU14" s="949">
        <v>4.9145054999999997</v>
      </c>
      <c r="JV14" s="949">
        <v>4.9145054999999997</v>
      </c>
      <c r="JW14" s="949">
        <v>4.8183496900000007</v>
      </c>
      <c r="JX14" s="949">
        <v>4.8183496900000007</v>
      </c>
      <c r="JY14" s="949">
        <v>4.8183496900000007</v>
      </c>
      <c r="JZ14" s="949">
        <v>4.8183496900000007</v>
      </c>
      <c r="KA14" s="949">
        <v>4.8183496899999998</v>
      </c>
      <c r="KB14" s="949">
        <v>4.8183496899999998</v>
      </c>
      <c r="KC14" s="949">
        <v>4.6989084100000005</v>
      </c>
      <c r="KD14" s="949">
        <v>5.0646538300000001</v>
      </c>
      <c r="KE14" s="949">
        <v>5.0646538300000001</v>
      </c>
      <c r="KF14" s="949">
        <v>1.25678775</v>
      </c>
      <c r="KG14" s="949">
        <v>705.03255382999998</v>
      </c>
      <c r="KH14" s="949">
        <v>705.03255382999998</v>
      </c>
      <c r="KI14" s="949">
        <v>704.93556464000005</v>
      </c>
      <c r="KJ14" s="949">
        <v>704.93556464000005</v>
      </c>
      <c r="KK14" s="949">
        <v>704.89948593999998</v>
      </c>
      <c r="KL14" s="949">
        <v>704.89948593999998</v>
      </c>
      <c r="KM14" s="949">
        <v>704.89948593999998</v>
      </c>
      <c r="KN14" s="949">
        <v>704.89948593999998</v>
      </c>
      <c r="KO14" s="949">
        <v>704.89868593999995</v>
      </c>
      <c r="KP14" s="949">
        <v>704.91488758000003</v>
      </c>
      <c r="KQ14" s="949">
        <v>704.91488758000003</v>
      </c>
      <c r="KR14" s="949">
        <v>704.91488758000003</v>
      </c>
      <c r="KS14" s="949">
        <v>704.84802209999998</v>
      </c>
      <c r="KT14" s="949">
        <v>704.84802209999998</v>
      </c>
      <c r="KU14" s="949">
        <v>705.22261925999999</v>
      </c>
      <c r="KV14" s="949">
        <v>705.12698825999996</v>
      </c>
      <c r="KW14" s="949">
        <v>705.12488826000003</v>
      </c>
      <c r="KX14" s="949">
        <v>705.09488825999995</v>
      </c>
      <c r="KY14" s="949">
        <v>705.09488825999995</v>
      </c>
      <c r="KZ14" s="949">
        <v>705.00970099000006</v>
      </c>
      <c r="LA14" s="949">
        <v>705.00970099000006</v>
      </c>
      <c r="LB14" s="949">
        <v>705.00970099000006</v>
      </c>
      <c r="LC14" s="949">
        <v>705.00970099000006</v>
      </c>
      <c r="LD14" s="949">
        <v>705.00970099000006</v>
      </c>
      <c r="LE14" s="949">
        <v>705.00970099000006</v>
      </c>
      <c r="LF14" s="949">
        <v>705.00970099000006</v>
      </c>
      <c r="LG14" s="949">
        <v>705.00970099000006</v>
      </c>
      <c r="LH14" s="949">
        <v>705.00970099000006</v>
      </c>
      <c r="LI14" s="949">
        <v>704.92655460000003</v>
      </c>
      <c r="LJ14" s="949">
        <v>704.92655460000003</v>
      </c>
      <c r="LK14" s="949">
        <v>704.92655460000003</v>
      </c>
      <c r="LL14" s="949">
        <v>798.92655460000003</v>
      </c>
      <c r="LM14" s="949">
        <v>798.92655460000003</v>
      </c>
      <c r="LN14" s="949">
        <v>716.95554505999996</v>
      </c>
      <c r="LO14" s="949">
        <v>716.95554505999996</v>
      </c>
      <c r="LP14" s="949">
        <v>716.95554505999996</v>
      </c>
      <c r="LQ14" s="949">
        <v>716.87839629999996</v>
      </c>
      <c r="LR14" s="949">
        <v>716.87839629999996</v>
      </c>
      <c r="LS14" s="949">
        <v>716.87839629999996</v>
      </c>
      <c r="LT14" s="949">
        <v>716.84629629999995</v>
      </c>
      <c r="LU14" s="949">
        <v>716.84629629999995</v>
      </c>
      <c r="LV14" s="949">
        <v>716.77779570999996</v>
      </c>
      <c r="LW14" s="949">
        <v>716.77779570999996</v>
      </c>
      <c r="LX14" s="949">
        <v>716.77779570999996</v>
      </c>
      <c r="LY14" s="949">
        <v>716.77779570999996</v>
      </c>
      <c r="LZ14" s="949">
        <v>716.77779570999996</v>
      </c>
      <c r="MA14" s="949">
        <v>716.77779570999996</v>
      </c>
      <c r="MB14" s="949">
        <v>716.77779570999996</v>
      </c>
      <c r="MC14" s="949">
        <v>716.77779570999996</v>
      </c>
      <c r="MD14" s="949">
        <v>16.777795709999999</v>
      </c>
      <c r="ME14" s="949">
        <v>16.777795709999999</v>
      </c>
      <c r="MF14" s="949">
        <v>16.777795709999999</v>
      </c>
      <c r="MG14" s="949">
        <v>16.777795709999999</v>
      </c>
      <c r="MH14" s="949">
        <v>26.747797579999997</v>
      </c>
      <c r="MI14" s="949">
        <v>26.747797579999997</v>
      </c>
      <c r="MJ14" s="949">
        <v>26.747797579999997</v>
      </c>
      <c r="MK14" s="949">
        <v>26.747797579999997</v>
      </c>
      <c r="ML14" s="949">
        <v>26.747797579999997</v>
      </c>
      <c r="MM14" s="949">
        <v>26.747797579999997</v>
      </c>
      <c r="MN14" s="949">
        <v>26.747797579999997</v>
      </c>
      <c r="MO14" s="949">
        <v>26.747797579999997</v>
      </c>
      <c r="MP14" s="949">
        <v>26.747797579999997</v>
      </c>
      <c r="MQ14" s="949">
        <v>13.563813779999998</v>
      </c>
      <c r="MR14" s="949">
        <v>13.563813779999998</v>
      </c>
      <c r="MS14" s="949">
        <v>13.456165609999999</v>
      </c>
      <c r="MT14" s="949">
        <v>13.45572561</v>
      </c>
      <c r="MU14" s="949">
        <v>13.45572561</v>
      </c>
      <c r="MV14" s="949">
        <v>13.45572561</v>
      </c>
      <c r="MW14" s="949">
        <v>13.45572561</v>
      </c>
      <c r="MX14" s="949">
        <v>13.45572561</v>
      </c>
      <c r="MY14" s="949">
        <v>13.45572561</v>
      </c>
      <c r="MZ14" s="949">
        <v>13.45572561</v>
      </c>
      <c r="NA14" s="949">
        <v>13.45572561</v>
      </c>
      <c r="NB14" s="949">
        <v>13.45572561</v>
      </c>
      <c r="NC14" s="949">
        <v>13.45572561</v>
      </c>
      <c r="ND14" s="949">
        <v>13.45572561</v>
      </c>
      <c r="NE14" s="949">
        <v>13.45572561</v>
      </c>
      <c r="NF14" s="949">
        <v>2.3785631700000001</v>
      </c>
      <c r="NG14" s="949">
        <v>2.3785631700000001</v>
      </c>
      <c r="NH14" s="949">
        <v>2.3785551699999998</v>
      </c>
      <c r="NI14" s="949">
        <v>2.3785551699999998</v>
      </c>
      <c r="NJ14" s="949">
        <v>2.3785551699999998</v>
      </c>
      <c r="NK14" s="949">
        <v>2.34645517</v>
      </c>
      <c r="NL14" s="949">
        <v>2.34645517</v>
      </c>
      <c r="NM14" s="949">
        <v>2.2354373599999997</v>
      </c>
      <c r="NN14" s="949">
        <v>2.2354373599999997</v>
      </c>
      <c r="NO14" s="949">
        <v>2.2354373599999997</v>
      </c>
      <c r="NP14" s="949">
        <v>2.2354373599999997</v>
      </c>
      <c r="NQ14" s="949">
        <v>2.2354373599999997</v>
      </c>
      <c r="NR14" s="949">
        <v>2.2406647599999996</v>
      </c>
      <c r="NS14" s="949">
        <v>2.2406647599999996</v>
      </c>
      <c r="NT14" s="949">
        <v>2.2406647599999996</v>
      </c>
      <c r="NU14" s="949">
        <v>2.2406647599999996</v>
      </c>
      <c r="NV14" s="949">
        <v>2.1527136800000002</v>
      </c>
      <c r="NW14" s="949">
        <v>2.1527136800000002</v>
      </c>
      <c r="NX14" s="949">
        <v>2.1527136800000002</v>
      </c>
      <c r="NY14" s="949">
        <v>94.050651029999997</v>
      </c>
      <c r="NZ14" s="949">
        <v>2.1095215600000001</v>
      </c>
      <c r="OA14" s="949">
        <v>2.1095215600000001</v>
      </c>
      <c r="OB14" s="949">
        <v>2.1095215600000001</v>
      </c>
      <c r="OC14" s="949">
        <v>2.0316675900000001</v>
      </c>
      <c r="OD14" s="949">
        <v>2.0316675900000001</v>
      </c>
      <c r="OE14" s="949">
        <v>2.0316675900000001</v>
      </c>
      <c r="OF14" s="949">
        <v>2.0316675900000001</v>
      </c>
      <c r="OG14" s="949">
        <v>1.9995675900000001</v>
      </c>
      <c r="OH14" s="949">
        <v>1.9995675900000001</v>
      </c>
      <c r="OI14" s="949">
        <v>705.00970099000006</v>
      </c>
      <c r="OJ14" s="949">
        <v>1.9031941699999999</v>
      </c>
      <c r="OK14" s="949">
        <v>1.9031941699999999</v>
      </c>
      <c r="OL14" s="949">
        <v>1.9091409099999999</v>
      </c>
      <c r="OM14" s="949">
        <v>1.9091409099999999</v>
      </c>
      <c r="ON14" s="949">
        <v>1.9091409099999999</v>
      </c>
      <c r="OO14" s="949">
        <v>1.82651721</v>
      </c>
      <c r="OP14" s="949">
        <v>1.82651721</v>
      </c>
      <c r="OQ14" s="949">
        <v>1.82651721</v>
      </c>
      <c r="OR14" s="949">
        <v>1.82651721</v>
      </c>
      <c r="OS14" s="949">
        <v>1.73389679</v>
      </c>
      <c r="OT14" s="949">
        <v>53.352878320000002</v>
      </c>
      <c r="OU14" s="949">
        <v>53.352878320000002</v>
      </c>
      <c r="OV14" s="949">
        <v>53.352878320000002</v>
      </c>
      <c r="OW14" s="949">
        <v>53.299243020000006</v>
      </c>
      <c r="OX14" s="949">
        <v>53.299243020000006</v>
      </c>
      <c r="OY14" s="949">
        <v>54.05006032</v>
      </c>
      <c r="OZ14" s="949">
        <v>54.05006032</v>
      </c>
      <c r="PA14" s="949">
        <v>54.05006032</v>
      </c>
      <c r="PB14" s="949">
        <v>24.275958859999999</v>
      </c>
      <c r="PC14" s="949">
        <v>24.275958859999999</v>
      </c>
      <c r="PD14" s="949">
        <v>24.275958859999999</v>
      </c>
      <c r="PE14" s="949">
        <v>24.307974390000002</v>
      </c>
      <c r="PF14" s="949">
        <v>24.322652609999999</v>
      </c>
      <c r="PG14" s="949">
        <v>24.322652609999999</v>
      </c>
      <c r="PH14" s="949">
        <v>24.322652609999999</v>
      </c>
      <c r="PI14" s="949">
        <v>24.306210239999999</v>
      </c>
      <c r="PJ14" s="949">
        <v>24.314574449999999</v>
      </c>
      <c r="PK14" s="949">
        <v>24.314574449999999</v>
      </c>
      <c r="PL14" s="949">
        <v>24.314574449999999</v>
      </c>
      <c r="PM14" s="949">
        <v>24.314574449999999</v>
      </c>
      <c r="PN14" s="949">
        <v>0.88608220999999998</v>
      </c>
      <c r="PO14" s="949">
        <v>0.88608220999999998</v>
      </c>
      <c r="PP14" s="949">
        <v>0.88608220999999998</v>
      </c>
      <c r="PQ14" s="949">
        <v>0.88608220999999998</v>
      </c>
      <c r="PR14" s="949">
        <v>0.88608220999999998</v>
      </c>
      <c r="PS14" s="949">
        <v>0.85398220999999996</v>
      </c>
      <c r="PT14" s="949">
        <v>0.85398220999999996</v>
      </c>
      <c r="PU14" s="949">
        <v>0.70883428000000004</v>
      </c>
      <c r="PV14" s="949">
        <v>0.70883428000000004</v>
      </c>
      <c r="PW14" s="949">
        <v>0.70883428000000004</v>
      </c>
      <c r="PX14" s="949">
        <v>0.70883428000000004</v>
      </c>
      <c r="PY14" s="949">
        <v>0.70883428000000004</v>
      </c>
      <c r="PZ14" s="949">
        <v>0.70883428000000004</v>
      </c>
      <c r="QA14" s="949">
        <v>0.70883428000000004</v>
      </c>
      <c r="QB14" s="949">
        <v>0.70883428000000004</v>
      </c>
      <c r="QC14" s="949">
        <v>0.70883428000000004</v>
      </c>
      <c r="QD14" s="949">
        <v>0.70883428000000004</v>
      </c>
      <c r="QE14" s="949">
        <v>0.56635137999999996</v>
      </c>
      <c r="QF14" s="949">
        <v>0.56635137999999996</v>
      </c>
      <c r="QG14" s="949">
        <v>0.56635137999999996</v>
      </c>
      <c r="QH14" s="949">
        <v>0.56635137999999996</v>
      </c>
      <c r="QI14" s="949">
        <v>1.6514453500000001</v>
      </c>
      <c r="QJ14" s="949">
        <v>1.6514453500000001</v>
      </c>
      <c r="QK14" s="949">
        <v>1.6193453500000001</v>
      </c>
      <c r="QL14" s="949">
        <v>1.6193453500000001</v>
      </c>
      <c r="QM14" s="949">
        <v>1.6193453500000001</v>
      </c>
      <c r="QN14" s="949">
        <v>1.5078097399999999</v>
      </c>
      <c r="QO14" s="949">
        <v>1.5078097399999999</v>
      </c>
      <c r="QP14" s="949">
        <v>1.5078097399999999</v>
      </c>
      <c r="QQ14" s="949">
        <v>1.5078097399999999</v>
      </c>
      <c r="QR14" s="949">
        <v>1.5078097399999999</v>
      </c>
      <c r="QS14" s="949">
        <v>1.5078097399999999</v>
      </c>
      <c r="QT14" s="949">
        <v>1.5078097399999999</v>
      </c>
      <c r="QU14" s="949">
        <v>1.5078097399999999</v>
      </c>
      <c r="QV14" s="949">
        <v>1.5078097399999999</v>
      </c>
      <c r="QW14" s="949">
        <v>1.5078097399999999</v>
      </c>
      <c r="QX14" s="949">
        <v>1.5078097399999999</v>
      </c>
      <c r="QY14" s="949">
        <v>29.477024979999999</v>
      </c>
      <c r="QZ14" s="949">
        <v>29.477024979999999</v>
      </c>
      <c r="RA14" s="949">
        <v>29.518795469999997</v>
      </c>
      <c r="RB14" s="949">
        <v>29.518795469999997</v>
      </c>
      <c r="RC14" s="949">
        <v>29.518795469999997</v>
      </c>
      <c r="RD14" s="949">
        <v>29.518795469999997</v>
      </c>
      <c r="RE14" s="949">
        <v>1.56265345</v>
      </c>
      <c r="RF14" s="949">
        <v>1.56265345</v>
      </c>
      <c r="RG14" s="949">
        <v>1.56265345</v>
      </c>
      <c r="RH14" s="949">
        <v>1.5501373500000002</v>
      </c>
      <c r="RI14" s="949">
        <v>1.4305013899999999</v>
      </c>
      <c r="RJ14" s="949">
        <v>1.4305013899999999</v>
      </c>
      <c r="RK14" s="949">
        <v>1.4305013899999999</v>
      </c>
      <c r="RL14" s="949">
        <v>1.4305013899999999</v>
      </c>
      <c r="RM14" s="949">
        <v>1.3804933899999998</v>
      </c>
      <c r="RN14" s="949">
        <v>1.3804933899999998</v>
      </c>
      <c r="RO14" s="949">
        <v>1.3804933899999998</v>
      </c>
      <c r="RP14" s="949">
        <v>1.3804933899999998</v>
      </c>
      <c r="RQ14" s="949">
        <v>1.3804933899999998</v>
      </c>
      <c r="RR14" s="949">
        <v>1.3804933899999998</v>
      </c>
      <c r="RS14" s="949">
        <v>1.30360276</v>
      </c>
      <c r="RT14" s="949">
        <v>1.30360276</v>
      </c>
      <c r="RU14" s="949">
        <v>1.30360276</v>
      </c>
      <c r="RV14" s="949">
        <v>1.30360276</v>
      </c>
      <c r="RW14" s="949">
        <v>1.30360276</v>
      </c>
      <c r="RX14" s="949">
        <v>1.30360276</v>
      </c>
      <c r="RY14" s="949">
        <v>1.9760974099999999</v>
      </c>
      <c r="RZ14" s="949">
        <v>1.9760974099999999</v>
      </c>
      <c r="SA14" s="949">
        <v>1.8456471200000002</v>
      </c>
      <c r="SB14" s="949">
        <v>1.7283008999999998</v>
      </c>
      <c r="SC14" s="949">
        <v>1.7283008999999998</v>
      </c>
      <c r="SD14" s="949">
        <v>1.7283008999999998</v>
      </c>
      <c r="SE14" s="949">
        <v>1.69176902</v>
      </c>
      <c r="SF14" s="949">
        <v>1.69176902</v>
      </c>
      <c r="SG14" s="949">
        <v>1.69176902</v>
      </c>
      <c r="SH14" s="949">
        <v>1.69176902</v>
      </c>
      <c r="SI14" s="949">
        <v>69.716207949999998</v>
      </c>
      <c r="SJ14" s="949">
        <v>69.716207949999998</v>
      </c>
      <c r="SK14" s="949">
        <v>69.728785889999997</v>
      </c>
      <c r="SL14" s="949">
        <v>69.728785889999997</v>
      </c>
      <c r="SM14" s="949">
        <v>69.777663750000002</v>
      </c>
      <c r="SN14" s="949">
        <v>69.777663750000002</v>
      </c>
      <c r="SO14" s="949">
        <v>69.777663750000002</v>
      </c>
      <c r="SP14" s="949">
        <v>255.24849099000002</v>
      </c>
      <c r="SQ14" s="949">
        <v>255.24849099000002</v>
      </c>
      <c r="SR14" s="949">
        <v>255.24849099000002</v>
      </c>
      <c r="SS14" s="949">
        <v>255.24849099000002</v>
      </c>
      <c r="ST14" s="949">
        <v>255.24849099000002</v>
      </c>
      <c r="SU14" s="949">
        <v>255.24639099000001</v>
      </c>
      <c r="SV14" s="949">
        <v>255.24639099000001</v>
      </c>
      <c r="SW14" s="949">
        <v>255.24639099000001</v>
      </c>
      <c r="SX14" s="949">
        <v>255.06361552999999</v>
      </c>
      <c r="SY14" s="949">
        <v>255.06361552999999</v>
      </c>
      <c r="SZ14" s="949">
        <v>255.06361552999999</v>
      </c>
      <c r="TA14" s="949">
        <v>315.06356472000004</v>
      </c>
      <c r="TB14" s="949">
        <v>315.06356472000004</v>
      </c>
      <c r="TC14" s="949">
        <v>315.06356472000004</v>
      </c>
      <c r="TD14" s="949">
        <v>315.06356472000004</v>
      </c>
      <c r="TE14" s="949">
        <v>515.27273412</v>
      </c>
      <c r="TF14" s="949">
        <v>229.24006827000002</v>
      </c>
      <c r="TG14" s="949">
        <v>201.45875419999999</v>
      </c>
      <c r="TH14" s="949">
        <v>202.49870195</v>
      </c>
      <c r="TI14" s="949">
        <v>202.51669894999998</v>
      </c>
      <c r="TJ14" s="949">
        <v>202.54096387000001</v>
      </c>
      <c r="TK14" s="949">
        <v>202.54340261000002</v>
      </c>
      <c r="TL14" s="949">
        <v>203.80750341999999</v>
      </c>
      <c r="TM14" s="949">
        <v>89.451381189999992</v>
      </c>
      <c r="TN14" s="949">
        <v>89.549208239999999</v>
      </c>
      <c r="TO14" s="949">
        <v>89.54710824</v>
      </c>
      <c r="TP14" s="949">
        <v>89.410463469999996</v>
      </c>
      <c r="TQ14" s="949">
        <v>89.410463469999996</v>
      </c>
      <c r="TR14" s="949">
        <v>89.254792440000003</v>
      </c>
      <c r="TS14" s="949">
        <v>89.254792440000003</v>
      </c>
      <c r="TT14" s="949">
        <v>90.085284239999993</v>
      </c>
      <c r="TU14" s="949">
        <v>2.6599386600000003</v>
      </c>
      <c r="TV14" s="949">
        <v>2.6599386600000003</v>
      </c>
      <c r="TW14" s="949">
        <v>2.5189979500000002</v>
      </c>
      <c r="TX14" s="949">
        <v>2.5189979500000002</v>
      </c>
      <c r="TY14" s="949">
        <v>2.5189979500000002</v>
      </c>
      <c r="TZ14" s="949">
        <v>2.4037964300000003</v>
      </c>
      <c r="UA14" s="949">
        <v>2.37135943</v>
      </c>
      <c r="UB14" s="949">
        <v>2.3708274500000002</v>
      </c>
      <c r="UC14" s="949">
        <v>2.3708274500000002</v>
      </c>
      <c r="UD14" s="949">
        <v>2.3708274500000002</v>
      </c>
      <c r="UE14" s="949">
        <v>256.32021936000001</v>
      </c>
      <c r="UF14" s="949">
        <v>36.926665649999997</v>
      </c>
      <c r="UG14" s="949">
        <v>36.926665649999997</v>
      </c>
      <c r="UH14" s="949">
        <v>8.857953779999999</v>
      </c>
      <c r="UI14" s="949">
        <v>8.8558537799999986</v>
      </c>
      <c r="UJ14" s="949">
        <v>8.6982413800000007</v>
      </c>
      <c r="UK14" s="949">
        <v>8.6982413800000007</v>
      </c>
      <c r="UL14" s="949">
        <v>8.6976898900000013</v>
      </c>
      <c r="UM14" s="949">
        <v>8.6976898900000013</v>
      </c>
      <c r="UN14" s="949">
        <v>8.5834622899999999</v>
      </c>
      <c r="UO14" s="949">
        <v>22.60873011</v>
      </c>
      <c r="UP14" s="949">
        <v>204.30961747999999</v>
      </c>
      <c r="UQ14" s="949">
        <v>204.75537456000001</v>
      </c>
      <c r="UR14" s="949">
        <v>204.97542886000002</v>
      </c>
      <c r="US14" s="949">
        <v>205.08706574999999</v>
      </c>
      <c r="UT14" s="949">
        <v>205.15175234999998</v>
      </c>
      <c r="UU14" s="949">
        <v>205.56087825999998</v>
      </c>
      <c r="UV14" s="949">
        <v>206.01557006000002</v>
      </c>
      <c r="UW14" s="949">
        <v>206.12898809000001</v>
      </c>
      <c r="UX14" s="949">
        <v>206.24240612</v>
      </c>
      <c r="UY14" s="949">
        <v>206.47059888999999</v>
      </c>
      <c r="UZ14" s="949">
        <v>206.93511037000002</v>
      </c>
      <c r="VA14" s="949">
        <v>206.93511037000002</v>
      </c>
      <c r="VB14" s="949">
        <v>154.89931696000002</v>
      </c>
      <c r="VC14" s="949">
        <v>154.90689773</v>
      </c>
      <c r="VD14" s="949">
        <v>155.42188480999999</v>
      </c>
      <c r="VE14" s="949">
        <v>155.42188480999999</v>
      </c>
      <c r="VF14" s="949">
        <v>155.39188480999999</v>
      </c>
      <c r="VG14" s="949">
        <v>156.04887216</v>
      </c>
      <c r="VH14" s="949">
        <v>156.04832543999999</v>
      </c>
      <c r="VI14" s="949">
        <v>156.58365330999999</v>
      </c>
      <c r="VJ14" s="949">
        <v>156.47016722000001</v>
      </c>
      <c r="VK14" s="949">
        <v>175.88987078</v>
      </c>
      <c r="VL14" s="949">
        <v>170.74708419000001</v>
      </c>
      <c r="VM14" s="949">
        <v>71.895414560000006</v>
      </c>
      <c r="VN14" s="949">
        <v>72.038022780000006</v>
      </c>
      <c r="VO14" s="949">
        <v>72.00752365999999</v>
      </c>
      <c r="VP14" s="949">
        <v>72.00752365999999</v>
      </c>
      <c r="VQ14" s="949">
        <v>72.189862810000008</v>
      </c>
      <c r="VR14" s="949">
        <v>3.6666547</v>
      </c>
      <c r="VS14" s="949">
        <v>3.6100799399999999</v>
      </c>
      <c r="VT14" s="949">
        <v>3.57677194</v>
      </c>
      <c r="VU14" s="949">
        <v>3.57677194</v>
      </c>
      <c r="VV14" s="949">
        <v>0.68428317000000005</v>
      </c>
      <c r="VW14" s="949">
        <v>0.68428317000000005</v>
      </c>
      <c r="VX14" s="949">
        <v>0.68428317000000005</v>
      </c>
      <c r="VY14" s="949">
        <v>0.67743189999999998</v>
      </c>
      <c r="VZ14" s="949">
        <v>0.67743189999999998</v>
      </c>
      <c r="WA14" s="949">
        <v>0.55849015000000002</v>
      </c>
      <c r="WB14" s="949">
        <v>4.6693337699999997</v>
      </c>
      <c r="WC14" s="949">
        <v>4.6693337699999997</v>
      </c>
      <c r="WD14" s="949">
        <v>3.2610786099999998</v>
      </c>
      <c r="WE14" s="949">
        <v>3.1121368599999997</v>
      </c>
      <c r="WF14" s="949">
        <v>3.1121368599999997</v>
      </c>
      <c r="WG14" s="949">
        <v>3.1115803099999999</v>
      </c>
      <c r="WH14" s="949">
        <v>3.1115803099999999</v>
      </c>
      <c r="WI14" s="949">
        <v>3.1115803099999999</v>
      </c>
      <c r="WJ14" s="949">
        <v>2.9805204000000001</v>
      </c>
      <c r="WK14" s="949">
        <v>2.91434975</v>
      </c>
      <c r="WL14" s="949">
        <v>2.91434975</v>
      </c>
      <c r="WM14" s="949">
        <v>82.91434975</v>
      </c>
      <c r="WN14" s="949">
        <v>102.86776151000001</v>
      </c>
      <c r="WO14" s="949">
        <v>2.8344455099999997</v>
      </c>
      <c r="WP14" s="949">
        <v>2.70757044</v>
      </c>
      <c r="WQ14" s="949">
        <v>2.70757044</v>
      </c>
      <c r="WR14" s="949">
        <v>2.65756244</v>
      </c>
      <c r="WS14" s="949">
        <v>2.4245793199999999</v>
      </c>
      <c r="WT14" s="949">
        <v>2.4245793199999999</v>
      </c>
      <c r="WU14" s="949">
        <v>2.4245793199999999</v>
      </c>
      <c r="WV14" s="949">
        <v>2.94442468</v>
      </c>
      <c r="WW14" s="949">
        <v>2.94442468</v>
      </c>
      <c r="WX14" s="949">
        <v>2.83845188</v>
      </c>
      <c r="WY14" s="949">
        <v>2.8051438799999997</v>
      </c>
      <c r="WZ14" s="949">
        <v>2.8051438799999997</v>
      </c>
      <c r="XA14" s="949">
        <v>2.7455274599999999</v>
      </c>
      <c r="XB14" s="949">
        <v>2.7455274599999999</v>
      </c>
      <c r="XC14" s="949">
        <v>2.7455274599999999</v>
      </c>
      <c r="XD14" s="949">
        <v>2.7455274599999999</v>
      </c>
      <c r="XE14" s="949">
        <v>2.7448481499999997</v>
      </c>
      <c r="XF14" s="949">
        <v>2.63431419</v>
      </c>
      <c r="XG14" s="949">
        <v>2.2973501000000001</v>
      </c>
      <c r="XH14" s="949">
        <v>2.2973501000000001</v>
      </c>
      <c r="XI14" s="949">
        <v>2.1842364300000003</v>
      </c>
      <c r="XJ14" s="949">
        <v>2.1842364300000003</v>
      </c>
      <c r="XK14" s="949">
        <v>2.1842364300000003</v>
      </c>
      <c r="XL14" s="949">
        <v>2.0529978500000001</v>
      </c>
      <c r="XM14" s="949">
        <v>2.0524412999999999</v>
      </c>
      <c r="XN14" s="949">
        <v>2.0524412999999999</v>
      </c>
      <c r="XO14" s="949">
        <v>1.92940172</v>
      </c>
      <c r="XP14" s="949">
        <v>1.83034283</v>
      </c>
      <c r="XQ14" s="949">
        <v>15.11698883</v>
      </c>
      <c r="XR14" s="949">
        <v>15.083243830000001</v>
      </c>
      <c r="XS14" s="949">
        <v>5.08113583</v>
      </c>
      <c r="XT14" s="949">
        <v>5.0154407800000005</v>
      </c>
      <c r="XU14" s="949">
        <v>5.0154407800000005</v>
      </c>
      <c r="XV14" s="949">
        <v>5.0154407800000005</v>
      </c>
      <c r="XW14" s="949">
        <v>5.0154407800000005</v>
      </c>
      <c r="XX14" s="949">
        <v>5.0154407800000005</v>
      </c>
      <c r="XY14" s="949">
        <v>4.8140921600000004</v>
      </c>
      <c r="XZ14" s="949">
        <v>4.8134295099999997</v>
      </c>
      <c r="YA14" s="949">
        <v>4.7369593499999993</v>
      </c>
      <c r="YB14" s="949">
        <v>4.7369593499999993</v>
      </c>
      <c r="YC14" s="949">
        <v>2.4416027300000001</v>
      </c>
      <c r="YD14" s="949">
        <v>2.3192784799999999</v>
      </c>
      <c r="YE14" s="949">
        <v>2.3192784799999999</v>
      </c>
      <c r="YF14" s="949">
        <v>2.2892784800000001</v>
      </c>
      <c r="YG14" s="949">
        <v>2.24127075</v>
      </c>
      <c r="YH14" s="949">
        <v>2.24127075</v>
      </c>
    </row>
    <row r="15" spans="2:658">
      <c r="B15" s="917" t="s">
        <v>29</v>
      </c>
      <c r="C15" s="918">
        <v>2.9915869100000001</v>
      </c>
      <c r="D15" s="130">
        <v>2.9895869099999999</v>
      </c>
      <c r="E15" s="130">
        <v>2.9416684000000002</v>
      </c>
      <c r="F15" s="130">
        <v>2.9413684</v>
      </c>
      <c r="G15" s="130">
        <v>2.9413684</v>
      </c>
      <c r="H15" s="130">
        <v>2.9413684</v>
      </c>
      <c r="I15" s="130">
        <v>2.9413684</v>
      </c>
      <c r="J15" s="130">
        <v>2.7125773999999998</v>
      </c>
      <c r="K15" s="130">
        <v>2.7125773999999998</v>
      </c>
      <c r="L15" s="130">
        <v>2.7125773999999998</v>
      </c>
      <c r="M15" s="130">
        <v>2.7125773999999998</v>
      </c>
      <c r="N15" s="130">
        <v>2.6675694000000001</v>
      </c>
      <c r="O15" s="130">
        <v>2.6675694000000001</v>
      </c>
      <c r="P15" s="130">
        <v>2.6675694000000001</v>
      </c>
      <c r="Q15" s="130">
        <v>2.6675690799999998</v>
      </c>
      <c r="R15" s="130">
        <v>2.66406908</v>
      </c>
      <c r="S15" s="130">
        <v>2.66406908</v>
      </c>
      <c r="T15" s="130">
        <v>2.66406908</v>
      </c>
      <c r="U15" s="130">
        <v>2.6620330800000001</v>
      </c>
      <c r="V15" s="130">
        <v>3.05985708</v>
      </c>
      <c r="W15" s="130">
        <v>3.05985708</v>
      </c>
      <c r="X15" s="130">
        <v>3.0255900699999998</v>
      </c>
      <c r="Y15" s="130">
        <v>3.0255900699999998</v>
      </c>
      <c r="Z15" s="130">
        <v>3.0215900699999998</v>
      </c>
      <c r="AA15" s="130">
        <v>3.0215900699999998</v>
      </c>
      <c r="AB15" s="130">
        <v>2.8351393800000002</v>
      </c>
      <c r="AC15" s="130">
        <v>2.8351393800000002</v>
      </c>
      <c r="AD15" s="130">
        <v>2.8351393800000002</v>
      </c>
      <c r="AE15" s="130">
        <v>2.8351393800000002</v>
      </c>
      <c r="AF15" s="130">
        <v>2.8345393799999998</v>
      </c>
      <c r="AG15" s="130">
        <v>2.8345393799999998</v>
      </c>
      <c r="AH15" s="130">
        <v>2.8345393799999998</v>
      </c>
      <c r="AI15" s="130">
        <v>2.8345393799999998</v>
      </c>
      <c r="AJ15" s="130">
        <v>2.8345393799999998</v>
      </c>
      <c r="AK15" s="130">
        <v>2.8345393799999998</v>
      </c>
      <c r="AL15" s="130">
        <v>2.8345233799999998</v>
      </c>
      <c r="AM15" s="130">
        <v>2.83251338</v>
      </c>
      <c r="AN15" s="130">
        <v>2.83251338</v>
      </c>
      <c r="AO15" s="130">
        <v>2.83251338</v>
      </c>
      <c r="AP15" s="130">
        <v>2.83251338</v>
      </c>
      <c r="AQ15" s="130">
        <v>3.0667213800000002</v>
      </c>
      <c r="AR15" s="130">
        <v>3.0647213799999999</v>
      </c>
      <c r="AS15" s="130">
        <v>3.0647213799999999</v>
      </c>
      <c r="AT15" s="130">
        <v>3.05802138</v>
      </c>
      <c r="AU15" s="130">
        <v>3.05802138</v>
      </c>
      <c r="AV15" s="130">
        <v>3.1822341380000001</v>
      </c>
      <c r="AW15" s="130">
        <f>3.44341338+268.3281</f>
        <v>271.77151337999999</v>
      </c>
      <c r="AX15" s="130">
        <f>3.56151738+268.3281</f>
        <v>271.88961738</v>
      </c>
      <c r="AY15" s="130">
        <f>3.36294539+268.3281</f>
        <v>271.69104539</v>
      </c>
      <c r="AZ15" s="130">
        <f>3.36294539+268.3281</f>
        <v>271.69104539</v>
      </c>
      <c r="BA15" s="130">
        <f>3.36294539+268.3281</f>
        <v>271.69104539</v>
      </c>
      <c r="BB15" s="130">
        <v>271.69104539</v>
      </c>
      <c r="BC15" s="130">
        <f>3.36294539+268.3281</f>
        <v>271.69104539</v>
      </c>
      <c r="BD15" s="130">
        <f>3.36294539+268.3281</f>
        <v>271.69104539</v>
      </c>
      <c r="BE15" s="130">
        <v>3.2788281600000002</v>
      </c>
      <c r="BF15" s="130">
        <v>4.0491533500000001</v>
      </c>
      <c r="BG15" s="130">
        <v>199.56953206</v>
      </c>
      <c r="BH15" s="130">
        <v>4.0471270600000002</v>
      </c>
      <c r="BI15" s="130">
        <v>4.0471270600000002</v>
      </c>
      <c r="BJ15" s="130">
        <v>4.0471270600000002</v>
      </c>
      <c r="BK15" s="130">
        <v>4.0985619499999997</v>
      </c>
      <c r="BL15" s="130">
        <v>4.3757683800000002</v>
      </c>
      <c r="BM15" s="130">
        <v>4.3737683799999996</v>
      </c>
      <c r="BN15" s="130">
        <v>4.3117683800000002</v>
      </c>
      <c r="BO15" s="130">
        <v>4.3117683800000002</v>
      </c>
      <c r="BP15" s="130">
        <v>4.3100813799999997</v>
      </c>
      <c r="BQ15" s="130">
        <v>4.3100813799999997</v>
      </c>
      <c r="BR15" s="130">
        <v>4.1576824200000004</v>
      </c>
      <c r="BS15" s="130">
        <v>4.1576824200000004</v>
      </c>
      <c r="BT15" s="130">
        <v>4.1576824200000004</v>
      </c>
      <c r="BU15" s="130">
        <v>4.1576824200000004</v>
      </c>
      <c r="BV15" s="130">
        <v>4.1576824200000004</v>
      </c>
      <c r="BW15" s="130">
        <v>4.1576824200000004</v>
      </c>
      <c r="BX15" s="130">
        <v>4.1576824200000004</v>
      </c>
      <c r="BY15" s="130">
        <v>4.0940834199999996</v>
      </c>
      <c r="BZ15" s="130">
        <v>4.0940834199999996</v>
      </c>
      <c r="CA15" s="130">
        <v>4.0940834199999996</v>
      </c>
      <c r="CB15" s="130">
        <v>4.0940834199999996</v>
      </c>
      <c r="CC15" s="130">
        <v>4.0920624200000004</v>
      </c>
      <c r="CD15" s="130">
        <v>4.0920624200000004</v>
      </c>
      <c r="CE15" s="130">
        <v>4.0920624200000004</v>
      </c>
      <c r="CF15" s="130">
        <v>4.0920624200000004</v>
      </c>
      <c r="CG15" s="130">
        <v>4.0920624200000004</v>
      </c>
      <c r="CH15" s="130">
        <v>4.0820624199999997</v>
      </c>
      <c r="CI15" s="130">
        <v>4.0520624200000004</v>
      </c>
      <c r="CJ15" s="130">
        <v>4.0520624200000004</v>
      </c>
      <c r="CK15" s="130">
        <v>4.0520624200000004</v>
      </c>
      <c r="CL15" s="130">
        <f>0.43168895+263</f>
        <v>263.43168895000002</v>
      </c>
      <c r="CM15" s="130">
        <f>0.43168895+263</f>
        <v>263.43168895000002</v>
      </c>
      <c r="CN15" s="130">
        <f>20.43168895+263</f>
        <v>283.43168895000002</v>
      </c>
      <c r="CO15" s="130">
        <f>263+20+0.27142424</f>
        <v>283.27142423999999</v>
      </c>
      <c r="CP15" s="130">
        <f>263+20+0.27142424</f>
        <v>283.27142423999999</v>
      </c>
      <c r="CQ15" s="130">
        <f>263+20+0.27142424</f>
        <v>283.27142423999999</v>
      </c>
      <c r="CR15" s="130">
        <f>0.73912552+283</f>
        <v>283.73912552000002</v>
      </c>
      <c r="CS15" s="130">
        <f>0.73149649+283</f>
        <v>283.73149648999998</v>
      </c>
      <c r="CT15" s="130">
        <f>0.66548949+283</f>
        <v>283.66548949000003</v>
      </c>
      <c r="CU15" s="130">
        <f>0.66548949+283</f>
        <v>283.66548949000003</v>
      </c>
      <c r="CV15" s="130">
        <f>0.66548949+283</f>
        <v>283.66548949000003</v>
      </c>
      <c r="CW15" s="130">
        <f>1.10060949+283</f>
        <v>284.10060949000001</v>
      </c>
      <c r="CX15" s="130">
        <f>1.10060949+283</f>
        <v>284.10060949000001</v>
      </c>
      <c r="CY15" s="130">
        <f>4.20865079+170+105</f>
        <v>279.20865078999998</v>
      </c>
      <c r="CZ15" s="130">
        <v>279.20865078999998</v>
      </c>
      <c r="DA15" s="130">
        <f>4.20865079+170+105</f>
        <v>279.20865078999998</v>
      </c>
      <c r="DB15" s="130">
        <f>4.20865079+170+105</f>
        <v>279.20865078999998</v>
      </c>
      <c r="DC15" s="130">
        <f>4.20865079+170+105</f>
        <v>279.20865078999998</v>
      </c>
      <c r="DD15" s="130">
        <f>4.20865079+170+105</f>
        <v>279.20865078999998</v>
      </c>
      <c r="DE15" s="130">
        <f>4.20665079+170+105</f>
        <v>279.20665079000003</v>
      </c>
      <c r="DF15" s="130">
        <f>4.20665079+170+105</f>
        <v>279.20665079000003</v>
      </c>
      <c r="DG15" s="130">
        <f>4.17665079+170+105</f>
        <v>279.17665079</v>
      </c>
      <c r="DH15" s="130">
        <f>170+105+578.56527558</f>
        <v>853.56527558000005</v>
      </c>
      <c r="DI15" s="130">
        <f>170+105+578.56527558</f>
        <v>853.56527558000005</v>
      </c>
      <c r="DJ15" s="130">
        <f>170+105+0.65724095+578.0075</f>
        <v>853.66474095000012</v>
      </c>
      <c r="DK15" s="130">
        <f>170+105+578+0.0075+0.50862191</f>
        <v>853.51612191000004</v>
      </c>
      <c r="DL15" s="130">
        <f>170+105+578+0.0075+0.51629294</f>
        <v>853.52379294000002</v>
      </c>
      <c r="DM15" s="130">
        <f>170+105+578+0.0075+0.51629294</f>
        <v>853.52379294000002</v>
      </c>
      <c r="DN15" s="130">
        <f>170+105+578+0.0075+0.51629294</f>
        <v>853.52379294000002</v>
      </c>
      <c r="DO15" s="130">
        <f>170+105+577+1.79001079+0.02694715</f>
        <v>853.81695793999995</v>
      </c>
      <c r="DP15" s="130">
        <f>170+105+577+1.79001079+0.02694715</f>
        <v>853.81695793999995</v>
      </c>
      <c r="DQ15" s="130">
        <f>170+105+0.10300553+0.02694715</f>
        <v>275.12995268000003</v>
      </c>
      <c r="DR15" s="130">
        <v>275.12995268000003</v>
      </c>
      <c r="DS15" s="130">
        <v>275.12995268000003</v>
      </c>
      <c r="DT15" s="130">
        <f>147.21321472+0.10300553</f>
        <v>147.31622024999999</v>
      </c>
      <c r="DU15" s="130">
        <f>0.14686572+147.10300553</f>
        <v>147.24987124999998</v>
      </c>
      <c r="DV15" s="130">
        <f>0.14686572+147.17851923</f>
        <v>147.32538495</v>
      </c>
      <c r="DW15" s="130">
        <f>0.14686572+147.17851923</f>
        <v>147.32538495</v>
      </c>
      <c r="DX15" s="130">
        <f>0.26496972+147.20453622</f>
        <v>147.46950594</v>
      </c>
      <c r="DY15" s="130">
        <f>0.95494572+138.00975266</f>
        <v>138.96469838000002</v>
      </c>
      <c r="DZ15" s="130">
        <f>0.95494572+138.03440362</f>
        <v>138.98934934000002</v>
      </c>
      <c r="EA15" s="130">
        <f>0.95294572+138.11226755</f>
        <v>139.06521327000002</v>
      </c>
      <c r="EB15" s="130">
        <f>0.92294572+138.11226755</f>
        <v>139.03521327000001</v>
      </c>
      <c r="EC15" s="130">
        <f>0.92294572+138.04400781</f>
        <v>138.96695353000001</v>
      </c>
      <c r="ED15" s="130">
        <f>0.92294572+138.07133274</f>
        <v>138.99427846</v>
      </c>
      <c r="EE15" s="130">
        <f>0.92294572+138.09791192</f>
        <v>139.02085764</v>
      </c>
      <c r="EF15" s="130">
        <f>0.75497205+138.17470041</f>
        <v>138.92967246000001</v>
      </c>
      <c r="EG15" s="130">
        <f>0.75497205+138.17470041</f>
        <v>138.92967246000001</v>
      </c>
      <c r="EH15" s="130">
        <f>0.75497205+138.17470041</f>
        <v>138.92967246000001</v>
      </c>
      <c r="EI15" s="130">
        <f>0.90497205+0.04968364+138</f>
        <v>138.95465569000001</v>
      </c>
      <c r="EJ15" s="130">
        <f>138.92969863+0.04968364</f>
        <v>138.97938227</v>
      </c>
      <c r="EK15" s="130">
        <f>138.92969863+0.04968364</f>
        <v>138.97938227</v>
      </c>
      <c r="EL15" s="130">
        <f>138.92969863+0.04968364</f>
        <v>138.97938227</v>
      </c>
      <c r="EM15" s="130">
        <f>138.92969863+0.04968364</f>
        <v>138.97938227</v>
      </c>
      <c r="EN15" s="130">
        <f>138.92969863+0.04968364</f>
        <v>138.97938227</v>
      </c>
      <c r="EO15" s="130">
        <v>42.763373289999997</v>
      </c>
      <c r="EP15" s="130">
        <f>42.76337329+0.04968364</f>
        <v>42.813056929999995</v>
      </c>
      <c r="EQ15" s="130">
        <f>42.76337329+0.04968364</f>
        <v>42.813056929999995</v>
      </c>
      <c r="ER15" s="130">
        <v>42.813056929999995</v>
      </c>
      <c r="ES15" s="130">
        <f>42.76337329+0.04968364</f>
        <v>42.813056929999995</v>
      </c>
      <c r="ET15" s="130">
        <f>42.76337329+0.04968364</f>
        <v>42.813056929999995</v>
      </c>
      <c r="EU15" s="130">
        <f>42.74142964+0.04968364*0</f>
        <v>42.74142964</v>
      </c>
      <c r="EV15" s="130">
        <f>42.73943+0.04888364</f>
        <v>42.788313639999998</v>
      </c>
      <c r="EW15" s="130">
        <f>42.73943+0.04888364</f>
        <v>42.788313639999998</v>
      </c>
      <c r="EX15" s="130">
        <f>42.73943+0.04888364</f>
        <v>42.788313639999998</v>
      </c>
      <c r="EY15" s="130">
        <v>42.788313639999998</v>
      </c>
      <c r="EZ15" s="130">
        <v>42.788313639999998</v>
      </c>
      <c r="FA15" s="130">
        <v>42.788313639999998</v>
      </c>
      <c r="FB15" s="130">
        <v>43</v>
      </c>
      <c r="FC15" s="130">
        <v>42.671466600000002</v>
      </c>
      <c r="FD15" s="130">
        <v>42.553955530000003</v>
      </c>
      <c r="FE15" s="130">
        <v>42.553955530000003</v>
      </c>
      <c r="FF15" s="130">
        <f>0.00707189+0.04688364+42.5</f>
        <v>42.553955530000003</v>
      </c>
      <c r="FG15" s="130">
        <f>42.62258296+0.04688364</f>
        <v>42.6694666</v>
      </c>
      <c r="FH15" s="130">
        <v>43</v>
      </c>
      <c r="FI15" s="130">
        <v>42.601633219999997</v>
      </c>
      <c r="FJ15" s="130">
        <f>42.55474958+0.04688364</f>
        <v>42.601633219999997</v>
      </c>
      <c r="FK15" s="130">
        <f>42.55474958+0.04688364</f>
        <v>42.601633219999997</v>
      </c>
      <c r="FL15" s="130">
        <f>36.98838839+0.04688364</f>
        <v>37.035272029999994</v>
      </c>
      <c r="FM15" s="130">
        <v>37</v>
      </c>
      <c r="FN15" s="130">
        <v>37.035272029999994</v>
      </c>
      <c r="FO15" s="130">
        <f>0.23221739+36.7</f>
        <v>36.932217390000005</v>
      </c>
      <c r="FP15" s="130">
        <f>0.23221739+36.7</f>
        <v>36.932217390000005</v>
      </c>
      <c r="FQ15" s="130">
        <f>0.20021739+36.7</f>
        <v>36.900217390000002</v>
      </c>
      <c r="FR15" s="130">
        <v>36.947101030000006</v>
      </c>
      <c r="FS15" s="130">
        <v>36.947101030000006</v>
      </c>
      <c r="FT15" s="130">
        <f>0.08365189+0.04688364+36.7</f>
        <v>36.830535530000006</v>
      </c>
      <c r="FU15" s="130">
        <f>0.08365189+0.04688364+36.7</f>
        <v>36.830535530000006</v>
      </c>
      <c r="FV15" s="130">
        <f>0.12417189+0.04688364+36.7</f>
        <v>36.87105553</v>
      </c>
      <c r="FW15" s="130">
        <f>0.09873189+0.04688364+36.7</f>
        <v>36.845615530000003</v>
      </c>
      <c r="FX15" s="130">
        <f>0.09873189+0.04688364+36.7</f>
        <v>36.845615530000003</v>
      </c>
      <c r="FY15" s="130">
        <v>37</v>
      </c>
      <c r="FZ15" s="130">
        <f>0.09169489+0.04688364+36.7</f>
        <v>36.838578529999999</v>
      </c>
      <c r="GA15" s="130">
        <f>0.09169489+0.04688364+36.7</f>
        <v>36.838578529999999</v>
      </c>
      <c r="GB15" s="130">
        <f>0.09169489+0.04688364+36.7</f>
        <v>36.838578529999999</v>
      </c>
      <c r="GC15" s="130">
        <f>0.09169489+0.04688364+36.7</f>
        <v>36.838578529999999</v>
      </c>
      <c r="GD15" s="130">
        <f>0.0385182+450.00687564+36.7</f>
        <v>486.74539383999996</v>
      </c>
      <c r="GE15" s="130">
        <f>64.82744953+450.00687564+36.7</f>
        <v>551.53432516999999</v>
      </c>
      <c r="GF15" s="130">
        <f>406.43703008+450.00687564</f>
        <v>856.44390571999998</v>
      </c>
      <c r="GG15" s="130">
        <f>42.78866618+0.17577975</f>
        <v>42.964445929999997</v>
      </c>
      <c r="GH15" s="130">
        <f>42.80937276+0.17577975</f>
        <v>42.985152509999999</v>
      </c>
      <c r="GI15" s="130">
        <v>42.902841190000004</v>
      </c>
      <c r="GJ15" s="130">
        <v>42.902841190000004</v>
      </c>
      <c r="GK15" s="130">
        <v>42.945684219999997</v>
      </c>
      <c r="GL15" s="130">
        <v>42.945684219999997</v>
      </c>
      <c r="GM15" s="130">
        <v>42.945684219999997</v>
      </c>
      <c r="GN15" s="130">
        <v>42.912233959999995</v>
      </c>
      <c r="GO15" s="130">
        <v>42.907775959999995</v>
      </c>
      <c r="GP15" s="130">
        <v>2.1156352099999998</v>
      </c>
      <c r="GQ15" s="130">
        <v>2.0970358600000001</v>
      </c>
      <c r="GR15" s="130">
        <v>2.0970358600000001</v>
      </c>
      <c r="GS15" s="130">
        <v>2.0970358600000001</v>
      </c>
      <c r="GT15" s="130">
        <v>2.0970358600000001</v>
      </c>
      <c r="GU15" s="130">
        <v>2.0629278600000003</v>
      </c>
      <c r="GV15" s="130">
        <v>1.9336661100000001</v>
      </c>
      <c r="GW15" s="130">
        <v>1.9336661100000001</v>
      </c>
      <c r="GX15" s="130">
        <v>0</v>
      </c>
      <c r="GY15" s="130">
        <v>1.9213834599999999</v>
      </c>
      <c r="GZ15" s="130">
        <v>1.9213834599999999</v>
      </c>
      <c r="HA15" s="130">
        <v>1.9213834599999999</v>
      </c>
      <c r="HB15" s="130">
        <v>1.9213834599999999</v>
      </c>
      <c r="HC15" s="130">
        <v>1.6965311200000002</v>
      </c>
      <c r="HD15" s="130">
        <v>0.95213285000000003</v>
      </c>
      <c r="HE15" s="130">
        <v>0.95213285000000003</v>
      </c>
      <c r="HF15" s="130">
        <v>0.95213285000000003</v>
      </c>
      <c r="HG15" s="130">
        <v>0.92003285000000001</v>
      </c>
      <c r="HH15" s="130">
        <v>0.92003285000000001</v>
      </c>
      <c r="HI15" s="130">
        <v>200.85096293000001</v>
      </c>
      <c r="HJ15" s="130">
        <v>200.85096293000001</v>
      </c>
      <c r="HK15" s="130">
        <v>200.85096293000001</v>
      </c>
      <c r="HL15" s="130">
        <v>200.85541293</v>
      </c>
      <c r="HM15" s="130">
        <v>200.85541293</v>
      </c>
      <c r="HN15" s="130">
        <v>200.85270493000002</v>
      </c>
      <c r="HO15" s="130">
        <v>200.76839978000001</v>
      </c>
      <c r="HP15" s="130">
        <v>200.76839978000001</v>
      </c>
      <c r="HQ15" s="130">
        <v>2.4154987599999997</v>
      </c>
      <c r="HR15" s="130">
        <v>2.4154987599999997</v>
      </c>
      <c r="HS15" s="130">
        <v>2.32558015</v>
      </c>
      <c r="HT15" s="949">
        <v>2.32558015</v>
      </c>
      <c r="HU15" s="949">
        <v>2.32558015</v>
      </c>
      <c r="HV15" s="949">
        <v>2.32558015</v>
      </c>
      <c r="HW15" s="949">
        <v>2.32558015</v>
      </c>
      <c r="HX15" s="949">
        <v>2.2913801499999997</v>
      </c>
      <c r="HY15" s="949">
        <v>2.2913801499999997</v>
      </c>
      <c r="HZ15" s="949">
        <v>2.1834152900000001</v>
      </c>
      <c r="IA15" s="949">
        <v>2.13840729</v>
      </c>
      <c r="IB15" s="949">
        <v>2.13840729</v>
      </c>
      <c r="IC15" s="949">
        <v>2.13840729</v>
      </c>
      <c r="ID15" s="949">
        <v>2.13840729</v>
      </c>
      <c r="IE15" s="949">
        <v>2.13840729</v>
      </c>
      <c r="IF15" s="949">
        <v>2.13840729</v>
      </c>
      <c r="IG15" s="949">
        <v>2.13840729</v>
      </c>
      <c r="IH15" s="949">
        <v>2.13840729</v>
      </c>
      <c r="II15" s="949">
        <v>2.13840729</v>
      </c>
      <c r="IJ15" s="949">
        <v>2.13840729</v>
      </c>
      <c r="IK15" s="949">
        <v>2.0418372900000001</v>
      </c>
      <c r="IL15" s="949">
        <v>2.0418372900000001</v>
      </c>
      <c r="IM15" s="949">
        <v>2.0418372900000001</v>
      </c>
      <c r="IN15" s="949">
        <v>2.04229232</v>
      </c>
      <c r="IO15" s="949">
        <v>1.9454923200000001</v>
      </c>
      <c r="IP15" s="949">
        <v>1.9454923200000001</v>
      </c>
      <c r="IQ15" s="949">
        <v>1.9433923200000001</v>
      </c>
      <c r="IR15" s="949">
        <v>1.9433923200000001</v>
      </c>
      <c r="IS15" s="949">
        <v>1.9433923200000001</v>
      </c>
      <c r="IT15" s="949">
        <v>1.84725732</v>
      </c>
      <c r="IU15" s="949">
        <v>1.8172573200000002</v>
      </c>
      <c r="IV15" s="949">
        <v>1.8172573200000002</v>
      </c>
      <c r="IW15" s="949">
        <v>1.8195333200000001</v>
      </c>
      <c r="IX15" s="949">
        <v>1.8195333200000001</v>
      </c>
      <c r="IY15" s="949">
        <v>1.8195333200000001</v>
      </c>
      <c r="IZ15" s="949">
        <v>1.8195333200000001</v>
      </c>
      <c r="JA15" s="949">
        <v>1.7466708200000001</v>
      </c>
      <c r="JB15" s="949">
        <v>1.7466708200000001</v>
      </c>
      <c r="JC15" s="949">
        <v>1.6758872199999999</v>
      </c>
      <c r="JD15" s="949">
        <v>1.6758872199999999</v>
      </c>
      <c r="JE15" s="949">
        <v>1.6758872199999999</v>
      </c>
      <c r="JF15" s="949">
        <v>1.6758872199999999</v>
      </c>
      <c r="JG15" s="949">
        <v>1.5745882199999999</v>
      </c>
      <c r="JH15" s="949">
        <v>1.5745882199999999</v>
      </c>
      <c r="JI15" s="949">
        <v>1.5745882199999999</v>
      </c>
      <c r="JJ15" s="949">
        <v>1.5571512199999999</v>
      </c>
      <c r="JK15" s="949">
        <v>1.5271512199999999</v>
      </c>
      <c r="JL15" s="949">
        <v>2.9449044500000001</v>
      </c>
      <c r="JM15" s="949">
        <v>2.8289337400000001</v>
      </c>
      <c r="JN15" s="949">
        <v>2.8289337400000001</v>
      </c>
      <c r="JO15" s="949">
        <v>2.8289337400000001</v>
      </c>
      <c r="JP15" s="949">
        <v>2.8289337400000001</v>
      </c>
      <c r="JQ15" s="949">
        <v>2.8289337400000001</v>
      </c>
      <c r="JR15" s="949">
        <v>2.8289337400000001</v>
      </c>
      <c r="JS15" s="949">
        <v>2.8289337400000001</v>
      </c>
      <c r="JT15" s="949">
        <v>602.82892574000005</v>
      </c>
      <c r="JU15" s="949">
        <v>602.82892574000005</v>
      </c>
      <c r="JV15" s="949">
        <v>602.82892574000005</v>
      </c>
      <c r="JW15" s="949">
        <v>602.7327699299999</v>
      </c>
      <c r="JX15" s="949">
        <v>602.7327699299999</v>
      </c>
      <c r="JY15" s="949">
        <v>27.334888320000001</v>
      </c>
      <c r="JZ15" s="949">
        <v>27.334888320000001</v>
      </c>
      <c r="KA15" s="949">
        <v>27.334888320000001</v>
      </c>
      <c r="KB15" s="949">
        <v>27.334888320000001</v>
      </c>
      <c r="KC15" s="949">
        <v>27.527895390000001</v>
      </c>
      <c r="KD15" s="949">
        <v>28.030292720000002</v>
      </c>
      <c r="KE15" s="949">
        <v>28.030292720000002</v>
      </c>
      <c r="KF15" s="949">
        <v>1.5271512199999999</v>
      </c>
      <c r="KG15" s="949">
        <v>28.023018749999999</v>
      </c>
      <c r="KH15" s="949">
        <v>28.023018749999999</v>
      </c>
      <c r="KI15" s="949">
        <v>27.929883530000001</v>
      </c>
      <c r="KJ15" s="949">
        <v>27.929883530000001</v>
      </c>
      <c r="KK15" s="949">
        <v>27.893804829999997</v>
      </c>
      <c r="KL15" s="949">
        <v>27.893804829999997</v>
      </c>
      <c r="KM15" s="949">
        <v>27.893804829999997</v>
      </c>
      <c r="KN15" s="949">
        <v>27.893804829999997</v>
      </c>
      <c r="KO15" s="949">
        <v>27.893004829999999</v>
      </c>
      <c r="KP15" s="949">
        <v>27.893004829999999</v>
      </c>
      <c r="KQ15" s="949">
        <v>27.893004829999999</v>
      </c>
      <c r="KR15" s="949">
        <v>27.893004829999999</v>
      </c>
      <c r="KS15" s="949">
        <v>27.885502860000003</v>
      </c>
      <c r="KT15" s="949">
        <v>27.885502860000003</v>
      </c>
      <c r="KU15" s="949">
        <v>4.3414200700000007</v>
      </c>
      <c r="KV15" s="949">
        <v>4.2457890700000007</v>
      </c>
      <c r="KW15" s="949">
        <v>4.2415890700000007</v>
      </c>
      <c r="KX15" s="949">
        <v>4.2115890700000005</v>
      </c>
      <c r="KY15" s="949">
        <v>4.2115890700000005</v>
      </c>
      <c r="KZ15" s="949">
        <v>4.1244620699999999</v>
      </c>
      <c r="LA15" s="949">
        <v>4.1244620699999999</v>
      </c>
      <c r="LB15" s="949">
        <v>4.1244620699999999</v>
      </c>
      <c r="LC15" s="949">
        <v>4.1244620699999999</v>
      </c>
      <c r="LD15" s="949">
        <v>4.1244620699999999</v>
      </c>
      <c r="LE15" s="949">
        <v>4.1244620699999999</v>
      </c>
      <c r="LF15" s="949">
        <v>4.1244620699999999</v>
      </c>
      <c r="LG15" s="949">
        <v>4.1244620699999999</v>
      </c>
      <c r="LH15" s="949">
        <v>4.1244620699999999</v>
      </c>
      <c r="LI15" s="949">
        <v>4.0386460899999994</v>
      </c>
      <c r="LJ15" s="949">
        <v>4.0386460899999994</v>
      </c>
      <c r="LK15" s="949">
        <v>4.0386460899999994</v>
      </c>
      <c r="LL15" s="949">
        <v>74.03864609</v>
      </c>
      <c r="LM15" s="949">
        <v>74.03864609</v>
      </c>
      <c r="LN15" s="949">
        <v>4.05723009</v>
      </c>
      <c r="LO15" s="949">
        <v>4.05723009</v>
      </c>
      <c r="LP15" s="949">
        <v>4.05723009</v>
      </c>
      <c r="LQ15" s="949">
        <v>3.9638750899999997</v>
      </c>
      <c r="LR15" s="949">
        <v>3.9638750899999997</v>
      </c>
      <c r="LS15" s="949">
        <v>3.9638750899999997</v>
      </c>
      <c r="LT15" s="949">
        <v>3.9296750899999999</v>
      </c>
      <c r="LU15" s="949">
        <v>3.9296750899999999</v>
      </c>
      <c r="LV15" s="949">
        <v>3.83520189</v>
      </c>
      <c r="LW15" s="949">
        <v>3.83520189</v>
      </c>
      <c r="LX15" s="949">
        <v>3.83520189</v>
      </c>
      <c r="LY15" s="949">
        <v>3.83520189</v>
      </c>
      <c r="LZ15" s="949">
        <v>3.83520189</v>
      </c>
      <c r="MA15" s="949">
        <v>3.83520189</v>
      </c>
      <c r="MB15" s="949">
        <v>3.83520189</v>
      </c>
      <c r="MC15" s="949">
        <v>3.83520189</v>
      </c>
      <c r="MD15" s="949">
        <v>3.83520189</v>
      </c>
      <c r="ME15" s="949">
        <v>3.83520189</v>
      </c>
      <c r="MF15" s="949">
        <v>3.83520189</v>
      </c>
      <c r="MG15" s="949">
        <v>3.83520189</v>
      </c>
      <c r="MH15" s="949">
        <v>26.74696415</v>
      </c>
      <c r="MI15" s="949">
        <v>26.74696415</v>
      </c>
      <c r="MJ15" s="949">
        <v>26.74696415</v>
      </c>
      <c r="MK15" s="949">
        <v>26.74696415</v>
      </c>
      <c r="ML15" s="949">
        <v>26.74696415</v>
      </c>
      <c r="MM15" s="949">
        <v>26.74696415</v>
      </c>
      <c r="MN15" s="949">
        <v>26.74696415</v>
      </c>
      <c r="MO15" s="949">
        <v>26.74696415</v>
      </c>
      <c r="MP15" s="949">
        <v>26.74696415</v>
      </c>
      <c r="MQ15" s="949">
        <v>14.570436239999999</v>
      </c>
      <c r="MR15" s="949">
        <v>14.570436239999999</v>
      </c>
      <c r="MS15" s="949">
        <v>14.46278807</v>
      </c>
      <c r="MT15" s="949">
        <v>14.462348070000001</v>
      </c>
      <c r="MU15" s="949">
        <v>14.462348070000001</v>
      </c>
      <c r="MV15" s="949">
        <v>14.462348070000001</v>
      </c>
      <c r="MW15" s="949">
        <v>14.462348070000001</v>
      </c>
      <c r="MX15" s="949">
        <v>14.462348070000001</v>
      </c>
      <c r="MY15" s="949">
        <v>14.462348070000001</v>
      </c>
      <c r="MZ15" s="949">
        <v>14.462348070000001</v>
      </c>
      <c r="NA15" s="949">
        <v>14.462348070000001</v>
      </c>
      <c r="NB15" s="949">
        <v>14.462348070000001</v>
      </c>
      <c r="NC15" s="949">
        <v>14.462348070000001</v>
      </c>
      <c r="ND15" s="949">
        <v>14.462348070000001</v>
      </c>
      <c r="NE15" s="949">
        <v>14.462348070000001</v>
      </c>
      <c r="NF15" s="949">
        <v>3.37764957</v>
      </c>
      <c r="NG15" s="949">
        <v>3.37764957</v>
      </c>
      <c r="NH15" s="949">
        <v>3.3776415699999998</v>
      </c>
      <c r="NI15" s="949">
        <v>3.3776415699999998</v>
      </c>
      <c r="NJ15" s="949">
        <v>3.3776415699999998</v>
      </c>
      <c r="NK15" s="949">
        <v>3.34554157</v>
      </c>
      <c r="NL15" s="949">
        <v>3.34554157</v>
      </c>
      <c r="NM15" s="949">
        <v>3.23564294</v>
      </c>
      <c r="NN15" s="949">
        <v>3.23564294</v>
      </c>
      <c r="NO15" s="949">
        <v>3.23564294</v>
      </c>
      <c r="NP15" s="949">
        <v>3.23564294</v>
      </c>
      <c r="NQ15" s="949">
        <v>3.23564294</v>
      </c>
      <c r="NR15" s="949">
        <v>3.2431604700000003</v>
      </c>
      <c r="NS15" s="949">
        <v>3.2431604700000003</v>
      </c>
      <c r="NT15" s="949">
        <v>3.2431604700000003</v>
      </c>
      <c r="NU15" s="949">
        <v>3.2431604700000003</v>
      </c>
      <c r="NV15" s="949">
        <v>3.1552083900000003</v>
      </c>
      <c r="NW15" s="949">
        <v>3.1552083900000003</v>
      </c>
      <c r="NX15" s="949">
        <v>3.1552083900000003</v>
      </c>
      <c r="NY15" s="949">
        <v>59.612129539999998</v>
      </c>
      <c r="NZ15" s="949">
        <v>3.22242425</v>
      </c>
      <c r="OA15" s="949">
        <v>3.22242425</v>
      </c>
      <c r="OB15" s="949">
        <v>3.22242425</v>
      </c>
      <c r="OC15" s="949">
        <v>3.1466379099999999</v>
      </c>
      <c r="OD15" s="949">
        <v>3.1466379099999999</v>
      </c>
      <c r="OE15" s="949">
        <v>3.1466379099999999</v>
      </c>
      <c r="OF15" s="949">
        <v>3.1466379099999999</v>
      </c>
      <c r="OG15" s="949">
        <v>3.1124379100000001</v>
      </c>
      <c r="OH15" s="949">
        <v>3.1124379100000001</v>
      </c>
      <c r="OI15" s="949">
        <v>4.1244620699999999</v>
      </c>
      <c r="OJ15" s="949">
        <v>3.0160654900000003</v>
      </c>
      <c r="OK15" s="949">
        <v>3.0160654900000003</v>
      </c>
      <c r="OL15" s="949">
        <v>3.0246139299999997</v>
      </c>
      <c r="OM15" s="949">
        <v>3.0246139299999997</v>
      </c>
      <c r="ON15" s="949">
        <v>3.0246139299999997</v>
      </c>
      <c r="OO15" s="949">
        <v>2.9529982300000004</v>
      </c>
      <c r="OP15" s="949">
        <v>2.9529982300000004</v>
      </c>
      <c r="OQ15" s="949">
        <v>2.9529982300000004</v>
      </c>
      <c r="OR15" s="949">
        <v>2.9529982300000004</v>
      </c>
      <c r="OS15" s="949">
        <v>2.8622112300000007</v>
      </c>
      <c r="OT15" s="949">
        <v>39.433798359999997</v>
      </c>
      <c r="OU15" s="949">
        <v>39.433798359999997</v>
      </c>
      <c r="OV15" s="949">
        <v>39.433798359999997</v>
      </c>
      <c r="OW15" s="949">
        <v>39.446970090000001</v>
      </c>
      <c r="OX15" s="949">
        <v>39.446970090000001</v>
      </c>
      <c r="OY15" s="949">
        <v>1.6554442899999999</v>
      </c>
      <c r="OZ15" s="949">
        <v>1.6554442899999999</v>
      </c>
      <c r="PA15" s="949">
        <v>1.6554442899999999</v>
      </c>
      <c r="PB15" s="949">
        <v>1.6379416599999999</v>
      </c>
      <c r="PC15" s="949">
        <v>1.6379416599999999</v>
      </c>
      <c r="PD15" s="949">
        <v>1.6379416599999999</v>
      </c>
      <c r="PE15" s="949">
        <v>1.6374878400000001</v>
      </c>
      <c r="PF15" s="949">
        <v>1.6359798400000001</v>
      </c>
      <c r="PG15" s="949">
        <v>1.6359798400000001</v>
      </c>
      <c r="PH15" s="949">
        <v>1.6359798400000001</v>
      </c>
      <c r="PI15" s="949">
        <v>1.5779015700000001</v>
      </c>
      <c r="PJ15" s="949">
        <v>1.5779015700000001</v>
      </c>
      <c r="PK15" s="949">
        <v>1.5779015700000001</v>
      </c>
      <c r="PL15" s="949">
        <v>1.5779015700000001</v>
      </c>
      <c r="PM15" s="949">
        <v>1.5779015700000001</v>
      </c>
      <c r="PN15" s="949">
        <v>0.64421432000000012</v>
      </c>
      <c r="PO15" s="949">
        <v>0.64421432000000012</v>
      </c>
      <c r="PP15" s="949">
        <v>0.64421432000000012</v>
      </c>
      <c r="PQ15" s="949">
        <v>0.64421432000000012</v>
      </c>
      <c r="PR15" s="949">
        <v>0.64421432000000012</v>
      </c>
      <c r="PS15" s="949">
        <v>0.6121143200000001</v>
      </c>
      <c r="PT15" s="949">
        <v>0.6121143200000001</v>
      </c>
      <c r="PU15" s="949">
        <v>0.46696639000000001</v>
      </c>
      <c r="PV15" s="949">
        <v>0.46696639000000001</v>
      </c>
      <c r="PW15" s="949">
        <v>0.46696639000000001</v>
      </c>
      <c r="PX15" s="949">
        <v>0.46696639000000001</v>
      </c>
      <c r="PY15" s="949">
        <v>0.46696639000000001</v>
      </c>
      <c r="PZ15" s="949">
        <v>200.46696639000001</v>
      </c>
      <c r="QA15" s="949">
        <v>200.46696639000001</v>
      </c>
      <c r="QB15" s="949">
        <v>50.568726349999999</v>
      </c>
      <c r="QC15" s="949">
        <v>50.622414870000007</v>
      </c>
      <c r="QD15" s="949">
        <v>50.622414870000007</v>
      </c>
      <c r="QE15" s="949">
        <v>50.515710660000003</v>
      </c>
      <c r="QF15" s="949">
        <v>50.515710660000003</v>
      </c>
      <c r="QG15" s="949">
        <v>50.515710660000003</v>
      </c>
      <c r="QH15" s="949">
        <v>50.515710660000003</v>
      </c>
      <c r="QI15" s="949">
        <v>141.02886330000001</v>
      </c>
      <c r="QJ15" s="949">
        <v>141.02886330000001</v>
      </c>
      <c r="QK15" s="949">
        <v>141.10924008000001</v>
      </c>
      <c r="QL15" s="949">
        <v>141.10924008000001</v>
      </c>
      <c r="QM15" s="949">
        <v>141.10924008000001</v>
      </c>
      <c r="QN15" s="949">
        <v>41.202713280000005</v>
      </c>
      <c r="QO15" s="949">
        <v>41.21773306</v>
      </c>
      <c r="QP15" s="949">
        <v>41.21773306</v>
      </c>
      <c r="QQ15" s="949">
        <v>41.293498630000002</v>
      </c>
      <c r="QR15" s="949">
        <v>41.293498630000002</v>
      </c>
      <c r="QS15" s="949">
        <v>41.308789609999998</v>
      </c>
      <c r="QT15" s="949">
        <v>41.308789609999998</v>
      </c>
      <c r="QU15" s="949">
        <v>41.308789609999998</v>
      </c>
      <c r="QV15" s="949">
        <v>41.308789609999998</v>
      </c>
      <c r="QW15" s="949">
        <v>41.308789609999998</v>
      </c>
      <c r="QX15" s="949">
        <v>41.308789609999998</v>
      </c>
      <c r="QY15" s="949">
        <v>35.513610210000003</v>
      </c>
      <c r="QZ15" s="949">
        <v>35.513610210000003</v>
      </c>
      <c r="RA15" s="949">
        <v>35.566356110000001</v>
      </c>
      <c r="RB15" s="949">
        <v>35.566356110000001</v>
      </c>
      <c r="RC15" s="949">
        <v>35.566356110000001</v>
      </c>
      <c r="RD15" s="949">
        <v>35.566356110000001</v>
      </c>
      <c r="RE15" s="949">
        <v>1.8270071399999999</v>
      </c>
      <c r="RF15" s="949">
        <v>1.8270071399999999</v>
      </c>
      <c r="RG15" s="949">
        <v>1.8270071399999999</v>
      </c>
      <c r="RH15" s="949">
        <v>1.8144910400000001</v>
      </c>
      <c r="RI15" s="949">
        <v>1.6948550800000002</v>
      </c>
      <c r="RJ15" s="949">
        <v>1.6948550800000002</v>
      </c>
      <c r="RK15" s="949">
        <v>1.6948550800000002</v>
      </c>
      <c r="RL15" s="949">
        <v>1.6948550800000002</v>
      </c>
      <c r="RM15" s="949">
        <v>1.6448470800000001</v>
      </c>
      <c r="RN15" s="949">
        <v>1.6448470800000001</v>
      </c>
      <c r="RO15" s="949">
        <v>1.6448470800000001</v>
      </c>
      <c r="RP15" s="949">
        <v>1.6448470800000001</v>
      </c>
      <c r="RQ15" s="949">
        <v>1.6448470800000001</v>
      </c>
      <c r="RR15" s="949">
        <v>1.6448470800000001</v>
      </c>
      <c r="RS15" s="949">
        <v>1.5679564500000001</v>
      </c>
      <c r="RT15" s="949">
        <v>1.5679564500000001</v>
      </c>
      <c r="RU15" s="949">
        <v>1.5679564500000001</v>
      </c>
      <c r="RV15" s="949">
        <v>1.5679564500000001</v>
      </c>
      <c r="RW15" s="949">
        <v>1.5679564500000001</v>
      </c>
      <c r="RX15" s="949">
        <v>1.5679564500000001</v>
      </c>
      <c r="RY15" s="949">
        <v>601.16258000999994</v>
      </c>
      <c r="RZ15" s="949">
        <v>601.16258000999994</v>
      </c>
      <c r="SA15" s="949">
        <v>5</v>
      </c>
      <c r="SB15" s="949">
        <v>5.01847069</v>
      </c>
      <c r="SC15" s="949">
        <v>5.01847069</v>
      </c>
      <c r="SD15" s="949">
        <v>5.01847069</v>
      </c>
      <c r="SE15" s="949">
        <v>5.0119388099999993</v>
      </c>
      <c r="SF15" s="949">
        <v>5.0119388099999993</v>
      </c>
      <c r="SG15" s="949">
        <v>4.9819388099999999</v>
      </c>
      <c r="SH15" s="949">
        <v>4.9819388099999999</v>
      </c>
      <c r="SI15" s="949">
        <v>73.007432659999992</v>
      </c>
      <c r="SJ15" s="949">
        <v>73.007432659999992</v>
      </c>
      <c r="SK15" s="949">
        <v>73.024245019999995</v>
      </c>
      <c r="SL15" s="949">
        <v>73.024245019999995</v>
      </c>
      <c r="SM15" s="949">
        <v>73.075232720000002</v>
      </c>
      <c r="SN15" s="949">
        <v>73.075232720000002</v>
      </c>
      <c r="SO15" s="949">
        <v>73.075232720000002</v>
      </c>
      <c r="SP15" s="949">
        <v>255.03377244000001</v>
      </c>
      <c r="SQ15" s="949">
        <v>255.03377244000001</v>
      </c>
      <c r="SR15" s="949">
        <v>255.03377244000001</v>
      </c>
      <c r="SS15" s="949">
        <v>254.93474993999999</v>
      </c>
      <c r="ST15" s="949">
        <v>254.93474993999999</v>
      </c>
      <c r="SU15" s="949">
        <v>254.93264994</v>
      </c>
      <c r="SV15" s="949">
        <v>254.93264994</v>
      </c>
      <c r="SW15" s="949">
        <v>254.93264994</v>
      </c>
      <c r="SX15" s="949">
        <v>254.74987447999999</v>
      </c>
      <c r="SY15" s="949">
        <v>254.74987447999999</v>
      </c>
      <c r="SZ15" s="949">
        <v>254.74987447999999</v>
      </c>
      <c r="TA15" s="949">
        <v>315.24982367000001</v>
      </c>
      <c r="TB15" s="949">
        <v>315.24982367000001</v>
      </c>
      <c r="TC15" s="949">
        <v>314.74982367000001</v>
      </c>
      <c r="TD15" s="949">
        <v>314.74982367000001</v>
      </c>
      <c r="TE15" s="949">
        <v>514.95777284999997</v>
      </c>
      <c r="TF15" s="949">
        <v>238.41239056000001</v>
      </c>
      <c r="TG15" s="949">
        <v>202.01348372999999</v>
      </c>
      <c r="TH15" s="949">
        <v>203.05540852000001</v>
      </c>
      <c r="TI15" s="949">
        <v>203.07393802999999</v>
      </c>
      <c r="TJ15" s="949">
        <v>203.09876076</v>
      </c>
      <c r="TK15" s="949">
        <v>203.10133917000002</v>
      </c>
      <c r="TL15" s="949">
        <v>204.36613272</v>
      </c>
      <c r="TM15" s="949">
        <v>190.03926225000001</v>
      </c>
      <c r="TN15" s="949">
        <v>190.27452134999999</v>
      </c>
      <c r="TO15" s="949">
        <v>190.27242135</v>
      </c>
      <c r="TP15" s="949">
        <v>190.13577658000003</v>
      </c>
      <c r="TQ15" s="949">
        <v>190.13577658000003</v>
      </c>
      <c r="TR15" s="949">
        <v>189.98010555000002</v>
      </c>
      <c r="TS15" s="949">
        <v>189.98010555000002</v>
      </c>
      <c r="TT15" s="949">
        <v>191.99387604</v>
      </c>
      <c r="TU15" s="949">
        <v>148.74123821999999</v>
      </c>
      <c r="TV15" s="949">
        <v>148.80795953000001</v>
      </c>
      <c r="TW15" s="949">
        <v>148.73396553999999</v>
      </c>
      <c r="TX15" s="949">
        <v>148.73396554000001</v>
      </c>
      <c r="TY15" s="949">
        <v>148.73396553999999</v>
      </c>
      <c r="TZ15" s="949">
        <v>148.61876402000001</v>
      </c>
      <c r="UA15" s="949">
        <v>148.58632702</v>
      </c>
      <c r="UB15" s="949">
        <v>148.58579503999999</v>
      </c>
      <c r="UC15" s="949">
        <v>148.58579503999999</v>
      </c>
      <c r="UD15" s="949">
        <v>148.58579503999999</v>
      </c>
      <c r="UE15" s="949">
        <v>388.22580897</v>
      </c>
      <c r="UF15" s="949">
        <v>65.850843639999994</v>
      </c>
      <c r="UG15" s="949">
        <v>65.840835639999995</v>
      </c>
      <c r="UH15" s="949">
        <v>24.824731889999999</v>
      </c>
      <c r="UI15" s="949">
        <v>24.83267287</v>
      </c>
      <c r="UJ15" s="949">
        <v>24.675060469999998</v>
      </c>
      <c r="UK15" s="949">
        <v>24.675060469999998</v>
      </c>
      <c r="UL15" s="949">
        <v>24.674508979999999</v>
      </c>
      <c r="UM15" s="949">
        <v>24.674508979999999</v>
      </c>
      <c r="UN15" s="949">
        <v>24.774654329999997</v>
      </c>
      <c r="UO15" s="949">
        <v>38.51126636</v>
      </c>
      <c r="UP15" s="949">
        <v>21.645185619999999</v>
      </c>
      <c r="UQ15" s="949">
        <v>21.594018390000002</v>
      </c>
      <c r="UR15" s="949">
        <v>21.61283499</v>
      </c>
      <c r="US15" s="949">
        <v>21.622847289999999</v>
      </c>
      <c r="UT15" s="949">
        <v>21.585805749999999</v>
      </c>
      <c r="UU15" s="949">
        <v>21.48054368</v>
      </c>
      <c r="UV15" s="949">
        <v>21.521292859999999</v>
      </c>
      <c r="UW15" s="949">
        <v>21.531458430000001</v>
      </c>
      <c r="UX15" s="949">
        <v>21.541623999999999</v>
      </c>
      <c r="UY15" s="949">
        <v>21.562006069999999</v>
      </c>
      <c r="UZ15" s="949">
        <v>21.603816809999998</v>
      </c>
      <c r="VA15" s="949">
        <v>21.603816809999998</v>
      </c>
      <c r="VB15" s="949">
        <v>64.645623520000001</v>
      </c>
      <c r="VC15" s="949">
        <v>64.599548339999998</v>
      </c>
      <c r="VD15" s="949">
        <v>64.786305909999996</v>
      </c>
      <c r="VE15" s="949">
        <v>64.786305909999996</v>
      </c>
      <c r="VF15" s="949">
        <v>64.756305909999995</v>
      </c>
      <c r="VG15" s="949">
        <v>64.924826400000001</v>
      </c>
      <c r="VH15" s="949">
        <v>64.924279679999998</v>
      </c>
      <c r="VI15" s="949">
        <v>65.124673119999997</v>
      </c>
      <c r="VJ15" s="949">
        <v>65.011187030000002</v>
      </c>
      <c r="VK15" s="949">
        <v>137.61074771</v>
      </c>
      <c r="VL15" s="949">
        <v>123.80466289</v>
      </c>
      <c r="VM15" s="949">
        <v>124.65871582999999</v>
      </c>
      <c r="VN15" s="949">
        <v>124.94902542</v>
      </c>
      <c r="VO15" s="949">
        <v>124.9185263</v>
      </c>
      <c r="VP15" s="949">
        <v>124.9185263</v>
      </c>
      <c r="VQ15" s="949">
        <v>125.35504696</v>
      </c>
      <c r="VR15" s="949">
        <v>103.98467869</v>
      </c>
      <c r="VS15" s="949">
        <v>104.21976311</v>
      </c>
      <c r="VT15" s="949">
        <v>104.21645511</v>
      </c>
      <c r="VU15" s="949">
        <v>104.56151921999999</v>
      </c>
      <c r="VV15" s="949">
        <v>101.71754798000001</v>
      </c>
      <c r="VW15" s="949">
        <v>101.71754798000001</v>
      </c>
      <c r="VX15" s="949">
        <v>2.0130071000000003</v>
      </c>
      <c r="VY15" s="949">
        <v>2.00615583</v>
      </c>
      <c r="VZ15" s="949">
        <v>2.00615583</v>
      </c>
      <c r="WA15" s="949">
        <v>1.8872140800000001</v>
      </c>
      <c r="WB15" s="949">
        <v>6.1330582300000005</v>
      </c>
      <c r="WC15" s="949">
        <v>6.1330582300000005</v>
      </c>
      <c r="WD15" s="949">
        <v>4.7227030700000006</v>
      </c>
      <c r="WE15" s="949">
        <v>4.57376132</v>
      </c>
      <c r="WF15" s="949">
        <v>4.57376132</v>
      </c>
      <c r="WG15" s="949">
        <v>4.5732047699999994</v>
      </c>
      <c r="WH15" s="949">
        <v>4.5732047699999994</v>
      </c>
      <c r="WI15" s="949">
        <v>4.5732047699999994</v>
      </c>
      <c r="WJ15" s="949">
        <v>4.44214486</v>
      </c>
      <c r="WK15" s="949">
        <v>2.8952237300000001</v>
      </c>
      <c r="WL15" s="949">
        <v>2.8952237300000001</v>
      </c>
      <c r="WM15" s="949">
        <v>2.8952237300000001</v>
      </c>
      <c r="WN15" s="949">
        <v>2.8104039300000001</v>
      </c>
      <c r="WO15" s="949">
        <v>2.8083039300000001</v>
      </c>
      <c r="WP15" s="949">
        <v>2.68142886</v>
      </c>
      <c r="WQ15" s="949">
        <v>2.68142886</v>
      </c>
      <c r="WR15" s="949">
        <v>2.5993208599999997</v>
      </c>
      <c r="WS15" s="949">
        <v>2.3663377400000001</v>
      </c>
      <c r="WT15" s="949">
        <v>2.3663377400000001</v>
      </c>
      <c r="WU15" s="949">
        <v>2.3663377400000001</v>
      </c>
      <c r="WV15" s="949">
        <v>2.6003930799999999</v>
      </c>
      <c r="WW15" s="949">
        <v>2.6003930799999999</v>
      </c>
      <c r="WX15" s="949">
        <v>2.4944202799999999</v>
      </c>
      <c r="WY15" s="949">
        <v>2.4590122799999996</v>
      </c>
      <c r="WZ15" s="949">
        <v>2.4590042799999998</v>
      </c>
      <c r="XA15" s="949">
        <v>2.39367186</v>
      </c>
      <c r="XB15" s="949">
        <v>2.3971757</v>
      </c>
      <c r="XC15" s="949">
        <v>2.3971757</v>
      </c>
      <c r="XD15" s="949">
        <v>2.3971757</v>
      </c>
      <c r="XE15" s="949">
        <v>2.4005599500000003</v>
      </c>
      <c r="XF15" s="949">
        <v>2.2900259900000002</v>
      </c>
      <c r="XG15" s="949">
        <v>5.3685447999999996</v>
      </c>
      <c r="XH15" s="949">
        <v>5.3685447999999996</v>
      </c>
      <c r="XI15" s="949">
        <v>5.2512311299999999</v>
      </c>
      <c r="XJ15" s="949">
        <v>5.2512311299999999</v>
      </c>
      <c r="XK15" s="949">
        <v>5.2512311299999999</v>
      </c>
      <c r="XL15" s="949">
        <v>5.1336959699999998</v>
      </c>
      <c r="XM15" s="949">
        <v>5.13313942</v>
      </c>
      <c r="XN15" s="949">
        <v>5.13313942</v>
      </c>
      <c r="XO15" s="949">
        <v>5.0265229900000001</v>
      </c>
      <c r="XP15" s="949">
        <v>4.9415178499999994</v>
      </c>
      <c r="XQ15" s="949">
        <v>6.9147919199999999</v>
      </c>
      <c r="XR15" s="949">
        <v>6.8810469200000002</v>
      </c>
      <c r="XS15" s="949">
        <v>6.8925940399999996</v>
      </c>
      <c r="XT15" s="949">
        <v>6.8268989900000001</v>
      </c>
      <c r="XU15" s="949">
        <v>6.8268989900000001</v>
      </c>
      <c r="XV15" s="949">
        <v>6.8268989900000001</v>
      </c>
      <c r="XW15" s="949">
        <v>6.84054611</v>
      </c>
      <c r="XX15" s="949">
        <v>6.84054611</v>
      </c>
      <c r="XY15" s="949">
        <v>6.6302298200000003</v>
      </c>
      <c r="XZ15" s="949">
        <v>6.6295671699999996</v>
      </c>
      <c r="YA15" s="949">
        <v>6.5617052300000003</v>
      </c>
      <c r="YB15" s="949">
        <v>6.5617052300000003</v>
      </c>
      <c r="YC15" s="949">
        <v>5.87676832</v>
      </c>
      <c r="YD15" s="949">
        <v>5.7544440699999999</v>
      </c>
      <c r="YE15" s="949">
        <v>5.7544440699999999</v>
      </c>
      <c r="YF15" s="949">
        <v>5.7223440700000001</v>
      </c>
      <c r="YG15" s="949">
        <v>5.6867522300000006</v>
      </c>
      <c r="YH15" s="949">
        <v>5.6867522300000006</v>
      </c>
    </row>
    <row r="16" spans="2:658">
      <c r="B16" s="917" t="s">
        <v>51</v>
      </c>
      <c r="C16" s="918">
        <v>767.54650617000004</v>
      </c>
      <c r="D16" s="130">
        <v>609.89822638999999</v>
      </c>
      <c r="E16" s="130">
        <v>649.68386471999997</v>
      </c>
      <c r="F16" s="130">
        <v>704.68642295999996</v>
      </c>
      <c r="G16" s="130">
        <v>721.90658427999995</v>
      </c>
      <c r="H16" s="130">
        <v>732.11154431</v>
      </c>
      <c r="I16" s="130">
        <v>774.28851841000005</v>
      </c>
      <c r="J16" s="130">
        <v>818.03387797999994</v>
      </c>
      <c r="K16" s="130">
        <v>861.38792235999995</v>
      </c>
      <c r="L16" s="130">
        <v>884.13741478999998</v>
      </c>
      <c r="M16" s="130">
        <v>909.01338325999996</v>
      </c>
      <c r="N16" s="130">
        <v>936.34086804000003</v>
      </c>
      <c r="O16" s="130">
        <v>927.97084597000003</v>
      </c>
      <c r="P16" s="130">
        <v>968.70446345999994</v>
      </c>
      <c r="Q16" s="130">
        <v>1007.19149692</v>
      </c>
      <c r="R16" s="130">
        <v>1027.3694940100002</v>
      </c>
      <c r="S16" s="130">
        <f>800+257.99397625</f>
        <v>1057.9939762500001</v>
      </c>
      <c r="T16" s="130">
        <v>1281.97042835</v>
      </c>
      <c r="U16" s="130">
        <v>1152.5465197200001</v>
      </c>
      <c r="V16" s="130">
        <v>1149.0154209299999</v>
      </c>
      <c r="W16" s="130">
        <v>1169.7988247399999</v>
      </c>
      <c r="X16" s="130">
        <v>1211.0208445200001</v>
      </c>
      <c r="Y16" s="130">
        <v>1308.85945922</v>
      </c>
      <c r="Z16" s="130">
        <v>1341.6339071800001</v>
      </c>
      <c r="AA16" s="130">
        <v>1352.779274</v>
      </c>
      <c r="AB16" s="130">
        <v>1451.5405196199999</v>
      </c>
      <c r="AC16" s="130">
        <v>1498.1578236</v>
      </c>
      <c r="AD16" s="130">
        <v>1491.5335585400001</v>
      </c>
      <c r="AE16" s="130">
        <v>1516.79801675</v>
      </c>
      <c r="AF16" s="130">
        <f>0.89853053+142.11809735+0.46791372+1000+385</f>
        <v>1528.4845416000001</v>
      </c>
      <c r="AG16" s="130">
        <f>0.85094745+558.55604639+0.46791372+1000</f>
        <v>1559.8749075599999</v>
      </c>
      <c r="AH16" s="130">
        <f>0.7205083+581.00009628+0.46791372+1000</f>
        <v>1582.1885182999999</v>
      </c>
      <c r="AI16" s="130">
        <v>1620.4052367499999</v>
      </c>
      <c r="AJ16" s="130">
        <f>670.14429348+0.46791372+0.40958804+1000</f>
        <v>1671.0217952399998</v>
      </c>
      <c r="AK16" s="130">
        <f>814.52203378+0.46791372+0.38383338+1000</f>
        <v>1815.3737808800001</v>
      </c>
      <c r="AL16" s="130">
        <f>640.12990875+0.46791372+8.91035513+1000</f>
        <v>1649.5081776</v>
      </c>
      <c r="AM16" s="130">
        <f>655.49314095+0.46791372+0.10705701+1000</f>
        <v>1656.0681116799999</v>
      </c>
      <c r="AN16" s="130">
        <f>17.37066574+0.46791372+0.33622382+1000+670</f>
        <v>1688.1748032800001</v>
      </c>
      <c r="AO16" s="130">
        <f>27.30078534+0.46791372+0.28753112+1000+670+24</f>
        <v>1722.0562301800001</v>
      </c>
      <c r="AP16" s="130">
        <f>57.93663484+0.52548641+0.28753112+1000+670+24</f>
        <v>1752.7496523699999</v>
      </c>
      <c r="AQ16" s="130">
        <f>789.96750233+0.20092611+0.46771392+1000</f>
        <v>1790.6361423600001</v>
      </c>
      <c r="AR16" s="130">
        <f>301.87413647+0.94379104+0.46771372+1000+500</f>
        <v>1803.28564123</v>
      </c>
      <c r="AS16" s="130">
        <f>326.289475+0.930563+0.46771372+1000+500</f>
        <v>1827.6877517200001</v>
      </c>
      <c r="AT16" s="130">
        <f>41.67004151+0.0322978+0.46771372+1000+500+327</f>
        <v>1869.17005303</v>
      </c>
      <c r="AU16" s="130">
        <f>412.46209358+0.09316001+0.46771372+1000+500</f>
        <v>1913.02296731</v>
      </c>
      <c r="AV16" s="130">
        <f>423.80730925+0.75879506+0.46771372+1000+500</f>
        <v>1925.03381803</v>
      </c>
      <c r="AW16" s="130">
        <f>437.12101973+0.41638683+0.46771372+1000+500</f>
        <v>1938.00512028</v>
      </c>
      <c r="AX16" s="130">
        <f>469.45767649+0.34699893+0.46771372+1000+500</f>
        <v>1970.2723891400001</v>
      </c>
      <c r="AY16" s="130">
        <f>86.94594439+0.21362493+0.46771372+1000+500+471.5</f>
        <v>2059.1272830400003</v>
      </c>
      <c r="AZ16" s="130">
        <f>510.60653201+1.07089742+0.46771372+1000+500</f>
        <v>2012.14514315</v>
      </c>
      <c r="BA16" s="130">
        <f>461.52402832+0.43239258+0.46771372+1000+500</f>
        <v>1962.4241346200001</v>
      </c>
      <c r="BB16" s="130">
        <v>1973.0889951300001</v>
      </c>
      <c r="BC16" s="130">
        <f>41.39824975+0.27713822+0.46771372+1000+500+473.5</f>
        <v>2015.6431016900001</v>
      </c>
      <c r="BD16" s="130">
        <f>93.19287575+0.15828536+0.46771372+1000+500+473.5</f>
        <v>2067.3188748299999</v>
      </c>
      <c r="BE16" s="130">
        <f>0.99146396+0.46771372+1000+666.48672548</f>
        <v>1667.9459031599999</v>
      </c>
      <c r="BF16" s="130">
        <f>0.99146396+0.46771372+1000+686.37098073</f>
        <v>1687.83015841</v>
      </c>
      <c r="BG16" s="130">
        <f>0.64562449+0.46771372+1724.60021333</f>
        <v>1725.71355154</v>
      </c>
      <c r="BH16" s="130">
        <f>0.64562449+0.46771372+52.2581241+790</f>
        <v>843.37146230999997</v>
      </c>
      <c r="BI16" s="130">
        <f>0.90997427+0.46771372+864.6987876</f>
        <v>866.07647558999997</v>
      </c>
      <c r="BJ16" s="130">
        <f>0.75495666+0.46771372+281.77665352</f>
        <v>282.99932390000004</v>
      </c>
      <c r="BK16" s="130">
        <f>0.62654232+0.46771372+284.75628939</f>
        <v>285.85054543000001</v>
      </c>
      <c r="BL16" s="130">
        <f>1.02153717+0.46511372+119.99831118</f>
        <v>121.48496206999999</v>
      </c>
      <c r="BM16" s="130">
        <f>0.84184269+0.46511372+180.07958986</f>
        <v>181.38654627</v>
      </c>
      <c r="BN16" s="130">
        <f>0.84110038+0.46511372+225.71808997</f>
        <v>227.02430407</v>
      </c>
      <c r="BO16" s="130">
        <f>0.13660669+0.46511372+396.19921002</f>
        <v>396.80093042999999</v>
      </c>
      <c r="BP16" s="130">
        <f>0.44221549+0.46511372+398.60656652</f>
        <v>399.51389573</v>
      </c>
      <c r="BQ16" s="130">
        <f>0.10497093+0.46511372+438.97743075</f>
        <v>439.54751540000001</v>
      </c>
      <c r="BR16" s="130">
        <f>0.062442293+0.46511372+470.6816463</f>
        <v>471.20920231299999</v>
      </c>
      <c r="BS16" s="130">
        <f>0.062442293+0.46511372+470.6816463</f>
        <v>471.20920231299999</v>
      </c>
      <c r="BT16" s="130">
        <f>0.05600491+571.7262163+0.46511372</f>
        <v>572.24733492999997</v>
      </c>
      <c r="BU16" s="130">
        <f>0.82297341+602.1791124+0.46511372</f>
        <v>603.46719953000002</v>
      </c>
      <c r="BV16" s="130">
        <f>0.71083493+586.36024472+0.46511372</f>
        <v>587.53619336999998</v>
      </c>
      <c r="BW16" s="130">
        <f>3.37619034+555.42514404+0.46511372</f>
        <v>559.26644809999993</v>
      </c>
      <c r="BX16" s="130">
        <f>3.10691644+599.414455+0.46511372</f>
        <v>602.98648515999992</v>
      </c>
      <c r="BY16" s="130">
        <f>3.070436+622.41102614+0.46511372</f>
        <v>625.94657585999994</v>
      </c>
      <c r="BZ16" s="130">
        <f>2.99669813+632.99026284+0.46511372</f>
        <v>636.45207469000002</v>
      </c>
      <c r="CA16" s="130">
        <f>1.82694574+652.8849386+0.46511372</f>
        <v>655.17699806000007</v>
      </c>
      <c r="CB16" s="130">
        <f>1.77601745+689.63831584+0.46511372</f>
        <v>691.87944701000004</v>
      </c>
      <c r="CC16" s="130">
        <f>0.42953829+709.57974015+0.46491372</f>
        <v>710.47419216000003</v>
      </c>
      <c r="CD16" s="130">
        <f>0.17969089+734.01536179+0.46491372</f>
        <v>734.65996640000003</v>
      </c>
      <c r="CE16" s="130">
        <f>0.035205+764.8588394+0.46491372</f>
        <v>765.35895812000001</v>
      </c>
      <c r="CF16" s="130">
        <f>0.035205+764.8588394+0.46491372</f>
        <v>765.35895812000001</v>
      </c>
      <c r="CG16" s="130">
        <f>0.416205+787.52372148+0.46491372</f>
        <v>788.40484019999997</v>
      </c>
      <c r="CH16" s="130">
        <f>0.30863698+850.30223447+0.46491372</f>
        <v>851.07578517000002</v>
      </c>
      <c r="CI16" s="130">
        <f>0.26433045+778.92131101+0.46491372</f>
        <v>779.65055517999997</v>
      </c>
      <c r="CJ16" s="130">
        <f>0.17813186+793.25343225+0.46491372</f>
        <v>793.89647782999998</v>
      </c>
      <c r="CK16" s="130">
        <f>1.17813186+833.49294648+0.46491372</f>
        <v>835.13599206000004</v>
      </c>
      <c r="CL16" s="130">
        <f>0.95434273+413.52911305+0.46491372</f>
        <v>414.94836950000001</v>
      </c>
      <c r="CM16" s="130">
        <f>0.79503969+476.18072308+0.46491372</f>
        <v>477.44067649000004</v>
      </c>
      <c r="CN16" s="130">
        <f>0.39634534+431.84346959+0.46491372</f>
        <v>432.70472864999999</v>
      </c>
      <c r="CO16" s="130">
        <f>0.05578993+476.05213343+0.46491372</f>
        <v>476.57283708000006</v>
      </c>
      <c r="CP16" s="130">
        <f>1.97453707+281.15624+0.46491372</f>
        <v>283.59569079000005</v>
      </c>
      <c r="CQ16" s="130">
        <f>1.84466191+366.36708863+0.46491372</f>
        <v>368.67666426000005</v>
      </c>
      <c r="CR16" s="130">
        <f>1.98710417+362.0472973+0.46491372</f>
        <v>364.49931519000006</v>
      </c>
      <c r="CS16" s="130">
        <f>1.72895164+360.95169749+0.46491372</f>
        <v>363.14556285000003</v>
      </c>
      <c r="CT16" s="130">
        <f>1.68579711+399.46740181+0.46491372</f>
        <v>401.61811264000005</v>
      </c>
      <c r="CU16" s="130">
        <f>392.31717173+1.60707687+0.46491372</f>
        <v>394.38916232000003</v>
      </c>
      <c r="CV16" s="130">
        <f>425.47895282+1.55671562+0.46491372</f>
        <v>427.50058216000002</v>
      </c>
      <c r="CW16" s="130">
        <f>209.95082948+1.53088229+0.46491372</f>
        <v>211.94662549</v>
      </c>
      <c r="CX16" s="130">
        <f>209.95082948+1.53088229+0.46491372</f>
        <v>211.94662549</v>
      </c>
      <c r="CY16" s="130">
        <f>107.2459138+1.28135474+0.46491372</f>
        <v>108.99218225999999</v>
      </c>
      <c r="CZ16" s="130">
        <v>108.99218225999999</v>
      </c>
      <c r="DA16" s="130">
        <f>1.075842+157.793947+0.46491372</f>
        <v>159.33470272</v>
      </c>
      <c r="DB16" s="130">
        <f>0.99671941+243.22723883+0.46491372</f>
        <v>244.68887196</v>
      </c>
      <c r="DC16" s="130">
        <f>1.03144+250.399195+0.46491372</f>
        <v>251.89554871999999</v>
      </c>
      <c r="DD16" s="130">
        <f>0.92444177+260.21289369+0.46491372</f>
        <v>261.60224918</v>
      </c>
      <c r="DE16" s="130">
        <f>0.85268865+262.39701546+0.46491372</f>
        <v>263.71461783000001</v>
      </c>
      <c r="DF16" s="130">
        <f>0.73432462+354.50526739+0.46471372</f>
        <v>355.70430572999999</v>
      </c>
      <c r="DG16" s="130">
        <f>0.72104958+373.8552467+0.46471372</f>
        <v>375.04101000000003</v>
      </c>
      <c r="DH16" s="130">
        <f>0.87775237+238.68964621+0.46471372</f>
        <v>240.03211229999999</v>
      </c>
      <c r="DI16" s="130">
        <f>0.57052058+222.18319573+0.46471372</f>
        <v>223.21843002999998</v>
      </c>
      <c r="DJ16" s="130">
        <f>0.15233593+219.59794799+0.46471372</f>
        <v>220.21499763999998</v>
      </c>
      <c r="DK16" s="130">
        <f>0.96452966+251.96685412+0.46471372</f>
        <v>253.3960975</v>
      </c>
      <c r="DL16" s="130">
        <f>0.81487122+335.24931629+0.46471372</f>
        <v>336.52890123000003</v>
      </c>
      <c r="DM16" s="130">
        <f>0.81487122+335.24931629+0.46471372</f>
        <v>336.52890123000003</v>
      </c>
      <c r="DN16" s="130">
        <f>0.74577947+220.48823026+0.46471372</f>
        <v>221.69872344999999</v>
      </c>
      <c r="DO16" s="130">
        <f>0.79194865+75.10749342+0.46471372+156</f>
        <v>232.36415578999998</v>
      </c>
      <c r="DP16" s="130">
        <f>0.79194865+75.10749342+0.46471372+156</f>
        <v>232.36415578999998</v>
      </c>
      <c r="DQ16" s="130">
        <f>0.76887261+31.25785934+0.46471372+241</f>
        <v>273.49144567000002</v>
      </c>
      <c r="DR16" s="130">
        <v>263.07628755000002</v>
      </c>
      <c r="DS16" s="130">
        <v>263.07628755000002</v>
      </c>
      <c r="DT16" s="130">
        <f>0.52332858+33.11399511+0.46471372+102.8</f>
        <v>136.90203740999999</v>
      </c>
      <c r="DU16" s="130">
        <f>10.47169382+39.11977713+0.46397372+108</f>
        <v>158.05544466999999</v>
      </c>
      <c r="DV16" s="130">
        <f>2.10315518+30.54740756+0.46397372+160</f>
        <v>193.11453646000001</v>
      </c>
      <c r="DW16" s="130">
        <f>2.10315518+30.29462454+0.46397372+204</f>
        <v>236.86175344</v>
      </c>
      <c r="DX16" s="130">
        <f>1.83665389+30.77936615+0.46397372+115</f>
        <v>148.07999376000001</v>
      </c>
      <c r="DY16" s="130">
        <f>1.78329983+34.27823213+0.46397372+123</f>
        <v>159.52550567999998</v>
      </c>
      <c r="DZ16" s="130">
        <f>1.09072343+52.89276415+0.46397372+150</f>
        <v>204.44746129999999</v>
      </c>
      <c r="EA16" s="130">
        <f>0.95201135+33.44733116+0.46397372+191</f>
        <v>225.86331623000001</v>
      </c>
      <c r="EB16" s="130">
        <f>0.8493577+207.92329811+0.46397372</f>
        <v>209.23662953000002</v>
      </c>
      <c r="EC16" s="130">
        <f>0.72103381+222.0620083+0.46397372</f>
        <v>223.24701583000001</v>
      </c>
      <c r="ED16" s="130">
        <f>0.18066603+252.99023771+0.46397372</f>
        <v>253.63487746000001</v>
      </c>
      <c r="EE16" s="130">
        <f>0.61029447+45.53807689+0.46397372+255</f>
        <v>301.61234508000001</v>
      </c>
      <c r="EF16" s="130">
        <f>0.45961126+109.71679444+0.46397372+239</f>
        <v>349.64037941999999</v>
      </c>
      <c r="EG16" s="130">
        <f>0.29844242+103.32693796+0.46397372+282.8</f>
        <v>386.88935409999999</v>
      </c>
      <c r="EH16" s="130">
        <f>0.13723836+102.83261643+0.46397372+220</f>
        <v>323.43382851000001</v>
      </c>
      <c r="EI16" s="130">
        <f>1.01287256+133.02106248+0.46397372+210</f>
        <v>344.49790876000003</v>
      </c>
      <c r="EJ16" s="130">
        <f>0.75952922+156.94438559+0.46397372+207</f>
        <v>365.16788853000003</v>
      </c>
      <c r="EK16" s="130">
        <f>0.70992922+167.02462483+0.46397372+235</f>
        <v>403.19852777</v>
      </c>
      <c r="EL16" s="130">
        <f>0.62281935+218.78531797+0.46397372+220</f>
        <v>439.87211103999999</v>
      </c>
      <c r="EM16" s="130">
        <f>0.62281935+333.56395852+0.46397372</f>
        <v>334.65075159000003</v>
      </c>
      <c r="EN16" s="130">
        <f>0.62281935+102.059849+0.46397372+145</f>
        <v>248.14664206999998</v>
      </c>
      <c r="EO16" s="130">
        <f>0.62237038+138.56657145+0.46397372+149</f>
        <v>288.65291554999999</v>
      </c>
      <c r="EP16" s="130">
        <f>0.62237038+161.97663999+0.46397372+160</f>
        <v>323.06298408999999</v>
      </c>
      <c r="EQ16" s="130">
        <f>0.47108344+106.64671776+0.46397372+205</f>
        <v>312.58177491999999</v>
      </c>
      <c r="ER16" s="130">
        <v>312.58177491999999</v>
      </c>
      <c r="ES16" s="130">
        <f>0.47108344+102.70685908+0.46397372+172</f>
        <v>275.64191624</v>
      </c>
      <c r="ET16" s="130">
        <f>1.45116514+136.62760781+0.46397372+178.5</f>
        <v>317.04274667000004</v>
      </c>
      <c r="EU16" s="130">
        <f>1.35393724+163.48773851+0.46377372+200</f>
        <v>365.30544946999999</v>
      </c>
      <c r="EV16" s="130">
        <f>1.00972981+158.35168951+0.46377372+200</f>
        <v>359.82519304000004</v>
      </c>
      <c r="EW16" s="130">
        <f>1.00972981+374.92644311+0.46377372</f>
        <v>376.39994664</v>
      </c>
      <c r="EX16" s="130">
        <f>0.56187619+243.62249732+0.46377372+200</f>
        <v>444.64814723000001</v>
      </c>
      <c r="EY16" s="130">
        <v>472.40199695000001</v>
      </c>
      <c r="EZ16" s="130">
        <v>507.11173360999999</v>
      </c>
      <c r="FA16" s="130">
        <v>481.70426929000001</v>
      </c>
      <c r="FB16" s="130">
        <v>494</v>
      </c>
      <c r="FC16" s="130">
        <v>555.97315866000008</v>
      </c>
      <c r="FD16" s="130">
        <v>320.48701564999999</v>
      </c>
      <c r="FE16" s="130">
        <v>296.74282850000003</v>
      </c>
      <c r="FF16" s="130">
        <f>2.46893231+102.3850506+0.46377372+120.5</f>
        <v>225.81775663000002</v>
      </c>
      <c r="FG16" s="130">
        <f>2.31870194+108.01972594+0.46377372+162</f>
        <v>272.80220159999999</v>
      </c>
      <c r="FH16" s="130">
        <v>301</v>
      </c>
      <c r="FI16" s="130">
        <v>352.20156693000001</v>
      </c>
      <c r="FJ16" s="130">
        <f>2.15305993+131.494864+0.46377372+255</f>
        <v>389.11169765</v>
      </c>
      <c r="FK16" s="130">
        <f>2.15305993+131.494864+0.46377372+255</f>
        <v>389.11169765</v>
      </c>
      <c r="FL16" s="130">
        <f>11.00769656+319.0352455+0.46377372</f>
        <v>330.50671577999998</v>
      </c>
      <c r="FM16" s="130">
        <v>356</v>
      </c>
      <c r="FN16" s="130">
        <v>390.18960097000001</v>
      </c>
      <c r="FO16" s="130">
        <f>1.38084121+202.79028572+0.46377372+207</f>
        <v>411.63490065000002</v>
      </c>
      <c r="FP16" s="130">
        <f>1.38084121+460.84833413+0.46377372</f>
        <v>462.69294906000005</v>
      </c>
      <c r="FQ16" s="130">
        <f>1.37957485+207.57178068+0.46357372+240</f>
        <v>449.41492925</v>
      </c>
      <c r="FR16" s="130">
        <v>480.74085425999999</v>
      </c>
      <c r="FS16" s="130">
        <v>512.00153141999999</v>
      </c>
      <c r="FT16" s="130">
        <f>1.37957485+222.46415076+0.46357372+329</f>
        <v>553.30729932999998</v>
      </c>
      <c r="FU16" s="130">
        <f>1.37957485+257.59741967+0.46357372+300</f>
        <v>559.44056823999995</v>
      </c>
      <c r="FV16" s="130">
        <f>1.34862988+241.86125354+0.46357372+300</f>
        <v>543.67345713999998</v>
      </c>
      <c r="FW16" s="130">
        <f>1.34862988+281.81051803+0.46357372+300</f>
        <v>583.62272163</v>
      </c>
      <c r="FX16" s="130">
        <f>1.34862988+308.92174111+0.46357372+312</f>
        <v>622.73394471000006</v>
      </c>
      <c r="FY16" s="130">
        <v>654</v>
      </c>
      <c r="FZ16" s="130">
        <f>1.34862988+304.78073156+0.46357372+330</f>
        <v>636.59293516000002</v>
      </c>
      <c r="GA16" s="130">
        <f>1.34862988+109.85284016+0.46357372+500</f>
        <v>611.66504376</v>
      </c>
      <c r="GB16" s="130">
        <f>1.32819406+152.83796575+0.46357372+500</f>
        <v>654.62973352999995</v>
      </c>
      <c r="GC16" s="130">
        <f>1.32819406+204.12258173+0.46357372+500</f>
        <v>705.91434950999997</v>
      </c>
      <c r="GD16" s="130">
        <f>1.32819406+108.05270812+0.46357372+500+125.5</f>
        <v>735.34447590000002</v>
      </c>
      <c r="GE16" s="130">
        <f>1.32819406+1054.38138329+0.46357372</f>
        <v>1056.1731510700001</v>
      </c>
      <c r="GF16" s="130">
        <f>1.32819406+1036.39135626+0.46357372</f>
        <v>1038.1831240400002</v>
      </c>
      <c r="GG16" s="130">
        <f>1.32819406+137.82773336+0.46357372+145</f>
        <v>284.61950114000001</v>
      </c>
      <c r="GH16" s="130">
        <f>1.32819406+307.16324832+0.46357372</f>
        <v>308.95501609999997</v>
      </c>
      <c r="GI16" s="130">
        <v>520.66379642000004</v>
      </c>
      <c r="GJ16" s="130">
        <v>421.13743134000003</v>
      </c>
      <c r="GK16" s="130">
        <v>490.54076998999994</v>
      </c>
      <c r="GL16" s="130">
        <v>499.05716199</v>
      </c>
      <c r="GM16" s="130">
        <v>413.32071875999998</v>
      </c>
      <c r="GN16" s="130">
        <v>440.81700749000004</v>
      </c>
      <c r="GO16" s="130">
        <v>476.20282665000002</v>
      </c>
      <c r="GP16" s="130">
        <v>457.87429184000001</v>
      </c>
      <c r="GQ16" s="130">
        <v>439.69614152000003</v>
      </c>
      <c r="GR16" s="130">
        <v>400.16634429999999</v>
      </c>
      <c r="GS16" s="130">
        <v>422.96110164999999</v>
      </c>
      <c r="GT16" s="130">
        <v>467.15818493</v>
      </c>
      <c r="GU16" s="130">
        <v>499.73712422</v>
      </c>
      <c r="GV16" s="130">
        <v>570.95814318999999</v>
      </c>
      <c r="GW16" s="130">
        <v>570.95814318999999</v>
      </c>
      <c r="GX16" s="130">
        <v>504.7</v>
      </c>
      <c r="GY16" s="130">
        <v>555.99711251999997</v>
      </c>
      <c r="GZ16" s="130">
        <v>633.28683943999999</v>
      </c>
      <c r="HA16" s="130">
        <v>878.17105428000002</v>
      </c>
      <c r="HB16" s="130">
        <v>928.28298293000012</v>
      </c>
      <c r="HC16" s="130">
        <v>300.25485220000007</v>
      </c>
      <c r="HD16" s="130">
        <v>224.78335490000001</v>
      </c>
      <c r="HE16" s="130">
        <v>280.67417126000004</v>
      </c>
      <c r="HF16" s="130">
        <v>210.80853623000002</v>
      </c>
      <c r="HG16" s="130">
        <v>264.50383047999998</v>
      </c>
      <c r="HH16" s="130">
        <v>321.67850196000006</v>
      </c>
      <c r="HI16" s="130">
        <v>379.20073425000004</v>
      </c>
      <c r="HJ16" s="130">
        <v>251.12311182000002</v>
      </c>
      <c r="HK16" s="130">
        <v>293.46156452000002</v>
      </c>
      <c r="HL16" s="130">
        <v>246.18484192000003</v>
      </c>
      <c r="HM16" s="130">
        <v>238.34595822</v>
      </c>
      <c r="HN16" s="130">
        <v>308.05193803000003</v>
      </c>
      <c r="HO16" s="130">
        <v>359.34838100000007</v>
      </c>
      <c r="HP16" s="130">
        <v>340.17390665000005</v>
      </c>
      <c r="HQ16" s="130">
        <v>403.05488306000001</v>
      </c>
      <c r="HR16" s="130">
        <v>449.76661887000006</v>
      </c>
      <c r="HS16" s="130">
        <v>743.63778962000004</v>
      </c>
      <c r="HT16" s="949">
        <v>131.41007166</v>
      </c>
      <c r="HU16" s="949">
        <v>131.41007166</v>
      </c>
      <c r="HV16" s="949">
        <v>90.45923934999999</v>
      </c>
      <c r="HW16" s="949">
        <v>90.45923934999999</v>
      </c>
      <c r="HX16" s="949">
        <v>118.90691131</v>
      </c>
      <c r="HY16" s="949">
        <v>118.90691131</v>
      </c>
      <c r="HZ16" s="949">
        <v>150.56079095000001</v>
      </c>
      <c r="IA16" s="949">
        <v>198.12342715</v>
      </c>
      <c r="IB16" s="949">
        <v>278.88857438000002</v>
      </c>
      <c r="IC16" s="949">
        <v>278.88857438000002</v>
      </c>
      <c r="ID16" s="949">
        <v>278.88857438000002</v>
      </c>
      <c r="IE16" s="949">
        <v>225.71692632000003</v>
      </c>
      <c r="IF16" s="949">
        <v>225.71692632000003</v>
      </c>
      <c r="IG16" s="949">
        <v>296.93774638000008</v>
      </c>
      <c r="IH16" s="949">
        <v>288.67110654999999</v>
      </c>
      <c r="II16" s="949">
        <v>288.67110654999999</v>
      </c>
      <c r="IJ16" s="949">
        <v>288.67110654999999</v>
      </c>
      <c r="IK16" s="949">
        <v>469.23168748000001</v>
      </c>
      <c r="IL16" s="949">
        <v>469.23168748000001</v>
      </c>
      <c r="IM16" s="949">
        <v>469.23168748000001</v>
      </c>
      <c r="IN16" s="949">
        <v>515.83758287000012</v>
      </c>
      <c r="IO16" s="949">
        <v>519.20898871000009</v>
      </c>
      <c r="IP16" s="949">
        <v>551.45257429999992</v>
      </c>
      <c r="IQ16" s="949">
        <v>583.49830274999999</v>
      </c>
      <c r="IR16" s="949">
        <v>583.49830274999999</v>
      </c>
      <c r="IS16" s="949">
        <v>616.16837956999996</v>
      </c>
      <c r="IT16" s="949">
        <v>713.39277197000001</v>
      </c>
      <c r="IU16" s="949">
        <v>767.26925457999994</v>
      </c>
      <c r="IV16" s="949">
        <v>767.26925457999994</v>
      </c>
      <c r="IW16" s="949">
        <v>655.94106565999994</v>
      </c>
      <c r="IX16" s="949">
        <v>662.66119490999995</v>
      </c>
      <c r="IY16" s="949">
        <v>691.6472530499999</v>
      </c>
      <c r="IZ16" s="949">
        <v>716.25360735000004</v>
      </c>
      <c r="JA16" s="949">
        <v>771.00446220000003</v>
      </c>
      <c r="JB16" s="949">
        <v>771.00446220000003</v>
      </c>
      <c r="JC16" s="949">
        <v>703.17298714000003</v>
      </c>
      <c r="JD16" s="949">
        <v>731.66575956999998</v>
      </c>
      <c r="JE16" s="949">
        <v>731.66575956999998</v>
      </c>
      <c r="JF16" s="949">
        <v>731.66575956999998</v>
      </c>
      <c r="JG16" s="949">
        <v>802.99367440999993</v>
      </c>
      <c r="JH16" s="949">
        <v>802.99367440999993</v>
      </c>
      <c r="JI16" s="949">
        <v>802.99367440999993</v>
      </c>
      <c r="JJ16" s="949">
        <v>897.40863924999996</v>
      </c>
      <c r="JK16" s="949">
        <v>951.83173607999993</v>
      </c>
      <c r="JL16" s="949">
        <v>824.36823465999998</v>
      </c>
      <c r="JM16" s="949">
        <v>849.00194921000002</v>
      </c>
      <c r="JN16" s="949">
        <v>849.00194921000002</v>
      </c>
      <c r="JO16" s="949">
        <v>849.00194921000002</v>
      </c>
      <c r="JP16" s="949">
        <v>920.04249945000004</v>
      </c>
      <c r="JQ16" s="949">
        <v>920.04249945000004</v>
      </c>
      <c r="JR16" s="949">
        <v>909.90090085999998</v>
      </c>
      <c r="JS16" s="949">
        <v>909.90090085999998</v>
      </c>
      <c r="JT16" s="949">
        <v>959.30262871000002</v>
      </c>
      <c r="JU16" s="949">
        <v>1006.33328706</v>
      </c>
      <c r="JV16" s="949">
        <v>1006.33328706</v>
      </c>
      <c r="JW16" s="949">
        <v>727.26720170999999</v>
      </c>
      <c r="JX16" s="949">
        <v>727.26720170999999</v>
      </c>
      <c r="JY16" s="949">
        <v>757.40751697999997</v>
      </c>
      <c r="JZ16" s="949">
        <v>757.40751697999997</v>
      </c>
      <c r="KA16" s="949">
        <v>822.34684616999994</v>
      </c>
      <c r="KB16" s="949">
        <v>833.13756839999996</v>
      </c>
      <c r="KC16" s="949">
        <v>689.05823538000004</v>
      </c>
      <c r="KD16" s="949">
        <v>473.64476228000001</v>
      </c>
      <c r="KE16" s="949">
        <v>473.64476228000001</v>
      </c>
      <c r="KF16" s="949">
        <v>951.83173607999993</v>
      </c>
      <c r="KG16" s="949">
        <v>546.71690822000005</v>
      </c>
      <c r="KH16" s="949">
        <v>546.71690822000005</v>
      </c>
      <c r="KI16" s="949">
        <v>564.30147775</v>
      </c>
      <c r="KJ16" s="949">
        <v>564.30147775</v>
      </c>
      <c r="KK16" s="949">
        <v>653.07805078000001</v>
      </c>
      <c r="KL16" s="949">
        <v>664.78062337999995</v>
      </c>
      <c r="KM16" s="949">
        <v>664.78062337999995</v>
      </c>
      <c r="KN16" s="949">
        <v>709.87262625000005</v>
      </c>
      <c r="KO16" s="949">
        <v>758.27497097000003</v>
      </c>
      <c r="KP16" s="949">
        <v>786.08918848000008</v>
      </c>
      <c r="KQ16" s="949">
        <v>776.13841549999995</v>
      </c>
      <c r="KR16" s="949">
        <v>776.13841549999995</v>
      </c>
      <c r="KS16" s="949">
        <v>835.96832380000012</v>
      </c>
      <c r="KT16" s="949">
        <v>835.96832380000012</v>
      </c>
      <c r="KU16" s="949">
        <v>830.3219752</v>
      </c>
      <c r="KV16" s="949">
        <v>920.4607441600001</v>
      </c>
      <c r="KW16" s="949">
        <v>633.70238705000008</v>
      </c>
      <c r="KX16" s="949">
        <v>643.55769705000012</v>
      </c>
      <c r="KY16" s="949">
        <v>643.55769705000012</v>
      </c>
      <c r="KZ16" s="949">
        <v>538.44262422000008</v>
      </c>
      <c r="LA16" s="949">
        <v>538.44262422000008</v>
      </c>
      <c r="LB16" s="949">
        <v>578.84786569000005</v>
      </c>
      <c r="LC16" s="949">
        <v>578.84786569000005</v>
      </c>
      <c r="LD16" s="949">
        <v>578.84786569000005</v>
      </c>
      <c r="LE16" s="949">
        <v>671.92242437000004</v>
      </c>
      <c r="LF16" s="949">
        <v>615.73260300000004</v>
      </c>
      <c r="LG16" s="949">
        <v>615.73260300000004</v>
      </c>
      <c r="LH16" s="949">
        <v>615.73260300000004</v>
      </c>
      <c r="LI16" s="949">
        <v>727.84217336000006</v>
      </c>
      <c r="LJ16" s="949">
        <v>727.84217336000006</v>
      </c>
      <c r="LK16" s="949">
        <v>727.84217336000006</v>
      </c>
      <c r="LL16" s="949">
        <v>651.46197081000003</v>
      </c>
      <c r="LM16" s="949">
        <v>651.46197081000003</v>
      </c>
      <c r="LN16" s="949">
        <v>698.82020154000008</v>
      </c>
      <c r="LO16" s="949">
        <v>698.82020154000008</v>
      </c>
      <c r="LP16" s="949">
        <v>698.82020154000008</v>
      </c>
      <c r="LQ16" s="949">
        <v>623.52496630000007</v>
      </c>
      <c r="LR16" s="949">
        <v>655.61125921000007</v>
      </c>
      <c r="LS16" s="949">
        <v>655.61125921000007</v>
      </c>
      <c r="LT16" s="949">
        <v>763.83930293000003</v>
      </c>
      <c r="LU16" s="949">
        <v>643.33920098999999</v>
      </c>
      <c r="LV16" s="949">
        <v>689.09666587000004</v>
      </c>
      <c r="LW16" s="949">
        <v>689.09666587000004</v>
      </c>
      <c r="LX16" s="949">
        <v>764.00651388999995</v>
      </c>
      <c r="LY16" s="949">
        <v>764.00651388999995</v>
      </c>
      <c r="LZ16" s="949">
        <v>749.02420186000006</v>
      </c>
      <c r="MA16" s="949">
        <v>749.02420186000006</v>
      </c>
      <c r="MB16" s="949">
        <v>749.02420186000006</v>
      </c>
      <c r="MC16" s="949">
        <v>749.02420186000006</v>
      </c>
      <c r="MD16" s="949">
        <v>883.15549720000001</v>
      </c>
      <c r="ME16" s="949">
        <v>692.84556643000008</v>
      </c>
      <c r="MF16" s="949">
        <v>692.84556643000008</v>
      </c>
      <c r="MG16" s="949">
        <v>692.84556643000008</v>
      </c>
      <c r="MH16" s="949">
        <v>646.42543495000007</v>
      </c>
      <c r="MI16" s="949">
        <v>646.42543495000007</v>
      </c>
      <c r="MJ16" s="949">
        <v>527.21065694000004</v>
      </c>
      <c r="MK16" s="949">
        <v>545.85941459000003</v>
      </c>
      <c r="ML16" s="949">
        <v>545.85941459000003</v>
      </c>
      <c r="MM16" s="949">
        <v>545.85941459000003</v>
      </c>
      <c r="MN16" s="949">
        <v>545.85941459000003</v>
      </c>
      <c r="MO16" s="949">
        <v>545.85941459000003</v>
      </c>
      <c r="MP16" s="949">
        <v>545.85941459000003</v>
      </c>
      <c r="MQ16" s="949">
        <v>477.01481979000005</v>
      </c>
      <c r="MR16" s="949">
        <v>477.01481979000005</v>
      </c>
      <c r="MS16" s="949">
        <v>637.97375849000002</v>
      </c>
      <c r="MT16" s="949">
        <v>683.47088659999997</v>
      </c>
      <c r="MU16" s="949">
        <v>683.47088659999997</v>
      </c>
      <c r="MV16" s="949">
        <v>683.47088659999997</v>
      </c>
      <c r="MW16" s="949">
        <v>786.68663114999993</v>
      </c>
      <c r="MX16" s="949">
        <v>831.46856029000003</v>
      </c>
      <c r="MY16" s="949">
        <v>831.46856029000003</v>
      </c>
      <c r="MZ16" s="949">
        <v>831.46856029000003</v>
      </c>
      <c r="NA16" s="949">
        <v>831.46856029000003</v>
      </c>
      <c r="NB16" s="949">
        <v>831.46856029000003</v>
      </c>
      <c r="NC16" s="949">
        <v>831.46856029000003</v>
      </c>
      <c r="ND16" s="949">
        <v>831.46856029000003</v>
      </c>
      <c r="NE16" s="949">
        <v>831.46856029000003</v>
      </c>
      <c r="NF16" s="949">
        <v>845.64768225</v>
      </c>
      <c r="NG16" s="949">
        <v>824.88602717000003</v>
      </c>
      <c r="NH16" s="949">
        <v>847.69857679000006</v>
      </c>
      <c r="NI16" s="949">
        <v>805.55676054000003</v>
      </c>
      <c r="NJ16" s="949">
        <v>805.55676054000003</v>
      </c>
      <c r="NK16" s="949">
        <v>866.33843088000003</v>
      </c>
      <c r="NL16" s="949">
        <v>866.33843088000003</v>
      </c>
      <c r="NM16" s="949">
        <v>944.30228402</v>
      </c>
      <c r="NN16" s="949">
        <v>944.30228402</v>
      </c>
      <c r="NO16" s="949">
        <v>944.30228402</v>
      </c>
      <c r="NP16" s="949">
        <v>1032.9628858599999</v>
      </c>
      <c r="NQ16" s="949">
        <v>1032.9628858599999</v>
      </c>
      <c r="NR16" s="949">
        <v>1111.5645358700001</v>
      </c>
      <c r="NS16" s="949">
        <v>1111.5645358700001</v>
      </c>
      <c r="NT16" s="949">
        <v>1111.5645358700001</v>
      </c>
      <c r="NU16" s="949">
        <v>1213.84289274</v>
      </c>
      <c r="NV16" s="949">
        <v>1253.96483698</v>
      </c>
      <c r="NW16" s="949">
        <v>1253.96483698</v>
      </c>
      <c r="NX16" s="949">
        <v>1253.96483698</v>
      </c>
      <c r="NY16" s="949">
        <v>1143.5583596000001</v>
      </c>
      <c r="NZ16" s="949">
        <v>1268.5905642800001</v>
      </c>
      <c r="OA16" s="949">
        <v>1268.5905642800001</v>
      </c>
      <c r="OB16" s="949">
        <v>1268.5905642800001</v>
      </c>
      <c r="OC16" s="949">
        <v>1262.17520532</v>
      </c>
      <c r="OD16" s="949">
        <v>1262.17520532</v>
      </c>
      <c r="OE16" s="949">
        <v>1262.17520532</v>
      </c>
      <c r="OF16" s="949">
        <v>1262.17520532</v>
      </c>
      <c r="OG16" s="949">
        <v>1392.5092003900002</v>
      </c>
      <c r="OH16" s="949">
        <v>1392.5092003900002</v>
      </c>
      <c r="OI16" s="949">
        <v>733.64868930000011</v>
      </c>
      <c r="OJ16" s="949">
        <v>1386.0297312999999</v>
      </c>
      <c r="OK16" s="949">
        <v>1386.0297312999999</v>
      </c>
      <c r="OL16" s="949">
        <v>1394.03822676</v>
      </c>
      <c r="OM16" s="949">
        <v>1394.03822676</v>
      </c>
      <c r="ON16" s="949">
        <v>1394.03822676</v>
      </c>
      <c r="OO16" s="949">
        <v>1392.40479628</v>
      </c>
      <c r="OP16" s="949">
        <v>1419.9354181800002</v>
      </c>
      <c r="OQ16" s="949">
        <v>1419.9354181800002</v>
      </c>
      <c r="OR16" s="949">
        <v>1419.9354181800002</v>
      </c>
      <c r="OS16" s="949">
        <v>1318.1649728800001</v>
      </c>
      <c r="OT16" s="949">
        <v>488.63416609000001</v>
      </c>
      <c r="OU16" s="949">
        <v>488.63416609000001</v>
      </c>
      <c r="OV16" s="949">
        <v>488.63416609000001</v>
      </c>
      <c r="OW16" s="949">
        <v>352.62100865000002</v>
      </c>
      <c r="OX16" s="949">
        <v>352.62100865000002</v>
      </c>
      <c r="OY16" s="949">
        <v>280.38302285000003</v>
      </c>
      <c r="OZ16" s="949">
        <v>280.38302285000003</v>
      </c>
      <c r="PA16" s="949">
        <v>280.38302285000003</v>
      </c>
      <c r="PB16" s="949">
        <v>309.90428410999999</v>
      </c>
      <c r="PC16" s="949">
        <v>309.90428410999999</v>
      </c>
      <c r="PD16" s="949">
        <v>309.90428410999999</v>
      </c>
      <c r="PE16" s="949">
        <v>416.28472549999998</v>
      </c>
      <c r="PF16" s="949">
        <v>448.43644226000004</v>
      </c>
      <c r="PG16" s="949">
        <v>448.43644226000004</v>
      </c>
      <c r="PH16" s="949">
        <v>448.43644226000004</v>
      </c>
      <c r="PI16" s="949">
        <v>524.58914708999998</v>
      </c>
      <c r="PJ16" s="949">
        <v>556.06561822000003</v>
      </c>
      <c r="PK16" s="949">
        <v>556.06561822000003</v>
      </c>
      <c r="PL16" s="949">
        <v>556.06561822000003</v>
      </c>
      <c r="PM16" s="949">
        <v>556.06561822000003</v>
      </c>
      <c r="PN16" s="949">
        <v>528.13463442</v>
      </c>
      <c r="PO16" s="949">
        <v>528.13463442</v>
      </c>
      <c r="PP16" s="949">
        <v>537.42175946000009</v>
      </c>
      <c r="PQ16" s="949">
        <v>537.42175946000009</v>
      </c>
      <c r="PR16" s="949">
        <v>537.42175946000009</v>
      </c>
      <c r="PS16" s="949">
        <v>680.32843113000001</v>
      </c>
      <c r="PT16" s="949">
        <v>680.32843113000001</v>
      </c>
      <c r="PU16" s="949">
        <v>717.42524755000011</v>
      </c>
      <c r="PV16" s="949">
        <v>717.42524755000011</v>
      </c>
      <c r="PW16" s="949">
        <v>717.42524755000011</v>
      </c>
      <c r="PX16" s="949">
        <v>853.81992804000004</v>
      </c>
      <c r="PY16" s="949">
        <v>876.73176750999994</v>
      </c>
      <c r="PZ16" s="949">
        <v>876.73176750999994</v>
      </c>
      <c r="QA16" s="949">
        <v>876.73176750999994</v>
      </c>
      <c r="QB16" s="949">
        <v>387.86864345000004</v>
      </c>
      <c r="QC16" s="949">
        <v>422.32770098000003</v>
      </c>
      <c r="QD16" s="949">
        <v>422.32770098000003</v>
      </c>
      <c r="QE16" s="949">
        <v>452.15874497999999</v>
      </c>
      <c r="QF16" s="949">
        <v>452.15874497999999</v>
      </c>
      <c r="QG16" s="949">
        <v>452.15874497999999</v>
      </c>
      <c r="QH16" s="949">
        <v>452.15874497999999</v>
      </c>
      <c r="QI16" s="949">
        <v>535.45501021000007</v>
      </c>
      <c r="QJ16" s="949">
        <v>535.45501021000007</v>
      </c>
      <c r="QK16" s="949">
        <v>596.66038119000007</v>
      </c>
      <c r="QL16" s="949">
        <v>596.66038119000007</v>
      </c>
      <c r="QM16" s="949">
        <v>596.66038119000007</v>
      </c>
      <c r="QN16" s="949">
        <v>683.30324513999994</v>
      </c>
      <c r="QO16" s="949">
        <v>832.37327436999999</v>
      </c>
      <c r="QP16" s="949">
        <v>832.37327436999999</v>
      </c>
      <c r="QQ16" s="949">
        <v>842.31308314</v>
      </c>
      <c r="QR16" s="949">
        <v>842.31308314</v>
      </c>
      <c r="QS16" s="949">
        <v>855.76640646999999</v>
      </c>
      <c r="QT16" s="949">
        <v>898.63556170000004</v>
      </c>
      <c r="QU16" s="949">
        <v>898.63556170000004</v>
      </c>
      <c r="QV16" s="949">
        <v>944.83162647457607</v>
      </c>
      <c r="QW16" s="949">
        <v>898.63556170000004</v>
      </c>
      <c r="QX16" s="949">
        <v>898.63556170000004</v>
      </c>
      <c r="QY16" s="949">
        <v>443.63275895000004</v>
      </c>
      <c r="QZ16" s="949">
        <v>443.63275895000004</v>
      </c>
      <c r="RA16" s="949">
        <v>259.67484096999999</v>
      </c>
      <c r="RB16" s="949">
        <v>259.67484096999999</v>
      </c>
      <c r="RC16" s="949">
        <v>259.67484096999999</v>
      </c>
      <c r="RD16" s="949">
        <v>259.67484096999999</v>
      </c>
      <c r="RE16" s="949">
        <v>128.29682911</v>
      </c>
      <c r="RF16" s="949">
        <v>128.29682911</v>
      </c>
      <c r="RG16" s="949">
        <v>128.29682911</v>
      </c>
      <c r="RH16" s="949">
        <v>177.98922952000001</v>
      </c>
      <c r="RI16" s="949">
        <v>234.85366395</v>
      </c>
      <c r="RJ16" s="949">
        <v>234.85366395</v>
      </c>
      <c r="RK16" s="949">
        <v>293.04293502000002</v>
      </c>
      <c r="RL16" s="949">
        <v>293.04293502000002</v>
      </c>
      <c r="RM16" s="949">
        <v>345.6093622300001</v>
      </c>
      <c r="RN16" s="949">
        <v>345.6093622300001</v>
      </c>
      <c r="RO16" s="949">
        <v>345.6093622300001</v>
      </c>
      <c r="RP16" s="949">
        <v>345.6093622300001</v>
      </c>
      <c r="RQ16" s="949">
        <v>183.59133021</v>
      </c>
      <c r="RR16" s="949">
        <v>183.59133021</v>
      </c>
      <c r="RS16" s="949">
        <v>295.85997738000003</v>
      </c>
      <c r="RT16" s="949">
        <v>295.85997738000003</v>
      </c>
      <c r="RU16" s="949">
        <v>295.85997738000003</v>
      </c>
      <c r="RV16" s="949">
        <v>295.85997738000003</v>
      </c>
      <c r="RW16" s="949">
        <v>295.85997738000003</v>
      </c>
      <c r="RX16" s="949">
        <v>295.85997738000003</v>
      </c>
      <c r="RY16" s="949">
        <v>268.92934588079999</v>
      </c>
      <c r="RZ16" s="949">
        <v>268.92934588079999</v>
      </c>
      <c r="SA16" s="949">
        <v>327.34270393000003</v>
      </c>
      <c r="SB16" s="949">
        <v>414.74166189400006</v>
      </c>
      <c r="SC16" s="949">
        <v>414.74166189400006</v>
      </c>
      <c r="SD16" s="949">
        <v>414.74166189400006</v>
      </c>
      <c r="SE16" s="949">
        <v>577.11129720000008</v>
      </c>
      <c r="SF16" s="949">
        <v>577.11129720000008</v>
      </c>
      <c r="SG16" s="949">
        <v>607.19757889000016</v>
      </c>
      <c r="SH16" s="949">
        <v>607.19757889000016</v>
      </c>
      <c r="SI16" s="949">
        <v>859.38119103000008</v>
      </c>
      <c r="SJ16" s="949">
        <v>859.38119103000008</v>
      </c>
      <c r="SK16" s="949">
        <v>885.70921628000008</v>
      </c>
      <c r="SL16" s="949">
        <v>885.70921628000008</v>
      </c>
      <c r="SM16" s="949">
        <v>887.44052326999997</v>
      </c>
      <c r="SN16" s="949">
        <v>887.44052326999997</v>
      </c>
      <c r="SO16" s="949">
        <v>887.44052326999997</v>
      </c>
      <c r="SP16" s="949">
        <v>534.88309069000002</v>
      </c>
      <c r="SQ16" s="949">
        <v>534.88309069000002</v>
      </c>
      <c r="SR16" s="949">
        <v>534.88309069000002</v>
      </c>
      <c r="SS16" s="949">
        <v>640.95230308000009</v>
      </c>
      <c r="ST16" s="949">
        <v>640.95230308000009</v>
      </c>
      <c r="SU16" s="949">
        <v>653.37648032000004</v>
      </c>
      <c r="SV16" s="949">
        <v>653.37648032000004</v>
      </c>
      <c r="SW16" s="949">
        <v>653.37648032000004</v>
      </c>
      <c r="SX16" s="949">
        <v>918.91854440999998</v>
      </c>
      <c r="SY16" s="949">
        <v>918.91854440999998</v>
      </c>
      <c r="SZ16" s="949">
        <v>918.91854440999998</v>
      </c>
      <c r="TA16" s="949">
        <v>706.99438871000007</v>
      </c>
      <c r="TB16" s="949">
        <v>706.99438871000007</v>
      </c>
      <c r="TC16" s="949">
        <v>757.50136407000002</v>
      </c>
      <c r="TD16" s="949">
        <v>757.50136407000002</v>
      </c>
      <c r="TE16" s="949">
        <v>335.54648229000003</v>
      </c>
      <c r="TF16" s="949">
        <v>449.08941290000001</v>
      </c>
      <c r="TG16" s="949">
        <v>158.09089621999999</v>
      </c>
      <c r="TH16" s="949">
        <v>265.62175768999998</v>
      </c>
      <c r="TI16" s="949">
        <v>389.40008172999995</v>
      </c>
      <c r="TJ16" s="949">
        <v>400.56234338000002</v>
      </c>
      <c r="TK16" s="949">
        <v>350.45869284999998</v>
      </c>
      <c r="TL16" s="949">
        <v>492.83565535999998</v>
      </c>
      <c r="TM16" s="949">
        <v>177.20169250999999</v>
      </c>
      <c r="TN16" s="949">
        <v>118.78202467999999</v>
      </c>
      <c r="TO16" s="949">
        <v>206.92655672999999</v>
      </c>
      <c r="TP16" s="949">
        <v>231.46942498999999</v>
      </c>
      <c r="TQ16" s="949">
        <v>351.36902499000001</v>
      </c>
      <c r="TR16" s="949">
        <v>463.55106246999998</v>
      </c>
      <c r="TS16" s="949">
        <v>488.97502187999999</v>
      </c>
      <c r="TT16" s="949">
        <v>497.61640148999993</v>
      </c>
      <c r="TU16" s="949">
        <v>554.19629022000004</v>
      </c>
      <c r="TV16" s="949">
        <v>470.20089210999993</v>
      </c>
      <c r="TW16" s="949">
        <v>521.57644041999993</v>
      </c>
      <c r="TX16" s="949">
        <v>632.68594920999999</v>
      </c>
      <c r="TY16" s="949">
        <v>664.61497686000007</v>
      </c>
      <c r="TZ16" s="949">
        <v>821.57523524999999</v>
      </c>
      <c r="UA16" s="949">
        <v>815.64147537999997</v>
      </c>
      <c r="UB16" s="949">
        <v>793.77856546999988</v>
      </c>
      <c r="UC16" s="949">
        <v>545.52231097999993</v>
      </c>
      <c r="UD16" s="949">
        <v>571.16231892999997</v>
      </c>
      <c r="UE16" s="949">
        <v>466.14747035000005</v>
      </c>
      <c r="UF16" s="949">
        <v>503.23577244000001</v>
      </c>
      <c r="UG16" s="949">
        <v>424.12250301999995</v>
      </c>
      <c r="UH16" s="949">
        <v>327.30280931999999</v>
      </c>
      <c r="UI16" s="949">
        <v>362.51460677</v>
      </c>
      <c r="UJ16" s="949">
        <v>306.68892751999999</v>
      </c>
      <c r="UK16" s="949">
        <v>320.84870481999997</v>
      </c>
      <c r="UL16" s="949">
        <v>251.49606566</v>
      </c>
      <c r="UM16" s="949">
        <v>164.65196941000002</v>
      </c>
      <c r="UN16" s="949">
        <v>238.95677207000003</v>
      </c>
      <c r="UO16" s="949">
        <v>245.49234392000002</v>
      </c>
      <c r="UP16" s="949">
        <v>268.72150843000003</v>
      </c>
      <c r="UQ16" s="949">
        <v>298.24623137000003</v>
      </c>
      <c r="UR16" s="949">
        <v>261.26914963000002</v>
      </c>
      <c r="US16" s="949">
        <v>265.04232188000003</v>
      </c>
      <c r="UT16" s="949">
        <v>291.32784607000002</v>
      </c>
      <c r="UU16" s="949">
        <v>272.12734024999997</v>
      </c>
      <c r="UV16" s="949">
        <v>351.98524807999996</v>
      </c>
      <c r="UW16" s="949">
        <v>364.85908888</v>
      </c>
      <c r="UX16" s="949">
        <v>352.56916875999997</v>
      </c>
      <c r="UY16" s="949">
        <v>328.27417266999998</v>
      </c>
      <c r="UZ16" s="949">
        <v>259.59378001000005</v>
      </c>
      <c r="VA16" s="949">
        <v>259.59378001000005</v>
      </c>
      <c r="VB16" s="949">
        <v>369.49269497999995</v>
      </c>
      <c r="VC16" s="949">
        <v>204.35573897</v>
      </c>
      <c r="VD16" s="949">
        <v>317.60184152999994</v>
      </c>
      <c r="VE16" s="949">
        <v>317.60184152999994</v>
      </c>
      <c r="VF16" s="949">
        <v>337.73806080000003</v>
      </c>
      <c r="VG16" s="949">
        <v>547.9217756999999</v>
      </c>
      <c r="VH16" s="949">
        <v>638.10937310999986</v>
      </c>
      <c r="VI16" s="949">
        <v>625.13319516999991</v>
      </c>
      <c r="VJ16" s="949">
        <v>740.94192939999994</v>
      </c>
      <c r="VK16" s="949">
        <v>214.12093430000002</v>
      </c>
      <c r="VL16" s="949">
        <v>301.81762103999995</v>
      </c>
      <c r="VM16" s="949">
        <v>175.16725528000001</v>
      </c>
      <c r="VN16" s="949">
        <v>219.70962954000001</v>
      </c>
      <c r="VO16" s="949">
        <v>173.98712226000001</v>
      </c>
      <c r="VP16" s="949">
        <v>245.52445323000001</v>
      </c>
      <c r="VQ16" s="949">
        <v>330.04089170999998</v>
      </c>
      <c r="VR16" s="949">
        <v>226.89363018</v>
      </c>
      <c r="VS16" s="949">
        <v>67.026094689999994</v>
      </c>
      <c r="VT16" s="949">
        <v>139.67009012</v>
      </c>
      <c r="VU16" s="949">
        <v>166.18961464</v>
      </c>
      <c r="VV16" s="949">
        <v>125.88837199</v>
      </c>
      <c r="VW16" s="949">
        <v>269.95664713999997</v>
      </c>
      <c r="VX16" s="949">
        <v>310.21923802999999</v>
      </c>
      <c r="VY16" s="949">
        <v>542.00793610999995</v>
      </c>
      <c r="VZ16" s="949">
        <v>545.23289134999993</v>
      </c>
      <c r="WA16" s="949">
        <v>617.81494041999997</v>
      </c>
      <c r="WB16" s="949">
        <v>351.45865493000002</v>
      </c>
      <c r="WC16" s="949">
        <v>168.56661771</v>
      </c>
      <c r="WD16" s="949">
        <v>216.96384734</v>
      </c>
      <c r="WE16" s="949">
        <v>558.14543563304983</v>
      </c>
      <c r="WF16" s="949">
        <v>388.64609888000001</v>
      </c>
      <c r="WG16" s="949">
        <v>201.94158191</v>
      </c>
      <c r="WH16" s="949">
        <v>257.01210846000004</v>
      </c>
      <c r="WI16" s="949">
        <v>181.16742274000001</v>
      </c>
      <c r="WJ16" s="949">
        <v>311.06834487999998</v>
      </c>
      <c r="WK16" s="949">
        <v>46.995582660000025</v>
      </c>
      <c r="WL16" s="949">
        <v>64.21781795000004</v>
      </c>
      <c r="WM16" s="949">
        <v>182.14963702</v>
      </c>
      <c r="WN16" s="949">
        <v>354.29424612000003</v>
      </c>
      <c r="WO16" s="949">
        <v>127.38770722</v>
      </c>
      <c r="WP16" s="949">
        <v>135.31493830000002</v>
      </c>
      <c r="WQ16" s="949">
        <v>199.59240014000002</v>
      </c>
      <c r="WR16" s="949">
        <v>252.08946406000004</v>
      </c>
      <c r="WS16" s="949">
        <v>242.79160380000002</v>
      </c>
      <c r="WT16" s="949">
        <v>328.77038699000002</v>
      </c>
      <c r="WU16" s="949">
        <v>165.39080645000001</v>
      </c>
      <c r="WV16" s="949">
        <v>212.21204880000002</v>
      </c>
      <c r="WW16" s="949">
        <v>181.86951197000002</v>
      </c>
      <c r="WX16" s="949">
        <v>101.84910957000002</v>
      </c>
      <c r="WY16" s="949">
        <v>211.14236147000003</v>
      </c>
      <c r="WZ16" s="949">
        <v>235.09654600000002</v>
      </c>
      <c r="XA16" s="949">
        <v>268.07693085</v>
      </c>
      <c r="XB16" s="949">
        <v>146.62561524</v>
      </c>
      <c r="XC16" s="949">
        <v>210.03417286000001</v>
      </c>
      <c r="XD16" s="949">
        <v>111.8307835</v>
      </c>
      <c r="XE16" s="949">
        <v>240.91218163000002</v>
      </c>
      <c r="XF16" s="949">
        <v>216.25740830000001</v>
      </c>
      <c r="XG16" s="949">
        <v>248.52585905000001</v>
      </c>
      <c r="XH16" s="949">
        <v>287.65251378000005</v>
      </c>
      <c r="XI16" s="949">
        <v>143.27872461000001</v>
      </c>
      <c r="XJ16" s="949">
        <v>173.32673421000001</v>
      </c>
      <c r="XK16" s="949">
        <v>200.45630393000002</v>
      </c>
      <c r="XL16" s="949">
        <v>244.27286263000002</v>
      </c>
      <c r="XM16" s="949">
        <v>380.89960356</v>
      </c>
      <c r="XN16" s="949">
        <v>448.95084801000002</v>
      </c>
      <c r="XO16" s="949">
        <v>500.12977293</v>
      </c>
      <c r="XP16" s="949">
        <v>504.79681699000002</v>
      </c>
      <c r="XQ16" s="949">
        <v>103.64869911</v>
      </c>
      <c r="XR16" s="949">
        <v>207.00579772000003</v>
      </c>
      <c r="XS16" s="949">
        <v>109.16704467999999</v>
      </c>
      <c r="XT16" s="949">
        <v>121.06715648999999</v>
      </c>
      <c r="XU16" s="949">
        <v>228.12445467000001</v>
      </c>
      <c r="XV16" s="949">
        <v>289.18027090000004</v>
      </c>
      <c r="XW16" s="949">
        <v>322.14959596000006</v>
      </c>
      <c r="XX16" s="949">
        <v>174.12367516</v>
      </c>
      <c r="XY16" s="949">
        <v>293.28234806000006</v>
      </c>
      <c r="XZ16" s="949">
        <v>231.19786357000001</v>
      </c>
      <c r="YA16" s="949">
        <v>250.67529174000001</v>
      </c>
      <c r="YB16" s="949">
        <v>377.57355809000001</v>
      </c>
      <c r="YC16" s="949">
        <v>256.68766276000002</v>
      </c>
      <c r="YD16" s="949">
        <v>198.25307442000002</v>
      </c>
      <c r="YE16" s="949">
        <v>176.27378120000003</v>
      </c>
      <c r="YF16" s="949">
        <v>101.12456062999999</v>
      </c>
      <c r="YG16" s="949">
        <v>114.39210869999999</v>
      </c>
      <c r="YH16" s="949">
        <v>129.38589662999999</v>
      </c>
    </row>
    <row r="17" spans="2:658">
      <c r="B17" s="917" t="s">
        <v>49</v>
      </c>
      <c r="C17" s="918">
        <v>130.03033862000001</v>
      </c>
      <c r="D17" s="130">
        <v>132.82537532999999</v>
      </c>
      <c r="E17" s="130">
        <v>150.42361020999999</v>
      </c>
      <c r="F17" s="130">
        <v>171.60437021000001</v>
      </c>
      <c r="G17" s="130">
        <v>179.54767638000001</v>
      </c>
      <c r="H17" s="130">
        <v>179.43204134999999</v>
      </c>
      <c r="I17" s="130">
        <v>179.43450568</v>
      </c>
      <c r="J17" s="130">
        <v>196.84450568</v>
      </c>
      <c r="K17" s="130">
        <v>217.0421441</v>
      </c>
      <c r="L17" s="130">
        <v>230.94653049999999</v>
      </c>
      <c r="M17" s="130">
        <v>216.02910524000001</v>
      </c>
      <c r="N17" s="130">
        <v>210.16539406999999</v>
      </c>
      <c r="O17" s="130">
        <v>235.60015046999999</v>
      </c>
      <c r="P17" s="130">
        <v>257.42742023</v>
      </c>
      <c r="Q17" s="130">
        <v>271.24504509000002</v>
      </c>
      <c r="R17" s="130">
        <v>272.36511654000003</v>
      </c>
      <c r="S17" s="130">
        <f>200+70.30590704</f>
        <v>270.30590703999997</v>
      </c>
      <c r="T17" s="130">
        <v>287.91500738999997</v>
      </c>
      <c r="U17" s="130">
        <v>257.73509858</v>
      </c>
      <c r="V17" s="130">
        <v>278.55058123999999</v>
      </c>
      <c r="W17" s="130">
        <v>278.16115287000002</v>
      </c>
      <c r="X17" s="130">
        <v>278.15148965000003</v>
      </c>
      <c r="Y17" s="130">
        <v>338.76353181000002</v>
      </c>
      <c r="Z17" s="130">
        <v>339.80977849999999</v>
      </c>
      <c r="AA17" s="130">
        <v>334.80498289999997</v>
      </c>
      <c r="AB17" s="130">
        <v>388.08586430999998</v>
      </c>
      <c r="AC17" s="130">
        <v>391.67815473999997</v>
      </c>
      <c r="AD17" s="130">
        <v>377.11857141999997</v>
      </c>
      <c r="AE17" s="130">
        <v>387.36637285</v>
      </c>
      <c r="AF17" s="130">
        <f>0.11101204+35.00739279+70+300</f>
        <v>405.11840483000003</v>
      </c>
      <c r="AG17" s="130">
        <f>0.11101204+113.83129531+300</f>
        <v>413.94230735000002</v>
      </c>
      <c r="AH17" s="130">
        <f>0.11101204+114.43612102+300</f>
        <v>414.54713306000002</v>
      </c>
      <c r="AI17" s="130">
        <v>414.53242236</v>
      </c>
      <c r="AJ17" s="130">
        <f>0.11101204+132.69659725+300</f>
        <v>432.80760928999996</v>
      </c>
      <c r="AK17" s="130">
        <f>0.11101204+147.92303939+300</f>
        <v>448.03405142999998</v>
      </c>
      <c r="AL17" s="130">
        <f>0.11101204+160.51109559+300</f>
        <v>460.62210762999996</v>
      </c>
      <c r="AM17" s="130">
        <f>0.11101204+389.62105492</f>
        <v>389.73206696</v>
      </c>
      <c r="AN17" s="130">
        <f>0.11101204+14.72966655+375</f>
        <v>389.84067858999998</v>
      </c>
      <c r="AO17" s="130">
        <f>0.11101204+17.93758513+375+14</f>
        <v>407.04859716999999</v>
      </c>
      <c r="AP17" s="130">
        <f>0.11101204+34.36587836+375+14</f>
        <v>423.4768904</v>
      </c>
      <c r="AQ17" s="130">
        <f>0.11081204+441.14471159</f>
        <v>441.25552362999997</v>
      </c>
      <c r="AR17" s="130">
        <f>0.11081204+43.27858238+400</f>
        <v>443.38939442000003</v>
      </c>
      <c r="AS17" s="130">
        <f>0.11081204+43.285431+400</f>
        <v>443.39624304</v>
      </c>
      <c r="AT17" s="130">
        <f>0.11081204+0.1931291+400+61.1</f>
        <v>461.40394114000003</v>
      </c>
      <c r="AU17" s="130">
        <f>0.11081204+80.33429693+400</f>
        <v>480.44510896999998</v>
      </c>
      <c r="AV17" s="130">
        <f>0.11081204+90.66901062+400</f>
        <v>490.77982265999998</v>
      </c>
      <c r="AW17" s="130">
        <f>0.11081204+87.54665267+400</f>
        <v>487.65746471</v>
      </c>
      <c r="AX17" s="130">
        <f>0.11081204+88.06190577+400</f>
        <v>488.17271780999999</v>
      </c>
      <c r="AY17" s="130">
        <f>0.11081204+38.83709481+400+88</f>
        <v>526.94790684999998</v>
      </c>
      <c r="AZ17" s="130">
        <f>0.11081204+105.61264138+400</f>
        <v>505.72345342</v>
      </c>
      <c r="BA17" s="130">
        <f>0.11081204+115.22950741+400</f>
        <v>515.34031945000004</v>
      </c>
      <c r="BB17" s="130">
        <v>518.33469604000004</v>
      </c>
      <c r="BC17" s="130">
        <f>0.10841204+20.67109405+400+118.2</f>
        <v>538.97950608999997</v>
      </c>
      <c r="BD17" s="130">
        <f>0.10841204+39.68001705+400+118.2</f>
        <v>557.98842909000007</v>
      </c>
      <c r="BE17" s="130">
        <f>0.10841204+577.41984331</f>
        <v>577.52825534999999</v>
      </c>
      <c r="BF17" s="130">
        <f>0.10841204+575.8006438</f>
        <v>575.90905583999995</v>
      </c>
      <c r="BG17" s="130">
        <f>0.10841204+0.00738961+338.2</f>
        <v>338.31580164999997</v>
      </c>
      <c r="BH17" s="130">
        <f>0.10841204+14.27591701+338.2</f>
        <v>352.58432905000001</v>
      </c>
      <c r="BI17" s="130">
        <f>0.10821204+366.56075589</f>
        <v>366.66896793000001</v>
      </c>
      <c r="BJ17" s="130">
        <f>0.10821204+381.0311637</f>
        <v>381.13937573999999</v>
      </c>
      <c r="BK17" s="130">
        <f>0.10821204+370.5451278</f>
        <v>370.65333984</v>
      </c>
      <c r="BL17" s="130">
        <f>0.10821204+337.53143003</f>
        <v>337.63964207000004</v>
      </c>
      <c r="BM17" s="130">
        <f>0.10821204+353.5817951</f>
        <v>353.69000714000003</v>
      </c>
      <c r="BN17" s="130">
        <f>0.10821204+373.58706152</f>
        <v>373.69527356000003</v>
      </c>
      <c r="BO17" s="130">
        <f>0.10821204+369.26837449</f>
        <v>369.37658653</v>
      </c>
      <c r="BP17" s="130">
        <f>0.10821204+371.03106895</f>
        <v>371.13928099000003</v>
      </c>
      <c r="BQ17" s="130">
        <f>0.10821204+372.09084761</f>
        <v>372.19905965000004</v>
      </c>
      <c r="BR17" s="130">
        <f>0.10821204+395.19460779</f>
        <v>395.30281983000003</v>
      </c>
      <c r="BS17" s="130">
        <f>0.10821204+395.19460779</f>
        <v>395.30281983000003</v>
      </c>
      <c r="BT17" s="130">
        <f>0.10821204+431.08427983</f>
        <v>431.19249187000003</v>
      </c>
      <c r="BU17" s="130">
        <f>0.10821204+283.67241828</f>
        <v>283.78063032</v>
      </c>
      <c r="BV17" s="130">
        <f>0.10821204+278.59906353</f>
        <v>278.70727557000004</v>
      </c>
      <c r="BW17" s="130">
        <f>0.10821204+297.314560052</f>
        <v>297.422772092</v>
      </c>
      <c r="BX17" s="130">
        <f>0.10821204+315.97512879</f>
        <v>316.08334083</v>
      </c>
      <c r="BY17" s="130">
        <f>236.16032466+0.10821204</f>
        <v>236.2685367</v>
      </c>
      <c r="BZ17" s="130">
        <f>235.87806176+0.10821204</f>
        <v>235.98627380000002</v>
      </c>
      <c r="CA17" s="130">
        <f>234.4342329+0.10821204</f>
        <v>234.54244494000002</v>
      </c>
      <c r="CB17" s="130">
        <f>253.37590458+0.10821204</f>
        <v>253.48411662000001</v>
      </c>
      <c r="CC17" s="130">
        <f>184.31291212+0.10821204</f>
        <v>184.42112416000001</v>
      </c>
      <c r="CD17" s="130">
        <f>185.33330939+0.10821204</f>
        <v>185.44152143000002</v>
      </c>
      <c r="CE17" s="130">
        <f>185.69450539+0.10821204</f>
        <v>185.80271743</v>
      </c>
      <c r="CF17" s="130">
        <f>185.69450539+0.10821204</f>
        <v>185.80271743</v>
      </c>
      <c r="CG17" s="130">
        <f>200.30675456+0.10801204</f>
        <v>200.41476660000001</v>
      </c>
      <c r="CH17" s="130">
        <f>243.09100308+0.10801204</f>
        <v>243.19901512000001</v>
      </c>
      <c r="CI17" s="130">
        <f>138.01943462+0.10801204</f>
        <v>138.12744666</v>
      </c>
      <c r="CJ17" s="130">
        <f>139.040228859+0.10801204</f>
        <v>139.148240899</v>
      </c>
      <c r="CK17" s="130">
        <f>139.76089904+0.10801204</f>
        <v>139.86891108</v>
      </c>
      <c r="CL17" s="130">
        <f>164.48973696+0.10801204</f>
        <v>164.59774899999999</v>
      </c>
      <c r="CM17" s="130">
        <f>208.43730765+0.10801204</f>
        <v>208.54531969000001</v>
      </c>
      <c r="CN17" s="130">
        <f>161.71815699+0.10801204</f>
        <v>161.82616903000002</v>
      </c>
      <c r="CO17" s="130">
        <f>160.44662109+0.10801204</f>
        <v>160.55463313000001</v>
      </c>
      <c r="CP17" s="130">
        <f>160.97261561+0.10801204</f>
        <v>161.08062765</v>
      </c>
      <c r="CQ17" s="130">
        <f>169.45234091+0.10801204</f>
        <v>169.56035295000001</v>
      </c>
      <c r="CR17" s="130">
        <f>219.75170365+0.10801204</f>
        <v>219.85971569</v>
      </c>
      <c r="CS17" s="130">
        <f>201.60481313+0.10801204</f>
        <v>201.71282517</v>
      </c>
      <c r="CT17" s="130">
        <f>5.06902945+202.9975+0.10801204</f>
        <v>208.17454149</v>
      </c>
      <c r="CU17" s="130">
        <f>209.0975+0.54308645+0.10801204</f>
        <v>209.74859849000001</v>
      </c>
      <c r="CV17" s="130">
        <f>20.52763931+209.13311589+0.10801204</f>
        <v>229.76876724000002</v>
      </c>
      <c r="CW17" s="130">
        <f>280.89709336+2.78327372+0.10801204</f>
        <v>283.78837912</v>
      </c>
      <c r="CX17" s="130">
        <f>280.89709336+2.78327372+0.10801204</f>
        <v>283.78837912</v>
      </c>
      <c r="CY17" s="130">
        <f>282.99292294+2.47875224+0.10801204</f>
        <v>285.57968722000004</v>
      </c>
      <c r="CZ17" s="130">
        <v>285.57968722000004</v>
      </c>
      <c r="DA17" s="130">
        <f>283.041296+0.107812+21.996597</f>
        <v>305.14570500000002</v>
      </c>
      <c r="DB17" s="130">
        <f>332.70844546+0.107812+3.62658936</f>
        <v>336.44284682000006</v>
      </c>
      <c r="DC17" s="130">
        <f>334.764934+0.107812+3.314581</f>
        <v>338.18732699999998</v>
      </c>
      <c r="DD17" s="130">
        <f>336.24586698+0.107812+3.31207336</f>
        <v>339.66575234000004</v>
      </c>
      <c r="DE17" s="130">
        <f>337.30468922+0.107812+5.97605379</f>
        <v>343.38855501</v>
      </c>
      <c r="DF17" s="130">
        <f>340.2156063+0.107812+2.95378179</f>
        <v>343.27720009000001</v>
      </c>
      <c r="DG17" s="130">
        <f>362.13041178+0.107812+2.67377379</f>
        <v>364.91199756999998</v>
      </c>
      <c r="DH17" s="130">
        <f>186.23482002+0.10781204+1.74874157</f>
        <v>188.09137362999999</v>
      </c>
      <c r="DI17" s="130">
        <f>4.21486322+180.311237+1.74874157</f>
        <v>186.27484179000001</v>
      </c>
      <c r="DJ17" s="130">
        <f>4.12486322+180.99978151+1.74874157</f>
        <v>186.87338629999999</v>
      </c>
      <c r="DK17" s="130">
        <f>5.83822322+194.74044128+0.10781204</f>
        <v>200.68647654</v>
      </c>
      <c r="DL17" s="130">
        <f>5.83271622+234.5615532+0.10781204</f>
        <v>240.50208146</v>
      </c>
      <c r="DM17" s="130">
        <f>5.83271622+234.5615532+0.10781204</f>
        <v>240.50208146</v>
      </c>
      <c r="DN17" s="130">
        <f>0.97214353+218.04009375+0.10781204</f>
        <v>219.12004932000002</v>
      </c>
      <c r="DO17" s="130">
        <f>0.98523307+235.24595918+0.10781204</f>
        <v>236.33900428999999</v>
      </c>
      <c r="DP17" s="130">
        <f>0.98523307+235.24595918+0.10781204</f>
        <v>236.33900428999999</v>
      </c>
      <c r="DQ17" s="130">
        <f>0.98523307+262.05662165+0.10781204</f>
        <v>263.14966676</v>
      </c>
      <c r="DR17" s="130">
        <v>234.20398613</v>
      </c>
      <c r="DS17" s="130">
        <v>234.20398613</v>
      </c>
      <c r="DT17" s="130">
        <f>1.5926228+242.21490251+0.10667204</f>
        <v>243.91419734999999</v>
      </c>
      <c r="DU17" s="130">
        <f>3.7926228+257.23563226+0.10667204</f>
        <v>261.13492709999997</v>
      </c>
      <c r="DV17" s="130">
        <f>3.7926228+283.3569987+0.10647204</f>
        <v>287.25609354000005</v>
      </c>
      <c r="DW17" s="130">
        <f>4.0304058+303.34784697+0.10647204</f>
        <v>307.48472480999999</v>
      </c>
      <c r="DX17" s="130">
        <f>4.0304058+269.33135859+0.10647204</f>
        <v>273.46823642999999</v>
      </c>
      <c r="DY17" s="130">
        <f>3.70427139+143.21987605+0.10647204</f>
        <v>147.03061948000001</v>
      </c>
      <c r="DZ17" s="130">
        <f>17.46228239+145.48304001+0.10647204</f>
        <v>163.05179444000001</v>
      </c>
      <c r="EA17" s="130">
        <f>6.26160672+181.82289669+0.10647204</f>
        <v>188.19097545</v>
      </c>
      <c r="EB17" s="130">
        <f>6.26160672+202.27765861+0.10647204</f>
        <v>208.64573737000001</v>
      </c>
      <c r="EC17" s="130">
        <f>6.26160672+207.25533665+0.10647204</f>
        <v>213.62341541000001</v>
      </c>
      <c r="ED17" s="130">
        <f>4.2068122+204.40803489+0.10647204</f>
        <v>208.72131913000001</v>
      </c>
      <c r="EE17" s="130">
        <f>4.2068122+16.24749587+0.10647204+204</f>
        <v>224.56078011</v>
      </c>
      <c r="EF17" s="130">
        <f>8.7468122+21.06151231+0.10647204+220</f>
        <v>249.91479655000001</v>
      </c>
      <c r="EG17" s="130">
        <f>3.7468042+263.47544676+0.10647204</f>
        <v>267.32872300000002</v>
      </c>
      <c r="EH17" s="130">
        <f>3.7468042+262.14979533+0.10647204</f>
        <v>266.00307157000003</v>
      </c>
      <c r="EI17" s="130">
        <f>3.7468042+262.48501934+0.10647204</f>
        <v>266.33829558000002</v>
      </c>
      <c r="EJ17" s="130">
        <f>3.7468042+271.94350536+0.10647204</f>
        <v>275.79678160000003</v>
      </c>
      <c r="EK17" s="130">
        <f>3.7468042+292.24204372+0.10647204</f>
        <v>296.09531996000004</v>
      </c>
      <c r="EL17" s="130">
        <f>3.7468042+309.87197249+0.10647204</f>
        <v>313.72524873000003</v>
      </c>
      <c r="EM17" s="130">
        <f>3.7468042+316.53617249+0.10647204</f>
        <v>320.38944873000003</v>
      </c>
      <c r="EN17" s="130">
        <f>3.7468042+275.681044+0.10647204</f>
        <v>279.53432024</v>
      </c>
      <c r="EO17" s="130">
        <f>3.76928188+294.13152345+0.10627204</f>
        <v>298.00707736999999</v>
      </c>
      <c r="EP17" s="130">
        <f>3.76928188+310.33872116+0.10627204</f>
        <v>314.21427507999999</v>
      </c>
      <c r="EQ17" s="130">
        <f>5.26928188+318.88717711+0.10627204</f>
        <v>324.26273103</v>
      </c>
      <c r="ER17" s="130">
        <v>324.26273103</v>
      </c>
      <c r="ES17" s="130">
        <f>5.26928188+100.68717711+0.10627204+219</f>
        <v>325.06273103000001</v>
      </c>
      <c r="ET17" s="130">
        <f>5.26928188+115.95531503+0.10627204+219</f>
        <v>340.33086894999997</v>
      </c>
      <c r="EU17" s="130">
        <f>6.76928188+117.94904791+0.10627204+236</f>
        <v>360.82460183000001</v>
      </c>
      <c r="EV17" s="130">
        <f>8.16976005+169.68953558+0.10627204+200</f>
        <v>377.96556767000004</v>
      </c>
      <c r="EW17" s="130">
        <f>8.16976005+310.15149383+0.10627204</f>
        <v>318.42752591999999</v>
      </c>
      <c r="EX17" s="130">
        <f>8.18490005+112.16012275+0.10627204+200</f>
        <v>320.45129484</v>
      </c>
      <c r="EY17" s="130">
        <v>346.05528772000002</v>
      </c>
      <c r="EZ17" s="130">
        <v>361.26766086999999</v>
      </c>
      <c r="FA17" s="130">
        <v>324.72681491000003</v>
      </c>
      <c r="FB17" s="130">
        <v>325</v>
      </c>
      <c r="FC17" s="130">
        <v>340.34949924</v>
      </c>
      <c r="FD17" s="130">
        <v>356.50665974000003</v>
      </c>
      <c r="FE17" s="130">
        <v>375.35754056999997</v>
      </c>
      <c r="FF17" s="130">
        <f>11.15338438+98.93676422+0.10627204+253</f>
        <v>363.19642063999999</v>
      </c>
      <c r="FG17" s="130">
        <f>4.07615638+100.67919815+0.10627204+228</f>
        <v>332.86162657</v>
      </c>
      <c r="FH17" s="130">
        <v>350</v>
      </c>
      <c r="FI17" s="130">
        <v>369.21243300999998</v>
      </c>
      <c r="FJ17" s="130">
        <f>4.07615638+100.64055659+0.10627204+257</f>
        <v>361.82298501000002</v>
      </c>
      <c r="FK17" s="130">
        <f>4.07615638+100.64055659+0.10627204+257</f>
        <v>361.82298501000002</v>
      </c>
      <c r="FL17" s="130">
        <f>15.59340495+326.75192246</f>
        <v>342.34532740999998</v>
      </c>
      <c r="FM17" s="130">
        <v>357</v>
      </c>
      <c r="FN17" s="130">
        <v>383.97598055000003</v>
      </c>
      <c r="FO17" s="130">
        <f>15.59340495+104.79792151+0.10627204+281</f>
        <v>401.49759849999998</v>
      </c>
      <c r="FP17" s="130">
        <f>15.59340495+341.55101145+0.10627204</f>
        <v>357.25068843999998</v>
      </c>
      <c r="FQ17" s="130">
        <f>15.59541478+100.53537445+0.10627204+242</f>
        <v>358.23706127000003</v>
      </c>
      <c r="FR17" s="130">
        <v>370.03350434999999</v>
      </c>
      <c r="FS17" s="130">
        <v>387.03061888000002</v>
      </c>
      <c r="FT17" s="130">
        <f>15.59541478+100.04164597+0.10627204+239</f>
        <v>354.74333279000001</v>
      </c>
      <c r="FU17" s="130">
        <f>15.59541478+100.75399256+0.10627204+242</f>
        <v>358.45567937999999</v>
      </c>
      <c r="FV17" s="130">
        <f>15.59541478+100.84927919+0.10627204+244</f>
        <v>360.55096601000002</v>
      </c>
      <c r="FW17" s="130">
        <f>15.59541478+114.88259409+0.10607204+246.5</f>
        <v>377.08408091000001</v>
      </c>
      <c r="FX17" s="130">
        <f>15.59541478+100.03974244+0.10607204+282.9</f>
        <v>398.64122925999999</v>
      </c>
      <c r="FY17" s="130">
        <v>417</v>
      </c>
      <c r="FZ17" s="130">
        <f>15.59491478+100.42289833+0.10607204+266</f>
        <v>382.12388514999998</v>
      </c>
      <c r="GA17" s="130">
        <f>15.59491478+367.18953395+0.10607204</f>
        <v>382.89052077000002</v>
      </c>
      <c r="GB17" s="130">
        <f>15.59491478+83.66721768+0.10607204+300</f>
        <v>399.36820449999999</v>
      </c>
      <c r="GC17" s="130">
        <f>15.59491478+99.11271001+0.10607204+300</f>
        <v>414.81369683000003</v>
      </c>
      <c r="GD17" s="130">
        <f>15.59541478+115.37881439+0.10607204+300</f>
        <v>431.08030121000002</v>
      </c>
      <c r="GE17" s="130">
        <f>15.59541478+166.02110877+0.10607204</f>
        <v>181.72259559</v>
      </c>
      <c r="GF17" s="130">
        <f>3.79539878+179.47281944+0.10607204</f>
        <v>183.37429025999998</v>
      </c>
      <c r="GG17" s="130">
        <f>3.83954602+176.145498+0.10587204+175</f>
        <v>355.09091606000004</v>
      </c>
      <c r="GH17" s="130">
        <f>3.74708026+191.34330622+0.10587204</f>
        <v>195.19625851999999</v>
      </c>
      <c r="GI17" s="130">
        <v>279.15307621000005</v>
      </c>
      <c r="GJ17" s="130">
        <v>281.85183079000001</v>
      </c>
      <c r="GK17" s="130">
        <v>329.09400766000005</v>
      </c>
      <c r="GL17" s="130">
        <v>295.42400766000003</v>
      </c>
      <c r="GM17" s="130">
        <v>319.14702809000005</v>
      </c>
      <c r="GN17" s="130">
        <v>331.84950322999998</v>
      </c>
      <c r="GO17" s="130">
        <v>340.44085723000001</v>
      </c>
      <c r="GP17" s="130">
        <v>329.84531876</v>
      </c>
      <c r="GQ17" s="130">
        <v>325.29516465</v>
      </c>
      <c r="GR17" s="130">
        <v>326.32988903</v>
      </c>
      <c r="GS17" s="130">
        <v>338.61170606000002</v>
      </c>
      <c r="GT17" s="130">
        <v>368.15549764000002</v>
      </c>
      <c r="GU17" s="130">
        <v>379.94121304999999</v>
      </c>
      <c r="GV17" s="130">
        <v>397.74587646999998</v>
      </c>
      <c r="GW17" s="130">
        <v>397.74587646999998</v>
      </c>
      <c r="GX17" s="130">
        <v>389.2</v>
      </c>
      <c r="GY17" s="130">
        <v>401.88848241000005</v>
      </c>
      <c r="GZ17" s="130">
        <v>429.41865576000004</v>
      </c>
      <c r="HA17" s="130">
        <v>78.177569380000008</v>
      </c>
      <c r="HB17" s="130">
        <v>92.717056510000006</v>
      </c>
      <c r="HC17" s="130">
        <v>129.13981257</v>
      </c>
      <c r="HD17" s="130">
        <v>132.63698316</v>
      </c>
      <c r="HE17" s="130">
        <v>164.35840994999998</v>
      </c>
      <c r="HF17" s="130">
        <v>158.56803203999999</v>
      </c>
      <c r="HG17" s="130">
        <v>163.90106037000001</v>
      </c>
      <c r="HH17" s="130">
        <v>180.49711947</v>
      </c>
      <c r="HI17" s="130">
        <v>211.41518994</v>
      </c>
      <c r="HJ17" s="130">
        <v>212.44788505000002</v>
      </c>
      <c r="HK17" s="130">
        <v>228.50977487</v>
      </c>
      <c r="HL17" s="130">
        <v>260.89570485000002</v>
      </c>
      <c r="HM17" s="130">
        <v>262.00869562000003</v>
      </c>
      <c r="HN17" s="130">
        <v>275.17865942999998</v>
      </c>
      <c r="HO17" s="130">
        <v>309.92208369000002</v>
      </c>
      <c r="HP17" s="130">
        <v>313.99459818000003</v>
      </c>
      <c r="HQ17" s="130">
        <v>247.77156596</v>
      </c>
      <c r="HR17" s="130">
        <v>259.14893570999999</v>
      </c>
      <c r="HS17" s="130">
        <v>61.784560640000002</v>
      </c>
      <c r="HT17" s="949">
        <v>65.168158030000001</v>
      </c>
      <c r="HU17" s="949">
        <v>65.168158030000001</v>
      </c>
      <c r="HV17" s="949">
        <v>73.674357810000004</v>
      </c>
      <c r="HW17" s="949">
        <v>73.674357810000004</v>
      </c>
      <c r="HX17" s="949">
        <v>106.57148819</v>
      </c>
      <c r="HY17" s="949">
        <v>106.57148819</v>
      </c>
      <c r="HZ17" s="949">
        <v>103.25744267</v>
      </c>
      <c r="IA17" s="949">
        <v>117.43057324999999</v>
      </c>
      <c r="IB17" s="949">
        <v>150.09025439999999</v>
      </c>
      <c r="IC17" s="949">
        <v>150.09025439999999</v>
      </c>
      <c r="ID17" s="949">
        <v>150.09025439999999</v>
      </c>
      <c r="IE17" s="949">
        <v>257.91247606000002</v>
      </c>
      <c r="IF17" s="949">
        <v>257.91247606000002</v>
      </c>
      <c r="IG17" s="949">
        <v>84.192141710000001</v>
      </c>
      <c r="IH17" s="949">
        <v>87.151434840000007</v>
      </c>
      <c r="II17" s="949">
        <v>87.151434840000007</v>
      </c>
      <c r="IJ17" s="949">
        <v>87.151434840000007</v>
      </c>
      <c r="IK17" s="949">
        <v>118.74865773000001</v>
      </c>
      <c r="IL17" s="949">
        <v>118.74865773000001</v>
      </c>
      <c r="IM17" s="949">
        <v>118.74865773000001</v>
      </c>
      <c r="IN17" s="949">
        <v>149.79864197000001</v>
      </c>
      <c r="IO17" s="949">
        <v>146.16121222999999</v>
      </c>
      <c r="IP17" s="949">
        <v>176.47290909999998</v>
      </c>
      <c r="IQ17" s="949">
        <v>196.92021843999999</v>
      </c>
      <c r="IR17" s="949">
        <v>196.92021843999999</v>
      </c>
      <c r="IS17" s="949">
        <v>204.71118054999999</v>
      </c>
      <c r="IT17" s="949">
        <v>254.34927209</v>
      </c>
      <c r="IU17" s="949">
        <v>258.64138824999998</v>
      </c>
      <c r="IV17" s="949">
        <v>258.64138824999998</v>
      </c>
      <c r="IW17" s="949">
        <v>267.05362789999998</v>
      </c>
      <c r="IX17" s="949">
        <v>81.336382310000005</v>
      </c>
      <c r="IY17" s="949">
        <v>100.07566094000001</v>
      </c>
      <c r="IZ17" s="949">
        <v>101.96517727000001</v>
      </c>
      <c r="JA17" s="949">
        <v>118.55545846000001</v>
      </c>
      <c r="JB17" s="949">
        <v>118.55545846000001</v>
      </c>
      <c r="JC17" s="949">
        <v>162.80674962000001</v>
      </c>
      <c r="JD17" s="949">
        <v>163.82959523</v>
      </c>
      <c r="JE17" s="949">
        <v>163.82959523</v>
      </c>
      <c r="JF17" s="949">
        <v>163.82959523</v>
      </c>
      <c r="JG17" s="949">
        <v>85.869158800000008</v>
      </c>
      <c r="JH17" s="949">
        <v>85.869158800000008</v>
      </c>
      <c r="JI17" s="949">
        <v>85.869158800000008</v>
      </c>
      <c r="JJ17" s="949">
        <v>108.48803032000001</v>
      </c>
      <c r="JK17" s="949">
        <v>115.78555693000001</v>
      </c>
      <c r="JL17" s="949">
        <v>143.78025292999999</v>
      </c>
      <c r="JM17" s="949">
        <v>155.54012460999999</v>
      </c>
      <c r="JN17" s="949">
        <v>155.54012460999999</v>
      </c>
      <c r="JO17" s="949">
        <v>155.54012460999999</v>
      </c>
      <c r="JP17" s="949">
        <v>190.57903110999999</v>
      </c>
      <c r="JQ17" s="949">
        <v>190.57903110999999</v>
      </c>
      <c r="JR17" s="949">
        <v>209.76514728999999</v>
      </c>
      <c r="JS17" s="949">
        <v>209.76514728999999</v>
      </c>
      <c r="JT17" s="949">
        <v>217.88010908999999</v>
      </c>
      <c r="JU17" s="949">
        <v>239.99490256999999</v>
      </c>
      <c r="JV17" s="949">
        <v>239.99490256999999</v>
      </c>
      <c r="JW17" s="949">
        <v>97.242546070000003</v>
      </c>
      <c r="JX17" s="949">
        <v>97.242546070000003</v>
      </c>
      <c r="JY17" s="949">
        <v>107.54095579000001</v>
      </c>
      <c r="JZ17" s="949">
        <v>107.54095579000001</v>
      </c>
      <c r="KA17" s="949">
        <v>144.59660306000001</v>
      </c>
      <c r="KB17" s="949">
        <v>146.19603078999998</v>
      </c>
      <c r="KC17" s="949">
        <v>142.80960916000001</v>
      </c>
      <c r="KD17" s="949">
        <v>156.79061687999999</v>
      </c>
      <c r="KE17" s="949">
        <v>156.79061687999999</v>
      </c>
      <c r="KF17" s="949">
        <v>115.78555693000001</v>
      </c>
      <c r="KG17" s="949">
        <v>198.29262138999999</v>
      </c>
      <c r="KH17" s="949">
        <v>198.29262138999999</v>
      </c>
      <c r="KI17" s="949">
        <v>209.43287838000001</v>
      </c>
      <c r="KJ17" s="949">
        <v>209.43287838000001</v>
      </c>
      <c r="KK17" s="949">
        <v>252.54331860999997</v>
      </c>
      <c r="KL17" s="949">
        <v>252.09335095</v>
      </c>
      <c r="KM17" s="949">
        <v>252.09335095</v>
      </c>
      <c r="KN17" s="949">
        <v>252.28163916999998</v>
      </c>
      <c r="KO17" s="949">
        <v>296.48066588</v>
      </c>
      <c r="KP17" s="949">
        <v>299.18277081000002</v>
      </c>
      <c r="KQ17" s="949">
        <v>293.26048168</v>
      </c>
      <c r="KR17" s="949">
        <v>293.26048168</v>
      </c>
      <c r="KS17" s="949">
        <v>313.34371055000003</v>
      </c>
      <c r="KT17" s="949">
        <v>313.34371055000003</v>
      </c>
      <c r="KU17" s="949">
        <v>109.15431238000001</v>
      </c>
      <c r="KV17" s="949">
        <v>150.59701731000001</v>
      </c>
      <c r="KW17" s="949">
        <v>58.214053049999997</v>
      </c>
      <c r="KX17" s="949">
        <v>52.841671229999996</v>
      </c>
      <c r="KY17" s="949">
        <v>52.841671229999996</v>
      </c>
      <c r="KZ17" s="949">
        <v>112.42250883000001</v>
      </c>
      <c r="LA17" s="949">
        <v>112.42250883000001</v>
      </c>
      <c r="LB17" s="949">
        <v>116.63938374999999</v>
      </c>
      <c r="LC17" s="949">
        <v>116.63938374999999</v>
      </c>
      <c r="LD17" s="949">
        <v>116.63938374999999</v>
      </c>
      <c r="LE17" s="949">
        <v>152.31117532999997</v>
      </c>
      <c r="LF17" s="949">
        <v>164.21298705999999</v>
      </c>
      <c r="LG17" s="949">
        <v>164.21298705999999</v>
      </c>
      <c r="LH17" s="949">
        <v>164.21298705999999</v>
      </c>
      <c r="LI17" s="949">
        <v>179.86982128</v>
      </c>
      <c r="LJ17" s="949">
        <v>179.86982128</v>
      </c>
      <c r="LK17" s="949">
        <v>179.86982128</v>
      </c>
      <c r="LL17" s="949">
        <v>42.158562119999999</v>
      </c>
      <c r="LM17" s="949">
        <v>42.158562119999999</v>
      </c>
      <c r="LN17" s="949">
        <v>48.245390729999997</v>
      </c>
      <c r="LO17" s="949">
        <v>48.245390729999997</v>
      </c>
      <c r="LP17" s="949">
        <v>48.245390729999997</v>
      </c>
      <c r="LQ17" s="949">
        <v>94.382561420000002</v>
      </c>
      <c r="LR17" s="949">
        <v>102.24117327</v>
      </c>
      <c r="LS17" s="949">
        <v>102.24117327</v>
      </c>
      <c r="LT17" s="949">
        <v>141.65726746999999</v>
      </c>
      <c r="LU17" s="949">
        <v>156.29570816999998</v>
      </c>
      <c r="LV17" s="949">
        <v>162.45807872999998</v>
      </c>
      <c r="LW17" s="949">
        <v>162.45807872999998</v>
      </c>
      <c r="LX17" s="949">
        <v>173.12323388999999</v>
      </c>
      <c r="LY17" s="949">
        <v>173.12323388999999</v>
      </c>
      <c r="LZ17" s="949">
        <v>211.8809459</v>
      </c>
      <c r="MA17" s="949">
        <v>211.8809459</v>
      </c>
      <c r="MB17" s="949">
        <v>211.8809459</v>
      </c>
      <c r="MC17" s="949">
        <v>211.8809459</v>
      </c>
      <c r="MD17" s="949">
        <v>245.24709231</v>
      </c>
      <c r="ME17" s="949">
        <v>263.84373968</v>
      </c>
      <c r="MF17" s="949">
        <v>263.84373968</v>
      </c>
      <c r="MG17" s="949">
        <v>263.84373968</v>
      </c>
      <c r="MH17" s="949">
        <v>89.859829070000004</v>
      </c>
      <c r="MI17" s="949">
        <v>89.859829070000004</v>
      </c>
      <c r="MJ17" s="949">
        <v>138.50470691999999</v>
      </c>
      <c r="MK17" s="949">
        <v>135.65415910999999</v>
      </c>
      <c r="ML17" s="949">
        <v>135.65415910999999</v>
      </c>
      <c r="MM17" s="949">
        <v>135.65415910999999</v>
      </c>
      <c r="MN17" s="949">
        <v>135.65415910999999</v>
      </c>
      <c r="MO17" s="949">
        <v>135.65415910999999</v>
      </c>
      <c r="MP17" s="949">
        <v>135.65415910999999</v>
      </c>
      <c r="MQ17" s="949">
        <v>197.88995491</v>
      </c>
      <c r="MR17" s="949">
        <v>197.88995491</v>
      </c>
      <c r="MS17" s="949">
        <v>242.77013832999998</v>
      </c>
      <c r="MT17" s="949">
        <v>261.34820339999999</v>
      </c>
      <c r="MU17" s="949">
        <v>261.34820339999999</v>
      </c>
      <c r="MV17" s="949">
        <v>261.34820339999999</v>
      </c>
      <c r="MW17" s="949">
        <v>280.44096156000001</v>
      </c>
      <c r="MX17" s="949">
        <v>299.93943888000001</v>
      </c>
      <c r="MY17" s="949">
        <v>299.93943888000001</v>
      </c>
      <c r="MZ17" s="949">
        <v>299.93943888000001</v>
      </c>
      <c r="NA17" s="949">
        <v>299.93943888000001</v>
      </c>
      <c r="NB17" s="949">
        <v>299.93943888000001</v>
      </c>
      <c r="NC17" s="949">
        <v>299.93943888000001</v>
      </c>
      <c r="ND17" s="949">
        <v>299.93943888000001</v>
      </c>
      <c r="NE17" s="949">
        <v>299.93943888000001</v>
      </c>
      <c r="NF17" s="949">
        <v>225.05081732999997</v>
      </c>
      <c r="NG17" s="949">
        <v>211.98409986999999</v>
      </c>
      <c r="NH17" s="949">
        <v>201.19890128999998</v>
      </c>
      <c r="NI17" s="949">
        <v>178.86361567999998</v>
      </c>
      <c r="NJ17" s="949">
        <v>178.86361567999998</v>
      </c>
      <c r="NK17" s="949">
        <v>179.69264779</v>
      </c>
      <c r="NL17" s="949">
        <v>179.69264779</v>
      </c>
      <c r="NM17" s="949">
        <v>209.54341944000001</v>
      </c>
      <c r="NN17" s="949">
        <v>209.54341944000001</v>
      </c>
      <c r="NO17" s="949">
        <v>209.54341944000001</v>
      </c>
      <c r="NP17" s="949">
        <v>242.01838487999999</v>
      </c>
      <c r="NQ17" s="949">
        <v>242.01838487999999</v>
      </c>
      <c r="NR17" s="949">
        <v>208.80664111999999</v>
      </c>
      <c r="NS17" s="949">
        <v>208.80664111999999</v>
      </c>
      <c r="NT17" s="949">
        <v>208.80664111999999</v>
      </c>
      <c r="NU17" s="949">
        <v>215.26246712</v>
      </c>
      <c r="NV17" s="949">
        <v>227.99536225999998</v>
      </c>
      <c r="NW17" s="949">
        <v>227.99536225999998</v>
      </c>
      <c r="NX17" s="949">
        <v>227.99536225999998</v>
      </c>
      <c r="NY17" s="949">
        <v>219.07311534999999</v>
      </c>
      <c r="NZ17" s="949">
        <v>282.52919761000004</v>
      </c>
      <c r="OA17" s="949">
        <v>282.52919761000004</v>
      </c>
      <c r="OB17" s="949">
        <v>282.52919761000004</v>
      </c>
      <c r="OC17" s="949">
        <v>195.98267435999998</v>
      </c>
      <c r="OD17" s="949">
        <v>195.98267435999998</v>
      </c>
      <c r="OE17" s="949">
        <v>195.98267435999998</v>
      </c>
      <c r="OF17" s="949">
        <v>195.98267435999998</v>
      </c>
      <c r="OG17" s="949">
        <v>263.46327931000002</v>
      </c>
      <c r="OH17" s="949">
        <v>263.46327931000002</v>
      </c>
      <c r="OI17" s="949">
        <v>96.684610660000018</v>
      </c>
      <c r="OJ17" s="949">
        <v>300.58549686999999</v>
      </c>
      <c r="OK17" s="949">
        <v>300.58549686999999</v>
      </c>
      <c r="OL17" s="949">
        <v>312.74426155000003</v>
      </c>
      <c r="OM17" s="949">
        <v>312.74426155000003</v>
      </c>
      <c r="ON17" s="949">
        <v>312.74426155000003</v>
      </c>
      <c r="OO17" s="949">
        <v>83.005519829999997</v>
      </c>
      <c r="OP17" s="949">
        <v>93.290934680000007</v>
      </c>
      <c r="OQ17" s="949">
        <v>93.290934680000007</v>
      </c>
      <c r="OR17" s="949">
        <v>93.290934680000007</v>
      </c>
      <c r="OS17" s="949">
        <v>107.94663162000001</v>
      </c>
      <c r="OT17" s="949">
        <v>86.718838769999991</v>
      </c>
      <c r="OU17" s="949">
        <v>86.718838769999991</v>
      </c>
      <c r="OV17" s="949">
        <v>86.718838769999991</v>
      </c>
      <c r="OW17" s="949">
        <v>122.40509616</v>
      </c>
      <c r="OX17" s="949">
        <v>122.40509616</v>
      </c>
      <c r="OY17" s="949">
        <v>207.16875811999998</v>
      </c>
      <c r="OZ17" s="949">
        <v>207.16875811999998</v>
      </c>
      <c r="PA17" s="949">
        <v>207.16875811999998</v>
      </c>
      <c r="PB17" s="949">
        <v>231.04375266999998</v>
      </c>
      <c r="PC17" s="949">
        <v>231.04375266999998</v>
      </c>
      <c r="PD17" s="949">
        <v>231.04375266999998</v>
      </c>
      <c r="PE17" s="949">
        <v>303.73703589999997</v>
      </c>
      <c r="PF17" s="949">
        <v>301.40861952999995</v>
      </c>
      <c r="PG17" s="949">
        <v>301.40861952999995</v>
      </c>
      <c r="PH17" s="949">
        <v>301.40861952999995</v>
      </c>
      <c r="PI17" s="949">
        <v>364.17972089999995</v>
      </c>
      <c r="PJ17" s="949">
        <v>383.75656982999999</v>
      </c>
      <c r="PK17" s="949">
        <v>383.75656982999999</v>
      </c>
      <c r="PL17" s="949">
        <v>383.75656982999999</v>
      </c>
      <c r="PM17" s="949">
        <v>383.75656982999999</v>
      </c>
      <c r="PN17" s="949">
        <v>404.33127458999996</v>
      </c>
      <c r="PO17" s="949">
        <v>404.33127458999996</v>
      </c>
      <c r="PP17" s="949">
        <v>418.25222586000001</v>
      </c>
      <c r="PQ17" s="949">
        <v>418.25222586000001</v>
      </c>
      <c r="PR17" s="949">
        <v>418.25222586000001</v>
      </c>
      <c r="PS17" s="949">
        <v>464.93661967000003</v>
      </c>
      <c r="PT17" s="949">
        <v>464.93661967000003</v>
      </c>
      <c r="PU17" s="949">
        <v>176.51711075999998</v>
      </c>
      <c r="PV17" s="949">
        <v>176.51711075999998</v>
      </c>
      <c r="PW17" s="949">
        <v>176.51711075999998</v>
      </c>
      <c r="PX17" s="949">
        <v>228.11811166999999</v>
      </c>
      <c r="PY17" s="949">
        <v>240.30775501999997</v>
      </c>
      <c r="PZ17" s="949">
        <v>240.30775501999997</v>
      </c>
      <c r="QA17" s="949">
        <v>240.30775501999997</v>
      </c>
      <c r="QB17" s="949">
        <v>132.75605841000001</v>
      </c>
      <c r="QC17" s="949">
        <v>143.85138628000001</v>
      </c>
      <c r="QD17" s="949">
        <v>143.85138628000001</v>
      </c>
      <c r="QE17" s="949">
        <v>144.43408595999998</v>
      </c>
      <c r="QF17" s="949">
        <v>144.43408595999998</v>
      </c>
      <c r="QG17" s="949">
        <v>144.43408595999998</v>
      </c>
      <c r="QH17" s="949">
        <v>144.43408595999998</v>
      </c>
      <c r="QI17" s="949">
        <v>204.15458261999999</v>
      </c>
      <c r="QJ17" s="949">
        <v>204.15458261999999</v>
      </c>
      <c r="QK17" s="949">
        <v>255.38465667999998</v>
      </c>
      <c r="QL17" s="949">
        <v>255.38465667999998</v>
      </c>
      <c r="QM17" s="949">
        <v>255.38465667999998</v>
      </c>
      <c r="QN17" s="949">
        <v>264.58177824000001</v>
      </c>
      <c r="QO17" s="949">
        <v>312.74806330000001</v>
      </c>
      <c r="QP17" s="949">
        <v>312.74806330000001</v>
      </c>
      <c r="QQ17" s="949">
        <v>328.70234284999998</v>
      </c>
      <c r="QR17" s="949">
        <v>328.70234284999998</v>
      </c>
      <c r="QS17" s="949">
        <v>328.55705752</v>
      </c>
      <c r="QT17" s="949">
        <v>357.68150181999999</v>
      </c>
      <c r="QU17" s="949">
        <v>357.68150181999999</v>
      </c>
      <c r="QV17" s="949">
        <v>365.98646995999997</v>
      </c>
      <c r="QW17" s="949">
        <v>357.68150181999999</v>
      </c>
      <c r="QX17" s="949">
        <v>357.68150181999999</v>
      </c>
      <c r="QY17" s="949">
        <v>87.152240140000004</v>
      </c>
      <c r="QZ17" s="949">
        <v>87.152240140000004</v>
      </c>
      <c r="RA17" s="949">
        <v>77.439708830000001</v>
      </c>
      <c r="RB17" s="949">
        <v>77.439708830000001</v>
      </c>
      <c r="RC17" s="949">
        <v>77.439708830000001</v>
      </c>
      <c r="RD17" s="949">
        <v>77.439708830000001</v>
      </c>
      <c r="RE17" s="949">
        <v>129.67763853</v>
      </c>
      <c r="RF17" s="949">
        <v>129.67763853</v>
      </c>
      <c r="RG17" s="949">
        <v>129.67763853</v>
      </c>
      <c r="RH17" s="949">
        <v>121.59345935</v>
      </c>
      <c r="RI17" s="949">
        <v>146.25710744</v>
      </c>
      <c r="RJ17" s="949">
        <v>146.25710744</v>
      </c>
      <c r="RK17" s="949">
        <v>167.22752294999998</v>
      </c>
      <c r="RL17" s="949">
        <v>167.22752294999998</v>
      </c>
      <c r="RM17" s="949">
        <v>167.26510557</v>
      </c>
      <c r="RN17" s="949">
        <v>167.26510557</v>
      </c>
      <c r="RO17" s="949">
        <v>167.26510557</v>
      </c>
      <c r="RP17" s="949">
        <v>167.26510557</v>
      </c>
      <c r="RQ17" s="949">
        <v>113.71764778000001</v>
      </c>
      <c r="RR17" s="949">
        <v>113.71764778000001</v>
      </c>
      <c r="RS17" s="949">
        <v>114.90343276999999</v>
      </c>
      <c r="RT17" s="949">
        <v>114.90343276999999</v>
      </c>
      <c r="RU17" s="949">
        <v>114.90343276999999</v>
      </c>
      <c r="RV17" s="949">
        <v>114.90343276999999</v>
      </c>
      <c r="RW17" s="949">
        <v>114.90343276999999</v>
      </c>
      <c r="RX17" s="949">
        <v>114.90343276999999</v>
      </c>
      <c r="RY17" s="949">
        <v>41.814634160000004</v>
      </c>
      <c r="RZ17" s="949">
        <v>41.814634160000004</v>
      </c>
      <c r="SA17" s="949">
        <v>107.57698148</v>
      </c>
      <c r="SB17" s="949">
        <v>125.12250123</v>
      </c>
      <c r="SC17" s="949">
        <v>125.12250123</v>
      </c>
      <c r="SD17" s="949">
        <v>125.12250123</v>
      </c>
      <c r="SE17" s="949">
        <v>191.07994628</v>
      </c>
      <c r="SF17" s="949">
        <v>191.07994628</v>
      </c>
      <c r="SG17" s="949">
        <v>202.42827069999998</v>
      </c>
      <c r="SH17" s="949">
        <v>202.42827069999998</v>
      </c>
      <c r="SI17" s="949">
        <v>103.39125635000001</v>
      </c>
      <c r="SJ17" s="949">
        <v>103.39125635000001</v>
      </c>
      <c r="SK17" s="949">
        <v>123.95451469</v>
      </c>
      <c r="SL17" s="949">
        <v>123.95451469</v>
      </c>
      <c r="SM17" s="949">
        <v>133.59528179</v>
      </c>
      <c r="SN17" s="949">
        <v>133.59528179</v>
      </c>
      <c r="SO17" s="949">
        <v>133.59528179</v>
      </c>
      <c r="SP17" s="949">
        <v>195.42104850999999</v>
      </c>
      <c r="SQ17" s="949">
        <v>195.42104850999999</v>
      </c>
      <c r="SR17" s="949">
        <v>195.42104850999999</v>
      </c>
      <c r="SS17" s="949">
        <v>268.53394572999997</v>
      </c>
      <c r="ST17" s="949">
        <v>268.53394572999997</v>
      </c>
      <c r="SU17" s="949">
        <v>278.23230090999999</v>
      </c>
      <c r="SV17" s="949">
        <v>278.23230090999999</v>
      </c>
      <c r="SW17" s="949">
        <v>278.23230090999999</v>
      </c>
      <c r="SX17" s="949">
        <v>93.801222449999997</v>
      </c>
      <c r="SY17" s="949">
        <v>93.801222449999997</v>
      </c>
      <c r="SZ17" s="949">
        <v>93.801222449999997</v>
      </c>
      <c r="TA17" s="949">
        <v>88.290699360000005</v>
      </c>
      <c r="TB17" s="949">
        <v>88.290699360000005</v>
      </c>
      <c r="TC17" s="949">
        <v>127.58111369</v>
      </c>
      <c r="TD17" s="949">
        <v>127.58111369</v>
      </c>
      <c r="TE17" s="949">
        <v>33.34888565</v>
      </c>
      <c r="TF17" s="949">
        <v>66.711831750000002</v>
      </c>
      <c r="TG17" s="949">
        <v>80.080677199999997</v>
      </c>
      <c r="TH17" s="949">
        <v>124.82235769</v>
      </c>
      <c r="TI17" s="949">
        <v>135.11161681999999</v>
      </c>
      <c r="TJ17" s="949">
        <v>151.01996600000001</v>
      </c>
      <c r="TK17" s="949">
        <v>59.291529550000007</v>
      </c>
      <c r="TL17" s="949">
        <v>39.794325700000002</v>
      </c>
      <c r="TM17" s="949">
        <v>52.190456490000003</v>
      </c>
      <c r="TN17" s="949">
        <v>21.411204739999999</v>
      </c>
      <c r="TO17" s="949">
        <v>60.177711500000001</v>
      </c>
      <c r="TP17" s="949">
        <v>46.472617020000001</v>
      </c>
      <c r="TQ17" s="949">
        <v>90.303824019999993</v>
      </c>
      <c r="TR17" s="949">
        <v>44.139841480000001</v>
      </c>
      <c r="TS17" s="949">
        <v>22.522551059999998</v>
      </c>
      <c r="TT17" s="949">
        <v>21.542654249999998</v>
      </c>
      <c r="TU17" s="949">
        <v>74.617228040000001</v>
      </c>
      <c r="TV17" s="949">
        <v>9.832043989999999</v>
      </c>
      <c r="TW17" s="949">
        <v>69.162459650000002</v>
      </c>
      <c r="TX17" s="949">
        <v>66.758024879999994</v>
      </c>
      <c r="TY17" s="949">
        <v>62.138544889999999</v>
      </c>
      <c r="TZ17" s="949">
        <v>82.371132820000014</v>
      </c>
      <c r="UA17" s="949">
        <v>75.919450249999997</v>
      </c>
      <c r="UB17" s="949">
        <v>169.09600226999999</v>
      </c>
      <c r="UC17" s="949">
        <v>167.67789618999998</v>
      </c>
      <c r="UD17" s="949">
        <v>24.194162559999999</v>
      </c>
      <c r="UE17" s="949">
        <v>94.766461240000012</v>
      </c>
      <c r="UF17" s="949">
        <v>44.807177300000006</v>
      </c>
      <c r="UG17" s="949">
        <v>85.542578500000005</v>
      </c>
      <c r="UH17" s="949">
        <v>50.344702870000006</v>
      </c>
      <c r="UI17" s="949">
        <v>61.816608220000006</v>
      </c>
      <c r="UJ17" s="949">
        <v>54.711067</v>
      </c>
      <c r="UK17" s="949">
        <v>75.782236460000007</v>
      </c>
      <c r="UL17" s="949">
        <v>82.544428380000014</v>
      </c>
      <c r="UM17" s="949">
        <v>121.66542461</v>
      </c>
      <c r="UN17" s="949">
        <v>158.72286481</v>
      </c>
      <c r="UO17" s="949">
        <v>104.80035966</v>
      </c>
      <c r="UP17" s="949">
        <v>104.84233038000001</v>
      </c>
      <c r="UQ17" s="949">
        <v>80.249104310000007</v>
      </c>
      <c r="UR17" s="949">
        <v>89.326519560000008</v>
      </c>
      <c r="US17" s="949">
        <v>129.66822243999999</v>
      </c>
      <c r="UT17" s="949">
        <v>130.63072060000002</v>
      </c>
      <c r="UU17" s="949">
        <v>108.49395473</v>
      </c>
      <c r="UV17" s="949">
        <v>134.60150325999999</v>
      </c>
      <c r="UW17" s="949">
        <v>137.23486629999999</v>
      </c>
      <c r="UX17" s="949">
        <v>22.486932719999999</v>
      </c>
      <c r="UY17" s="949">
        <v>62.716167120000001</v>
      </c>
      <c r="UZ17" s="949">
        <v>97.787131810000005</v>
      </c>
      <c r="VA17" s="949">
        <v>97.787131810000005</v>
      </c>
      <c r="VB17" s="949">
        <v>155.18791173999998</v>
      </c>
      <c r="VC17" s="949">
        <v>102.07965908</v>
      </c>
      <c r="VD17" s="949">
        <v>162.90413838000001</v>
      </c>
      <c r="VE17" s="949">
        <v>162.90413838000001</v>
      </c>
      <c r="VF17" s="949">
        <v>88.642393980000008</v>
      </c>
      <c r="VG17" s="949">
        <v>147.57046882</v>
      </c>
      <c r="VH17" s="949">
        <v>158.22290599999999</v>
      </c>
      <c r="VI17" s="949">
        <v>163.77362173999998</v>
      </c>
      <c r="VJ17" s="949">
        <v>217.17614210999997</v>
      </c>
      <c r="VK17" s="949">
        <v>49.881353099999998</v>
      </c>
      <c r="VL17" s="949">
        <v>59.202843150000007</v>
      </c>
      <c r="VM17" s="949">
        <v>106.99649457000001</v>
      </c>
      <c r="VN17" s="949">
        <v>123.17147608000001</v>
      </c>
      <c r="VO17" s="949">
        <v>75.923306089999997</v>
      </c>
      <c r="VP17" s="949">
        <v>113.57984443000001</v>
      </c>
      <c r="VQ17" s="949">
        <v>124.62220936</v>
      </c>
      <c r="VR17" s="949">
        <v>58.447661250000003</v>
      </c>
      <c r="VS17" s="949">
        <v>28.50645596</v>
      </c>
      <c r="VT17" s="949">
        <v>97.017178060000006</v>
      </c>
      <c r="VU17" s="949">
        <v>99.061991070000005</v>
      </c>
      <c r="VV17" s="949">
        <v>97.791150439999996</v>
      </c>
      <c r="VW17" s="949">
        <v>137.62528895</v>
      </c>
      <c r="VX17" s="949">
        <v>13.314435799999998</v>
      </c>
      <c r="VY17" s="949">
        <v>94.986494500000006</v>
      </c>
      <c r="VZ17" s="949">
        <v>91.086294640000006</v>
      </c>
      <c r="WA17" s="949">
        <v>101.665314</v>
      </c>
      <c r="WB17" s="949">
        <v>49.209424590000005</v>
      </c>
      <c r="WC17" s="949">
        <v>27.38833309</v>
      </c>
      <c r="WD17" s="949">
        <v>69.346757310000001</v>
      </c>
      <c r="WE17" s="949">
        <v>68.442211970000002</v>
      </c>
      <c r="WF17" s="949">
        <v>68.984913019999993</v>
      </c>
      <c r="WG17" s="949">
        <v>57.005369560000005</v>
      </c>
      <c r="WH17" s="949">
        <v>71.343120240000005</v>
      </c>
      <c r="WI17" s="949">
        <v>70.013320659999991</v>
      </c>
      <c r="WJ17" s="949">
        <v>112.6402369</v>
      </c>
      <c r="WK17" s="949">
        <v>23.928836180000001</v>
      </c>
      <c r="WL17" s="949">
        <v>22.42656762</v>
      </c>
      <c r="WM17" s="949">
        <v>128.32386199999999</v>
      </c>
      <c r="WN17" s="949">
        <v>22.553294319999999</v>
      </c>
      <c r="WO17" s="949">
        <v>25.058790590000001</v>
      </c>
      <c r="WP17" s="949">
        <v>62.051391100000004</v>
      </c>
      <c r="WQ17" s="949">
        <v>75.027084770000002</v>
      </c>
      <c r="WR17" s="949">
        <v>96.332772090000006</v>
      </c>
      <c r="WS17" s="949">
        <v>169.31786254999997</v>
      </c>
      <c r="WT17" s="949">
        <v>191.12459167999998</v>
      </c>
      <c r="WU17" s="949">
        <v>192.07000431</v>
      </c>
      <c r="WV17" s="949">
        <v>109.49893883</v>
      </c>
      <c r="WW17" s="949">
        <v>91.510905320000006</v>
      </c>
      <c r="WX17" s="949">
        <v>22.639723419999999</v>
      </c>
      <c r="WY17" s="949">
        <v>98.563227780000005</v>
      </c>
      <c r="WZ17" s="949">
        <v>114.07056642000001</v>
      </c>
      <c r="XA17" s="949">
        <v>33.388654389999999</v>
      </c>
      <c r="XB17" s="949">
        <v>89.845857880000011</v>
      </c>
      <c r="XC17" s="949">
        <v>120.47762707000001</v>
      </c>
      <c r="XD17" s="949">
        <v>57.414398900000009</v>
      </c>
      <c r="XE17" s="949">
        <v>130.31347058</v>
      </c>
      <c r="XF17" s="949">
        <v>121.02367357999999</v>
      </c>
      <c r="XG17" s="949">
        <v>105.3001234</v>
      </c>
      <c r="XH17" s="949">
        <v>98.76474438000001</v>
      </c>
      <c r="XI17" s="949">
        <v>73.881579160000001</v>
      </c>
      <c r="XJ17" s="949">
        <v>73.108875359999999</v>
      </c>
      <c r="XK17" s="949">
        <v>18.07390049</v>
      </c>
      <c r="XL17" s="949">
        <v>82.120070120000008</v>
      </c>
      <c r="XM17" s="949">
        <v>125.7391813</v>
      </c>
      <c r="XN17" s="949">
        <v>132.94393253000001</v>
      </c>
      <c r="XO17" s="949">
        <v>134.33815116</v>
      </c>
      <c r="XP17" s="949">
        <v>195.50285032999997</v>
      </c>
      <c r="XQ17" s="949">
        <v>56.693048340000004</v>
      </c>
      <c r="XR17" s="949">
        <v>81.968572159999994</v>
      </c>
      <c r="XS17" s="949">
        <v>102.47247434000001</v>
      </c>
      <c r="XT17" s="949">
        <v>162.84589949155301</v>
      </c>
      <c r="XU17" s="949">
        <v>184.77268163999997</v>
      </c>
      <c r="XV17" s="949">
        <v>55.938599699999997</v>
      </c>
      <c r="XW17" s="949">
        <v>57.652967369999999</v>
      </c>
      <c r="XX17" s="949">
        <v>59.283590559999993</v>
      </c>
      <c r="XY17" s="949">
        <v>136.96828615999999</v>
      </c>
      <c r="XZ17" s="949">
        <v>143.45675229</v>
      </c>
      <c r="YA17" s="949">
        <v>214.78996124</v>
      </c>
      <c r="YB17" s="949">
        <v>215.29844616</v>
      </c>
      <c r="YC17" s="949">
        <v>71.566062040000006</v>
      </c>
      <c r="YD17" s="949">
        <v>11.63213373</v>
      </c>
      <c r="YE17" s="949">
        <v>14.027208640000001</v>
      </c>
      <c r="YF17" s="949">
        <v>58.392600819999998</v>
      </c>
      <c r="YG17" s="949">
        <v>57.521878639999997</v>
      </c>
      <c r="YH17" s="949">
        <v>120.17073487</v>
      </c>
    </row>
    <row r="18" spans="2:658">
      <c r="B18" s="917" t="s">
        <v>50</v>
      </c>
      <c r="C18" s="918">
        <v>181.05439871999999</v>
      </c>
      <c r="D18" s="130">
        <v>380.38705759999999</v>
      </c>
      <c r="E18" s="130">
        <v>380.56803860999997</v>
      </c>
      <c r="F18" s="130">
        <v>380.56803860999997</v>
      </c>
      <c r="G18" s="130">
        <v>293.43357779000002</v>
      </c>
      <c r="H18" s="130">
        <v>293.41121170999998</v>
      </c>
      <c r="I18" s="130">
        <v>293.30190395</v>
      </c>
      <c r="J18" s="130">
        <v>293.30190396</v>
      </c>
      <c r="K18" s="130">
        <v>292.89393344000001</v>
      </c>
      <c r="L18" s="130">
        <v>169.64508212000001</v>
      </c>
      <c r="M18" s="130">
        <v>169.64508212000001</v>
      </c>
      <c r="N18" s="130">
        <v>169.64508212000001</v>
      </c>
      <c r="O18" s="130">
        <v>163.37227887</v>
      </c>
      <c r="P18" s="130">
        <v>164.94128709</v>
      </c>
      <c r="Q18" s="130">
        <v>199.84577655999999</v>
      </c>
      <c r="R18" s="130">
        <v>199.84577655999999</v>
      </c>
      <c r="S18" s="130">
        <f>193.33075175</f>
        <v>193.33075174999999</v>
      </c>
      <c r="T18" s="130">
        <v>193.40018738000001</v>
      </c>
      <c r="U18" s="130">
        <v>139.05140954999999</v>
      </c>
      <c r="V18" s="130">
        <v>72.805524169999998</v>
      </c>
      <c r="W18" s="130">
        <v>72.812060059999993</v>
      </c>
      <c r="X18" s="130">
        <v>23.232334590000001</v>
      </c>
      <c r="Y18" s="130">
        <v>338.75866821</v>
      </c>
      <c r="Z18" s="130">
        <v>348.19729787</v>
      </c>
      <c r="AA18" s="130">
        <v>341.10142614</v>
      </c>
      <c r="AB18" s="130">
        <v>340.69679299999996</v>
      </c>
      <c r="AC18" s="130">
        <v>341.89634343</v>
      </c>
      <c r="AD18" s="130">
        <v>338.90659733999996</v>
      </c>
      <c r="AE18" s="130">
        <v>331.53723858999996</v>
      </c>
      <c r="AF18" s="130">
        <f>1.30226947+322+3.01836449+8.23405861</f>
        <v>334.55469256999999</v>
      </c>
      <c r="AG18" s="130">
        <f>323.690415+3.01836449+8.23405861</f>
        <v>334.94283809999996</v>
      </c>
      <c r="AH18" s="130">
        <f>318.11031228+3.01836449+8.23405861</f>
        <v>329.36273538</v>
      </c>
      <c r="AI18" s="130">
        <v>329.46229701999999</v>
      </c>
      <c r="AJ18" s="130">
        <f>318.2228804+3.01836449+8.23405861</f>
        <v>329.4753035</v>
      </c>
      <c r="AK18" s="130">
        <f>318.51466873+3.01836449+8.23405861</f>
        <v>329.76709182999997</v>
      </c>
      <c r="AL18" s="130">
        <f>273.75224719+3.01836449+8.23405861</f>
        <v>285.00467028999998</v>
      </c>
      <c r="AM18" s="130">
        <f>265.57721461+3.01836449+8.23405861</f>
        <v>276.82963770999999</v>
      </c>
      <c r="AN18" s="130">
        <f>2.21126978+3.01836449+8.23405861+263</f>
        <v>276.46369288</v>
      </c>
      <c r="AO18" s="130">
        <f>2.21126978+3.01836449+8.23405861+263</f>
        <v>276.46369288</v>
      </c>
      <c r="AP18" s="130">
        <f>2.05941975+3.01836449+8.94009117+263</f>
        <v>277.01787540999999</v>
      </c>
      <c r="AQ18" s="130">
        <f>3.01836449+8.94009117+169.85311965</f>
        <v>181.81157530999999</v>
      </c>
      <c r="AR18" s="130">
        <f>3.01836449+7.87475355+169.88926309+0.00129434</f>
        <v>180.78367546999996</v>
      </c>
      <c r="AS18" s="130">
        <f>3.01836449+7.87475355+669.454384+0.00129434</f>
        <v>680.34879637999995</v>
      </c>
      <c r="AT18" s="130">
        <f>3.01836449+7.87475355+101.60590339+0.00129434+568</f>
        <v>680.50031577000004</v>
      </c>
      <c r="AU18" s="130">
        <f>3.01836449+7.87475355+669.78685857+0.00129434</f>
        <v>680.68127095</v>
      </c>
      <c r="AV18" s="130">
        <f>3.01836449+7.87475355+570.14550479+0.00129434</f>
        <v>581.03991716999997</v>
      </c>
      <c r="AW18" s="130">
        <f>3.01836449+7.87475355+33.61362632+0.00129434</f>
        <v>44.5080387</v>
      </c>
      <c r="AX18" s="130">
        <f>3.01836449+7.87475355+32+1.49864338+0.00129434</f>
        <v>44.393055760000003</v>
      </c>
      <c r="AY18" s="130">
        <f>3.01836449+7.87475355+32+1.55374388+0.00129434</f>
        <v>44.448156260000005</v>
      </c>
      <c r="AZ18" s="130">
        <f>3.01836449+7.87475355+105.95338359+0.00129434</f>
        <v>116.84779597000001</v>
      </c>
      <c r="BA18" s="130">
        <f>3.01836449+7.87475355+2.8219072+0.00129434</f>
        <v>13.71631958</v>
      </c>
      <c r="BB18" s="130">
        <v>13.913719579999999</v>
      </c>
      <c r="BC18" s="130">
        <f>3.01576449+7.87475355+3.0219072+0.00129434</f>
        <v>13.913719579999999</v>
      </c>
      <c r="BD18" s="130">
        <f>3.01576449+7.87475355+3.001286232+0.00129434</f>
        <v>13.893098611999999</v>
      </c>
      <c r="BE18" s="130">
        <f>8.693678639+3.01576449+0.00129434+7.87475355</f>
        <v>19.585491018999999</v>
      </c>
      <c r="BF18" s="130">
        <f>8.38644839+3.01576449+0.00129434+7.87475355</f>
        <v>19.278260769999999</v>
      </c>
      <c r="BG18" s="130">
        <f>8.09699505+3.01576449+0.00129434+7.87475355</f>
        <v>18.988807430000001</v>
      </c>
      <c r="BH18" s="130">
        <f>6.71713705+3.01556449+0.00129434+7.87475355</f>
        <v>17.60874943</v>
      </c>
      <c r="BI18" s="130">
        <f>0.53507932+3.01556449+0.00129434+7.87475355</f>
        <v>11.426691699999999</v>
      </c>
      <c r="BJ18" s="130">
        <f>2.77454673+3.01556449+0.00129434+7.87475355</f>
        <v>13.666159110000001</v>
      </c>
      <c r="BK18" s="130">
        <f>2.60522859+3.01556449+0.00129434+7.87475355</f>
        <v>13.496840970000001</v>
      </c>
      <c r="BL18" s="130">
        <f>1.43773703+3.01556449+0.00107716+6.34120187+91</f>
        <v>101.79558055</v>
      </c>
      <c r="BM18" s="130">
        <f>1.43703009+3.01556449+0.00107716+6.34120187+91</f>
        <v>101.79487361</v>
      </c>
      <c r="BN18" s="130">
        <f>1.43703009+3.01556449+0.00107716+6.34120187+91</f>
        <v>101.79487361</v>
      </c>
      <c r="BO18" s="130">
        <f>2.39757146+3.01556449+0.00107716+6.34120187</f>
        <v>11.755414980000001</v>
      </c>
      <c r="BP18" s="130">
        <f>2.15202467+3.01556449+0.00107716+6.34120187</f>
        <v>11.509868190000001</v>
      </c>
      <c r="BQ18" s="130">
        <f>1.85974905+3.01556449+0.00107716+6.34120187</f>
        <v>11.217592570000001</v>
      </c>
      <c r="BR18" s="130">
        <f>1.85974905+3.01556449+0.00107716+6.34120187</f>
        <v>11.217592570000001</v>
      </c>
      <c r="BS18" s="130">
        <f>1.85974905+3.01556449+0.00107716+6.34120187</f>
        <v>11.217592570000001</v>
      </c>
      <c r="BT18" s="130">
        <f>1.61337719+3.01556449+0.00107716+6.34120187</f>
        <v>10.971220710000001</v>
      </c>
      <c r="BU18" s="130">
        <f>11.08898332+26.71779959</f>
        <v>37.806782909999995</v>
      </c>
      <c r="BV18" s="130">
        <f>10.96406617+4.91821528</f>
        <v>15.882281450000001</v>
      </c>
      <c r="BW18" s="130">
        <f>0.0011577+4.91821528+7.06100636+5.10689068</f>
        <v>17.087270020000002</v>
      </c>
      <c r="BX18" s="130">
        <f>0.0011577+4.91821528+7.06100636+5.10689068</f>
        <v>17.087270020000002</v>
      </c>
      <c r="BY18" s="130">
        <f>0.0011577+4.91821528+7.06100636+11.99376601</f>
        <v>23.974145350000001</v>
      </c>
      <c r="BZ18" s="130">
        <f>0.0011577+4.91821528+7.06100636+12.22303781</f>
        <v>24.20341715</v>
      </c>
      <c r="CA18" s="130">
        <f>0.0011577+4.91821528+7.06100636+8.19673474</f>
        <v>20.177114080000003</v>
      </c>
      <c r="CB18" s="130">
        <f>0.0011577+4.91821528+7.06100636+8.18969974</f>
        <v>20.170079080000001</v>
      </c>
      <c r="CC18" s="130">
        <f>0.001077+2.42082499+4.91821528+6.34120187</f>
        <v>13.681319139999999</v>
      </c>
      <c r="CD18" s="130">
        <f>0.001077+1.95219178+4.91821528+6.34120187</f>
        <v>13.212685929999999</v>
      </c>
      <c r="CE18" s="130">
        <f>0.00122006+1.95219178+4.91801528+7.44727928</f>
        <v>14.3187064</v>
      </c>
      <c r="CF18" s="130">
        <f>0.00122006+1.95219178+4.91801528+7.44727928</f>
        <v>14.3187064</v>
      </c>
      <c r="CG18" s="130">
        <f>0.00122434+1.81627778+4.91801528+7.45074705</f>
        <v>14.186264449999999</v>
      </c>
      <c r="CH18" s="130">
        <f>0.00125139+1.32217062+4.91801528+7.59149223</f>
        <v>13.83292952</v>
      </c>
      <c r="CI18" s="130">
        <f>0.00125139+28.83374576+4.91801528+7.59149223</f>
        <v>41.344504659999998</v>
      </c>
      <c r="CJ18" s="130">
        <f>28.84312196+4.91801528+7.37353365</f>
        <v>41.134670890000002</v>
      </c>
      <c r="CK18" s="130">
        <f>28.84312196+4.91801528+7.3676854</f>
        <v>41.128822640000003</v>
      </c>
      <c r="CL18" s="130">
        <f>12.42816643+2.52615658+7.3676854*0</f>
        <v>14.95432301</v>
      </c>
      <c r="CM18" s="130">
        <f>12.40445674+2.52615658+7.3676854*0</f>
        <v>14.930613320000001</v>
      </c>
      <c r="CN18" s="130">
        <f>5.5040337+2.52615658+7.3676854*0</f>
        <v>8.0301902799999993</v>
      </c>
      <c r="CO18" s="130">
        <f>3.49978528+2.52615658+7.3676854*0</f>
        <v>6.0259418599999997</v>
      </c>
      <c r="CP18" s="130">
        <f>203.49978528+2.52615658+7.3676854*0</f>
        <v>206.02594185999999</v>
      </c>
      <c r="CQ18" s="130">
        <f>3.53468139+2.52615658+7.3676854*0</f>
        <v>6.0608379699999997</v>
      </c>
      <c r="CR18" s="130">
        <f>3.67865997+2.52615658+7.3676854*0</f>
        <v>6.2048165500000003</v>
      </c>
      <c r="CS18" s="130">
        <f>7.08172724+2.52615658+7.3676854*0</f>
        <v>9.6078838199999996</v>
      </c>
      <c r="CT18" s="130">
        <f>7.08172724+2.52615658+7.3676854*0</f>
        <v>9.6078838199999996</v>
      </c>
      <c r="CU18" s="130">
        <f>4.38520024+2.52615658+7.3676854*0</f>
        <v>6.91135682</v>
      </c>
      <c r="CV18" s="130">
        <f>4.36785198+2.52615658+7.3676854*0</f>
        <v>6.8940085599999996</v>
      </c>
      <c r="CW18" s="130">
        <f>384.40155989+2.52615658+7.3676854*0</f>
        <v>386.92771647000001</v>
      </c>
      <c r="CX18" s="130">
        <f>384.40155989+2.52615658+7.3676854*0</f>
        <v>386.92771647000001</v>
      </c>
      <c r="CY18" s="130">
        <f>377.74934124+2.52615658+7.3676854*0</f>
        <v>380.27549782</v>
      </c>
      <c r="CZ18" s="130">
        <v>380.27549800000003</v>
      </c>
      <c r="DA18" s="130">
        <f>417.813467+2.525956+7.3676854*0</f>
        <v>420.33942300000001</v>
      </c>
      <c r="DB18" s="130">
        <f>417.88722453+2.525956+7.3676854*0</f>
        <v>420.41318053000003</v>
      </c>
      <c r="DC18" s="130">
        <f>387.957903+2.525956+7.3676854*0</f>
        <v>390.483859</v>
      </c>
      <c r="DD18" s="130">
        <f>421.28719327+2.525956+7.3676854*0</f>
        <v>423.81314927</v>
      </c>
      <c r="DE18" s="130">
        <f>418.37609804+1.19071876+7.3676854*0</f>
        <v>419.56681679999997</v>
      </c>
      <c r="DF18" s="130">
        <f>428.44841612+1.19071876+7.3676854*0</f>
        <v>429.63913487999997</v>
      </c>
      <c r="DG18" s="130">
        <f>428.41198855+1.19071876+7.3676854*0</f>
        <v>429.60270730999997</v>
      </c>
      <c r="DH18" s="130">
        <f>8.81720865+1.19071876</f>
        <v>10.007927409999999</v>
      </c>
      <c r="DI18" s="130">
        <f>17.01717165+1.65422294</f>
        <v>18.671394590000002</v>
      </c>
      <c r="DJ18" s="130">
        <f>16.95815411+1.65422294</f>
        <v>18.612377049999999</v>
      </c>
      <c r="DK18" s="130">
        <f>26.93854617+1.65422294</f>
        <v>28.592769109999999</v>
      </c>
      <c r="DL18" s="130">
        <f>0.75210292+1.65422294</f>
        <v>2.4063258599999999</v>
      </c>
      <c r="DM18" s="130">
        <f>0.75210292+1.65422294</f>
        <v>2.4063258599999999</v>
      </c>
      <c r="DN18" s="130">
        <f>7.31125639+1.65422294</f>
        <v>8.9654793299999991</v>
      </c>
      <c r="DO18" s="130">
        <f>11.86850551+1.65422294</f>
        <v>13.522728450000001</v>
      </c>
      <c r="DP18" s="130">
        <f>11.86850551+1.65422294</f>
        <v>13.522728450000001</v>
      </c>
      <c r="DQ18" s="130">
        <f>11.82002729+1.65422294</f>
        <v>13.474250230000001</v>
      </c>
      <c r="DR18" s="130">
        <v>10.47593702</v>
      </c>
      <c r="DS18" s="130">
        <v>10.47593702</v>
      </c>
      <c r="DT18" s="130">
        <f>26.30418706+1.65348294</f>
        <v>27.95767</v>
      </c>
      <c r="DU18" s="130">
        <f>26.30418706+1.65348294</f>
        <v>27.95767</v>
      </c>
      <c r="DV18" s="130">
        <f>20.0845884+1.65348294</f>
        <v>21.738071340000001</v>
      </c>
      <c r="DW18" s="130">
        <f>20.08742539+1.65348294</f>
        <v>21.74090833</v>
      </c>
      <c r="DX18" s="130">
        <f>171.09793553+1.65348294</f>
        <v>172.75141847</v>
      </c>
      <c r="DY18" s="130">
        <f>131.43376514+1.65348294</f>
        <v>133.08724807999999</v>
      </c>
      <c r="DZ18" s="130">
        <f>131.15684306+1.65348294+52</f>
        <v>184.810326</v>
      </c>
      <c r="EA18" s="130">
        <f>31.26856014+1.65348294+152</f>
        <v>184.92204308000001</v>
      </c>
      <c r="EB18" s="130">
        <f>206.17691774+1.65348294</f>
        <v>207.83040068</v>
      </c>
      <c r="EC18" s="130">
        <f>112.66880259+1.65348294</f>
        <v>114.32228553</v>
      </c>
      <c r="ED18" s="130">
        <f>112.69264977+1.65348294</f>
        <v>114.34613271000001</v>
      </c>
      <c r="EE18" s="130">
        <f>107.36426262+1.65348294</f>
        <v>109.01774556000001</v>
      </c>
      <c r="EF18" s="130">
        <f>103.42324509+1.65348294</f>
        <v>105.07672803</v>
      </c>
      <c r="EG18" s="130">
        <f>99.82486276+1.65348294</f>
        <v>101.47834570000001</v>
      </c>
      <c r="EH18" s="130">
        <f>11.54468625+1.65348294</f>
        <v>13.19816919</v>
      </c>
      <c r="EI18" s="130">
        <f>11.93444101+1.65348294</f>
        <v>13.58792395</v>
      </c>
      <c r="EJ18" s="130">
        <f>6.36999563+1.65348294</f>
        <v>8.02347857</v>
      </c>
      <c r="EK18" s="130">
        <f>6.36990871+1.65348294</f>
        <v>8.0233916500000007</v>
      </c>
      <c r="EL18" s="130">
        <f>6.36990871+1.65348294</f>
        <v>8.0233916500000007</v>
      </c>
      <c r="EM18" s="130">
        <f>6.36990871+1.65348294</f>
        <v>8.0233916500000007</v>
      </c>
      <c r="EN18" s="130">
        <f>13.25093832+1.65348294</f>
        <v>14.904421259999999</v>
      </c>
      <c r="EO18" s="130">
        <f>163.25275311+1.65348294</f>
        <v>164.90623604999999</v>
      </c>
      <c r="EP18" s="130">
        <f>163.25867256+1.65348294</f>
        <v>164.91215550000001</v>
      </c>
      <c r="EQ18" s="130">
        <f>76.81358325+1.65348294</f>
        <v>78.467066189999997</v>
      </c>
      <c r="ER18" s="130">
        <v>78.467066189999997</v>
      </c>
      <c r="ES18" s="130">
        <f>159.82550106+1.65348294</f>
        <v>161.478984</v>
      </c>
      <c r="ET18" s="130">
        <f>153.67019085+1.65348294+100</f>
        <v>255.32367379000002</v>
      </c>
      <c r="EU18" s="130">
        <f>253.80703927+1.65328294</f>
        <v>255.46032220999999</v>
      </c>
      <c r="EV18" s="130">
        <f>270.01809786+1.65328294</f>
        <v>271.67138080000001</v>
      </c>
      <c r="EW18" s="130">
        <f>261.43704751+1.65328294</f>
        <v>263.09033045000001</v>
      </c>
      <c r="EX18" s="130">
        <f>301.48210507+1.65328294</f>
        <v>303.13538800999999</v>
      </c>
      <c r="EY18" s="130">
        <v>303.35596882999999</v>
      </c>
      <c r="EZ18" s="130">
        <v>303.35687561999998</v>
      </c>
      <c r="FA18" s="130">
        <v>297.78172088000002</v>
      </c>
      <c r="FB18" s="130">
        <v>298</v>
      </c>
      <c r="FC18" s="130">
        <v>456.96513457000003</v>
      </c>
      <c r="FD18" s="130">
        <v>757.22683976999997</v>
      </c>
      <c r="FE18" s="130">
        <v>738.13342875000001</v>
      </c>
      <c r="FF18" s="130">
        <f>34.08819981+2.03539579+700</f>
        <v>736.12359560000004</v>
      </c>
      <c r="FG18" s="130">
        <f>60.09321282+2.03539579+700</f>
        <v>762.12860861000001</v>
      </c>
      <c r="FH18" s="130">
        <v>762</v>
      </c>
      <c r="FI18" s="130">
        <v>762.07887928000002</v>
      </c>
      <c r="FJ18" s="130">
        <f>1.45481644+2.03539579+700</f>
        <v>703.49021223</v>
      </c>
      <c r="FK18" s="130">
        <f>1.45481644+2.03539579+700</f>
        <v>703.49021223</v>
      </c>
      <c r="FL18" s="130">
        <f>54.19424582+1.63055251+500</f>
        <v>555.82479833000002</v>
      </c>
      <c r="FM18" s="130">
        <v>552</v>
      </c>
      <c r="FN18" s="130">
        <v>548.89229739999996</v>
      </c>
      <c r="FO18" s="130">
        <f>0.63365523+1.20979504+500</f>
        <v>501.84345027000001</v>
      </c>
      <c r="FP18" s="130">
        <f>13.62220179+6.30979504+500</f>
        <v>519.93199683</v>
      </c>
      <c r="FQ18" s="130">
        <f>13.64988903+1.07061142+500</f>
        <v>514.72050045000003</v>
      </c>
      <c r="FR18" s="130">
        <v>514.72244866999995</v>
      </c>
      <c r="FS18" s="130">
        <v>514.72411963000002</v>
      </c>
      <c r="FT18" s="130">
        <f>0.43174515+1.07061142+500</f>
        <v>501.50235657000002</v>
      </c>
      <c r="FU18" s="130">
        <f>17.51607606+1.08786201+500</f>
        <v>518.60393807000003</v>
      </c>
      <c r="FV18" s="130">
        <f>19.32054806+1.08786201+500</f>
        <v>520.40841006999995</v>
      </c>
      <c r="FW18" s="130">
        <f>19.33933326+1.08786201+500</f>
        <v>520.42719526999997</v>
      </c>
      <c r="FX18" s="130">
        <f>19.33854926+1.08786201+500</f>
        <v>520.42641127000002</v>
      </c>
      <c r="FY18" s="130">
        <v>520</v>
      </c>
      <c r="FZ18" s="130">
        <f>14.73389916+1.08786201+500</f>
        <v>515.82176116999995</v>
      </c>
      <c r="GA18" s="130">
        <f>18.06041182+1.08786201+500</f>
        <v>519.14827382999999</v>
      </c>
      <c r="GB18" s="130">
        <f>18.00692581+1.08786201+500</f>
        <v>519.09478781999996</v>
      </c>
      <c r="GC18" s="130">
        <f>18.01506992+1.08786201+500</f>
        <v>519.10293192999995</v>
      </c>
      <c r="GD18" s="130">
        <f>68.00533986+1.08786201+500</f>
        <v>569.09320187000003</v>
      </c>
      <c r="GE18" s="130">
        <v>6.7557510900000004</v>
      </c>
      <c r="GF18" s="130">
        <v>11.2495037</v>
      </c>
      <c r="GG18" s="130">
        <v>55.870438700000001</v>
      </c>
      <c r="GH18" s="130">
        <f>51.90310005+1.08786201</f>
        <v>52.990962060000001</v>
      </c>
      <c r="GI18" s="130">
        <v>9.19509957</v>
      </c>
      <c r="GJ18" s="130">
        <v>14.04764338</v>
      </c>
      <c r="GK18" s="130">
        <v>10.469814640000001</v>
      </c>
      <c r="GL18" s="130">
        <v>6.2449693000000002</v>
      </c>
      <c r="GM18" s="130">
        <v>9.3116553199999998</v>
      </c>
      <c r="GN18" s="130">
        <v>6.2202719999999996</v>
      </c>
      <c r="GO18" s="130">
        <v>4.7126140000000003</v>
      </c>
      <c r="GP18" s="130">
        <v>4.4222346699999999</v>
      </c>
      <c r="GQ18" s="130">
        <v>19.0800074</v>
      </c>
      <c r="GR18" s="130">
        <v>18.983088129999999</v>
      </c>
      <c r="GS18" s="130">
        <v>17.347648119999999</v>
      </c>
      <c r="GT18" s="130">
        <v>14.505145316999998</v>
      </c>
      <c r="GU18" s="130">
        <v>12.40615126</v>
      </c>
      <c r="GV18" s="130">
        <v>10.379387979999999</v>
      </c>
      <c r="GW18" s="130">
        <v>10.379387979999999</v>
      </c>
      <c r="GX18" s="130">
        <v>11.1</v>
      </c>
      <c r="GY18" s="130">
        <v>12.27812658</v>
      </c>
      <c r="GZ18" s="130">
        <v>12.253905269999999</v>
      </c>
      <c r="HA18" s="130">
        <v>137.54422660999998</v>
      </c>
      <c r="HB18" s="130">
        <v>137.54422660999998</v>
      </c>
      <c r="HC18" s="130">
        <v>35.860394399999997</v>
      </c>
      <c r="HD18" s="130">
        <v>16.36169228</v>
      </c>
      <c r="HE18" s="130">
        <v>14.368820119999999</v>
      </c>
      <c r="HF18" s="130">
        <v>12.67569922</v>
      </c>
      <c r="HG18" s="130">
        <v>5.33281209</v>
      </c>
      <c r="HH18" s="130">
        <v>5.20484992</v>
      </c>
      <c r="HI18" s="130">
        <v>4.3447124700000002</v>
      </c>
      <c r="HJ18" s="130">
        <v>12.340970459999999</v>
      </c>
      <c r="HK18" s="130">
        <v>12.20218118</v>
      </c>
      <c r="HL18" s="130">
        <v>125.32425201000001</v>
      </c>
      <c r="HM18" s="130">
        <v>18.211842499999999</v>
      </c>
      <c r="HN18" s="130">
        <v>18.146896080000001</v>
      </c>
      <c r="HO18" s="130">
        <v>18.10254407</v>
      </c>
      <c r="HP18" s="130">
        <v>10.66365081</v>
      </c>
      <c r="HQ18" s="130">
        <v>9.9143051599999996</v>
      </c>
      <c r="HR18" s="130">
        <v>206.55922712</v>
      </c>
      <c r="HS18" s="130">
        <v>192.27547358999999</v>
      </c>
      <c r="HT18" s="949">
        <v>151.79722741999998</v>
      </c>
      <c r="HU18" s="949">
        <v>151.79722741999998</v>
      </c>
      <c r="HV18" s="949">
        <v>238.35863681000001</v>
      </c>
      <c r="HW18" s="949">
        <v>238.35863681000001</v>
      </c>
      <c r="HX18" s="949">
        <v>207.98498271999998</v>
      </c>
      <c r="HY18" s="949">
        <v>207.98498271999998</v>
      </c>
      <c r="HZ18" s="949">
        <v>171.03297337000001</v>
      </c>
      <c r="IA18" s="949">
        <v>171.08993995</v>
      </c>
      <c r="IB18" s="949">
        <v>170.87944137</v>
      </c>
      <c r="IC18" s="949">
        <v>170.87944137</v>
      </c>
      <c r="ID18" s="949">
        <v>170.87944137</v>
      </c>
      <c r="IE18" s="949">
        <v>29.157514249999998</v>
      </c>
      <c r="IF18" s="949">
        <v>29.157514249999998</v>
      </c>
      <c r="IG18" s="949">
        <v>302.15877392000004</v>
      </c>
      <c r="IH18" s="949">
        <v>312.32749154999999</v>
      </c>
      <c r="II18" s="949">
        <v>312.32749154999999</v>
      </c>
      <c r="IJ18" s="949">
        <v>312.32749154999999</v>
      </c>
      <c r="IK18" s="949">
        <v>312.31713101999998</v>
      </c>
      <c r="IL18" s="949">
        <v>312.31713101999998</v>
      </c>
      <c r="IM18" s="949">
        <v>312.31713101999998</v>
      </c>
      <c r="IN18" s="949">
        <v>49.829519359999999</v>
      </c>
      <c r="IO18" s="949">
        <v>33.926374459999998</v>
      </c>
      <c r="IP18" s="949">
        <v>20.225781650000002</v>
      </c>
      <c r="IQ18" s="949">
        <v>17.223848970000002</v>
      </c>
      <c r="IR18" s="949">
        <v>17.223848970000002</v>
      </c>
      <c r="IS18" s="949">
        <v>9.5109191500000012</v>
      </c>
      <c r="IT18" s="949">
        <v>6.6005029999999998</v>
      </c>
      <c r="IU18" s="949">
        <v>1.4122542600000001</v>
      </c>
      <c r="IV18" s="949">
        <v>1.4122542600000001</v>
      </c>
      <c r="IW18" s="949">
        <v>137.74089689999997</v>
      </c>
      <c r="IX18" s="949">
        <v>34.311238459999998</v>
      </c>
      <c r="IY18" s="949">
        <v>27.389625590000001</v>
      </c>
      <c r="IZ18" s="949">
        <v>27.261299330000003</v>
      </c>
      <c r="JA18" s="949">
        <v>27.26532362</v>
      </c>
      <c r="JB18" s="949">
        <v>27.26532362</v>
      </c>
      <c r="JC18" s="949">
        <v>21.458251350000001</v>
      </c>
      <c r="JD18" s="949">
        <v>19.797971130000004</v>
      </c>
      <c r="JE18" s="949">
        <v>19.797971130000004</v>
      </c>
      <c r="JF18" s="949">
        <v>19.797971130000004</v>
      </c>
      <c r="JG18" s="949">
        <v>9.9923616199999987</v>
      </c>
      <c r="JH18" s="949">
        <v>9.9923616199999987</v>
      </c>
      <c r="JI18" s="949">
        <v>9.9923616199999987</v>
      </c>
      <c r="JJ18" s="949">
        <v>7.1144130499999996</v>
      </c>
      <c r="JK18" s="949">
        <v>6.4143760499999996</v>
      </c>
      <c r="JL18" s="949">
        <v>6.4168860499999996</v>
      </c>
      <c r="JM18" s="949">
        <v>4.5952495899999999</v>
      </c>
      <c r="JN18" s="949">
        <v>4.5952495899999999</v>
      </c>
      <c r="JO18" s="949">
        <v>4.5952495899999999</v>
      </c>
      <c r="JP18" s="949">
        <v>11.953582379999999</v>
      </c>
      <c r="JQ18" s="949">
        <v>11.953582379999999</v>
      </c>
      <c r="JR18" s="949">
        <v>9.2599116400000003</v>
      </c>
      <c r="JS18" s="949">
        <v>9.2599116400000003</v>
      </c>
      <c r="JT18" s="949">
        <v>156.15981088999999</v>
      </c>
      <c r="JU18" s="949">
        <v>156.05186813</v>
      </c>
      <c r="JV18" s="949">
        <v>156.05186813</v>
      </c>
      <c r="JW18" s="949">
        <v>407.01755613</v>
      </c>
      <c r="JX18" s="949">
        <v>407.01755613</v>
      </c>
      <c r="JY18" s="949">
        <v>371.21088166999994</v>
      </c>
      <c r="JZ18" s="949">
        <v>371.21088166999994</v>
      </c>
      <c r="KA18" s="949">
        <v>246.47589922999998</v>
      </c>
      <c r="KB18" s="949">
        <v>238.06666447999999</v>
      </c>
      <c r="KC18" s="949">
        <v>228.07976169</v>
      </c>
      <c r="KD18" s="949">
        <v>516.82286494999994</v>
      </c>
      <c r="KE18" s="949">
        <v>516.82286494999994</v>
      </c>
      <c r="KF18" s="949">
        <v>6.4143760499999996</v>
      </c>
      <c r="KG18" s="949">
        <v>391.44114580999997</v>
      </c>
      <c r="KH18" s="949">
        <v>391.44114580999997</v>
      </c>
      <c r="KI18" s="949">
        <v>322.60979407000002</v>
      </c>
      <c r="KJ18" s="949">
        <v>322.60979407000002</v>
      </c>
      <c r="KK18" s="949">
        <v>254.17124822</v>
      </c>
      <c r="KL18" s="949">
        <v>253.66501892999997</v>
      </c>
      <c r="KM18" s="949">
        <v>253.66501892999997</v>
      </c>
      <c r="KN18" s="949">
        <v>242.54252267000001</v>
      </c>
      <c r="KO18" s="949">
        <v>192.14367131999998</v>
      </c>
      <c r="KP18" s="949">
        <v>129.46586392</v>
      </c>
      <c r="KQ18" s="949">
        <v>39.65148044</v>
      </c>
      <c r="KR18" s="949">
        <v>39.65148044</v>
      </c>
      <c r="KS18" s="949">
        <v>39.664028119999998</v>
      </c>
      <c r="KT18" s="949">
        <v>39.664028119999998</v>
      </c>
      <c r="KU18" s="949">
        <v>61.514559119999994</v>
      </c>
      <c r="KV18" s="949">
        <v>7.3487320599999997</v>
      </c>
      <c r="KW18" s="949">
        <v>47.810938479999997</v>
      </c>
      <c r="KX18" s="949">
        <v>45.124683869999998</v>
      </c>
      <c r="KY18" s="949">
        <v>45.124683869999998</v>
      </c>
      <c r="KZ18" s="949">
        <v>38.327019319999998</v>
      </c>
      <c r="LA18" s="949">
        <v>38.327019319999998</v>
      </c>
      <c r="LB18" s="949">
        <v>43.558741410000003</v>
      </c>
      <c r="LC18" s="949">
        <v>43.558741410000003</v>
      </c>
      <c r="LD18" s="949">
        <v>43.558741410000003</v>
      </c>
      <c r="LE18" s="949">
        <v>25.367956939999999</v>
      </c>
      <c r="LF18" s="949">
        <v>67.600884620000002</v>
      </c>
      <c r="LG18" s="949">
        <v>67.600884620000002</v>
      </c>
      <c r="LH18" s="949">
        <v>67.600884620000002</v>
      </c>
      <c r="LI18" s="949">
        <v>23.607933299999996</v>
      </c>
      <c r="LJ18" s="949">
        <v>23.607933299999996</v>
      </c>
      <c r="LK18" s="949">
        <v>23.607933299999996</v>
      </c>
      <c r="LL18" s="949">
        <v>37.357472009999995</v>
      </c>
      <c r="LM18" s="949">
        <v>37.357472009999995</v>
      </c>
      <c r="LN18" s="949">
        <v>25.506765429999998</v>
      </c>
      <c r="LO18" s="949">
        <v>25.506765429999998</v>
      </c>
      <c r="LP18" s="949">
        <v>25.506765429999998</v>
      </c>
      <c r="LQ18" s="949">
        <v>4.1132016300000007</v>
      </c>
      <c r="LR18" s="949">
        <v>3.6001436100000004</v>
      </c>
      <c r="LS18" s="949">
        <v>3.6001436100000004</v>
      </c>
      <c r="LT18" s="949">
        <v>3.4008996700000003</v>
      </c>
      <c r="LU18" s="949">
        <v>12.879825459999999</v>
      </c>
      <c r="LV18" s="949">
        <v>12.678614</v>
      </c>
      <c r="LW18" s="949">
        <v>12.678614</v>
      </c>
      <c r="LX18" s="949">
        <v>9.8769303199999996</v>
      </c>
      <c r="LY18" s="949">
        <v>9.8769303199999996</v>
      </c>
      <c r="LZ18" s="949">
        <v>16.128316129999998</v>
      </c>
      <c r="MA18" s="949">
        <v>16.128316129999998</v>
      </c>
      <c r="MB18" s="949">
        <v>16.128316129999998</v>
      </c>
      <c r="MC18" s="949">
        <v>16.128316129999998</v>
      </c>
      <c r="MD18" s="949">
        <v>7.8844850599999994</v>
      </c>
      <c r="ME18" s="949">
        <v>184.61866484999999</v>
      </c>
      <c r="MF18" s="949">
        <v>184.61866484999999</v>
      </c>
      <c r="MG18" s="949">
        <v>184.61866484999999</v>
      </c>
      <c r="MH18" s="949">
        <v>10.395043449999999</v>
      </c>
      <c r="MI18" s="949">
        <v>10.395043449999999</v>
      </c>
      <c r="MJ18" s="949">
        <v>56.223458819999998</v>
      </c>
      <c r="MK18" s="949">
        <v>35.88139254</v>
      </c>
      <c r="ML18" s="949">
        <v>35.88139254</v>
      </c>
      <c r="MM18" s="949">
        <v>35.88139254</v>
      </c>
      <c r="MN18" s="949">
        <v>35.88139254</v>
      </c>
      <c r="MO18" s="949">
        <v>35.88139254</v>
      </c>
      <c r="MP18" s="949">
        <v>35.88139254</v>
      </c>
      <c r="MQ18" s="949">
        <v>136.54343972000001</v>
      </c>
      <c r="MR18" s="949">
        <v>136.54343972000001</v>
      </c>
      <c r="MS18" s="949">
        <v>136.63259489000001</v>
      </c>
      <c r="MT18" s="949">
        <v>38.04835722</v>
      </c>
      <c r="MU18" s="949">
        <v>38.04835722</v>
      </c>
      <c r="MV18" s="949">
        <v>38.04835722</v>
      </c>
      <c r="MW18" s="949">
        <v>83.550098130000009</v>
      </c>
      <c r="MX18" s="949">
        <v>83.450167440000016</v>
      </c>
      <c r="MY18" s="949">
        <v>83.450167440000016</v>
      </c>
      <c r="MZ18" s="949">
        <v>83.450167440000016</v>
      </c>
      <c r="NA18" s="949">
        <v>83.450167440000016</v>
      </c>
      <c r="NB18" s="949">
        <v>83.450167440000016</v>
      </c>
      <c r="NC18" s="949">
        <v>83.450167440000016</v>
      </c>
      <c r="ND18" s="949">
        <v>83.450167440000016</v>
      </c>
      <c r="NE18" s="949">
        <v>83.450167440000016</v>
      </c>
      <c r="NF18" s="949">
        <v>44.871139399999997</v>
      </c>
      <c r="NG18" s="949">
        <v>45.023495770000004</v>
      </c>
      <c r="NH18" s="949">
        <v>41.320966520000006</v>
      </c>
      <c r="NI18" s="949">
        <v>42.944821490000002</v>
      </c>
      <c r="NJ18" s="949">
        <v>42.944821490000002</v>
      </c>
      <c r="NK18" s="949">
        <v>41.525157710000002</v>
      </c>
      <c r="NL18" s="949">
        <v>41.525157710000002</v>
      </c>
      <c r="NM18" s="949">
        <v>47.287027039999998</v>
      </c>
      <c r="NN18" s="949">
        <v>47.287027039999998</v>
      </c>
      <c r="NO18" s="949">
        <v>47.287027039999998</v>
      </c>
      <c r="NP18" s="949">
        <v>102.97867022000001</v>
      </c>
      <c r="NQ18" s="949">
        <v>102.97867022000001</v>
      </c>
      <c r="NR18" s="949">
        <v>148.11649084999999</v>
      </c>
      <c r="NS18" s="949">
        <v>148.11649084999999</v>
      </c>
      <c r="NT18" s="949">
        <v>148.11649084999999</v>
      </c>
      <c r="NU18" s="949">
        <v>44.281724759999996</v>
      </c>
      <c r="NV18" s="949">
        <v>44.311591390000004</v>
      </c>
      <c r="NW18" s="949">
        <v>44.311591390000004</v>
      </c>
      <c r="NX18" s="949">
        <v>44.311591390000004</v>
      </c>
      <c r="NY18" s="949">
        <v>23.580840490000003</v>
      </c>
      <c r="NZ18" s="949">
        <v>23.588577150000003</v>
      </c>
      <c r="OA18" s="949">
        <v>23.588577150000003</v>
      </c>
      <c r="OB18" s="949">
        <v>23.588577150000003</v>
      </c>
      <c r="OC18" s="949">
        <v>64.516096320000003</v>
      </c>
      <c r="OD18" s="949">
        <v>64.516096320000003</v>
      </c>
      <c r="OE18" s="949">
        <v>64.516096320000003</v>
      </c>
      <c r="OF18" s="949">
        <v>64.516096320000003</v>
      </c>
      <c r="OG18" s="949">
        <v>16.037504289999998</v>
      </c>
      <c r="OH18" s="949">
        <v>16.037504289999998</v>
      </c>
      <c r="OI18" s="949">
        <v>39.424075699999996</v>
      </c>
      <c r="OJ18" s="949">
        <v>48.491908629999998</v>
      </c>
      <c r="OK18" s="949">
        <v>48.491908629999998</v>
      </c>
      <c r="OL18" s="949">
        <v>17.078597100000003</v>
      </c>
      <c r="OM18" s="949">
        <v>17.078597100000003</v>
      </c>
      <c r="ON18" s="949">
        <v>17.078597100000003</v>
      </c>
      <c r="OO18" s="949">
        <v>25.376928790000004</v>
      </c>
      <c r="OP18" s="949">
        <v>25.27541652</v>
      </c>
      <c r="OQ18" s="949">
        <v>25.27541652</v>
      </c>
      <c r="OR18" s="949">
        <v>25.27541652</v>
      </c>
      <c r="OS18" s="949">
        <v>47.705013280000003</v>
      </c>
      <c r="OT18" s="949">
        <v>19.662039760000003</v>
      </c>
      <c r="OU18" s="949">
        <v>19.662039760000003</v>
      </c>
      <c r="OV18" s="949">
        <v>19.662039760000003</v>
      </c>
      <c r="OW18" s="949">
        <v>14.9239798</v>
      </c>
      <c r="OX18" s="949">
        <v>14.9239798</v>
      </c>
      <c r="OY18" s="949">
        <v>196.34159306000001</v>
      </c>
      <c r="OZ18" s="949">
        <v>196.34159306000001</v>
      </c>
      <c r="PA18" s="949">
        <v>196.34159306000001</v>
      </c>
      <c r="PB18" s="949">
        <v>61.956200070000001</v>
      </c>
      <c r="PC18" s="949">
        <v>61.956200070000001</v>
      </c>
      <c r="PD18" s="949">
        <v>61.956200070000001</v>
      </c>
      <c r="PE18" s="949">
        <v>44.492404860000001</v>
      </c>
      <c r="PF18" s="949">
        <v>42.31343107</v>
      </c>
      <c r="PG18" s="949">
        <v>42.31343107</v>
      </c>
      <c r="PH18" s="949">
        <v>42.31343107</v>
      </c>
      <c r="PI18" s="949">
        <v>42.266096129999994</v>
      </c>
      <c r="PJ18" s="949">
        <v>74.989515109999999</v>
      </c>
      <c r="PK18" s="949">
        <v>74.989515109999999</v>
      </c>
      <c r="PL18" s="949">
        <v>74.989515109999999</v>
      </c>
      <c r="PM18" s="949">
        <v>74.989515109999999</v>
      </c>
      <c r="PN18" s="949">
        <v>49.552436199999995</v>
      </c>
      <c r="PO18" s="949">
        <v>49.552436199999995</v>
      </c>
      <c r="PP18" s="949">
        <v>16.306489079999999</v>
      </c>
      <c r="PQ18" s="949">
        <v>16.306489079999999</v>
      </c>
      <c r="PR18" s="949">
        <v>16.306489079999999</v>
      </c>
      <c r="PS18" s="949">
        <v>10.825627019999999</v>
      </c>
      <c r="PT18" s="949">
        <v>10.825627019999999</v>
      </c>
      <c r="PU18" s="949">
        <v>67.036224099999998</v>
      </c>
      <c r="PV18" s="949">
        <v>67.036224099999998</v>
      </c>
      <c r="PW18" s="949">
        <v>67.036224099999998</v>
      </c>
      <c r="PX18" s="949">
        <v>63.522026439999998</v>
      </c>
      <c r="PY18" s="949">
        <v>52.166934249999997</v>
      </c>
      <c r="PZ18" s="949">
        <v>52.166934249999997</v>
      </c>
      <c r="QA18" s="949">
        <v>52.166934249999997</v>
      </c>
      <c r="QB18" s="949">
        <v>145.29635141</v>
      </c>
      <c r="QC18" s="949">
        <v>143.82039638000001</v>
      </c>
      <c r="QD18" s="949">
        <v>143.82039638000001</v>
      </c>
      <c r="QE18" s="949">
        <v>121.24926236</v>
      </c>
      <c r="QF18" s="949">
        <v>121.24926236</v>
      </c>
      <c r="QG18" s="949">
        <v>121.24926236</v>
      </c>
      <c r="QH18" s="949">
        <v>121.24926236</v>
      </c>
      <c r="QI18" s="949">
        <v>52.505222709999998</v>
      </c>
      <c r="QJ18" s="949">
        <v>52.505222709999998</v>
      </c>
      <c r="QK18" s="949">
        <v>48.697550989999996</v>
      </c>
      <c r="QL18" s="949">
        <v>48.697550989999996</v>
      </c>
      <c r="QM18" s="949">
        <v>48.697550989999996</v>
      </c>
      <c r="QN18" s="949">
        <v>74.19042456999999</v>
      </c>
      <c r="QO18" s="949">
        <v>74.143561359999993</v>
      </c>
      <c r="QP18" s="949">
        <v>74.143561359999993</v>
      </c>
      <c r="QQ18" s="949">
        <v>113.78681555</v>
      </c>
      <c r="QR18" s="949">
        <v>113.78681555</v>
      </c>
      <c r="QS18" s="949">
        <v>105.82429974999999</v>
      </c>
      <c r="QT18" s="949">
        <v>102.45343544999999</v>
      </c>
      <c r="QU18" s="949">
        <v>102.45343544999999</v>
      </c>
      <c r="QV18" s="949">
        <v>110.53091497</v>
      </c>
      <c r="QW18" s="949">
        <v>102.45343544999999</v>
      </c>
      <c r="QX18" s="949">
        <v>102.45343544999999</v>
      </c>
      <c r="QY18" s="949">
        <v>66.510716490000007</v>
      </c>
      <c r="QZ18" s="949">
        <v>66.510716490000007</v>
      </c>
      <c r="RA18" s="949">
        <v>72.567392060000003</v>
      </c>
      <c r="RB18" s="949">
        <v>72.567392060000003</v>
      </c>
      <c r="RC18" s="949">
        <v>72.567392060000003</v>
      </c>
      <c r="RD18" s="949">
        <v>72.567392060000003</v>
      </c>
      <c r="RE18" s="949">
        <v>275.24867713999998</v>
      </c>
      <c r="RF18" s="949">
        <v>275.24867713999998</v>
      </c>
      <c r="RG18" s="949">
        <v>275.24867713999998</v>
      </c>
      <c r="RH18" s="949">
        <v>195.53631302999997</v>
      </c>
      <c r="RI18" s="949">
        <v>195.55726264999998</v>
      </c>
      <c r="RJ18" s="949">
        <v>195.55726264999998</v>
      </c>
      <c r="RK18" s="949">
        <v>164.40151643999999</v>
      </c>
      <c r="RL18" s="949">
        <v>164.40151643999999</v>
      </c>
      <c r="RM18" s="949">
        <v>142.85312252999998</v>
      </c>
      <c r="RN18" s="949">
        <v>142.85312252999998</v>
      </c>
      <c r="RO18" s="949">
        <v>142.85312252999998</v>
      </c>
      <c r="RP18" s="949">
        <v>142.85312252999998</v>
      </c>
      <c r="RQ18" s="949">
        <v>48.20713568</v>
      </c>
      <c r="RR18" s="949">
        <v>48.20713568</v>
      </c>
      <c r="RS18" s="949">
        <v>50.563786569999998</v>
      </c>
      <c r="RT18" s="949">
        <v>50.563786569999998</v>
      </c>
      <c r="RU18" s="949">
        <v>50.563786569999998</v>
      </c>
      <c r="RV18" s="949">
        <v>50.563786569999998</v>
      </c>
      <c r="RW18" s="949">
        <v>50.563786569999998</v>
      </c>
      <c r="RX18" s="949">
        <v>50.563786569999998</v>
      </c>
      <c r="RY18" s="949">
        <v>283.30405172999997</v>
      </c>
      <c r="RZ18" s="949">
        <v>283.30405172999997</v>
      </c>
      <c r="SA18" s="949">
        <v>294.89596026999999</v>
      </c>
      <c r="SB18" s="949">
        <v>274.63698649999998</v>
      </c>
      <c r="SC18" s="949">
        <v>274.63698649999998</v>
      </c>
      <c r="SD18" s="949">
        <v>274.63698649999998</v>
      </c>
      <c r="SE18" s="949">
        <v>135.12149622999999</v>
      </c>
      <c r="SF18" s="949">
        <v>135.12149622999999</v>
      </c>
      <c r="SG18" s="949">
        <v>83.091980479999989</v>
      </c>
      <c r="SH18" s="949">
        <v>83.091980479999989</v>
      </c>
      <c r="SI18" s="949">
        <v>94.221976739999974</v>
      </c>
      <c r="SJ18" s="949">
        <v>94.221976739999974</v>
      </c>
      <c r="SK18" s="949">
        <v>95.57450664000001</v>
      </c>
      <c r="SL18" s="949">
        <v>95.57450664000001</v>
      </c>
      <c r="SM18" s="949">
        <v>57.787800759999996</v>
      </c>
      <c r="SN18" s="949">
        <v>57.787800759999996</v>
      </c>
      <c r="SO18" s="949">
        <v>57.787800759999996</v>
      </c>
      <c r="SP18" s="949">
        <v>32.245343589999997</v>
      </c>
      <c r="SQ18" s="949">
        <v>32.245343589999997</v>
      </c>
      <c r="SR18" s="949">
        <v>32.245343589999997</v>
      </c>
      <c r="SS18" s="949">
        <v>46.803342755999999</v>
      </c>
      <c r="ST18" s="949">
        <v>46.803342755999999</v>
      </c>
      <c r="SU18" s="949">
        <v>27.580903380000002</v>
      </c>
      <c r="SV18" s="949">
        <v>27.580903380000002</v>
      </c>
      <c r="SW18" s="949">
        <v>27.580903380000002</v>
      </c>
      <c r="SX18" s="949">
        <v>58.329638659999993</v>
      </c>
      <c r="SY18" s="949">
        <v>58.329638659999993</v>
      </c>
      <c r="SZ18" s="949">
        <v>58.329638659999993</v>
      </c>
      <c r="TA18" s="949">
        <v>34.670232679999998</v>
      </c>
      <c r="TB18" s="949">
        <v>34.670232679999998</v>
      </c>
      <c r="TC18" s="949">
        <v>120.30966028</v>
      </c>
      <c r="TD18" s="949">
        <v>120.30966028</v>
      </c>
      <c r="TE18" s="949">
        <v>20.947644500000003</v>
      </c>
      <c r="TF18" s="949">
        <v>27.107319354000005</v>
      </c>
      <c r="TG18" s="949">
        <v>324.95064588199995</v>
      </c>
      <c r="TH18" s="949">
        <v>199.45604227000001</v>
      </c>
      <c r="TI18" s="949">
        <v>74.290370680000009</v>
      </c>
      <c r="TJ18" s="949">
        <v>69.58519659000001</v>
      </c>
      <c r="TK18" s="949">
        <v>5.9627710600000006</v>
      </c>
      <c r="TL18" s="949">
        <v>5.5049856300000002</v>
      </c>
      <c r="TM18" s="949">
        <v>5.6493459700000006</v>
      </c>
      <c r="TN18" s="949">
        <v>6.8772304800000006</v>
      </c>
      <c r="TO18" s="949">
        <v>5.8578558700000007</v>
      </c>
      <c r="TP18" s="949">
        <v>15.8071217</v>
      </c>
      <c r="TQ18" s="949">
        <v>15.098936139999999</v>
      </c>
      <c r="TR18" s="949">
        <v>29.687918840000002</v>
      </c>
      <c r="TS18" s="949">
        <v>29.850828760000002</v>
      </c>
      <c r="TT18" s="949">
        <v>25.986288050000002</v>
      </c>
      <c r="TU18" s="949">
        <v>11.93589476</v>
      </c>
      <c r="TV18" s="949">
        <v>6.8426250400000006</v>
      </c>
      <c r="TW18" s="949">
        <v>103.21066954999999</v>
      </c>
      <c r="TX18" s="949">
        <v>8.1552534600000008</v>
      </c>
      <c r="TY18" s="949">
        <v>5.7590994800000006</v>
      </c>
      <c r="TZ18" s="949">
        <v>3.5822965</v>
      </c>
      <c r="UA18" s="949">
        <v>35.671733930000002</v>
      </c>
      <c r="UB18" s="949">
        <v>32.79545538</v>
      </c>
      <c r="UC18" s="949">
        <v>299.88055926999999</v>
      </c>
      <c r="UD18" s="949">
        <v>414.49131675000001</v>
      </c>
      <c r="UE18" s="949">
        <v>212.41108262</v>
      </c>
      <c r="UF18" s="949">
        <v>10.623463129999999</v>
      </c>
      <c r="UG18" s="949">
        <v>5.4536296399999999</v>
      </c>
      <c r="UH18" s="949">
        <v>186.39592662999999</v>
      </c>
      <c r="UI18" s="949">
        <v>131.30649099999999</v>
      </c>
      <c r="UJ18" s="949">
        <v>19.392900330000003</v>
      </c>
      <c r="UK18" s="949">
        <v>19.136669920000003</v>
      </c>
      <c r="UL18" s="949">
        <v>15.11020188</v>
      </c>
      <c r="UM18" s="949">
        <v>47.499004004100001</v>
      </c>
      <c r="UN18" s="949">
        <v>35.484458210900002</v>
      </c>
      <c r="UO18" s="949">
        <v>62.724030040899997</v>
      </c>
      <c r="UP18" s="949">
        <v>62.017330186399995</v>
      </c>
      <c r="UQ18" s="949">
        <v>9.3735523222000001</v>
      </c>
      <c r="UR18" s="949">
        <v>17.284484576400001</v>
      </c>
      <c r="US18" s="949">
        <v>16.3157803862</v>
      </c>
      <c r="UT18" s="949">
        <v>12.516755440400001</v>
      </c>
      <c r="UU18" s="949">
        <v>24.82442657</v>
      </c>
      <c r="UV18" s="949">
        <v>14.388414640000001</v>
      </c>
      <c r="UW18" s="949">
        <v>14.394755100000001</v>
      </c>
      <c r="UX18" s="949">
        <v>20.5508287</v>
      </c>
      <c r="UY18" s="949">
        <v>49.835034560000004</v>
      </c>
      <c r="UZ18" s="949">
        <v>78.331626780000008</v>
      </c>
      <c r="VA18" s="949">
        <v>78.331626780000008</v>
      </c>
      <c r="VB18" s="949">
        <v>7.0190958200000004</v>
      </c>
      <c r="VC18" s="949">
        <v>14.789678209999998</v>
      </c>
      <c r="VD18" s="949">
        <v>17.561838920000003</v>
      </c>
      <c r="VE18" s="949">
        <v>17.561838920000003</v>
      </c>
      <c r="VF18" s="949">
        <v>34.558226042000001</v>
      </c>
      <c r="VG18" s="949">
        <v>31.282008106800003</v>
      </c>
      <c r="VH18" s="949">
        <v>15.75634732</v>
      </c>
      <c r="VI18" s="949">
        <v>10.741899140000001</v>
      </c>
      <c r="VJ18" s="949">
        <v>10.52892907</v>
      </c>
      <c r="VK18" s="949">
        <v>49.10941657</v>
      </c>
      <c r="VL18" s="949">
        <v>86.038035449999981</v>
      </c>
      <c r="VM18" s="949">
        <v>52.568269130000004</v>
      </c>
      <c r="VN18" s="949">
        <v>52.624787079999997</v>
      </c>
      <c r="VO18" s="949">
        <v>19.714028099999997</v>
      </c>
      <c r="VP18" s="949">
        <v>20.68214034</v>
      </c>
      <c r="VQ18" s="949">
        <v>3.12436932</v>
      </c>
      <c r="VR18" s="949">
        <v>34.572315329999995</v>
      </c>
      <c r="VS18" s="949">
        <v>13.185654849999999</v>
      </c>
      <c r="VT18" s="949">
        <v>8.2279655700000003</v>
      </c>
      <c r="VU18" s="949">
        <v>1.4393242900000001</v>
      </c>
      <c r="VV18" s="949">
        <v>38.894588259999999</v>
      </c>
      <c r="VW18" s="949">
        <v>9.5058561000000008</v>
      </c>
      <c r="VX18" s="949">
        <v>298.56053480999998</v>
      </c>
      <c r="VY18" s="949">
        <v>244.08228147</v>
      </c>
      <c r="VZ18" s="949">
        <v>35.943517528072</v>
      </c>
      <c r="WA18" s="949">
        <v>36.381761419870003</v>
      </c>
      <c r="WB18" s="949">
        <v>35.995422189869998</v>
      </c>
      <c r="WC18" s="949">
        <v>13.560493922667</v>
      </c>
      <c r="WD18" s="949">
        <v>8.7924769763539992</v>
      </c>
      <c r="WE18" s="949">
        <v>6.4458530348830001</v>
      </c>
      <c r="WF18" s="949">
        <v>204.19611755488296</v>
      </c>
      <c r="WG18" s="949">
        <v>3.564681562903</v>
      </c>
      <c r="WH18" s="949">
        <v>3.6601702629029997</v>
      </c>
      <c r="WI18" s="949">
        <v>37.719190372903</v>
      </c>
      <c r="WJ18" s="949">
        <v>37.531267629811005</v>
      </c>
      <c r="WK18" s="949">
        <v>8.909883709811</v>
      </c>
      <c r="WL18" s="949">
        <v>8.2679662998110004</v>
      </c>
      <c r="WM18" s="949">
        <v>2.2554445598110004</v>
      </c>
      <c r="WN18" s="949">
        <v>233.23484028981099</v>
      </c>
      <c r="WO18" s="949">
        <v>25.303277049424</v>
      </c>
      <c r="WP18" s="949">
        <v>24.173996079423997</v>
      </c>
      <c r="WQ18" s="949">
        <v>24.066353149423996</v>
      </c>
      <c r="WR18" s="949">
        <v>3.0236082197340002</v>
      </c>
      <c r="WS18" s="949">
        <v>63.997141639733996</v>
      </c>
      <c r="WT18" s="949">
        <v>63.078782990800001</v>
      </c>
      <c r="WU18" s="949">
        <v>96.466293880000009</v>
      </c>
      <c r="WV18" s="949">
        <v>88.871413070000003</v>
      </c>
      <c r="WW18" s="949">
        <v>5.5964496200000005</v>
      </c>
      <c r="WX18" s="949">
        <v>107.14490342152001</v>
      </c>
      <c r="WY18" s="949">
        <v>6.1960337300000008</v>
      </c>
      <c r="WZ18" s="949">
        <v>5.6539953000000001</v>
      </c>
      <c r="XA18" s="949">
        <v>78.506217579999998</v>
      </c>
      <c r="XB18" s="949">
        <v>8.7147524499999989</v>
      </c>
      <c r="XC18" s="949">
        <v>8.6446031100000003</v>
      </c>
      <c r="XD18" s="949">
        <v>13.659079120000001</v>
      </c>
      <c r="XE18" s="949">
        <v>10.08725473</v>
      </c>
      <c r="XF18" s="949">
        <v>35.877875300000007</v>
      </c>
      <c r="XG18" s="949">
        <v>28.188784549999998</v>
      </c>
      <c r="XH18" s="949">
        <v>54.675360510000004</v>
      </c>
      <c r="XI18" s="949">
        <v>6.4754151800000006</v>
      </c>
      <c r="XJ18" s="949">
        <v>81.38274109000001</v>
      </c>
      <c r="XK18" s="949">
        <v>14.539159</v>
      </c>
      <c r="XL18" s="949">
        <v>7.3489760600000009</v>
      </c>
      <c r="XM18" s="949">
        <v>3.3776536100000003</v>
      </c>
      <c r="XN18" s="949">
        <v>3.34881859</v>
      </c>
      <c r="XO18" s="949">
        <v>3.34881859</v>
      </c>
      <c r="XP18" s="949">
        <v>6.9584779000000001</v>
      </c>
      <c r="XQ18" s="949">
        <v>10.820985859999999</v>
      </c>
      <c r="XR18" s="949">
        <v>6.7926512499999996</v>
      </c>
      <c r="XS18" s="949">
        <v>11.317156639999999</v>
      </c>
      <c r="XT18" s="949">
        <v>10.496018219999998</v>
      </c>
      <c r="XU18" s="949">
        <v>10.496654509999999</v>
      </c>
      <c r="XV18" s="949">
        <v>129.96484657000002</v>
      </c>
      <c r="XW18" s="949">
        <v>50.536109200000006</v>
      </c>
      <c r="XX18" s="949">
        <v>44.012185910000007</v>
      </c>
      <c r="XY18" s="949">
        <v>38.234704000000001</v>
      </c>
      <c r="XZ18" s="949">
        <v>7.8310745099999997</v>
      </c>
      <c r="YA18" s="949">
        <v>7.2106913200000005</v>
      </c>
      <c r="YB18" s="949">
        <v>5.8389877099999996</v>
      </c>
      <c r="YC18" s="949">
        <v>42.287612060000001</v>
      </c>
      <c r="YD18" s="949">
        <v>124.21293693000001</v>
      </c>
      <c r="YE18" s="949">
        <v>13.10194559</v>
      </c>
      <c r="YF18" s="949">
        <v>84.224293740000007</v>
      </c>
      <c r="YG18" s="949">
        <v>10.372103979999999</v>
      </c>
      <c r="YH18" s="949">
        <v>8.5161639000000005</v>
      </c>
    </row>
    <row r="19" spans="2:658">
      <c r="B19" s="917" t="s">
        <v>30</v>
      </c>
      <c r="C19" s="918">
        <v>166.47928496</v>
      </c>
      <c r="D19" s="130">
        <v>162.45470936000001</v>
      </c>
      <c r="E19" s="130">
        <v>162.38378345999999</v>
      </c>
      <c r="F19" s="130">
        <v>162.35251707</v>
      </c>
      <c r="G19" s="130">
        <v>152.99229887999999</v>
      </c>
      <c r="H19" s="130">
        <v>153.06070686999999</v>
      </c>
      <c r="I19" s="130">
        <v>153.59192784000001</v>
      </c>
      <c r="J19" s="130">
        <v>154.89407756</v>
      </c>
      <c r="K19" s="130">
        <v>154.70620886</v>
      </c>
      <c r="L19" s="130">
        <v>153.8416134</v>
      </c>
      <c r="M19" s="130">
        <v>153.72001243</v>
      </c>
      <c r="N19" s="130">
        <v>144.58665506</v>
      </c>
      <c r="O19" s="130">
        <v>134.28197126000001</v>
      </c>
      <c r="P19" s="130">
        <v>134.30039331</v>
      </c>
      <c r="Q19" s="130">
        <v>131.25700899999998</v>
      </c>
      <c r="R19" s="130">
        <v>130.75328467999998</v>
      </c>
      <c r="S19" s="130">
        <f>128+0.45888139</f>
        <v>128.45888138999999</v>
      </c>
      <c r="T19" s="130">
        <v>128.45888138999999</v>
      </c>
      <c r="U19" s="130">
        <v>75.332405600000001</v>
      </c>
      <c r="V19" s="130">
        <v>126.07182664</v>
      </c>
      <c r="W19" s="130">
        <v>123.80530314000001</v>
      </c>
      <c r="X19" s="130">
        <v>70.971920260000005</v>
      </c>
      <c r="Y19" s="130">
        <v>70.679445889999997</v>
      </c>
      <c r="Z19" s="130">
        <v>70.831366220000007</v>
      </c>
      <c r="AA19" s="130">
        <v>69.027352700000009</v>
      </c>
      <c r="AB19" s="130">
        <v>67.751728610000001</v>
      </c>
      <c r="AC19" s="130">
        <v>67.846945099999999</v>
      </c>
      <c r="AD19" s="130">
        <v>62.969352350000001</v>
      </c>
      <c r="AE19" s="130">
        <v>54.990011410000001</v>
      </c>
      <c r="AF19" s="130">
        <f>0.93412023+0.0319059+54</f>
        <v>54.966026130000003</v>
      </c>
      <c r="AG19" s="130">
        <f>53.69238576+0.17192201</f>
        <v>53.864307770000003</v>
      </c>
      <c r="AH19" s="130">
        <f>53.65824266+0.00408016</f>
        <v>53.66232282</v>
      </c>
      <c r="AI19" s="130">
        <v>53.664629349999998</v>
      </c>
      <c r="AJ19" s="130">
        <f>53+0.00408016+0.67547631</f>
        <v>53.679556470000001</v>
      </c>
      <c r="AK19" s="130">
        <f>0.00399793+53.04469425</f>
        <v>53.048692179999996</v>
      </c>
      <c r="AL19" s="130">
        <f>0.00399793+49.5478276</f>
        <v>49.551825529999995</v>
      </c>
      <c r="AM19" s="130">
        <f>0.02176517+46.53072596</f>
        <v>46.55249113</v>
      </c>
      <c r="AN19" s="130">
        <f>0.02176517+0.50857975+46</f>
        <v>46.530344919999997</v>
      </c>
      <c r="AO19" s="130">
        <f>0.02176517+0.56555995+46</f>
        <v>46.587325120000003</v>
      </c>
      <c r="AP19" s="130">
        <f>0.02176517+0.35790195+46</f>
        <v>46.379667120000001</v>
      </c>
      <c r="AQ19" s="130">
        <f>145.16521156+0.16189305</f>
        <v>145.32710460999999</v>
      </c>
      <c r="AR19" s="130">
        <f>145+0.23452801+0.15989305</f>
        <v>145.39442105999998</v>
      </c>
      <c r="AS19" s="130">
        <f>145+0.873557+0.15989305</f>
        <v>146.03345005</v>
      </c>
      <c r="AT19" s="130">
        <f>145+0.83692315+0.15989305</f>
        <v>145.99681619999998</v>
      </c>
      <c r="AU19" s="130">
        <f>146.01463548+0.15989305</f>
        <v>146.17452853</v>
      </c>
      <c r="AV19" s="130">
        <f>144.40277028+0.15989305</f>
        <v>144.56266332999999</v>
      </c>
      <c r="AW19" s="130">
        <f>140.69809222+0.15989305</f>
        <v>140.85798527</v>
      </c>
      <c r="AX19" s="130">
        <f>140+0.63038071+0.15989305</f>
        <v>140.79027375999999</v>
      </c>
      <c r="AY19" s="130">
        <f>140+0.50099115+0.15989305</f>
        <v>140.6608842</v>
      </c>
      <c r="AZ19" s="130">
        <f>136.1517756+0.16409737</f>
        <v>136.31587297000002</v>
      </c>
      <c r="BA19" s="130">
        <f>124.74676739+0.16409737</f>
        <v>124.91086476</v>
      </c>
      <c r="BB19" s="130">
        <v>118.36970612</v>
      </c>
      <c r="BC19" s="130">
        <f>1.17587646+0.16409737+117</f>
        <v>118.33997383000001</v>
      </c>
      <c r="BD19" s="130">
        <f>1.17685746+0.16409737+117</f>
        <v>118.34095483</v>
      </c>
      <c r="BE19" s="130">
        <f>3.15329877+105.22232743</f>
        <v>108.37562620000001</v>
      </c>
      <c r="BF19" s="130">
        <f>0.3969489+105.2400298</f>
        <v>105.6369787</v>
      </c>
      <c r="BG19" s="130">
        <f>0.3969489+0.69920732+86</f>
        <v>87.096156219999997</v>
      </c>
      <c r="BH19" s="130">
        <f>0.26443094+0.69920732+86</f>
        <v>86.963638259999996</v>
      </c>
      <c r="BI19" s="130">
        <f>0.3318087+0.21227693+86</f>
        <v>86.544085629999998</v>
      </c>
      <c r="BJ19" s="130">
        <f>86.27754268+0.2929657</f>
        <v>86.570508379999993</v>
      </c>
      <c r="BK19" s="130">
        <f>81.69397112+0.53829993</f>
        <v>82.232271049999994</v>
      </c>
      <c r="BL19" s="130">
        <f>0.71619301+231+0.20800996</f>
        <v>231.92420297000001</v>
      </c>
      <c r="BM19" s="130">
        <f>0.71432176+231+0.07023905</f>
        <v>231.78456080999999</v>
      </c>
      <c r="BN19" s="130">
        <f>0.61382176+231+0.07023905</f>
        <v>231.68406081000001</v>
      </c>
      <c r="BO19" s="130">
        <f>80.0923907+0.07023905</f>
        <v>80.162629749999994</v>
      </c>
      <c r="BP19" s="130">
        <f>91.305642+0.07023905</f>
        <v>91.375881050000004</v>
      </c>
      <c r="BQ19" s="130">
        <f>91.23103351+0.07023905</f>
        <v>91.301272560000001</v>
      </c>
      <c r="BR19" s="130">
        <f>91.22214445+0.07023905</f>
        <v>91.2923835</v>
      </c>
      <c r="BS19" s="130">
        <f>91.22214445+0.07023905</f>
        <v>91.2923835</v>
      </c>
      <c r="BT19" s="130">
        <f>91.20113477+0.06874464</f>
        <v>91.269879410000001</v>
      </c>
      <c r="BU19" s="130">
        <f>82.10661017+0.06874464</f>
        <v>82.175354810000002</v>
      </c>
      <c r="BV19" s="130">
        <f>74.86122975+0.06874464</f>
        <v>74.929974390000012</v>
      </c>
      <c r="BW19" s="130">
        <f>64.24926556+0.06874464</f>
        <v>64.318010200000003</v>
      </c>
      <c r="BX19" s="130">
        <f>64.12658961+0.06874464</f>
        <v>64.195334250000002</v>
      </c>
      <c r="BY19" s="130">
        <f>56.63004799+0.06874464</f>
        <v>56.69879263</v>
      </c>
      <c r="BZ19" s="130">
        <f>42.39357073+0.13780913</f>
        <v>42.531379860000001</v>
      </c>
      <c r="CA19" s="130">
        <f>41.74752084+0.13780913</f>
        <v>41.885329970000001</v>
      </c>
      <c r="CB19" s="130">
        <f>41.75375152+0.13780913</f>
        <v>41.891560650000002</v>
      </c>
      <c r="CC19" s="130">
        <f>38.56495823+0.26806728</f>
        <v>38.833025509999999</v>
      </c>
      <c r="CD19" s="130">
        <f>2.99488932+0.26806728</f>
        <v>3.2629565999999999</v>
      </c>
      <c r="CE19" s="130">
        <f>2.96671868+0.26816728</f>
        <v>3.2348859600000002</v>
      </c>
      <c r="CF19" s="130">
        <f>2.96671868+0.26816728</f>
        <v>3.2348859600000002</v>
      </c>
      <c r="CG19" s="130">
        <f>2.74166868+0.26816728</f>
        <v>3.0098359600000002</v>
      </c>
      <c r="CH19" s="130">
        <f>2.69175575+0.26619349</f>
        <v>2.95794924</v>
      </c>
      <c r="CI19" s="130">
        <f>2.69175575+2.40812702</f>
        <v>5.0998827699999998</v>
      </c>
      <c r="CJ19" s="130">
        <f>3.19848317+1.01155302</f>
        <v>4.2100361900000003</v>
      </c>
      <c r="CK19" s="130">
        <f>3.20214317+0.87931609</f>
        <v>4.0814592599999999</v>
      </c>
      <c r="CL19" s="130">
        <f>3.20214317+0.85982864</f>
        <v>4.0619718100000002</v>
      </c>
      <c r="CM19" s="130">
        <f>3.73255868+0.85982864</f>
        <v>4.5923873200000003</v>
      </c>
      <c r="CN19" s="130">
        <f>12.67232306+0.85982864</f>
        <v>13.5321517</v>
      </c>
      <c r="CO19" s="130">
        <f>38.00983486+0.85982864</f>
        <v>38.869663500000001</v>
      </c>
      <c r="CP19" s="130">
        <f>38.0148576+0.85982864</f>
        <v>38.874686240000003</v>
      </c>
      <c r="CQ19" s="130">
        <f>38.74190632+0.90967864</f>
        <v>39.651584960000001</v>
      </c>
      <c r="CR19" s="130">
        <f>25.84403911+0.90967864</f>
        <v>26.75371775</v>
      </c>
      <c r="CS19" s="130">
        <f>52.96407462+0.90967864</f>
        <v>53.873753260000001</v>
      </c>
      <c r="CT19" s="130">
        <f>41.87068173+0.90967864</f>
        <v>42.780360370000004</v>
      </c>
      <c r="CU19" s="130">
        <f>41.856923+0.90967864</f>
        <v>42.766601640000005</v>
      </c>
      <c r="CV19" s="130">
        <f>41.6830533+0.90967864</f>
        <v>42.59273194</v>
      </c>
      <c r="CW19" s="130">
        <f>34.62939746+0.77836851</f>
        <v>35.40776597</v>
      </c>
      <c r="CX19" s="130">
        <f>34.62939746+0.77836851</f>
        <v>35.40776597</v>
      </c>
      <c r="CY19" s="130">
        <f>32.32426378+0.846654</f>
        <v>33.170917780000003</v>
      </c>
      <c r="CZ19" s="130">
        <v>33.170920000000002</v>
      </c>
      <c r="DA19" s="130">
        <f>59.188826+0.846654</f>
        <v>60.03548</v>
      </c>
      <c r="DB19" s="130">
        <f>31.4021447+0.842291</f>
        <v>32.244435700000004</v>
      </c>
      <c r="DC19" s="130">
        <f>31.406595+1.403172</f>
        <v>32.809767000000001</v>
      </c>
      <c r="DD19" s="130">
        <f>3.64569234+0.27137874</f>
        <v>3.9170710799999999</v>
      </c>
      <c r="DE19" s="130">
        <f>3.90165958+0.26511242</f>
        <v>4.1667719999999999</v>
      </c>
      <c r="DF19" s="130">
        <f>38.94165958+0.26511242</f>
        <v>39.206772000000001</v>
      </c>
      <c r="DG19" s="130">
        <f>38.84096739+0.26511242</f>
        <v>39.106079810000004</v>
      </c>
      <c r="DH19" s="130">
        <f>38.75884699+0.26511242</f>
        <v>39.023959410000003</v>
      </c>
      <c r="DI19" s="130">
        <f>29.11237025+0.26511242</f>
        <v>29.377482670000003</v>
      </c>
      <c r="DJ19" s="130">
        <f>29.03736154+0.26511242</f>
        <v>29.30247396</v>
      </c>
      <c r="DK19" s="130">
        <f>29.04145332+0.26511242</f>
        <v>29.30656574</v>
      </c>
      <c r="DL19" s="130">
        <f>29.01681727+0.26511242+0.05831967</f>
        <v>29.340249360000001</v>
      </c>
      <c r="DM19" s="130">
        <f>29.01681727+0.26511242+0.05831967</f>
        <v>29.340249360000001</v>
      </c>
      <c r="DN19" s="130">
        <f>17.64496916+0.26511242+0.05831967</f>
        <v>17.968401249999999</v>
      </c>
      <c r="DO19" s="130">
        <f>14.2211167+0.33437111</f>
        <v>14.555487809999999</v>
      </c>
      <c r="DP19" s="130">
        <f>14.2211167+0.33437111</f>
        <v>14.555487809999999</v>
      </c>
      <c r="DQ19" s="130">
        <f>14.22168677+0.33437111</f>
        <v>14.556057879999999</v>
      </c>
      <c r="DR19" s="130">
        <v>19.45088075</v>
      </c>
      <c r="DS19" s="130">
        <v>19.45088075</v>
      </c>
      <c r="DT19" s="130">
        <f>21.50160612+0.33437111</f>
        <v>21.835977230000001</v>
      </c>
      <c r="DU19" s="130">
        <f>21.50452311+0.33437111</f>
        <v>21.83889422</v>
      </c>
      <c r="DV19" s="130">
        <f>18.16407989+0.33437111</f>
        <v>18.498450999999999</v>
      </c>
      <c r="DW19" s="130">
        <f>18.16676756+0.33437111</f>
        <v>18.50113867</v>
      </c>
      <c r="DX19" s="130">
        <f>16.68733856+0.33437111</f>
        <v>17.02170967</v>
      </c>
      <c r="DY19" s="130">
        <f>69.33803741+0.33437111</f>
        <v>69.672408520000005</v>
      </c>
      <c r="DZ19" s="130">
        <f>16.94989675+0.33437111</f>
        <v>17.28426786</v>
      </c>
      <c r="EA19" s="130">
        <f>16.83115887+0.33243274</f>
        <v>17.163591610000001</v>
      </c>
      <c r="EB19" s="130">
        <f>16.83382599+0.33243274</f>
        <v>17.166258730000003</v>
      </c>
      <c r="EC19" s="130">
        <f>12.07133667+0.33243274</f>
        <v>12.403769410000001</v>
      </c>
      <c r="ED19" s="130">
        <f>11.58425115+0.33243274</f>
        <v>11.91668389</v>
      </c>
      <c r="EE19" s="130">
        <f>11.58604129+0.33243274</f>
        <v>11.91847403</v>
      </c>
      <c r="EF19" s="130">
        <f>11.59113361+0.33243274</f>
        <v>11.92356635</v>
      </c>
      <c r="EG19" s="130">
        <f>11.59293095+0.33243274</f>
        <v>11.925363689999999</v>
      </c>
      <c r="EH19" s="130">
        <f>24.42035521+10.97856537</f>
        <v>35.398920580000002</v>
      </c>
      <c r="EI19" s="130">
        <f>22.31069036+0.98463316</f>
        <v>23.29532352</v>
      </c>
      <c r="EJ19" s="130">
        <f>16.20635259+0.98463316</f>
        <v>17.190985750000003</v>
      </c>
      <c r="EK19" s="130">
        <f>24.97926501+0.95236739</f>
        <v>25.931632399999998</v>
      </c>
      <c r="EL19" s="130">
        <f>27.38393461+0.95236739</f>
        <v>28.336302</v>
      </c>
      <c r="EM19" s="130">
        <f>27.38393461+0.95236739</f>
        <v>28.336302</v>
      </c>
      <c r="EN19" s="130">
        <f>117.20136651+0.95236739</f>
        <v>118.15373390000001</v>
      </c>
      <c r="EO19" s="130">
        <f>20.08211628+0.95225323</f>
        <v>21.034369510000001</v>
      </c>
      <c r="EP19" s="130">
        <f>21.31400451+0.95225323</f>
        <v>22.26625774</v>
      </c>
      <c r="EQ19" s="130">
        <f>22.41711425+0.0462746</f>
        <v>22.463388850000001</v>
      </c>
      <c r="ER19" s="130">
        <v>22.463388850000001</v>
      </c>
      <c r="ES19" s="130">
        <f>16.33879282+3.7037746</f>
        <v>20.042567419999997</v>
      </c>
      <c r="ET19" s="130">
        <f>21.98278941+47.90514279</f>
        <v>69.887932199999995</v>
      </c>
      <c r="EU19" s="130">
        <f>73.89269027+0.90503453</f>
        <v>74.797724799999997</v>
      </c>
      <c r="EV19" s="130">
        <f>74.61452213+0.90543108</f>
        <v>75.519953209999997</v>
      </c>
      <c r="EW19" s="130">
        <f>46.08540605+0.90543108</f>
        <v>46.990837130000003</v>
      </c>
      <c r="EX19" s="130">
        <f>51.19209043+0.81197888</f>
        <v>52.004069309999998</v>
      </c>
      <c r="EY19" s="130">
        <v>62.271564989999995</v>
      </c>
      <c r="EZ19" s="130">
        <v>63.930317209999998</v>
      </c>
      <c r="FA19" s="130">
        <v>52.844782309999999</v>
      </c>
      <c r="FB19" s="130">
        <v>57</v>
      </c>
      <c r="FC19" s="130">
        <v>59.515082</v>
      </c>
      <c r="FD19" s="130">
        <v>60.336066870000003</v>
      </c>
      <c r="FE19" s="130">
        <v>48.291933849999999</v>
      </c>
      <c r="FF19" s="130">
        <f>42.60204451+0.8175245</f>
        <v>43.419569009999996</v>
      </c>
      <c r="FG19" s="130">
        <f>46.44213419+0.8175245</f>
        <v>47.259658689999995</v>
      </c>
      <c r="FH19" s="130">
        <v>47</v>
      </c>
      <c r="FI19" s="130">
        <v>47.430682769999997</v>
      </c>
      <c r="FJ19" s="130">
        <f>45.54547087+27.99050015</f>
        <v>73.535971020000005</v>
      </c>
      <c r="FK19" s="130">
        <f>45.54547087+27.99050015</f>
        <v>73.535971020000005</v>
      </c>
      <c r="FL19" s="130">
        <f>77.06307298+0.87483479</f>
        <v>77.937907769999995</v>
      </c>
      <c r="FM19" s="130">
        <v>86</v>
      </c>
      <c r="FN19" s="130">
        <v>85.608312920000003</v>
      </c>
      <c r="FO19" s="130">
        <f>102.85947807+0.91748469</f>
        <v>103.77696275999999</v>
      </c>
      <c r="FP19" s="130">
        <f>49.67292984+0.91597736</f>
        <v>50.588907200000001</v>
      </c>
      <c r="FQ19" s="130">
        <f>44.49466984+0.91532626</f>
        <v>45.409996100000001</v>
      </c>
      <c r="FR19" s="130">
        <v>45.30932464</v>
      </c>
      <c r="FS19" s="130">
        <v>45.33001067</v>
      </c>
      <c r="FT19" s="130">
        <f>84.29705672+0.91532626</f>
        <v>85.212382980000001</v>
      </c>
      <c r="FU19" s="130">
        <f>87.76437455+0.01031598</f>
        <v>87.774690530000001</v>
      </c>
      <c r="FV19" s="130">
        <f>92.471471+0.01031598</f>
        <v>92.481786979999995</v>
      </c>
      <c r="FW19" s="130">
        <f>97.63225681+0.0096022</f>
        <v>97.641859010000005</v>
      </c>
      <c r="FX19" s="130">
        <f>98.27781931+0.0096022</f>
        <v>98.287421510000001</v>
      </c>
      <c r="FY19" s="130">
        <v>98</v>
      </c>
      <c r="FZ19" s="130">
        <f>94.94402504+0.0096022</f>
        <v>94.953627240000003</v>
      </c>
      <c r="GA19" s="130">
        <f>66.67670027+0.0096022</f>
        <v>66.686302470000001</v>
      </c>
      <c r="GB19" s="130">
        <f>66.68712164+0.0096022</f>
        <v>66.696723840000004</v>
      </c>
      <c r="GC19" s="130">
        <f>64.64293471+0.0096022</f>
        <v>64.652536910000009</v>
      </c>
      <c r="GD19" s="130">
        <f>66.66017706+0.0096022</f>
        <v>66.669779259999999</v>
      </c>
      <c r="GE19" s="130">
        <f>466.6708998+0.0096022</f>
        <v>466.68050199999999</v>
      </c>
      <c r="GF19" s="130">
        <f>50.30068449+0.0096022</f>
        <v>50.310286690000005</v>
      </c>
      <c r="GG19" s="130">
        <f>50.30618739+0.0096022</f>
        <v>50.315789590000001</v>
      </c>
      <c r="GH19" s="130">
        <f>48.50458733+0.0096022</f>
        <v>48.514189530000003</v>
      </c>
      <c r="GI19" s="130">
        <v>55.703376240000004</v>
      </c>
      <c r="GJ19" s="130">
        <v>48.193401530000003</v>
      </c>
      <c r="GK19" s="130">
        <v>54.692757880000002</v>
      </c>
      <c r="GL19" s="130">
        <v>59.991928270000002</v>
      </c>
      <c r="GM19" s="130">
        <v>63.743686650000001</v>
      </c>
      <c r="GN19" s="130">
        <v>82.0350641</v>
      </c>
      <c r="GO19" s="130">
        <v>84.42716428</v>
      </c>
      <c r="GP19" s="130">
        <v>35.124288829999998</v>
      </c>
      <c r="GQ19" s="130">
        <v>27.136882239999998</v>
      </c>
      <c r="GR19" s="130">
        <v>6.4325781600000003</v>
      </c>
      <c r="GS19" s="130">
        <v>10.09623699</v>
      </c>
      <c r="GT19" s="130">
        <v>21.133797569999999</v>
      </c>
      <c r="GU19" s="130">
        <v>26.006582559999998</v>
      </c>
      <c r="GV19" s="130">
        <v>25.03136121</v>
      </c>
      <c r="GW19" s="130">
        <v>25.03136121</v>
      </c>
      <c r="GX19" s="130">
        <v>24.8</v>
      </c>
      <c r="GY19" s="130">
        <v>24.880473200000004</v>
      </c>
      <c r="GZ19" s="130">
        <v>24.635708319999999</v>
      </c>
      <c r="HA19" s="130">
        <v>15.79687302</v>
      </c>
      <c r="HB19" s="130">
        <v>15.79899584</v>
      </c>
      <c r="HC19" s="130">
        <v>14.24550118</v>
      </c>
      <c r="HD19" s="130">
        <v>16.318635459999999</v>
      </c>
      <c r="HE19" s="130">
        <v>2.18825381</v>
      </c>
      <c r="HF19" s="130">
        <v>9.7497305099999991</v>
      </c>
      <c r="HG19" s="130">
        <v>8.5858640399999988</v>
      </c>
      <c r="HH19" s="130">
        <v>28.659942169999997</v>
      </c>
      <c r="HI19" s="130">
        <v>35.931994770000003</v>
      </c>
      <c r="HJ19" s="130">
        <v>85.384592249999997</v>
      </c>
      <c r="HK19" s="130">
        <v>92.879174559999996</v>
      </c>
      <c r="HL19" s="130">
        <v>115.29892244000001</v>
      </c>
      <c r="HM19" s="130">
        <v>111.38648665000001</v>
      </c>
      <c r="HN19" s="130">
        <v>122.37131926000001</v>
      </c>
      <c r="HO19" s="130">
        <v>122.42701221000002</v>
      </c>
      <c r="HP19" s="130">
        <v>114.29481179000001</v>
      </c>
      <c r="HQ19" s="130">
        <v>33.716270000000002</v>
      </c>
      <c r="HR19" s="130">
        <v>25.443106829999998</v>
      </c>
      <c r="HS19" s="130">
        <v>24.607616449999998</v>
      </c>
      <c r="HT19" s="949">
        <v>224.56222259999998</v>
      </c>
      <c r="HU19" s="949">
        <v>224.56222259999998</v>
      </c>
      <c r="HV19" s="949">
        <v>21.883696100000002</v>
      </c>
      <c r="HW19" s="949">
        <v>21.883696100000002</v>
      </c>
      <c r="HX19" s="949">
        <v>19.319676820000002</v>
      </c>
      <c r="HY19" s="949">
        <v>19.319676820000002</v>
      </c>
      <c r="HZ19" s="949">
        <v>17.300225449999999</v>
      </c>
      <c r="IA19" s="949">
        <v>17.299110329999998</v>
      </c>
      <c r="IB19" s="949">
        <v>17.272358929999999</v>
      </c>
      <c r="IC19" s="949">
        <v>17.272358929999999</v>
      </c>
      <c r="ID19" s="949">
        <v>17.272358929999999</v>
      </c>
      <c r="IE19" s="949">
        <v>11.913777289999999</v>
      </c>
      <c r="IF19" s="949">
        <v>11.913777289999999</v>
      </c>
      <c r="IG19" s="949">
        <v>13.670630239999999</v>
      </c>
      <c r="IH19" s="949">
        <v>13.421401299999999</v>
      </c>
      <c r="II19" s="949">
        <v>13.421401299999999</v>
      </c>
      <c r="IJ19" s="949">
        <v>13.421401299999999</v>
      </c>
      <c r="IK19" s="949">
        <v>10.833075490000001</v>
      </c>
      <c r="IL19" s="949">
        <v>10.833075490000001</v>
      </c>
      <c r="IM19" s="949">
        <v>10.833075490000001</v>
      </c>
      <c r="IN19" s="949">
        <v>16.951879859999998</v>
      </c>
      <c r="IO19" s="949">
        <v>13.102326869999999</v>
      </c>
      <c r="IP19" s="949">
        <v>7.3644137699999996</v>
      </c>
      <c r="IQ19" s="949">
        <v>7.4878968399999994</v>
      </c>
      <c r="IR19" s="949">
        <v>7.4878968399999994</v>
      </c>
      <c r="IS19" s="949">
        <v>3.9261945099999997</v>
      </c>
      <c r="IT19" s="949">
        <v>4.9397200699999999</v>
      </c>
      <c r="IU19" s="949">
        <v>7.7997200700000002</v>
      </c>
      <c r="IV19" s="949">
        <v>7.7997200700000002</v>
      </c>
      <c r="IW19" s="949">
        <v>6.6125961000000002</v>
      </c>
      <c r="IX19" s="949">
        <v>2.4319356199999995</v>
      </c>
      <c r="IY19" s="949">
        <v>2.3667614599999998</v>
      </c>
      <c r="IZ19" s="949">
        <v>0.58549963000000005</v>
      </c>
      <c r="JA19" s="949">
        <v>0.59291762999999997</v>
      </c>
      <c r="JB19" s="949">
        <v>0.59291762999999997</v>
      </c>
      <c r="JC19" s="949">
        <v>47.984828780000001</v>
      </c>
      <c r="JD19" s="949">
        <v>51.543466880000004</v>
      </c>
      <c r="JE19" s="949">
        <v>51.543466880000004</v>
      </c>
      <c r="JF19" s="949">
        <v>51.543466880000004</v>
      </c>
      <c r="JG19" s="949">
        <v>19.14342216</v>
      </c>
      <c r="JH19" s="949">
        <v>19.14342216</v>
      </c>
      <c r="JI19" s="949">
        <v>19.14342216</v>
      </c>
      <c r="JJ19" s="949">
        <v>23.177933109999998</v>
      </c>
      <c r="JK19" s="949">
        <v>28.1862931</v>
      </c>
      <c r="JL19" s="949">
        <v>28.209675799999999</v>
      </c>
      <c r="JM19" s="949">
        <v>28.190885699999999</v>
      </c>
      <c r="JN19" s="949">
        <v>28.190885699999999</v>
      </c>
      <c r="JO19" s="949">
        <v>28.190885699999999</v>
      </c>
      <c r="JP19" s="949">
        <v>18.940179199999999</v>
      </c>
      <c r="JQ19" s="949">
        <v>18.940179199999999</v>
      </c>
      <c r="JR19" s="949">
        <v>20.149920160000001</v>
      </c>
      <c r="JS19" s="949">
        <v>20.149920160000001</v>
      </c>
      <c r="JT19" s="949">
        <v>0.62019464000000002</v>
      </c>
      <c r="JU19" s="949">
        <v>0.62019464000000002</v>
      </c>
      <c r="JV19" s="949">
        <v>0.62019464000000002</v>
      </c>
      <c r="JW19" s="949">
        <v>18.136055510000002</v>
      </c>
      <c r="JX19" s="949">
        <v>18.136055510000002</v>
      </c>
      <c r="JY19" s="949">
        <v>12.48148859</v>
      </c>
      <c r="JZ19" s="949">
        <v>12.48148859</v>
      </c>
      <c r="KA19" s="949">
        <v>11.850842639999998</v>
      </c>
      <c r="KB19" s="949">
        <v>12.852475239999999</v>
      </c>
      <c r="KC19" s="949">
        <v>2.9945776899999998</v>
      </c>
      <c r="KD19" s="949">
        <v>47.860502989999993</v>
      </c>
      <c r="KE19" s="949">
        <v>47.860502989999993</v>
      </c>
      <c r="KF19" s="949">
        <v>28.1862931</v>
      </c>
      <c r="KG19" s="949">
        <v>44.616707199999993</v>
      </c>
      <c r="KH19" s="949">
        <v>44.616707199999993</v>
      </c>
      <c r="KI19" s="949">
        <v>36.990244500000003</v>
      </c>
      <c r="KJ19" s="949">
        <v>36.990244500000003</v>
      </c>
      <c r="KK19" s="949">
        <v>36.992022599999991</v>
      </c>
      <c r="KL19" s="949">
        <v>37.042483479999994</v>
      </c>
      <c r="KM19" s="949">
        <v>37.042483479999994</v>
      </c>
      <c r="KN19" s="949">
        <v>2.2734508600000005</v>
      </c>
      <c r="KO19" s="949">
        <v>33.334543670000002</v>
      </c>
      <c r="KP19" s="949">
        <v>21.77718771</v>
      </c>
      <c r="KQ19" s="949">
        <v>21.75304818</v>
      </c>
      <c r="KR19" s="949">
        <v>21.75304818</v>
      </c>
      <c r="KS19" s="949">
        <v>1.4083362400000001</v>
      </c>
      <c r="KT19" s="949">
        <v>1.4083362400000001</v>
      </c>
      <c r="KU19" s="949">
        <v>27.53643718</v>
      </c>
      <c r="KV19" s="949">
        <v>5.7445196100000002</v>
      </c>
      <c r="KW19" s="949">
        <v>208.78052772000001</v>
      </c>
      <c r="KX19" s="949">
        <v>5.33800483</v>
      </c>
      <c r="KY19" s="949">
        <v>5.33800483</v>
      </c>
      <c r="KZ19" s="949">
        <v>4.3267367700000001</v>
      </c>
      <c r="LA19" s="949">
        <v>4.3267367700000001</v>
      </c>
      <c r="LB19" s="949">
        <v>2.7831272899999999</v>
      </c>
      <c r="LC19" s="949">
        <v>2.7831272899999999</v>
      </c>
      <c r="LD19" s="949">
        <v>2.7831272899999999</v>
      </c>
      <c r="LE19" s="949">
        <v>0.90873174999999995</v>
      </c>
      <c r="LF19" s="949">
        <v>5.6430320800000002</v>
      </c>
      <c r="LG19" s="949">
        <v>5.6430320800000002</v>
      </c>
      <c r="LH19" s="949">
        <v>5.6430320800000002</v>
      </c>
      <c r="LI19" s="949">
        <v>1.9411041100000002</v>
      </c>
      <c r="LJ19" s="949">
        <v>1.9411041100000002</v>
      </c>
      <c r="LK19" s="949">
        <v>1.9411041100000002</v>
      </c>
      <c r="LL19" s="949">
        <v>14.46303288</v>
      </c>
      <c r="LM19" s="949">
        <v>14.46303288</v>
      </c>
      <c r="LN19" s="949">
        <v>5.8271251900000003</v>
      </c>
      <c r="LO19" s="949">
        <v>5.8271251900000003</v>
      </c>
      <c r="LP19" s="949">
        <v>5.8271251900000003</v>
      </c>
      <c r="LQ19" s="949">
        <v>10.43172197</v>
      </c>
      <c r="LR19" s="949">
        <v>3.7110272400000004</v>
      </c>
      <c r="LS19" s="949">
        <v>3.7110272400000004</v>
      </c>
      <c r="LT19" s="949">
        <v>3.5495912200000004</v>
      </c>
      <c r="LU19" s="949">
        <v>14.15366169</v>
      </c>
      <c r="LV19" s="949">
        <v>14.015758570000001</v>
      </c>
      <c r="LW19" s="949">
        <v>14.015758570000001</v>
      </c>
      <c r="LX19" s="949">
        <v>3.40646746</v>
      </c>
      <c r="LY19" s="949">
        <v>3.40646746</v>
      </c>
      <c r="LZ19" s="949">
        <v>6.2906859000000006</v>
      </c>
      <c r="MA19" s="949">
        <v>6.2906859000000006</v>
      </c>
      <c r="MB19" s="949">
        <v>6.2906859000000006</v>
      </c>
      <c r="MC19" s="949">
        <v>6.2906859000000006</v>
      </c>
      <c r="MD19" s="949">
        <v>90.21321408</v>
      </c>
      <c r="ME19" s="949">
        <v>90.218427760000012</v>
      </c>
      <c r="MF19" s="949">
        <v>90.218427760000012</v>
      </c>
      <c r="MG19" s="949">
        <v>90.218427760000012</v>
      </c>
      <c r="MH19" s="949">
        <v>4.7101434699999993</v>
      </c>
      <c r="MI19" s="949">
        <v>4.7101434699999993</v>
      </c>
      <c r="MJ19" s="949">
        <v>1.7326102299999999</v>
      </c>
      <c r="MK19" s="949">
        <v>11.00922323</v>
      </c>
      <c r="ML19" s="949">
        <v>11.00922323</v>
      </c>
      <c r="MM19" s="949">
        <v>11.00922323</v>
      </c>
      <c r="MN19" s="949">
        <v>11.00922323</v>
      </c>
      <c r="MO19" s="949">
        <v>11.00922323</v>
      </c>
      <c r="MP19" s="949">
        <v>11.00922323</v>
      </c>
      <c r="MQ19" s="949">
        <v>38.675684670000003</v>
      </c>
      <c r="MR19" s="949">
        <v>38.675684670000003</v>
      </c>
      <c r="MS19" s="949">
        <v>38.695911770000002</v>
      </c>
      <c r="MT19" s="949">
        <v>34.389804079999998</v>
      </c>
      <c r="MU19" s="949">
        <v>34.389804079999998</v>
      </c>
      <c r="MV19" s="949">
        <v>34.389804079999998</v>
      </c>
      <c r="MW19" s="949">
        <v>63.016670689999998</v>
      </c>
      <c r="MX19" s="949">
        <v>62.395261359999999</v>
      </c>
      <c r="MY19" s="949">
        <v>62.395261359999999</v>
      </c>
      <c r="MZ19" s="949">
        <v>62.395261359999999</v>
      </c>
      <c r="NA19" s="949">
        <v>62.395261359999999</v>
      </c>
      <c r="NB19" s="949">
        <v>62.395261359999999</v>
      </c>
      <c r="NC19" s="949">
        <v>62.395261359999999</v>
      </c>
      <c r="ND19" s="949">
        <v>62.395261359999999</v>
      </c>
      <c r="NE19" s="949">
        <v>62.395261359999999</v>
      </c>
      <c r="NF19" s="949">
        <v>30.683280270000001</v>
      </c>
      <c r="NG19" s="949">
        <v>34.577814959999998</v>
      </c>
      <c r="NH19" s="949">
        <v>28.85669768</v>
      </c>
      <c r="NI19" s="949">
        <v>28.802612309999997</v>
      </c>
      <c r="NJ19" s="949">
        <v>28.802612309999997</v>
      </c>
      <c r="NK19" s="949">
        <v>51.784997789999998</v>
      </c>
      <c r="NL19" s="949">
        <v>51.784997789999998</v>
      </c>
      <c r="NM19" s="949">
        <v>55.344679419999999</v>
      </c>
      <c r="NN19" s="949">
        <v>55.344679419999999</v>
      </c>
      <c r="NO19" s="949">
        <v>55.344679419999999</v>
      </c>
      <c r="NP19" s="949">
        <v>133.11038576000001</v>
      </c>
      <c r="NQ19" s="949">
        <v>133.11038576000001</v>
      </c>
      <c r="NR19" s="949">
        <v>140.75950377000001</v>
      </c>
      <c r="NS19" s="949">
        <v>140.75950377000001</v>
      </c>
      <c r="NT19" s="949">
        <v>140.75950377000001</v>
      </c>
      <c r="NU19" s="949">
        <v>151.12998959000001</v>
      </c>
      <c r="NV19" s="949">
        <v>151.28065844</v>
      </c>
      <c r="NW19" s="949">
        <v>151.28065844</v>
      </c>
      <c r="NX19" s="949">
        <v>151.28065844</v>
      </c>
      <c r="NY19" s="949">
        <v>141.37672841</v>
      </c>
      <c r="NZ19" s="949">
        <v>140.45571894</v>
      </c>
      <c r="OA19" s="949">
        <v>140.45571894</v>
      </c>
      <c r="OB19" s="949">
        <v>140.45571894</v>
      </c>
      <c r="OC19" s="949">
        <v>8.0629091500000012</v>
      </c>
      <c r="OD19" s="949">
        <v>8.0629091500000012</v>
      </c>
      <c r="OE19" s="949">
        <v>8.0629091500000012</v>
      </c>
      <c r="OF19" s="949">
        <v>8.0629091500000012</v>
      </c>
      <c r="OG19" s="949">
        <v>23.088993469999998</v>
      </c>
      <c r="OH19" s="949">
        <v>23.088993469999998</v>
      </c>
      <c r="OI19" s="949">
        <v>5.2716104800000005</v>
      </c>
      <c r="OJ19" s="949">
        <v>15.049632800000001</v>
      </c>
      <c r="OK19" s="949">
        <v>15.049632800000001</v>
      </c>
      <c r="OL19" s="949">
        <v>14.27270335</v>
      </c>
      <c r="OM19" s="949">
        <v>14.27270335</v>
      </c>
      <c r="ON19" s="949">
        <v>14.27270335</v>
      </c>
      <c r="OO19" s="949">
        <v>33.699328899999998</v>
      </c>
      <c r="OP19" s="949">
        <v>33.734742049999994</v>
      </c>
      <c r="OQ19" s="949">
        <v>33.734742049999994</v>
      </c>
      <c r="OR19" s="949">
        <v>33.734742049999994</v>
      </c>
      <c r="OS19" s="949">
        <v>13.712200289999998</v>
      </c>
      <c r="OT19" s="949">
        <v>28.170520700000001</v>
      </c>
      <c r="OU19" s="949">
        <v>28.170520700000001</v>
      </c>
      <c r="OV19" s="949">
        <v>28.170520700000001</v>
      </c>
      <c r="OW19" s="949">
        <v>29.94343885</v>
      </c>
      <c r="OX19" s="949">
        <v>29.94343885</v>
      </c>
      <c r="OY19" s="949">
        <v>43.449573979999997</v>
      </c>
      <c r="OZ19" s="949">
        <v>43.449573979999997</v>
      </c>
      <c r="PA19" s="949">
        <v>43.449573979999997</v>
      </c>
      <c r="PB19" s="949">
        <v>42.67698154</v>
      </c>
      <c r="PC19" s="949">
        <v>42.67698154</v>
      </c>
      <c r="PD19" s="949">
        <v>42.67698154</v>
      </c>
      <c r="PE19" s="949">
        <v>23.992862760000001</v>
      </c>
      <c r="PF19" s="949">
        <v>11.70324158</v>
      </c>
      <c r="PG19" s="949">
        <v>11.70324158</v>
      </c>
      <c r="PH19" s="949">
        <v>11.70324158</v>
      </c>
      <c r="PI19" s="949">
        <v>44.338784049999994</v>
      </c>
      <c r="PJ19" s="949">
        <v>39.232853009999999</v>
      </c>
      <c r="PK19" s="949">
        <v>39.232853009999999</v>
      </c>
      <c r="PL19" s="949">
        <v>39.232853009999999</v>
      </c>
      <c r="PM19" s="949">
        <v>39.232853009999999</v>
      </c>
      <c r="PN19" s="949">
        <v>6.0309068200000002</v>
      </c>
      <c r="PO19" s="949">
        <v>6.0309068200000002</v>
      </c>
      <c r="PP19" s="949">
        <v>8.0830120599999997</v>
      </c>
      <c r="PQ19" s="949">
        <v>8.0830120599999997</v>
      </c>
      <c r="PR19" s="949">
        <v>8.0830120599999997</v>
      </c>
      <c r="PS19" s="949">
        <v>2.9527315999999999</v>
      </c>
      <c r="PT19" s="949">
        <v>2.9527315999999999</v>
      </c>
      <c r="PU19" s="949">
        <v>2.5393653700000001</v>
      </c>
      <c r="PV19" s="949">
        <v>2.5393653700000001</v>
      </c>
      <c r="PW19" s="949">
        <v>2.5393653700000001</v>
      </c>
      <c r="PX19" s="949">
        <v>6.8700947800000005</v>
      </c>
      <c r="PY19" s="949">
        <v>6.8668937799999998</v>
      </c>
      <c r="PZ19" s="949">
        <v>6.8668937799999998</v>
      </c>
      <c r="QA19" s="949">
        <v>6.8668937799999998</v>
      </c>
      <c r="QB19" s="949">
        <v>1.8900272199999999</v>
      </c>
      <c r="QC19" s="949">
        <v>1.8517153400000002</v>
      </c>
      <c r="QD19" s="949">
        <v>1.8517153400000002</v>
      </c>
      <c r="QE19" s="949">
        <v>14.56471436</v>
      </c>
      <c r="QF19" s="949">
        <v>14.56471436</v>
      </c>
      <c r="QG19" s="949">
        <v>14.56471436</v>
      </c>
      <c r="QH19" s="949">
        <v>14.56471436</v>
      </c>
      <c r="QI19" s="949">
        <v>11.250221710000002</v>
      </c>
      <c r="QJ19" s="949">
        <v>11.250221710000002</v>
      </c>
      <c r="QK19" s="949">
        <v>8.1933754699999994</v>
      </c>
      <c r="QL19" s="949">
        <v>8.1933754699999994</v>
      </c>
      <c r="QM19" s="949">
        <v>8.1933754699999994</v>
      </c>
      <c r="QN19" s="949">
        <v>11.102165110000001</v>
      </c>
      <c r="QO19" s="949">
        <v>4.9561746100000006</v>
      </c>
      <c r="QP19" s="949">
        <v>4.9561746100000006</v>
      </c>
      <c r="QQ19" s="949">
        <v>24.952894839999999</v>
      </c>
      <c r="QR19" s="949">
        <v>24.952894839999999</v>
      </c>
      <c r="QS19" s="949">
        <v>7.861582760000001</v>
      </c>
      <c r="QT19" s="949">
        <v>4.31349363</v>
      </c>
      <c r="QU19" s="949">
        <v>4.31349363</v>
      </c>
      <c r="QV19" s="949">
        <v>117.14932716999999</v>
      </c>
      <c r="QW19" s="949">
        <v>4.31349363</v>
      </c>
      <c r="QX19" s="949">
        <v>4.31349363</v>
      </c>
      <c r="QY19" s="949">
        <v>36.270668180000001</v>
      </c>
      <c r="QZ19" s="949">
        <v>36.270668180000001</v>
      </c>
      <c r="RA19" s="949">
        <v>46.535248020000004</v>
      </c>
      <c r="RB19" s="949">
        <v>46.535248020000004</v>
      </c>
      <c r="RC19" s="949">
        <v>46.535248020000004</v>
      </c>
      <c r="RD19" s="949">
        <v>46.535248020000004</v>
      </c>
      <c r="RE19" s="949">
        <v>27.311690339999998</v>
      </c>
      <c r="RF19" s="949">
        <v>27.311690339999998</v>
      </c>
      <c r="RG19" s="949">
        <v>27.311690339999998</v>
      </c>
      <c r="RH19" s="949">
        <v>23.572006219999999</v>
      </c>
      <c r="RI19" s="949">
        <v>23.57897878</v>
      </c>
      <c r="RJ19" s="949">
        <v>23.57897878</v>
      </c>
      <c r="RK19" s="949">
        <v>34.126014920000003</v>
      </c>
      <c r="RL19" s="949">
        <v>34.126014920000003</v>
      </c>
      <c r="RM19" s="949">
        <v>32.206186340000002</v>
      </c>
      <c r="RN19" s="949">
        <v>32.206186340000002</v>
      </c>
      <c r="RO19" s="949">
        <v>32.206186340000002</v>
      </c>
      <c r="RP19" s="949">
        <v>32.206186340000002</v>
      </c>
      <c r="RQ19" s="949">
        <v>17.806992059999999</v>
      </c>
      <c r="RR19" s="949">
        <v>17.806992059999999</v>
      </c>
      <c r="RS19" s="949">
        <v>15.05552864</v>
      </c>
      <c r="RT19" s="949">
        <v>15.05552864</v>
      </c>
      <c r="RU19" s="949">
        <v>15.05552864</v>
      </c>
      <c r="RV19" s="949">
        <v>15.05552864</v>
      </c>
      <c r="RW19" s="949">
        <v>15.05552864</v>
      </c>
      <c r="RX19" s="949">
        <v>15.05552864</v>
      </c>
      <c r="RY19" s="949">
        <v>5.986661100000001</v>
      </c>
      <c r="RZ19" s="949">
        <v>5.986661100000001</v>
      </c>
      <c r="SA19" s="949">
        <v>4.0820142599999993</v>
      </c>
      <c r="SB19" s="949">
        <v>4.0735032599999998</v>
      </c>
      <c r="SC19" s="949">
        <v>4.0735032599999998</v>
      </c>
      <c r="SD19" s="949">
        <v>4.0735032599999998</v>
      </c>
      <c r="SE19" s="949">
        <v>3.1755994099999998</v>
      </c>
      <c r="SF19" s="949">
        <v>3.1755994099999998</v>
      </c>
      <c r="SG19" s="949">
        <v>16.541934359999999</v>
      </c>
      <c r="SH19" s="949">
        <v>16.541934359999999</v>
      </c>
      <c r="SI19" s="949">
        <v>2.9305592199999997</v>
      </c>
      <c r="SJ19" s="949">
        <v>2.9305592199999997</v>
      </c>
      <c r="SK19" s="949">
        <v>18.962181940000001</v>
      </c>
      <c r="SL19" s="949">
        <v>18.962181940000001</v>
      </c>
      <c r="SM19" s="949">
        <v>14.17591958</v>
      </c>
      <c r="SN19" s="949">
        <v>14.17591958</v>
      </c>
      <c r="SO19" s="949">
        <v>14.17591958</v>
      </c>
      <c r="SP19" s="949">
        <v>24.568165860000001</v>
      </c>
      <c r="SQ19" s="949">
        <v>24.568165860000001</v>
      </c>
      <c r="SR19" s="949">
        <v>24.568165860000001</v>
      </c>
      <c r="SS19" s="949">
        <v>5.4458918299999999</v>
      </c>
      <c r="ST19" s="949">
        <v>5.4458918299999999</v>
      </c>
      <c r="SU19" s="949">
        <v>4.9925262300000002</v>
      </c>
      <c r="SV19" s="949">
        <v>4.9925262300000002</v>
      </c>
      <c r="SW19" s="949">
        <v>4.9925262300000002</v>
      </c>
      <c r="SX19" s="949">
        <v>1.7291287900000001</v>
      </c>
      <c r="SY19" s="949">
        <v>1.7291287900000001</v>
      </c>
      <c r="SZ19" s="949">
        <v>1.7291287900000001</v>
      </c>
      <c r="TA19" s="949">
        <v>31.61517164</v>
      </c>
      <c r="TB19" s="949">
        <v>31.61517164</v>
      </c>
      <c r="TC19" s="949">
        <v>9.6941614700000009</v>
      </c>
      <c r="TD19" s="949">
        <v>9.6941614700000009</v>
      </c>
      <c r="TE19" s="949">
        <v>14.241760359999999</v>
      </c>
      <c r="TF19" s="949">
        <v>12.354242390000001</v>
      </c>
      <c r="TG19" s="949">
        <v>9.2672611400000005</v>
      </c>
      <c r="TH19" s="949">
        <v>1.29268497</v>
      </c>
      <c r="TI19" s="949">
        <v>17.87168733</v>
      </c>
      <c r="TJ19" s="949">
        <v>5.7694046400000003</v>
      </c>
      <c r="TK19" s="949">
        <v>255.00231845999997</v>
      </c>
      <c r="TL19" s="949">
        <v>1.0427553999999999</v>
      </c>
      <c r="TM19" s="949">
        <v>0.33865191000000006</v>
      </c>
      <c r="TN19" s="949">
        <v>4.0943724499999998</v>
      </c>
      <c r="TO19" s="949">
        <v>43.348127399999996</v>
      </c>
      <c r="TP19" s="949">
        <v>40.965859380000005</v>
      </c>
      <c r="TQ19" s="949">
        <v>41.077702299999999</v>
      </c>
      <c r="TR19" s="949">
        <v>56.647905360000003</v>
      </c>
      <c r="TS19" s="949">
        <v>56.650557410000005</v>
      </c>
      <c r="TT19" s="949">
        <v>55.521043520000006</v>
      </c>
      <c r="TU19" s="949">
        <v>40.336090160000005</v>
      </c>
      <c r="TV19" s="949">
        <v>39.230508569999998</v>
      </c>
      <c r="TW19" s="949">
        <v>29.27954544</v>
      </c>
      <c r="TX19" s="949">
        <v>23.445613519999998</v>
      </c>
      <c r="TY19" s="949">
        <v>26.35895356</v>
      </c>
      <c r="TZ19" s="949">
        <v>2.3857982799999999</v>
      </c>
      <c r="UA19" s="949">
        <v>81.643614169999992</v>
      </c>
      <c r="UB19" s="949">
        <v>72.921401989999993</v>
      </c>
      <c r="UC19" s="949">
        <v>96.859817149999998</v>
      </c>
      <c r="UD19" s="949">
        <v>177.74953854999998</v>
      </c>
      <c r="UE19" s="949">
        <v>69.057710489999991</v>
      </c>
      <c r="UF19" s="949">
        <v>91.821289759999985</v>
      </c>
      <c r="UG19" s="949">
        <v>100.22430752999999</v>
      </c>
      <c r="UH19" s="949">
        <v>130.65177815999999</v>
      </c>
      <c r="UI19" s="949">
        <v>139.43785601999997</v>
      </c>
      <c r="UJ19" s="949">
        <v>231.55759310999997</v>
      </c>
      <c r="UK19" s="949">
        <v>222.91958959000002</v>
      </c>
      <c r="UL19" s="949">
        <v>76.609153730000003</v>
      </c>
      <c r="UM19" s="949">
        <v>61.800955139999999</v>
      </c>
      <c r="UN19" s="949">
        <v>61.915967330000001</v>
      </c>
      <c r="UO19" s="949">
        <v>47.773516090000001</v>
      </c>
      <c r="UP19" s="949">
        <v>47.792643549999994</v>
      </c>
      <c r="UQ19" s="949">
        <v>29.540520770000001</v>
      </c>
      <c r="UR19" s="949">
        <v>16.34014088</v>
      </c>
      <c r="US19" s="949">
        <v>17.138259739999999</v>
      </c>
      <c r="UT19" s="949">
        <v>16.78032636</v>
      </c>
      <c r="UU19" s="949">
        <v>22.87205578</v>
      </c>
      <c r="UV19" s="949">
        <v>19.537704680000004</v>
      </c>
      <c r="UW19" s="949">
        <v>2.4920719199999999</v>
      </c>
      <c r="UX19" s="949">
        <v>16.721084399999999</v>
      </c>
      <c r="UY19" s="949">
        <v>1.9641671399999998</v>
      </c>
      <c r="UZ19" s="949">
        <v>26.771001040000002</v>
      </c>
      <c r="VA19" s="949">
        <v>26.771001040000002</v>
      </c>
      <c r="VB19" s="949">
        <v>3.7370732799999997</v>
      </c>
      <c r="VC19" s="949">
        <v>64.802287109999995</v>
      </c>
      <c r="VD19" s="949">
        <v>12.00963496</v>
      </c>
      <c r="VE19" s="949">
        <v>12.00963496</v>
      </c>
      <c r="VF19" s="949">
        <v>0.89106151</v>
      </c>
      <c r="VG19" s="949">
        <v>15.050319980000001</v>
      </c>
      <c r="VH19" s="949">
        <v>3.4180723300000002</v>
      </c>
      <c r="VI19" s="949">
        <v>6.9172925899999997</v>
      </c>
      <c r="VJ19" s="949">
        <v>3.9807085400000002</v>
      </c>
      <c r="VK19" s="949">
        <v>60.321119639999999</v>
      </c>
      <c r="VL19" s="949">
        <v>18.069818520000002</v>
      </c>
      <c r="VM19" s="949">
        <v>17.180882330000003</v>
      </c>
      <c r="VN19" s="949">
        <v>17.166217960000001</v>
      </c>
      <c r="VO19" s="949">
        <v>6.5312374399999991</v>
      </c>
      <c r="VP19" s="949">
        <v>2.6536008099999999</v>
      </c>
      <c r="VQ19" s="949">
        <v>2.8504015299999996</v>
      </c>
      <c r="VR19" s="949">
        <v>8.6690479099999997</v>
      </c>
      <c r="VS19" s="949">
        <v>3.8809774299999997</v>
      </c>
      <c r="VT19" s="949">
        <v>0.60163895000000012</v>
      </c>
      <c r="VU19" s="949">
        <v>4.1016389499999999</v>
      </c>
      <c r="VV19" s="949">
        <v>5.6205048399999997</v>
      </c>
      <c r="VW19" s="949">
        <v>5.5296492099999996</v>
      </c>
      <c r="VX19" s="949">
        <v>7.2409127599999996</v>
      </c>
      <c r="VY19" s="949">
        <v>2.4980516799999997</v>
      </c>
      <c r="VZ19" s="949">
        <v>17.084089250000002</v>
      </c>
      <c r="WA19" s="949">
        <v>25.754673910000005</v>
      </c>
      <c r="WB19" s="949">
        <v>3.9891164400000001</v>
      </c>
      <c r="WC19" s="949">
        <v>205.84604680999999</v>
      </c>
      <c r="WD19" s="949">
        <v>1.8208978199999999</v>
      </c>
      <c r="WE19" s="949">
        <v>2.33069769</v>
      </c>
      <c r="WF19" s="949">
        <v>2.1148510899999997</v>
      </c>
      <c r="WG19" s="949">
        <v>36.217590190000003</v>
      </c>
      <c r="WH19" s="949">
        <v>36.566312180000004</v>
      </c>
      <c r="WI19" s="949">
        <v>36.035658349999999</v>
      </c>
      <c r="WJ19" s="949">
        <v>34.181653140000002</v>
      </c>
      <c r="WK19" s="949">
        <v>15.31614785</v>
      </c>
      <c r="WL19" s="949">
        <v>15.029658159999999</v>
      </c>
      <c r="WM19" s="949">
        <v>12.09205463</v>
      </c>
      <c r="WN19" s="949">
        <v>96.144319859999996</v>
      </c>
      <c r="WO19" s="949">
        <v>96.093157059999996</v>
      </c>
      <c r="WP19" s="949">
        <v>96.455584320000014</v>
      </c>
      <c r="WQ19" s="949">
        <v>121.07817359000001</v>
      </c>
      <c r="WR19" s="949">
        <v>46.528945370000002</v>
      </c>
      <c r="WS19" s="949">
        <v>16.094298999999999</v>
      </c>
      <c r="WT19" s="949">
        <v>16.07732949</v>
      </c>
      <c r="WU19" s="949">
        <v>27.014517980000001</v>
      </c>
      <c r="WV19" s="949">
        <v>11.779305340000001</v>
      </c>
      <c r="WW19" s="949">
        <v>1.35977342</v>
      </c>
      <c r="WX19" s="949">
        <v>34.132935590000002</v>
      </c>
      <c r="WY19" s="949">
        <v>1.47980771</v>
      </c>
      <c r="WZ19" s="949">
        <v>1.2830538299999998</v>
      </c>
      <c r="XA19" s="949">
        <v>3.1366596499999999</v>
      </c>
      <c r="XB19" s="949">
        <v>7.1898589500000005</v>
      </c>
      <c r="XC19" s="949">
        <v>7.1898589500000005</v>
      </c>
      <c r="XD19" s="949">
        <v>20.687184600000002</v>
      </c>
      <c r="XE19" s="949">
        <v>88.935810480000001</v>
      </c>
      <c r="XF19" s="949">
        <v>82.930429680000003</v>
      </c>
      <c r="XG19" s="949">
        <v>69.552114010000011</v>
      </c>
      <c r="XH19" s="949">
        <v>61.084133140000006</v>
      </c>
      <c r="XI19" s="949">
        <v>36.559790200000002</v>
      </c>
      <c r="XJ19" s="949">
        <v>35.933947800000006</v>
      </c>
      <c r="XK19" s="949">
        <v>22.928885380000001</v>
      </c>
      <c r="XL19" s="949">
        <v>22.453291960000001</v>
      </c>
      <c r="XM19" s="949">
        <v>4.5321041700000002</v>
      </c>
      <c r="XN19" s="949">
        <v>4.4110878600000003</v>
      </c>
      <c r="XO19" s="949">
        <v>5.4128446200000004</v>
      </c>
      <c r="XP19" s="949">
        <v>23.022099260000001</v>
      </c>
      <c r="XQ19" s="949">
        <v>17.192076950000004</v>
      </c>
      <c r="XR19" s="949">
        <v>13.25064851</v>
      </c>
      <c r="XS19" s="949">
        <v>7.5707289400000004</v>
      </c>
      <c r="XT19" s="949">
        <v>6.933390600000001</v>
      </c>
      <c r="XU19" s="949">
        <v>6.9346895200000001</v>
      </c>
      <c r="XV19" s="949">
        <v>6.7873365200000002</v>
      </c>
      <c r="XW19" s="949">
        <v>32.909794410000003</v>
      </c>
      <c r="XX19" s="949">
        <v>23.392923870000001</v>
      </c>
      <c r="XY19" s="949">
        <v>21.573666190000001</v>
      </c>
      <c r="XZ19" s="949">
        <v>8.5051810700000008</v>
      </c>
      <c r="YA19" s="949">
        <v>6.8965885899999995</v>
      </c>
      <c r="YB19" s="949">
        <v>6.8963885899999999</v>
      </c>
      <c r="YC19" s="949">
        <v>23.078831440000002</v>
      </c>
      <c r="YD19" s="949">
        <v>6.29086473</v>
      </c>
      <c r="YE19" s="949">
        <v>4.0105895599999997</v>
      </c>
      <c r="YF19" s="949">
        <v>1.38058496</v>
      </c>
      <c r="YG19" s="949">
        <v>16.844515960000003</v>
      </c>
      <c r="YH19" s="949">
        <v>4.06511041</v>
      </c>
    </row>
    <row r="20" spans="2:658">
      <c r="B20" s="917" t="s">
        <v>584</v>
      </c>
      <c r="TE20" s="949"/>
      <c r="TF20" s="949">
        <v>3.6136747200000001</v>
      </c>
      <c r="TG20" s="949">
        <v>3.3888770099999999</v>
      </c>
      <c r="TH20" s="949">
        <v>3.7284485699999999</v>
      </c>
      <c r="TI20" s="949">
        <v>3.97894857</v>
      </c>
      <c r="TJ20" s="949">
        <v>3.9860250699999997</v>
      </c>
      <c r="TK20" s="949">
        <v>3.96288602</v>
      </c>
      <c r="TL20" s="949">
        <v>3.9301110000000001</v>
      </c>
      <c r="TM20" s="949">
        <v>4.0937203200000001</v>
      </c>
      <c r="TN20" s="949">
        <v>4.1262203199999998</v>
      </c>
      <c r="TO20" s="949">
        <v>4.09421532</v>
      </c>
      <c r="TP20" s="949">
        <v>4.5648301299999998</v>
      </c>
      <c r="TQ20" s="949">
        <v>4.5751961300000001</v>
      </c>
      <c r="TR20" s="949">
        <v>5.0001739499999998</v>
      </c>
      <c r="TS20" s="949">
        <v>5.0067429599999995</v>
      </c>
      <c r="TT20" s="949">
        <v>5.0029059599999997</v>
      </c>
      <c r="TU20" s="949">
        <v>4.89331943</v>
      </c>
      <c r="TV20" s="949">
        <v>4.9258194299999998</v>
      </c>
      <c r="TW20" s="949">
        <v>4.8844792500000001</v>
      </c>
      <c r="TX20" s="949">
        <v>4.8844792500000001</v>
      </c>
      <c r="TY20" s="949">
        <v>4.8844792500000001</v>
      </c>
      <c r="TZ20" s="949">
        <v>4.8964615599999997</v>
      </c>
      <c r="UA20" s="949">
        <v>5.8133295599999997</v>
      </c>
      <c r="UB20" s="949">
        <v>5.8133295599999997</v>
      </c>
      <c r="UC20" s="949">
        <v>5.8112380300000002</v>
      </c>
      <c r="UD20" s="949">
        <v>5.8662380299999999</v>
      </c>
      <c r="UE20" s="949">
        <v>5.86159987</v>
      </c>
      <c r="UF20" s="949">
        <v>5.86159987</v>
      </c>
      <c r="UG20" s="949">
        <v>5.7420268700000001</v>
      </c>
      <c r="UH20" s="949">
        <v>5.6301427500000001</v>
      </c>
      <c r="UI20" s="949">
        <v>5.6375199</v>
      </c>
      <c r="UJ20" s="949">
        <v>5.6601260300000007</v>
      </c>
      <c r="UK20" s="949">
        <v>5.7688641699999996</v>
      </c>
      <c r="UL20" s="949">
        <v>5.7676417600000001</v>
      </c>
      <c r="UM20" s="949">
        <v>5.7769215700000007</v>
      </c>
      <c r="UN20" s="949">
        <v>5.7511963799999997</v>
      </c>
      <c r="UO20" s="949">
        <v>5.7511963799999997</v>
      </c>
      <c r="UP20" s="949">
        <v>5.7511963799999997</v>
      </c>
      <c r="UQ20" s="949">
        <v>5.4595641700000002</v>
      </c>
      <c r="UR20" s="949">
        <v>5.4279721700000003</v>
      </c>
      <c r="US20" s="949">
        <v>5.4279721700000003</v>
      </c>
      <c r="UT20" s="949">
        <v>5.4258721699999999</v>
      </c>
      <c r="UU20" s="949">
        <v>5.4137149299999994</v>
      </c>
      <c r="UV20" s="949">
        <v>5.4123579299999998</v>
      </c>
      <c r="UW20" s="949">
        <v>5.4123579299999998</v>
      </c>
      <c r="UX20" s="949">
        <v>5.4206970400000003</v>
      </c>
      <c r="UY20" s="949">
        <v>5.4187876299999997</v>
      </c>
      <c r="UZ20" s="949">
        <v>5.4187876299999997</v>
      </c>
      <c r="VA20" s="949">
        <v>5.4187876299999997</v>
      </c>
      <c r="VB20" s="949">
        <v>5.3985651600000004</v>
      </c>
      <c r="VC20" s="949">
        <v>5.2545524199999996</v>
      </c>
      <c r="VD20" s="949">
        <v>5.2168234199999999</v>
      </c>
      <c r="VE20" s="949">
        <v>5.2168234199999999</v>
      </c>
      <c r="VF20" s="949">
        <v>5.2278439000000008</v>
      </c>
      <c r="VG20" s="949">
        <v>5.2065147999999999</v>
      </c>
      <c r="VH20" s="949">
        <v>5.2163357800000005</v>
      </c>
      <c r="VI20" s="949">
        <v>5.2124197800000003</v>
      </c>
      <c r="VJ20" s="949">
        <v>5.2013400899999995</v>
      </c>
      <c r="VK20" s="949">
        <v>5.1921528600000002</v>
      </c>
      <c r="VL20" s="949">
        <v>4.99741254</v>
      </c>
      <c r="VM20" s="949">
        <v>5.0189701900000001</v>
      </c>
      <c r="VN20" s="949">
        <v>5.0189701900000001</v>
      </c>
      <c r="VO20" s="949">
        <v>5.0306156500000005</v>
      </c>
      <c r="VP20" s="949">
        <v>5.03025346</v>
      </c>
      <c r="VQ20" s="949">
        <v>4.9168068800000002</v>
      </c>
      <c r="VR20" s="949">
        <v>44.818239939999998</v>
      </c>
      <c r="VS20" s="949">
        <v>44.83781742</v>
      </c>
      <c r="VT20" s="949">
        <v>26.80310442</v>
      </c>
      <c r="VU20" s="949">
        <v>26.876360309999999</v>
      </c>
      <c r="VV20" s="949">
        <v>26.853583889999999</v>
      </c>
      <c r="VW20" s="949">
        <v>26.860841190000002</v>
      </c>
      <c r="VX20" s="949">
        <v>26.927192530000003</v>
      </c>
      <c r="VY20" s="949">
        <v>26.950844069999999</v>
      </c>
      <c r="VZ20" s="949">
        <v>26.93472912</v>
      </c>
      <c r="WA20" s="949">
        <v>26.89777024</v>
      </c>
      <c r="WB20" s="949">
        <v>26.964746100000003</v>
      </c>
      <c r="WC20" s="949">
        <v>26.964746100000003</v>
      </c>
      <c r="WD20" s="949">
        <v>21.940978359999999</v>
      </c>
      <c r="WE20" s="949">
        <v>21.951560530000002</v>
      </c>
      <c r="WF20" s="949">
        <v>21.961487000000002</v>
      </c>
      <c r="WG20" s="949">
        <v>21.954457379999997</v>
      </c>
      <c r="WH20" s="949">
        <v>22.012005379999998</v>
      </c>
      <c r="WI20" s="949">
        <v>22.021943789999998</v>
      </c>
      <c r="WJ20" s="949">
        <v>21.96805462</v>
      </c>
      <c r="WK20" s="949">
        <v>21.946006950000001</v>
      </c>
      <c r="WL20" s="949">
        <v>21.955891609999998</v>
      </c>
      <c r="WM20" s="949">
        <v>21.955891609999998</v>
      </c>
      <c r="WN20" s="949">
        <v>6.7773200199999994</v>
      </c>
      <c r="WO20" s="949">
        <v>6.7701830199999993</v>
      </c>
      <c r="WP20" s="949">
        <v>1.7107087700000001</v>
      </c>
      <c r="WQ20" s="949">
        <v>1.7107087700000001</v>
      </c>
      <c r="WR20" s="949">
        <v>1.5687279700000001</v>
      </c>
      <c r="WS20" s="949">
        <v>1.4525335100000001</v>
      </c>
      <c r="WT20" s="949">
        <v>1.41062351</v>
      </c>
      <c r="WU20" s="949">
        <v>1.4102865099999999</v>
      </c>
      <c r="WV20" s="949">
        <v>1.4102865099999999</v>
      </c>
      <c r="WW20" s="949">
        <v>1.4102865099999999</v>
      </c>
      <c r="WX20" s="949">
        <v>16.372593869999999</v>
      </c>
      <c r="WY20" s="949">
        <v>2.9348652400000002</v>
      </c>
      <c r="WZ20" s="949">
        <v>2.9348652400000002</v>
      </c>
      <c r="XA20" s="949">
        <v>2.84913748</v>
      </c>
      <c r="XB20" s="949">
        <v>2.84913748</v>
      </c>
      <c r="XC20" s="949">
        <v>2.84913748</v>
      </c>
      <c r="XD20" s="949">
        <v>2.84913748</v>
      </c>
      <c r="XE20" s="949">
        <v>2.7004922100000002</v>
      </c>
      <c r="XF20" s="949">
        <v>2.5438646600000001</v>
      </c>
      <c r="XG20" s="949">
        <v>2.5492564399999997</v>
      </c>
      <c r="XH20" s="949">
        <v>2.5492564399999997</v>
      </c>
      <c r="XI20" s="949">
        <v>6.4024722199999999</v>
      </c>
      <c r="XJ20" s="949">
        <v>1.3924722199999999</v>
      </c>
      <c r="XK20" s="949">
        <v>1.2535513200000001</v>
      </c>
      <c r="XL20" s="949">
        <v>1.1649883700000001</v>
      </c>
      <c r="XM20" s="949">
        <v>1.1807968100000001</v>
      </c>
      <c r="XN20" s="949">
        <v>1.1807968100000001</v>
      </c>
      <c r="XO20" s="949">
        <v>1.1807968100000001</v>
      </c>
      <c r="XP20" s="949">
        <v>1.1384673999999999</v>
      </c>
      <c r="XQ20" s="949">
        <v>1.0462722600000001</v>
      </c>
      <c r="XR20" s="949">
        <v>0.93247373999999994</v>
      </c>
      <c r="XS20" s="949">
        <v>2.04426774</v>
      </c>
      <c r="XT20" s="949">
        <v>1.9749983600000001</v>
      </c>
      <c r="XU20" s="949">
        <v>1.9749983600000001</v>
      </c>
      <c r="XV20" s="949">
        <v>1.9638375100000001</v>
      </c>
      <c r="XW20" s="949">
        <v>1.9638375100000001</v>
      </c>
      <c r="XX20" s="949">
        <v>1.96062096</v>
      </c>
      <c r="XY20" s="949">
        <v>1.9798209599999999</v>
      </c>
      <c r="XZ20" s="949">
        <v>4.8105148199999999</v>
      </c>
      <c r="YA20" s="949">
        <v>2.00650453</v>
      </c>
      <c r="YB20" s="949">
        <v>1.9901001100000002</v>
      </c>
      <c r="YC20" s="949">
        <v>1.9901001100000002</v>
      </c>
      <c r="YD20" s="949">
        <v>1.6348752600000001</v>
      </c>
      <c r="YE20" s="949">
        <v>3.4963752599999998</v>
      </c>
      <c r="YF20" s="949">
        <v>0.66039066000000002</v>
      </c>
      <c r="YG20" s="949">
        <v>0.44817729000000001</v>
      </c>
      <c r="YH20" s="949">
        <v>0.19697729</v>
      </c>
    </row>
    <row r="21" spans="2:658">
      <c r="B21" s="917" t="s">
        <v>52</v>
      </c>
      <c r="C21" s="918">
        <v>56.543578570000001</v>
      </c>
      <c r="D21" s="130">
        <v>56.902499310000003</v>
      </c>
      <c r="E21" s="130">
        <v>56.901398829999998</v>
      </c>
      <c r="F21" s="130">
        <v>57.753318829999998</v>
      </c>
      <c r="G21" s="130">
        <v>54.20868308</v>
      </c>
      <c r="H21" s="130">
        <v>55.627989849999999</v>
      </c>
      <c r="I21" s="130">
        <v>55.627989849999999</v>
      </c>
      <c r="J21" s="130">
        <v>55.620052659999999</v>
      </c>
      <c r="K21" s="130">
        <v>57.469834980000002</v>
      </c>
      <c r="L21" s="130">
        <v>57.096270869999998</v>
      </c>
      <c r="M21" s="130">
        <v>55.021585860000002</v>
      </c>
      <c r="N21" s="130">
        <v>30.1656704</v>
      </c>
      <c r="O21" s="130">
        <v>30.1686704</v>
      </c>
      <c r="P21" s="130">
        <v>30.520947020000001</v>
      </c>
      <c r="Q21" s="130">
        <v>29.04404907</v>
      </c>
      <c r="R21" s="130">
        <v>28.548149510000002</v>
      </c>
      <c r="S21" s="130">
        <f>28+0.53969668</f>
        <v>28.539696679999999</v>
      </c>
      <c r="T21" s="130">
        <v>35.406407559999998</v>
      </c>
      <c r="U21" s="130">
        <v>34.328033949999998</v>
      </c>
      <c r="V21" s="130">
        <v>31.75305372</v>
      </c>
      <c r="W21" s="130">
        <v>31.79980467</v>
      </c>
      <c r="X21" s="130">
        <v>31.799582669999999</v>
      </c>
      <c r="Y21" s="130">
        <v>31.461330579999998</v>
      </c>
      <c r="Z21" s="130">
        <v>31.466777270000001</v>
      </c>
      <c r="AA21" s="130">
        <v>26.724611880000001</v>
      </c>
      <c r="AB21" s="130">
        <v>26.721604159999998</v>
      </c>
      <c r="AC21" s="130">
        <v>26.756768109999999</v>
      </c>
      <c r="AD21" s="130">
        <v>25.449311130000002</v>
      </c>
      <c r="AE21" s="130">
        <v>21.925114610000001</v>
      </c>
      <c r="AF21" s="130">
        <f>1.92811461+20</f>
        <v>21.928114610000002</v>
      </c>
      <c r="AG21" s="130">
        <f>21.95036119</f>
        <v>21.950361189999999</v>
      </c>
      <c r="AH21" s="130">
        <v>19.225031449999999</v>
      </c>
      <c r="AI21" s="130">
        <v>19.228910899999999</v>
      </c>
      <c r="AJ21" s="130">
        <v>19.215511500000002</v>
      </c>
      <c r="AK21" s="130">
        <v>19.218580750000001</v>
      </c>
      <c r="AL21" s="130">
        <v>18.31538784</v>
      </c>
      <c r="AM21" s="130">
        <v>17.861121860000001</v>
      </c>
      <c r="AN21" s="130">
        <f>0.53260852+20</f>
        <v>20.53260852</v>
      </c>
      <c r="AO21" s="130">
        <f>0.34311879+17</f>
        <v>17.343118789999998</v>
      </c>
      <c r="AP21" s="130">
        <f>0.34311879+20</f>
        <v>20.343118789999998</v>
      </c>
      <c r="AQ21" s="130">
        <v>19.470368059999998</v>
      </c>
      <c r="AR21" s="130">
        <f>0.60083369+19</f>
        <v>19.600833690000002</v>
      </c>
      <c r="AS21" s="130">
        <f>0.707713+19</f>
        <v>19.707712999999998</v>
      </c>
      <c r="AT21" s="130">
        <f>0.70753303+19</f>
        <v>19.70753303</v>
      </c>
      <c r="AU21" s="130">
        <f>0.70753303+19</f>
        <v>19.70753303</v>
      </c>
      <c r="AV21" s="130">
        <v>17.831188229999999</v>
      </c>
      <c r="AW21" s="130">
        <v>17.57486858</v>
      </c>
      <c r="AX21" s="130">
        <f>17+0.57776195</f>
        <v>17.577761949999999</v>
      </c>
      <c r="AY21" s="130">
        <f>17+0.577758695</f>
        <v>17.577758695</v>
      </c>
      <c r="AZ21" s="130">
        <v>11.35903251</v>
      </c>
      <c r="BA21" s="130">
        <v>10.638830670000001</v>
      </c>
      <c r="BB21" s="130">
        <v>10.643137599999999</v>
      </c>
      <c r="BC21" s="130">
        <v>9.8761702600000003</v>
      </c>
      <c r="BD21" s="130">
        <v>9.8761702600000003</v>
      </c>
      <c r="BE21" s="130">
        <v>38.278676650000001</v>
      </c>
      <c r="BF21" s="130">
        <v>38.283947879999999</v>
      </c>
      <c r="BG21" s="130">
        <v>9.2740363099999996</v>
      </c>
      <c r="BH21" s="130">
        <v>9.2740363099999996</v>
      </c>
      <c r="BI21" s="130">
        <v>7.1459587200000003</v>
      </c>
      <c r="BJ21" s="130">
        <v>6.62231668</v>
      </c>
      <c r="BK21" s="130">
        <v>5.8373242799999998</v>
      </c>
      <c r="BL21" s="130">
        <v>5.82541215</v>
      </c>
      <c r="BM21" s="130">
        <v>25.393453659999999</v>
      </c>
      <c r="BN21" s="130">
        <v>25.35027809</v>
      </c>
      <c r="BO21" s="130">
        <v>20.263482710000002</v>
      </c>
      <c r="BP21" s="130">
        <v>23.446343769999999</v>
      </c>
      <c r="BQ21" s="130">
        <v>23.524921419999998</v>
      </c>
      <c r="BR21" s="130">
        <v>23.859500149999999</v>
      </c>
      <c r="BS21" s="130">
        <v>23.859500149999999</v>
      </c>
      <c r="BT21" s="130">
        <v>23.928143250000002</v>
      </c>
      <c r="BU21" s="130">
        <v>22.55231324</v>
      </c>
      <c r="BV21" s="130">
        <v>15.85450397</v>
      </c>
      <c r="BW21" s="130">
        <v>15.76273247</v>
      </c>
      <c r="BX21" s="130">
        <v>15.824173010000001</v>
      </c>
      <c r="BY21" s="130">
        <v>7.2114923900000001</v>
      </c>
      <c r="BZ21" s="130">
        <v>7.2669063899999999</v>
      </c>
      <c r="CA21" s="130">
        <v>7.2669063899999999</v>
      </c>
      <c r="CB21" s="130">
        <v>7.2669063899999999</v>
      </c>
      <c r="CC21" s="130">
        <v>7.0404242100000003</v>
      </c>
      <c r="CD21" s="130">
        <v>7.0397732099999999</v>
      </c>
      <c r="CE21" s="130">
        <v>6.9581055699999999</v>
      </c>
      <c r="CF21" s="130">
        <v>6.9581055699999999</v>
      </c>
      <c r="CG21" s="130">
        <v>6.84159907</v>
      </c>
      <c r="CH21" s="130">
        <v>6.78142552</v>
      </c>
      <c r="CI21" s="130">
        <v>5.0632878200000002</v>
      </c>
      <c r="CJ21" s="130">
        <f>0.56078782+24.5</f>
        <v>25.060787820000002</v>
      </c>
      <c r="CK21" s="130">
        <f>0.56045482+24.5</f>
        <v>25.06045482</v>
      </c>
      <c r="CL21" s="130">
        <f>0.47678678+24.5</f>
        <v>24.976786780000001</v>
      </c>
      <c r="CM21" s="130">
        <f>24.99195664</f>
        <v>24.991956640000001</v>
      </c>
      <c r="CN21" s="130">
        <v>6.5533773499999999</v>
      </c>
      <c r="CO21" s="130">
        <v>5.8186345800000003</v>
      </c>
      <c r="CP21" s="130">
        <v>5.8186345800000003</v>
      </c>
      <c r="CQ21" s="130">
        <v>0.57113360000000002</v>
      </c>
      <c r="CR21" s="130">
        <v>0.57113360000000002</v>
      </c>
      <c r="CS21" s="130">
        <v>1.8923654299999999</v>
      </c>
      <c r="CT21" s="130">
        <v>1.8926404299999999</v>
      </c>
      <c r="CU21" s="130">
        <f>0.0058+1.79219424</f>
        <v>1.79799424</v>
      </c>
      <c r="CV21" s="130">
        <f>0.0058+1.79219424</f>
        <v>1.79799424</v>
      </c>
      <c r="CW21" s="130">
        <f>0.0058+3.09010329</f>
        <v>3.0959032899999999</v>
      </c>
      <c r="CX21" s="130">
        <f>0.0058+3.09010329</f>
        <v>3.0959032899999999</v>
      </c>
      <c r="CY21" s="130">
        <f>0.0058+4.15130485</f>
        <v>4.1571048499999996</v>
      </c>
      <c r="CZ21" s="130">
        <v>4.1570999999999998</v>
      </c>
      <c r="DA21" s="130">
        <f>0.0058+4.15130485</f>
        <v>4.1571048499999996</v>
      </c>
      <c r="DB21" s="130">
        <f>0.0058+3.93971785</f>
        <v>3.9455178499999999</v>
      </c>
      <c r="DC21" s="130">
        <f>0.0058+21.461607</f>
        <v>21.467407000000001</v>
      </c>
      <c r="DD21" s="130">
        <f>0.0058+20.0058</f>
        <v>20.011600000000001</v>
      </c>
      <c r="DE21" s="130">
        <f>1.46468018+20.00794936</f>
        <v>21.47262954</v>
      </c>
      <c r="DF21" s="130">
        <f>1.33608517+20.01067265</f>
        <v>21.346757820000001</v>
      </c>
      <c r="DG21" s="130">
        <f>1.40410617+20.01907265</f>
        <v>21.423178819999997</v>
      </c>
      <c r="DH21" s="130">
        <f>3.15345626+23.0219578</f>
        <v>26.175414059999998</v>
      </c>
      <c r="DI21" s="130">
        <f>3.15597606+23.02522191</f>
        <v>26.181197969999999</v>
      </c>
      <c r="DJ21" s="130">
        <f>3.15597606+23.02852383</f>
        <v>26.184499890000001</v>
      </c>
      <c r="DK21" s="130">
        <f>3.05342362+23.03176904</f>
        <v>26.085192660000001</v>
      </c>
      <c r="DL21" s="130">
        <f>0.28232214+23.04485069</f>
        <v>23.327172830000002</v>
      </c>
      <c r="DM21" s="130">
        <f>0.28232214+23.04485069</f>
        <v>23.327172830000002</v>
      </c>
      <c r="DN21" s="130">
        <f>1.27885036+15.723879</f>
        <v>17.00272936</v>
      </c>
      <c r="DO21" s="130">
        <f>1.26550811+15.72822546</f>
        <v>16.99373357</v>
      </c>
      <c r="DP21" s="130">
        <f>1.26550811+15.72822546</f>
        <v>16.99373357</v>
      </c>
      <c r="DQ21" s="130">
        <f>1.27483211+15.7349485</f>
        <v>17.00978061</v>
      </c>
      <c r="DR21" s="130">
        <v>11.470620459999999</v>
      </c>
      <c r="DS21" s="130">
        <v>11.470620459999999</v>
      </c>
      <c r="DT21" s="130">
        <f>2.73346475+8.73715571</f>
        <v>11.470620459999999</v>
      </c>
      <c r="DU21" s="130">
        <f>2.69632808+8.73715571</f>
        <v>11.43348379</v>
      </c>
      <c r="DV21" s="130">
        <f>1.33132241+8.73715571</f>
        <v>10.06847812</v>
      </c>
      <c r="DW21" s="130">
        <f>1.33132241+8.73715571</f>
        <v>10.06847812</v>
      </c>
      <c r="DX21" s="130">
        <f>1.41963915+8.73715571</f>
        <v>10.15679486</v>
      </c>
      <c r="DY21" s="130">
        <f>1.63037809+3.73304371</f>
        <v>5.3634218000000002</v>
      </c>
      <c r="DZ21" s="130">
        <f>1.63037809+3.73304371</f>
        <v>5.3634218000000002</v>
      </c>
      <c r="EA21" s="130">
        <f>1.62186009+3.73104371</f>
        <v>5.3529038</v>
      </c>
      <c r="EB21" s="130">
        <f>5.81608509+3.73104371</f>
        <v>9.5471287999999994</v>
      </c>
      <c r="EC21" s="130">
        <f>0.96612281+3.73104371</f>
        <v>4.6971665199999997</v>
      </c>
      <c r="ED21" s="130">
        <f>0.83727152+2.67848523</f>
        <v>3.5157567500000004</v>
      </c>
      <c r="EE21" s="130">
        <f>6.17896202+2.67848523</f>
        <v>8.8574472499999999</v>
      </c>
      <c r="EF21" s="130">
        <f>6.17896202+2.67848523</f>
        <v>8.8574472499999999</v>
      </c>
      <c r="EG21" s="130">
        <f>6.18696202+2.67848523</f>
        <v>8.8654472500000008</v>
      </c>
      <c r="EH21" s="130">
        <f>10.19331576+0.88619236</f>
        <v>11.079508120000002</v>
      </c>
      <c r="EI21" s="130">
        <f>10.21314795+3.00819236</f>
        <v>13.221340309999999</v>
      </c>
      <c r="EJ21" s="130">
        <f>4.61025898+3.00819236</f>
        <v>7.61845134</v>
      </c>
      <c r="EK21" s="130">
        <f>4.61325898+3.00603836</f>
        <v>7.6192973400000001</v>
      </c>
      <c r="EL21" s="130">
        <f>4.61325898+3.00603836</f>
        <v>7.6192973400000001</v>
      </c>
      <c r="EM21" s="130">
        <f>4.73182558+3.73473149</f>
        <v>8.4665570700000004</v>
      </c>
      <c r="EN21" s="130">
        <f>16.66979221+2.58288475</f>
        <v>19.252676960000002</v>
      </c>
      <c r="EO21" s="130">
        <f>7.66978421+2.35966243</f>
        <v>10.02944664</v>
      </c>
      <c r="EP21" s="130">
        <f>7.66026151+1.94593772</f>
        <v>9.6061992299999996</v>
      </c>
      <c r="EQ21" s="130">
        <f>3.32030831+2.32006795</f>
        <v>5.64037626</v>
      </c>
      <c r="ER21" s="130">
        <v>5.64037626</v>
      </c>
      <c r="ES21" s="130">
        <f>3.58681531+2.32006795</f>
        <v>5.9068832599999999</v>
      </c>
      <c r="ET21" s="130">
        <f>3.39027181+3.91249761</f>
        <v>7.3027694200000006</v>
      </c>
      <c r="EU21" s="130">
        <f>3.91249761+3.47327181</f>
        <v>7.3857694199999999</v>
      </c>
      <c r="EV21" s="130">
        <f>18.91049761+3.39020682</f>
        <v>22.30070443</v>
      </c>
      <c r="EW21" s="130">
        <f>1.50302086+0.38789097</f>
        <v>1.8909118299999998</v>
      </c>
      <c r="EX21" s="130">
        <f>3.07318449+0.39801319</f>
        <v>3.47119768</v>
      </c>
      <c r="EY21" s="130">
        <v>4.7255909100000002</v>
      </c>
      <c r="EZ21" s="130">
        <v>10.932045430000001</v>
      </c>
      <c r="FA21" s="130">
        <v>34.509673019999994</v>
      </c>
      <c r="FB21" s="130">
        <v>35</v>
      </c>
      <c r="FC21" s="130">
        <v>36.041414609999997</v>
      </c>
      <c r="FD21" s="130">
        <v>32.183213500000001</v>
      </c>
      <c r="FE21" s="130">
        <v>32.188224460000001</v>
      </c>
      <c r="FF21" s="130">
        <f>40.11473436+0.46747444</f>
        <v>40.582208799999997</v>
      </c>
      <c r="FG21" s="130">
        <f>40.11473436+0.46747444</f>
        <v>40.582208799999997</v>
      </c>
      <c r="FH21" s="130">
        <v>42</v>
      </c>
      <c r="FI21" s="130">
        <v>42.196161080000003</v>
      </c>
      <c r="FJ21" s="130">
        <f>69.18520324+0.98850584</f>
        <v>70.173709080000009</v>
      </c>
      <c r="FK21" s="130">
        <f>69.18520324+0.98850584</f>
        <v>70.173709080000009</v>
      </c>
      <c r="FL21" s="130">
        <f>54.13564354+2.75036584</f>
        <v>56.886009379999997</v>
      </c>
      <c r="FM21" s="130">
        <v>55</v>
      </c>
      <c r="FN21" s="130">
        <v>51.938921089999994</v>
      </c>
      <c r="FO21" s="130">
        <f>48.64838911+3.17634018</f>
        <v>51.824729289999993</v>
      </c>
      <c r="FP21" s="130">
        <f>46.96849512+3.17634018</f>
        <v>50.144835299999997</v>
      </c>
      <c r="FQ21" s="130">
        <f>46.95645812+3.59692634</f>
        <v>50.553384460000004</v>
      </c>
      <c r="FR21" s="130">
        <v>50.560620620000002</v>
      </c>
      <c r="FS21" s="130">
        <v>50.582670040000004</v>
      </c>
      <c r="FT21" s="130">
        <f>46.2931336+3.80250654</f>
        <v>50.09564014</v>
      </c>
      <c r="FU21" s="130">
        <f>35.40487104+3.82683654</f>
        <v>39.231707580000005</v>
      </c>
      <c r="FV21" s="130">
        <f>35.41048063+3.82683654</f>
        <v>39.237317170000004</v>
      </c>
      <c r="FW21" s="130">
        <f>58.4131248+3.82683654</f>
        <v>62.239961340000001</v>
      </c>
      <c r="FX21" s="130">
        <f>58.41583227+3.82683654</f>
        <v>62.242668810000005</v>
      </c>
      <c r="FY21" s="130">
        <v>62</v>
      </c>
      <c r="FZ21" s="130">
        <f>29.4688195+3.83175654</f>
        <v>33.300576039999996</v>
      </c>
      <c r="GA21" s="130">
        <f>25.85560066+3.83175654</f>
        <v>29.687357200000001</v>
      </c>
      <c r="GB21" s="130">
        <f>25.82432747+3.83175654</f>
        <v>29.656084010000001</v>
      </c>
      <c r="GC21" s="130">
        <f>25.8360541+3.83175654</f>
        <v>29.667810639999999</v>
      </c>
      <c r="GD21" s="130">
        <f>28.5989315+3.83175654</f>
        <v>32.43068804</v>
      </c>
      <c r="GE21" s="130">
        <f>10.7781697+8.14435371</f>
        <v>18.92252341</v>
      </c>
      <c r="GF21" s="130">
        <f>11.14270026+12.32235408</f>
        <v>23.465054340000002</v>
      </c>
      <c r="GG21" s="130">
        <f>1.14269226+22.11969935</f>
        <v>23.262391610000002</v>
      </c>
      <c r="GH21" s="130">
        <f>1.18386174+23.57735999</f>
        <v>24.761221730000003</v>
      </c>
      <c r="GI21" s="130">
        <v>21.82424614</v>
      </c>
      <c r="GJ21" s="130">
        <v>16.89674977</v>
      </c>
      <c r="GK21" s="130">
        <v>44.986144109999998</v>
      </c>
      <c r="GL21" s="130">
        <v>50.03773194</v>
      </c>
      <c r="GM21" s="130">
        <v>45.05438462</v>
      </c>
      <c r="GN21" s="130">
        <v>29.359047280000002</v>
      </c>
      <c r="GO21" s="130">
        <v>41.792619279999997</v>
      </c>
      <c r="GP21" s="130">
        <v>27.576296859999999</v>
      </c>
      <c r="GQ21" s="130">
        <v>16.651707860000002</v>
      </c>
      <c r="GR21" s="130">
        <v>25.234144440000001</v>
      </c>
      <c r="GS21" s="130">
        <v>24.579526659999999</v>
      </c>
      <c r="GT21" s="130">
        <v>25.935049540000001</v>
      </c>
      <c r="GU21" s="130">
        <v>32.458395509999995</v>
      </c>
      <c r="GV21" s="130">
        <v>35.579521299999996</v>
      </c>
      <c r="GW21" s="130">
        <v>35.579521299999996</v>
      </c>
      <c r="GX21" s="130">
        <v>34.75</v>
      </c>
      <c r="GY21" s="130">
        <v>28.867574019999999</v>
      </c>
      <c r="GZ21" s="130">
        <v>28.75827512</v>
      </c>
      <c r="HA21" s="130">
        <v>277.79325636999999</v>
      </c>
      <c r="HB21" s="130">
        <v>277.76529686999999</v>
      </c>
      <c r="HC21" s="130">
        <v>27.108543659999999</v>
      </c>
      <c r="HD21" s="130">
        <v>17.967329670000002</v>
      </c>
      <c r="HE21" s="130">
        <v>19.912939260000002</v>
      </c>
      <c r="HF21" s="130">
        <v>18.524114580000003</v>
      </c>
      <c r="HG21" s="130">
        <v>18.528290440000003</v>
      </c>
      <c r="HH21" s="130">
        <v>18.26360764</v>
      </c>
      <c r="HI21" s="130">
        <v>17.918807380000004</v>
      </c>
      <c r="HJ21" s="130">
        <v>32.978869070000002</v>
      </c>
      <c r="HK21" s="130">
        <v>32.90082031</v>
      </c>
      <c r="HL21" s="130">
        <v>29.232744740000001</v>
      </c>
      <c r="HM21" s="130">
        <v>34.485867059999997</v>
      </c>
      <c r="HN21" s="130">
        <v>36.990847609999996</v>
      </c>
      <c r="HO21" s="130">
        <v>39.393521239999991</v>
      </c>
      <c r="HP21" s="130">
        <v>40.240143109999998</v>
      </c>
      <c r="HQ21" s="130">
        <v>44.142519110000002</v>
      </c>
      <c r="HR21" s="130">
        <v>42.206152539999998</v>
      </c>
      <c r="HS21" s="130">
        <v>38.812546049999995</v>
      </c>
      <c r="HT21" s="949">
        <v>37.959623740000005</v>
      </c>
      <c r="HU21" s="949">
        <v>37.959623740000005</v>
      </c>
      <c r="HV21" s="949">
        <v>45.972951139999999</v>
      </c>
      <c r="HW21" s="949">
        <v>45.972951139999999</v>
      </c>
      <c r="HX21" s="949">
        <v>54.4272299</v>
      </c>
      <c r="HY21" s="949">
        <v>54.4272299</v>
      </c>
      <c r="HZ21" s="949">
        <v>53.544041119999996</v>
      </c>
      <c r="IA21" s="949">
        <v>53.470862170000004</v>
      </c>
      <c r="IB21" s="949">
        <v>53.492660379999997</v>
      </c>
      <c r="IC21" s="949">
        <v>53.492660379999997</v>
      </c>
      <c r="ID21" s="949">
        <v>53.492660379999997</v>
      </c>
      <c r="IE21" s="949">
        <v>39.910129499999996</v>
      </c>
      <c r="IF21" s="949">
        <v>39.910129499999996</v>
      </c>
      <c r="IG21" s="949">
        <v>57.89598848</v>
      </c>
      <c r="IH21" s="949">
        <v>57.878736709999998</v>
      </c>
      <c r="II21" s="949">
        <v>57.878736709999998</v>
      </c>
      <c r="IJ21" s="949">
        <v>57.878736709999998</v>
      </c>
      <c r="IK21" s="949">
        <v>59.797512900000001</v>
      </c>
      <c r="IL21" s="949">
        <v>59.797512900000001</v>
      </c>
      <c r="IM21" s="949">
        <v>59.797512900000001</v>
      </c>
      <c r="IN21" s="949">
        <v>58.177433619999995</v>
      </c>
      <c r="IO21" s="949">
        <v>48.526167039999997</v>
      </c>
      <c r="IP21" s="949">
        <v>52.480942300000002</v>
      </c>
      <c r="IQ21" s="949">
        <v>52.975214239999993</v>
      </c>
      <c r="IR21" s="949">
        <v>52.975214239999993</v>
      </c>
      <c r="IS21" s="949">
        <v>47.173100379999994</v>
      </c>
      <c r="IT21" s="949">
        <v>46.139393759999997</v>
      </c>
      <c r="IU21" s="949">
        <v>45.280917489999993</v>
      </c>
      <c r="IV21" s="949">
        <v>45.280917489999993</v>
      </c>
      <c r="IW21" s="949">
        <v>43.504270199999993</v>
      </c>
      <c r="IX21" s="949">
        <v>43.260197339999998</v>
      </c>
      <c r="IY21" s="949">
        <v>43.266470220000002</v>
      </c>
      <c r="IZ21" s="949">
        <v>41.798443489999997</v>
      </c>
      <c r="JA21" s="949">
        <v>41.804761329999998</v>
      </c>
      <c r="JB21" s="949">
        <v>41.804761329999998</v>
      </c>
      <c r="JC21" s="949">
        <v>41.836437769999996</v>
      </c>
      <c r="JD21" s="949">
        <v>42.196162579999999</v>
      </c>
      <c r="JE21" s="949">
        <v>42.196162579999999</v>
      </c>
      <c r="JF21" s="949">
        <v>42.196162579999999</v>
      </c>
      <c r="JG21" s="949">
        <v>29.569590190000003</v>
      </c>
      <c r="JH21" s="949">
        <v>29.569590190000003</v>
      </c>
      <c r="JI21" s="949">
        <v>29.569590190000003</v>
      </c>
      <c r="JJ21" s="949">
        <v>44.178278290000002</v>
      </c>
      <c r="JK21" s="949">
        <v>33.399387249999997</v>
      </c>
      <c r="JL21" s="949">
        <v>33.418668349999997</v>
      </c>
      <c r="JM21" s="949">
        <v>33.42375002</v>
      </c>
      <c r="JN21" s="949">
        <v>33.42375002</v>
      </c>
      <c r="JO21" s="949">
        <v>33.42375002</v>
      </c>
      <c r="JP21" s="949">
        <v>35.71453297</v>
      </c>
      <c r="JQ21" s="949">
        <v>35.71453297</v>
      </c>
      <c r="JR21" s="949">
        <v>33.157993660000002</v>
      </c>
      <c r="JS21" s="949">
        <v>33.157993660000002</v>
      </c>
      <c r="JT21" s="949">
        <v>33.002472310000002</v>
      </c>
      <c r="JU21" s="949">
        <v>33.017348320000004</v>
      </c>
      <c r="JV21" s="949">
        <v>33.017348320000004</v>
      </c>
      <c r="JW21" s="949">
        <v>193.33135199</v>
      </c>
      <c r="JX21" s="949">
        <v>193.33135199</v>
      </c>
      <c r="JY21" s="949">
        <v>117.15174376</v>
      </c>
      <c r="JZ21" s="949">
        <v>117.15174376</v>
      </c>
      <c r="KA21" s="949">
        <v>108.65839835</v>
      </c>
      <c r="KB21" s="949">
        <v>108.55497532</v>
      </c>
      <c r="KC21" s="949">
        <v>103.71195455</v>
      </c>
      <c r="KD21" s="949">
        <v>103.71840455</v>
      </c>
      <c r="KE21" s="949">
        <v>103.71840455</v>
      </c>
      <c r="KF21" s="949">
        <v>33.399387249999997</v>
      </c>
      <c r="KG21" s="949">
        <v>102.33580777000002</v>
      </c>
      <c r="KH21" s="949">
        <v>102.33580777000002</v>
      </c>
      <c r="KI21" s="949">
        <v>97.903118540000008</v>
      </c>
      <c r="KJ21" s="949">
        <v>97.903118540000008</v>
      </c>
      <c r="KK21" s="949">
        <v>97.963249020000006</v>
      </c>
      <c r="KL21" s="949">
        <v>97.963179650000001</v>
      </c>
      <c r="KM21" s="949">
        <v>97.963179650000001</v>
      </c>
      <c r="KN21" s="949">
        <v>91.058939010000003</v>
      </c>
      <c r="KO21" s="949">
        <v>78.423382140000001</v>
      </c>
      <c r="KP21" s="949">
        <v>85.546675800000003</v>
      </c>
      <c r="KQ21" s="949">
        <v>85.559316350000003</v>
      </c>
      <c r="KR21" s="949">
        <v>85.559316350000003</v>
      </c>
      <c r="KS21" s="949">
        <v>84.435986830000004</v>
      </c>
      <c r="KT21" s="949">
        <v>84.435986830000004</v>
      </c>
      <c r="KU21" s="949">
        <v>79.018610710000004</v>
      </c>
      <c r="KV21" s="949">
        <v>72.255562490000003</v>
      </c>
      <c r="KW21" s="949">
        <v>106.11430356</v>
      </c>
      <c r="KX21" s="949">
        <v>4.7088792299999991</v>
      </c>
      <c r="KY21" s="949">
        <v>4.7088792299999991</v>
      </c>
      <c r="KZ21" s="949">
        <v>1.9034481200000002</v>
      </c>
      <c r="LA21" s="949">
        <v>1.9034481200000002</v>
      </c>
      <c r="LB21" s="949">
        <v>6.9009111199999991</v>
      </c>
      <c r="LC21" s="949">
        <v>6.9009111199999991</v>
      </c>
      <c r="LD21" s="949">
        <v>6.9009111199999991</v>
      </c>
      <c r="LE21" s="949">
        <v>11.30422167</v>
      </c>
      <c r="LF21" s="949">
        <v>8.2669344899999988</v>
      </c>
      <c r="LG21" s="949">
        <v>8.2669344899999988</v>
      </c>
      <c r="LH21" s="949">
        <v>8.2669344899999988</v>
      </c>
      <c r="LI21" s="949">
        <v>0.74843557000000005</v>
      </c>
      <c r="LJ21" s="949">
        <v>0.74843557000000005</v>
      </c>
      <c r="LK21" s="949">
        <v>0.74843557000000005</v>
      </c>
      <c r="LL21" s="949">
        <v>13.17919517</v>
      </c>
      <c r="LM21" s="949">
        <v>13.17919517</v>
      </c>
      <c r="LN21" s="949">
        <v>4.2508882899999998</v>
      </c>
      <c r="LO21" s="949">
        <v>4.2508882899999998</v>
      </c>
      <c r="LP21" s="949">
        <v>4.2508882899999998</v>
      </c>
      <c r="LQ21" s="949">
        <v>4.6463370900000003</v>
      </c>
      <c r="LR21" s="949">
        <v>0.25963081999999998</v>
      </c>
      <c r="LS21" s="949">
        <v>0.25963081999999998</v>
      </c>
      <c r="LT21" s="949">
        <v>0.29132019999999997</v>
      </c>
      <c r="LU21" s="949">
        <v>16.75448699</v>
      </c>
      <c r="LV21" s="949">
        <v>5.93010182</v>
      </c>
      <c r="LW21" s="949">
        <v>5.93010182</v>
      </c>
      <c r="LX21" s="949">
        <v>1.85722137</v>
      </c>
      <c r="LY21" s="949">
        <v>1.85722137</v>
      </c>
      <c r="LZ21" s="949">
        <v>12.799326889999998</v>
      </c>
      <c r="MA21" s="949">
        <v>12.799326889999998</v>
      </c>
      <c r="MB21" s="949">
        <v>12.799326889999998</v>
      </c>
      <c r="MC21" s="949">
        <v>12.799326889999998</v>
      </c>
      <c r="MD21" s="949">
        <v>6.2058740500000011</v>
      </c>
      <c r="ME21" s="949">
        <v>6.210874050000001</v>
      </c>
      <c r="MF21" s="949">
        <v>6.210874050000001</v>
      </c>
      <c r="MG21" s="949">
        <v>6.210874050000001</v>
      </c>
      <c r="MH21" s="949">
        <v>1.43057495</v>
      </c>
      <c r="MI21" s="949">
        <v>1.43057495</v>
      </c>
      <c r="MJ21" s="949">
        <v>13.59236421</v>
      </c>
      <c r="MK21" s="949">
        <v>10.27766686</v>
      </c>
      <c r="ML21" s="949">
        <v>10.27766686</v>
      </c>
      <c r="MM21" s="949">
        <v>10.27766686</v>
      </c>
      <c r="MN21" s="949">
        <v>10.27766686</v>
      </c>
      <c r="MO21" s="949">
        <v>10.27766686</v>
      </c>
      <c r="MP21" s="949">
        <v>10.27766686</v>
      </c>
      <c r="MQ21" s="949">
        <v>3.3166151800000003</v>
      </c>
      <c r="MR21" s="949">
        <v>3.3166151800000003</v>
      </c>
      <c r="MS21" s="949">
        <v>3.1825232500000005</v>
      </c>
      <c r="MT21" s="949">
        <v>7.61242325</v>
      </c>
      <c r="MU21" s="949">
        <v>7.61242325</v>
      </c>
      <c r="MV21" s="949">
        <v>7.61242325</v>
      </c>
      <c r="MW21" s="949">
        <v>5.84576312</v>
      </c>
      <c r="MX21" s="949">
        <v>5.2926233800000002</v>
      </c>
      <c r="MY21" s="949">
        <v>5.2926233800000002</v>
      </c>
      <c r="MZ21" s="949">
        <v>5.2926233800000002</v>
      </c>
      <c r="NA21" s="949">
        <v>5.2926233800000002</v>
      </c>
      <c r="NB21" s="949">
        <v>5.2926233800000002</v>
      </c>
      <c r="NC21" s="949">
        <v>5.2926233800000002</v>
      </c>
      <c r="ND21" s="949">
        <v>5.2926233800000002</v>
      </c>
      <c r="NE21" s="949">
        <v>5.2926233800000002</v>
      </c>
      <c r="NF21" s="949">
        <v>8.7844066500000011</v>
      </c>
      <c r="NG21" s="949">
        <v>4.9353760499999995</v>
      </c>
      <c r="NH21" s="949">
        <v>4.95837605</v>
      </c>
      <c r="NI21" s="949">
        <v>9.7110766500000008</v>
      </c>
      <c r="NJ21" s="949">
        <v>9.7110766500000008</v>
      </c>
      <c r="NK21" s="949">
        <v>1.7911384699999999</v>
      </c>
      <c r="NL21" s="949">
        <v>1.7911384699999999</v>
      </c>
      <c r="NM21" s="949">
        <v>3.8275605100000001</v>
      </c>
      <c r="NN21" s="949">
        <v>3.8275605100000001</v>
      </c>
      <c r="NO21" s="949">
        <v>3.8275605100000001</v>
      </c>
      <c r="NP21" s="949">
        <v>20.605706449999996</v>
      </c>
      <c r="NQ21" s="949">
        <v>20.605706449999996</v>
      </c>
      <c r="NR21" s="949">
        <v>17.511870269999996</v>
      </c>
      <c r="NS21" s="949">
        <v>17.511870269999996</v>
      </c>
      <c r="NT21" s="949">
        <v>17.511870269999996</v>
      </c>
      <c r="NU21" s="949">
        <v>19.792149329999997</v>
      </c>
      <c r="NV21" s="949">
        <v>19.497862959999996</v>
      </c>
      <c r="NW21" s="949">
        <v>19.497862959999996</v>
      </c>
      <c r="NX21" s="949">
        <v>19.497862959999996</v>
      </c>
      <c r="NY21" s="949">
        <v>30.37119113</v>
      </c>
      <c r="NZ21" s="949">
        <v>30.381588389999997</v>
      </c>
      <c r="OA21" s="949">
        <v>30.381588389999997</v>
      </c>
      <c r="OB21" s="949">
        <v>30.381588389999997</v>
      </c>
      <c r="OC21" s="949">
        <v>12.870976050000001</v>
      </c>
      <c r="OD21" s="949">
        <v>12.870976050000001</v>
      </c>
      <c r="OE21" s="949">
        <v>12.870976050000001</v>
      </c>
      <c r="OF21" s="949">
        <v>12.870976050000001</v>
      </c>
      <c r="OG21" s="949">
        <v>50.20704473</v>
      </c>
      <c r="OH21" s="949">
        <v>50.20704473</v>
      </c>
      <c r="OI21" s="949">
        <v>4.2639613599999997</v>
      </c>
      <c r="OJ21" s="949">
        <v>51.075743420000002</v>
      </c>
      <c r="OK21" s="949">
        <v>51.075743420000002</v>
      </c>
      <c r="OL21" s="949">
        <v>50.829396520000003</v>
      </c>
      <c r="OM21" s="949">
        <v>50.829396520000003</v>
      </c>
      <c r="ON21" s="949">
        <v>50.829396520000003</v>
      </c>
      <c r="OO21" s="949">
        <v>33.18908149</v>
      </c>
      <c r="OP21" s="949">
        <v>33.109121599999995</v>
      </c>
      <c r="OQ21" s="949">
        <v>33.109121599999995</v>
      </c>
      <c r="OR21" s="949">
        <v>33.109121599999995</v>
      </c>
      <c r="OS21" s="949">
        <v>94.547065399999994</v>
      </c>
      <c r="OT21" s="949">
        <v>94.273846219999996</v>
      </c>
      <c r="OU21" s="949">
        <v>94.273846219999996</v>
      </c>
      <c r="OV21" s="949">
        <v>94.273846219999996</v>
      </c>
      <c r="OW21" s="949">
        <v>16.455661030000002</v>
      </c>
      <c r="OX21" s="949">
        <v>16.455661030000002</v>
      </c>
      <c r="OY21" s="949">
        <v>7.4280657899999998</v>
      </c>
      <c r="OZ21" s="949">
        <v>7.4280657899999998</v>
      </c>
      <c r="PA21" s="949">
        <v>7.4280657899999998</v>
      </c>
      <c r="PB21" s="949">
        <v>4.43772842</v>
      </c>
      <c r="PC21" s="949">
        <v>4.43772842</v>
      </c>
      <c r="PD21" s="949">
        <v>4.43772842</v>
      </c>
      <c r="PE21" s="949">
        <v>2.6732867700000007</v>
      </c>
      <c r="PF21" s="949">
        <v>2.3503854300000002</v>
      </c>
      <c r="PG21" s="949">
        <v>2.3503854300000002</v>
      </c>
      <c r="PH21" s="949">
        <v>2.3503854300000002</v>
      </c>
      <c r="PI21" s="949">
        <v>1.2443535399999999</v>
      </c>
      <c r="PJ21" s="949">
        <v>6.2443535399999996</v>
      </c>
      <c r="PK21" s="949">
        <v>6.2443535399999996</v>
      </c>
      <c r="PL21" s="949">
        <v>6.2443535399999996</v>
      </c>
      <c r="PM21" s="949">
        <v>6.2443535399999996</v>
      </c>
      <c r="PN21" s="949">
        <v>1.4825440000000001</v>
      </c>
      <c r="PO21" s="949">
        <v>1.4825440000000001</v>
      </c>
      <c r="PP21" s="949">
        <v>0.89926848999999998</v>
      </c>
      <c r="PQ21" s="949">
        <v>0.89926848999999998</v>
      </c>
      <c r="PR21" s="949">
        <v>0.89926848999999998</v>
      </c>
      <c r="PS21" s="949">
        <v>1.46903608</v>
      </c>
      <c r="PT21" s="949">
        <v>1.46903608</v>
      </c>
      <c r="PU21" s="949">
        <v>3.3860837000000004</v>
      </c>
      <c r="PV21" s="949">
        <v>3.3860837000000004</v>
      </c>
      <c r="PW21" s="949">
        <v>3.3860837000000004</v>
      </c>
      <c r="PX21" s="949">
        <v>3.25530477</v>
      </c>
      <c r="PY21" s="949">
        <v>3.2552677700000001</v>
      </c>
      <c r="PZ21" s="949">
        <v>3.2552677700000001</v>
      </c>
      <c r="QA21" s="949">
        <v>3.2552677700000001</v>
      </c>
      <c r="QB21" s="949">
        <v>1.2138452099999999</v>
      </c>
      <c r="QC21" s="949">
        <v>1.2138452099999999</v>
      </c>
      <c r="QD21" s="949">
        <v>1.2138452099999999</v>
      </c>
      <c r="QE21" s="949">
        <v>0.62700155000000002</v>
      </c>
      <c r="QF21" s="949">
        <v>0.62700155000000002</v>
      </c>
      <c r="QG21" s="949">
        <v>0.62700155000000002</v>
      </c>
      <c r="QH21" s="949">
        <v>0.62700155000000002</v>
      </c>
      <c r="QI21" s="949">
        <v>3.6028784400000005</v>
      </c>
      <c r="QJ21" s="949">
        <v>3.6028784400000005</v>
      </c>
      <c r="QK21" s="949">
        <v>2.05634089</v>
      </c>
      <c r="QL21" s="949">
        <v>2.05634089</v>
      </c>
      <c r="QM21" s="949">
        <v>2.05634089</v>
      </c>
      <c r="QN21" s="949">
        <v>0.77318777000000005</v>
      </c>
      <c r="QO21" s="949">
        <v>0.77078776999999998</v>
      </c>
      <c r="QP21" s="949">
        <v>0.77078776999999998</v>
      </c>
      <c r="QQ21" s="949">
        <v>16.53657282</v>
      </c>
      <c r="QR21" s="949">
        <v>16.53657282</v>
      </c>
      <c r="QS21" s="949">
        <v>0.75312670999999998</v>
      </c>
      <c r="QT21" s="949">
        <v>0.75312670999999998</v>
      </c>
      <c r="QU21" s="949">
        <v>0.75312670999999998</v>
      </c>
      <c r="QV21" s="949">
        <v>0.73129606999999996</v>
      </c>
      <c r="QW21" s="949">
        <v>0.75312670999999998</v>
      </c>
      <c r="QX21" s="949">
        <v>0.75312670999999998</v>
      </c>
      <c r="QY21" s="949">
        <v>1.0816278000000001</v>
      </c>
      <c r="QZ21" s="949">
        <v>1.0816278000000001</v>
      </c>
      <c r="RA21" s="949">
        <v>14.657593240000001</v>
      </c>
      <c r="RB21" s="949">
        <v>14.657593240000001</v>
      </c>
      <c r="RC21" s="949">
        <v>14.657593240000001</v>
      </c>
      <c r="RD21" s="949">
        <v>14.657593240000001</v>
      </c>
      <c r="RE21" s="949">
        <v>1.48599792</v>
      </c>
      <c r="RF21" s="949">
        <v>1.48599792</v>
      </c>
      <c r="RG21" s="949">
        <v>1.48599792</v>
      </c>
      <c r="RH21" s="949">
        <v>0.53049540000000006</v>
      </c>
      <c r="RI21" s="949">
        <v>0.53041340000000003</v>
      </c>
      <c r="RJ21" s="949">
        <v>0.53041340000000003</v>
      </c>
      <c r="RK21" s="949">
        <v>3.5252134000000002</v>
      </c>
      <c r="RL21" s="949">
        <v>3.5252134000000002</v>
      </c>
      <c r="RM21" s="949">
        <v>2.67702712</v>
      </c>
      <c r="RN21" s="949">
        <v>2.67702712</v>
      </c>
      <c r="RO21" s="949">
        <v>2.67702712</v>
      </c>
      <c r="RP21" s="949">
        <v>2.67702712</v>
      </c>
      <c r="RQ21" s="949">
        <v>9.8025891699999992</v>
      </c>
      <c r="RR21" s="949">
        <v>9.8025891699999992</v>
      </c>
      <c r="RS21" s="949">
        <v>0.73228134999999994</v>
      </c>
      <c r="RT21" s="949">
        <v>0.73228134999999994</v>
      </c>
      <c r="RU21" s="949">
        <v>0.73228134999999994</v>
      </c>
      <c r="RV21" s="949">
        <v>0.73228134999999994</v>
      </c>
      <c r="RW21" s="949">
        <v>0.73228134999999994</v>
      </c>
      <c r="RX21" s="949">
        <v>0.73228134999999994</v>
      </c>
      <c r="RY21" s="949">
        <v>8.6008074200000006</v>
      </c>
      <c r="RZ21" s="949">
        <v>8.6008074200000006</v>
      </c>
      <c r="SA21" s="949">
        <v>6.9901118000000002</v>
      </c>
      <c r="SB21" s="949">
        <v>6.9804577999999999</v>
      </c>
      <c r="SC21" s="949">
        <v>6.9804577999999999</v>
      </c>
      <c r="SD21" s="949">
        <v>6.9804577999999999</v>
      </c>
      <c r="SE21" s="949">
        <v>9.1734218500000004</v>
      </c>
      <c r="SF21" s="949">
        <v>9.1734218500000004</v>
      </c>
      <c r="SG21" s="949">
        <v>5.3928837300000003</v>
      </c>
      <c r="SH21" s="949">
        <v>5.3928837300000003</v>
      </c>
      <c r="SI21" s="949">
        <v>12.68879767</v>
      </c>
      <c r="SJ21" s="949">
        <v>12.68879767</v>
      </c>
      <c r="SK21" s="949">
        <v>16.137805830000001</v>
      </c>
      <c r="SL21" s="949">
        <v>16.137805830000001</v>
      </c>
      <c r="SM21" s="949">
        <v>20.768483279999998</v>
      </c>
      <c r="SN21" s="949">
        <v>20.768483279999998</v>
      </c>
      <c r="SO21" s="949">
        <v>20.768483279999998</v>
      </c>
      <c r="SP21" s="949">
        <v>25.38774952</v>
      </c>
      <c r="SQ21" s="949">
        <v>25.38774952</v>
      </c>
      <c r="SR21" s="949">
        <v>25.38774952</v>
      </c>
      <c r="SS21" s="949">
        <v>33.11924921</v>
      </c>
      <c r="ST21" s="949">
        <v>33.11924921</v>
      </c>
      <c r="SU21" s="949">
        <v>35.1299791</v>
      </c>
      <c r="SV21" s="949">
        <v>35.1299791</v>
      </c>
      <c r="SW21" s="949">
        <v>35.1299791</v>
      </c>
      <c r="SX21" s="949">
        <v>31.767059309999997</v>
      </c>
      <c r="SY21" s="949">
        <v>31.767059309999997</v>
      </c>
      <c r="SZ21" s="949">
        <v>31.767059309999997</v>
      </c>
      <c r="TA21" s="949">
        <v>27.203899359999998</v>
      </c>
      <c r="TB21" s="949">
        <v>27.203899359999998</v>
      </c>
      <c r="TC21" s="949">
        <v>20.046600590000001</v>
      </c>
      <c r="TD21" s="949">
        <v>20.046600590000001</v>
      </c>
      <c r="TE21" s="949">
        <v>15.93423499</v>
      </c>
      <c r="TF21" s="949">
        <v>47.594920370000004</v>
      </c>
      <c r="TG21" s="949">
        <v>34.852626010000009</v>
      </c>
      <c r="TH21" s="949">
        <v>31.139960729999995</v>
      </c>
      <c r="TI21" s="949">
        <v>26.462689189999999</v>
      </c>
      <c r="TJ21" s="949">
        <v>25.211815259999998</v>
      </c>
      <c r="TK21" s="949">
        <v>13.481368550000001</v>
      </c>
      <c r="TL21" s="949">
        <v>73.935213369999985</v>
      </c>
      <c r="TM21" s="949">
        <v>4.4926274500000005</v>
      </c>
      <c r="TN21" s="949">
        <v>6.20351724</v>
      </c>
      <c r="TO21" s="949">
        <v>1.7472191499999998</v>
      </c>
      <c r="TP21" s="949">
        <v>7.1330513199999999</v>
      </c>
      <c r="TQ21" s="949">
        <v>7.0855842999999998</v>
      </c>
      <c r="TR21" s="949">
        <v>6.5212419500000003</v>
      </c>
      <c r="TS21" s="949">
        <v>6.2413047800000001</v>
      </c>
      <c r="TT21" s="949">
        <v>5.8665138800000003</v>
      </c>
      <c r="TU21" s="949">
        <v>1.5947897799999999</v>
      </c>
      <c r="TV21" s="949">
        <v>11.06885162</v>
      </c>
      <c r="TW21" s="949">
        <v>3.9751337400000004</v>
      </c>
      <c r="TX21" s="949">
        <v>3.1920182499999998</v>
      </c>
      <c r="TY21" s="949">
        <v>4.3292831600000001</v>
      </c>
      <c r="TZ21" s="949">
        <v>25.12229138</v>
      </c>
      <c r="UA21" s="949">
        <v>54.569876740000005</v>
      </c>
      <c r="UB21" s="949">
        <v>11.559180880000001</v>
      </c>
      <c r="UC21" s="949">
        <v>12.638172000000001</v>
      </c>
      <c r="UD21" s="949">
        <v>13.06603586</v>
      </c>
      <c r="UE21" s="949">
        <v>19.727608149999998</v>
      </c>
      <c r="UF21" s="949">
        <v>15.63371044</v>
      </c>
      <c r="UG21" s="949">
        <v>2.4840763099999998</v>
      </c>
      <c r="UH21" s="949">
        <v>15.26097835</v>
      </c>
      <c r="UI21" s="949">
        <v>15.259090820000001</v>
      </c>
      <c r="UJ21" s="949">
        <v>65.4961378</v>
      </c>
      <c r="UK21" s="949">
        <v>61.231863709999999</v>
      </c>
      <c r="UL21" s="949">
        <v>59.359927550000002</v>
      </c>
      <c r="UM21" s="949">
        <v>91.014273479999986</v>
      </c>
      <c r="UN21" s="949">
        <v>93.753495399999991</v>
      </c>
      <c r="UO21" s="949">
        <v>107.72208544</v>
      </c>
      <c r="UP21" s="949">
        <v>107.74400964</v>
      </c>
      <c r="UQ21" s="949">
        <v>99.914214989999991</v>
      </c>
      <c r="UR21" s="949">
        <v>94.259413780000003</v>
      </c>
      <c r="US21" s="949">
        <v>93.969214780000001</v>
      </c>
      <c r="UT21" s="949">
        <v>94.012940739999991</v>
      </c>
      <c r="UU21" s="949">
        <v>88.231308979999994</v>
      </c>
      <c r="UV21" s="949">
        <v>85.987812439999999</v>
      </c>
      <c r="UW21" s="949">
        <v>86.055433039999997</v>
      </c>
      <c r="UX21" s="949">
        <v>83.239336829999999</v>
      </c>
      <c r="UY21" s="949">
        <v>80.027808800000003</v>
      </c>
      <c r="UZ21" s="949">
        <v>77.206592959999995</v>
      </c>
      <c r="VA21" s="949">
        <v>77.206592959999995</v>
      </c>
      <c r="VB21" s="949">
        <v>67.92480986999999</v>
      </c>
      <c r="VC21" s="949">
        <v>63.339102099999998</v>
      </c>
      <c r="VD21" s="949">
        <v>61.380012190000002</v>
      </c>
      <c r="VE21" s="949">
        <v>61.380012190000002</v>
      </c>
      <c r="VF21" s="949">
        <v>61.777655230000008</v>
      </c>
      <c r="VG21" s="949">
        <v>57.837424050000003</v>
      </c>
      <c r="VH21" s="949">
        <v>49.229350820000001</v>
      </c>
      <c r="VI21" s="949">
        <v>45.823524830000004</v>
      </c>
      <c r="VJ21" s="949">
        <v>9.0104255299999991</v>
      </c>
      <c r="VK21" s="949">
        <v>2.8217155599999999</v>
      </c>
      <c r="VL21" s="949">
        <v>48.000832289999998</v>
      </c>
      <c r="VM21" s="949">
        <v>54.601901580000003</v>
      </c>
      <c r="VN21" s="949">
        <v>54.676725279999999</v>
      </c>
      <c r="VO21" s="949">
        <v>30.292413139999997</v>
      </c>
      <c r="VP21" s="949">
        <v>9.4625522799999988</v>
      </c>
      <c r="VQ21" s="949">
        <v>9.2816552900000016</v>
      </c>
      <c r="VR21" s="949">
        <v>5.9882169800000007</v>
      </c>
      <c r="VS21" s="949">
        <v>0.24095156999999998</v>
      </c>
      <c r="VT21" s="949">
        <v>0.19309760999999998</v>
      </c>
      <c r="VU21" s="949">
        <v>2.6930606100000003</v>
      </c>
      <c r="VV21" s="949">
        <v>0.29391664000000001</v>
      </c>
      <c r="VW21" s="949">
        <v>0.14729808999999999</v>
      </c>
      <c r="VX21" s="949">
        <v>4.76390899</v>
      </c>
      <c r="VY21" s="949">
        <v>2.3468326800000003</v>
      </c>
      <c r="VZ21" s="949">
        <v>10.303273359999999</v>
      </c>
      <c r="WA21" s="949">
        <v>107.56389853</v>
      </c>
      <c r="WB21" s="949">
        <v>103.77987318</v>
      </c>
      <c r="WC21" s="949">
        <v>153.71184058</v>
      </c>
      <c r="WD21" s="949">
        <v>1.4476084199999999</v>
      </c>
      <c r="WE21" s="949">
        <v>0.58264828000000002</v>
      </c>
      <c r="WF21" s="949">
        <v>0.57361128000000006</v>
      </c>
      <c r="WG21" s="949">
        <v>25.834545459999998</v>
      </c>
      <c r="WH21" s="949">
        <v>25.882725139999998</v>
      </c>
      <c r="WI21" s="949">
        <v>25.071876</v>
      </c>
      <c r="WJ21" s="949">
        <v>24.559913099999999</v>
      </c>
      <c r="WK21" s="949">
        <v>21.756548369999997</v>
      </c>
      <c r="WL21" s="949">
        <v>21.724430999999999</v>
      </c>
      <c r="WM21" s="949">
        <v>7.5620525600000006</v>
      </c>
      <c r="WN21" s="949">
        <v>47.822211430000003</v>
      </c>
      <c r="WO21" s="949">
        <v>47.840058679999999</v>
      </c>
      <c r="WP21" s="949">
        <v>13.388764310000001</v>
      </c>
      <c r="WQ21" s="949">
        <v>13.269494880000002</v>
      </c>
      <c r="WR21" s="949">
        <v>10.669246859999999</v>
      </c>
      <c r="WS21" s="949">
        <v>6.3782032400000004</v>
      </c>
      <c r="WT21" s="949">
        <v>6.4119296500000003</v>
      </c>
      <c r="WU21" s="949">
        <v>16.082829370000002</v>
      </c>
      <c r="WV21" s="949">
        <v>9.9120553999999998</v>
      </c>
      <c r="WW21" s="949">
        <v>5.13148084</v>
      </c>
      <c r="WX21" s="949">
        <v>1.81716411</v>
      </c>
      <c r="WY21" s="949">
        <v>4.5331621200000001</v>
      </c>
      <c r="WZ21" s="949">
        <v>2.7030431200000002</v>
      </c>
      <c r="XA21" s="949">
        <v>2.7030431200000002</v>
      </c>
      <c r="XB21" s="949">
        <v>1.7354311599999999</v>
      </c>
      <c r="XC21" s="949">
        <v>1.7354311599999999</v>
      </c>
      <c r="XD21" s="949">
        <v>7.0720630099999999</v>
      </c>
      <c r="XE21" s="949">
        <v>5.9186508799999995</v>
      </c>
      <c r="XF21" s="949">
        <v>10.328969689999999</v>
      </c>
      <c r="XG21" s="949">
        <v>5.2717667200000005</v>
      </c>
      <c r="XH21" s="949">
        <v>3.6109995399999999</v>
      </c>
      <c r="XI21" s="949">
        <v>1.95240116</v>
      </c>
      <c r="XJ21" s="949">
        <v>7.8554901600000004</v>
      </c>
      <c r="XK21" s="949">
        <v>3.0966604900000001</v>
      </c>
      <c r="XL21" s="949">
        <v>2.4090681200000001</v>
      </c>
      <c r="XM21" s="949">
        <v>0.98768014999999998</v>
      </c>
      <c r="XN21" s="949">
        <v>0.98768014999999998</v>
      </c>
      <c r="XO21" s="949">
        <v>0.98768014999999998</v>
      </c>
      <c r="XP21" s="949">
        <v>1.1233491199999999</v>
      </c>
      <c r="XQ21" s="949">
        <v>1.1238674</v>
      </c>
      <c r="XR21" s="949">
        <v>1.3969866799999999</v>
      </c>
      <c r="XS21" s="949">
        <v>8.9702507499999999</v>
      </c>
      <c r="XT21" s="949">
        <v>7.2960100399999996</v>
      </c>
      <c r="XU21" s="949">
        <v>7.2980100400000003</v>
      </c>
      <c r="XV21" s="949">
        <v>5.2694020400000001</v>
      </c>
      <c r="XW21" s="949">
        <v>5.2285159600000002</v>
      </c>
      <c r="XX21" s="949">
        <v>13.051297330000001</v>
      </c>
      <c r="XY21" s="949">
        <v>6.5079228900000006</v>
      </c>
      <c r="XZ21" s="949">
        <v>1.05939786</v>
      </c>
      <c r="YA21" s="949">
        <v>0.80229786000000003</v>
      </c>
      <c r="YB21" s="949">
        <v>0.80229786000000003</v>
      </c>
      <c r="YC21" s="949">
        <v>6.8478122099999998</v>
      </c>
      <c r="YD21" s="949">
        <v>13.939025130000005</v>
      </c>
      <c r="YE21" s="949">
        <v>4.1509006700000004</v>
      </c>
      <c r="YF21" s="949">
        <v>2.7910953100000002</v>
      </c>
      <c r="YG21" s="949">
        <v>8.7104102300000008</v>
      </c>
      <c r="YH21" s="949">
        <v>5.3020831900000003</v>
      </c>
    </row>
    <row r="22" spans="2:658">
      <c r="B22" s="917" t="s">
        <v>53</v>
      </c>
      <c r="C22" s="918">
        <v>1.3907918699999999</v>
      </c>
      <c r="D22" s="130">
        <v>1.3867918699999999</v>
      </c>
      <c r="E22" s="130">
        <v>1.3867918699999999</v>
      </c>
      <c r="F22" s="130">
        <v>1.38649687</v>
      </c>
      <c r="G22" s="130">
        <v>1.38649687</v>
      </c>
      <c r="H22" s="130">
        <v>1.38649687</v>
      </c>
      <c r="I22" s="130">
        <v>1.38649687</v>
      </c>
      <c r="J22" s="130">
        <v>1.38558636</v>
      </c>
      <c r="K22" s="130">
        <v>1.38558636</v>
      </c>
      <c r="L22" s="130">
        <v>1.38558636</v>
      </c>
      <c r="M22" s="130">
        <v>1.38558636</v>
      </c>
      <c r="N22" s="130">
        <v>1.3336002499999999</v>
      </c>
      <c r="O22" s="130">
        <v>1.3336002499999999</v>
      </c>
      <c r="P22" s="130">
        <v>1.3336002499999999</v>
      </c>
      <c r="Q22" s="130">
        <v>1.3336002499999999</v>
      </c>
      <c r="R22" s="130">
        <v>1.33358015</v>
      </c>
      <c r="S22" s="130">
        <v>1.33358015</v>
      </c>
      <c r="T22" s="130">
        <v>1.33358015</v>
      </c>
      <c r="U22" s="130">
        <v>1.33358015</v>
      </c>
      <c r="V22" s="130">
        <v>1.33358015</v>
      </c>
      <c r="W22" s="130">
        <v>1.33358015</v>
      </c>
      <c r="X22" s="130">
        <v>1.33358015</v>
      </c>
      <c r="Y22" s="130">
        <v>1.32958015</v>
      </c>
      <c r="Z22" s="130">
        <v>1.32958015</v>
      </c>
      <c r="AA22" s="130">
        <v>1.32958015</v>
      </c>
      <c r="AB22" s="130">
        <v>1.32928515</v>
      </c>
      <c r="AC22" s="130">
        <v>1.32928515</v>
      </c>
      <c r="AD22" s="130">
        <v>1.32928515</v>
      </c>
      <c r="AE22" s="130">
        <v>1.3217314600000001</v>
      </c>
      <c r="AF22" s="130">
        <v>1.3217314600000001</v>
      </c>
      <c r="AG22" s="130">
        <v>1.3217314600000001</v>
      </c>
      <c r="AH22" s="130">
        <v>1.3217314600000001</v>
      </c>
      <c r="AI22" s="130">
        <v>1.3217314600000001</v>
      </c>
      <c r="AJ22" s="130">
        <v>1.3217113599999999</v>
      </c>
      <c r="AK22" s="130">
        <v>1.3217113599999999</v>
      </c>
      <c r="AL22" s="130">
        <v>1.3217113599999999</v>
      </c>
      <c r="AM22" s="130">
        <v>1.3217113599999999</v>
      </c>
      <c r="AN22" s="130">
        <v>1.3217113599999999</v>
      </c>
      <c r="AO22" s="130">
        <v>1.3217113599999999</v>
      </c>
      <c r="AP22" s="130">
        <v>1.3217113599999999</v>
      </c>
      <c r="AQ22" s="130">
        <v>1.3197113599999999</v>
      </c>
      <c r="AR22" s="130">
        <v>1.3177113600000001</v>
      </c>
      <c r="AS22" s="130">
        <v>1.3177113600000001</v>
      </c>
      <c r="AT22" s="130">
        <v>1.31741636</v>
      </c>
      <c r="AU22" s="130">
        <v>1.31741636</v>
      </c>
      <c r="AV22" s="130">
        <v>1.31559041</v>
      </c>
      <c r="AW22" s="130">
        <v>1.31559041</v>
      </c>
      <c r="AX22" s="130">
        <v>1.31559041</v>
      </c>
      <c r="AY22" s="130">
        <v>1.3155841100000001</v>
      </c>
      <c r="AZ22" s="130">
        <v>1.3080304</v>
      </c>
      <c r="BA22" s="130">
        <v>1.3080304</v>
      </c>
      <c r="BB22" s="130">
        <v>1.3080304</v>
      </c>
      <c r="BC22" s="130">
        <v>1.3080304</v>
      </c>
      <c r="BD22" s="130">
        <v>1.3080304</v>
      </c>
      <c r="BE22" s="130">
        <v>1.3080103000000001</v>
      </c>
      <c r="BF22" s="130">
        <v>1.3080103000000001</v>
      </c>
      <c r="BG22" s="130">
        <v>1.3080103000000001</v>
      </c>
      <c r="BH22" s="130">
        <v>1.3080103000000001</v>
      </c>
      <c r="BI22" s="130">
        <v>1.3080103000000001</v>
      </c>
      <c r="BJ22" s="130">
        <v>1.3080103000000001</v>
      </c>
      <c r="BK22" s="130">
        <v>1.3060103000000001</v>
      </c>
      <c r="BL22" s="130">
        <v>1.3060103000000001</v>
      </c>
      <c r="BM22" s="130">
        <v>1.3040103000000001</v>
      </c>
      <c r="BN22" s="130">
        <v>1.3037152999999999</v>
      </c>
      <c r="BO22" s="130">
        <v>1.3037152999999999</v>
      </c>
      <c r="BP22" s="130">
        <v>1.3037152999999999</v>
      </c>
      <c r="BQ22" s="130">
        <v>1.3037152999999999</v>
      </c>
      <c r="BR22" s="130">
        <v>1.3037152999999999</v>
      </c>
      <c r="BS22" s="130">
        <v>1.3037152999999999</v>
      </c>
      <c r="BT22" s="130">
        <v>1.3037152999999999</v>
      </c>
      <c r="BU22" s="130">
        <v>1.3037152999999999</v>
      </c>
      <c r="BV22" s="130">
        <v>1.3037152999999999</v>
      </c>
      <c r="BW22" s="130">
        <v>1.2977421</v>
      </c>
      <c r="BX22" s="130">
        <v>1.2977421</v>
      </c>
      <c r="BY22" s="130">
        <v>1.2977421</v>
      </c>
      <c r="BZ22" s="130">
        <v>1.2977421</v>
      </c>
      <c r="CA22" s="130">
        <v>1.2977421</v>
      </c>
      <c r="CB22" s="130">
        <v>1.2977421</v>
      </c>
      <c r="CC22" s="130">
        <v>1.2977421</v>
      </c>
      <c r="CD22" s="130">
        <v>1.2977421</v>
      </c>
      <c r="CE22" s="130">
        <v>1.2977421</v>
      </c>
      <c r="CF22" s="130">
        <v>1.2977421</v>
      </c>
      <c r="CG22" s="130">
        <v>1.2977421</v>
      </c>
      <c r="CH22" s="130">
        <v>1.2732371</v>
      </c>
      <c r="CI22" s="130">
        <v>1.2729421000000001</v>
      </c>
      <c r="CJ22" s="130">
        <v>1.2729421000000001</v>
      </c>
      <c r="CK22" s="130">
        <v>1.2729421000000001</v>
      </c>
      <c r="CL22" s="130">
        <v>1.2729421000000001</v>
      </c>
      <c r="CM22" s="130">
        <v>1.2729421000000001</v>
      </c>
      <c r="CN22" s="130">
        <v>1.2729421000000001</v>
      </c>
      <c r="CO22" s="130">
        <v>1.2729421000000001</v>
      </c>
      <c r="CP22" s="130">
        <v>1.2729421000000001</v>
      </c>
      <c r="CQ22" s="130">
        <v>1.2729421000000001</v>
      </c>
      <c r="CR22" s="130">
        <v>1.2699514199999999</v>
      </c>
      <c r="CS22" s="130">
        <v>1.2699514199999999</v>
      </c>
      <c r="CT22" s="130">
        <v>1.2699514199999999</v>
      </c>
      <c r="CU22" s="130">
        <v>1.2699514199999999</v>
      </c>
      <c r="CV22" s="130">
        <v>1.2699514199999999</v>
      </c>
      <c r="CW22" s="130">
        <v>1.2699514199999999</v>
      </c>
      <c r="CX22" s="130">
        <v>1.2699514199999999</v>
      </c>
      <c r="CY22" s="130">
        <v>1.2699514199999999</v>
      </c>
      <c r="CZ22" s="130">
        <v>1.2699499999999999</v>
      </c>
      <c r="DA22" s="130">
        <v>1.2699514199999999</v>
      </c>
      <c r="DB22" s="130">
        <v>1.2699514199999999</v>
      </c>
      <c r="DC22" s="130">
        <v>1.2699514199999999</v>
      </c>
      <c r="DD22" s="130">
        <v>1.26744342</v>
      </c>
      <c r="DE22" s="130">
        <v>1.26544342</v>
      </c>
      <c r="DF22" s="130">
        <v>1.2650834200000001</v>
      </c>
      <c r="DG22" s="130">
        <v>1.2650834200000001</v>
      </c>
      <c r="DH22" s="130">
        <v>1.2650834200000001</v>
      </c>
      <c r="DI22" s="130">
        <v>1.2730834200000001</v>
      </c>
      <c r="DJ22" s="130">
        <v>1.2730834200000001</v>
      </c>
      <c r="DK22" s="130">
        <v>1.2730834200000001</v>
      </c>
      <c r="DL22" s="130">
        <v>1.2730834200000001</v>
      </c>
      <c r="DM22" s="130">
        <v>1.2730834200000001</v>
      </c>
      <c r="DN22" s="130">
        <v>1.2663269399999999</v>
      </c>
      <c r="DO22" s="130">
        <v>1.26139424</v>
      </c>
      <c r="DP22" s="130">
        <v>1.26139424</v>
      </c>
      <c r="DQ22" s="130">
        <v>1.26139424</v>
      </c>
      <c r="DR22" s="130">
        <v>1.26139424</v>
      </c>
      <c r="DS22" s="130">
        <v>1.26139424</v>
      </c>
      <c r="DT22" s="130">
        <v>1.26139424</v>
      </c>
      <c r="DU22" s="130">
        <v>1.26139424</v>
      </c>
      <c r="DV22" s="130">
        <v>1.26139424</v>
      </c>
      <c r="DW22" s="130">
        <v>1.26139424</v>
      </c>
      <c r="DX22" s="130">
        <v>1.26139424</v>
      </c>
      <c r="DY22" s="130">
        <v>1.26139424</v>
      </c>
      <c r="DZ22" s="130">
        <v>1.2603942400000001</v>
      </c>
      <c r="EA22" s="130">
        <v>1.2583942400000001</v>
      </c>
      <c r="EB22" s="130">
        <v>1.25803424</v>
      </c>
      <c r="EC22" s="130">
        <v>1.25803424</v>
      </c>
      <c r="ED22" s="130">
        <v>1.25803424</v>
      </c>
      <c r="EE22" s="130">
        <v>1.25803424</v>
      </c>
      <c r="EF22" s="130">
        <v>1.25803424</v>
      </c>
      <c r="EG22" s="130">
        <v>1.2493270000000001</v>
      </c>
      <c r="EH22" s="130">
        <v>1.2208117999999999</v>
      </c>
      <c r="EI22" s="130">
        <v>1.2208117999999999</v>
      </c>
      <c r="EJ22" s="130">
        <v>1.2208117999999999</v>
      </c>
      <c r="EK22" s="130">
        <v>1.2208117999999999</v>
      </c>
      <c r="EL22" s="130">
        <v>1.2208117999999999</v>
      </c>
      <c r="EM22" s="130">
        <v>1.2208117999999999</v>
      </c>
      <c r="EN22" s="130">
        <v>1.2208117999999999</v>
      </c>
      <c r="EO22" s="130">
        <v>1.2183117999999999</v>
      </c>
      <c r="EP22" s="130">
        <v>1.2183117999999999</v>
      </c>
      <c r="EQ22" s="130">
        <v>1.2183117999999999</v>
      </c>
      <c r="ER22" s="130">
        <v>1.2183117999999999</v>
      </c>
      <c r="ES22" s="130">
        <v>1.2183117999999999</v>
      </c>
      <c r="ET22" s="130">
        <v>1.2183117999999999</v>
      </c>
      <c r="EU22" s="130">
        <v>1.2163117999999999</v>
      </c>
      <c r="EV22" s="130">
        <v>1.2163117999999999</v>
      </c>
      <c r="EW22" s="130">
        <v>1.2163117999999999</v>
      </c>
      <c r="EX22" s="130">
        <v>1.2159518</v>
      </c>
      <c r="EY22" s="130">
        <v>1.2159518</v>
      </c>
      <c r="EZ22" s="130">
        <v>1.2159518</v>
      </c>
      <c r="FA22" s="130">
        <v>1.20453967</v>
      </c>
      <c r="FB22" s="130">
        <v>1</v>
      </c>
      <c r="FC22" s="130">
        <v>1.20453967</v>
      </c>
      <c r="FD22" s="130">
        <v>1.20453967</v>
      </c>
      <c r="FE22" s="130">
        <v>1.20453967</v>
      </c>
      <c r="FF22" s="130">
        <v>1.20350267</v>
      </c>
      <c r="FG22" s="130">
        <v>1.20350267</v>
      </c>
      <c r="FH22" s="130">
        <v>1</v>
      </c>
      <c r="FI22" s="130">
        <v>1.20350267</v>
      </c>
      <c r="FJ22" s="130">
        <v>1.20350267</v>
      </c>
      <c r="FK22" s="130">
        <v>1.20350267</v>
      </c>
      <c r="FL22" s="130">
        <v>1.20350267</v>
      </c>
      <c r="FM22" s="130">
        <v>1</v>
      </c>
      <c r="FN22" s="130">
        <v>1.20350267</v>
      </c>
      <c r="FO22" s="130">
        <v>1.20350267</v>
      </c>
      <c r="FP22" s="130">
        <v>1.20350267</v>
      </c>
      <c r="FQ22" s="130">
        <v>1.20150267</v>
      </c>
      <c r="FR22" s="130">
        <v>1.2011426700000001</v>
      </c>
      <c r="FS22" s="130">
        <v>1.2011426700000001</v>
      </c>
      <c r="FT22" s="130">
        <v>1.2001056699999999</v>
      </c>
      <c r="FU22" s="130">
        <v>1.2001056699999999</v>
      </c>
      <c r="FV22" s="130">
        <v>1.2001056699999999</v>
      </c>
      <c r="FW22" s="130">
        <v>1.2001056699999999</v>
      </c>
      <c r="FX22" s="130">
        <v>1.2001056699999999</v>
      </c>
      <c r="FY22" s="130">
        <v>1</v>
      </c>
      <c r="FZ22" s="130">
        <v>1.2001056699999999</v>
      </c>
      <c r="GA22" s="130">
        <v>1.2001056699999999</v>
      </c>
      <c r="GB22" s="130">
        <v>1.1920933</v>
      </c>
      <c r="GC22" s="130">
        <v>1.1920933</v>
      </c>
      <c r="GD22" s="130">
        <v>1.1920933</v>
      </c>
      <c r="GE22" s="130">
        <v>1.1920933</v>
      </c>
      <c r="GF22" s="130">
        <v>1.1920933</v>
      </c>
      <c r="GG22" s="130">
        <v>1.1920933</v>
      </c>
      <c r="GH22" s="130">
        <v>1.1920933</v>
      </c>
      <c r="GI22" s="130">
        <v>1.1805937900000001</v>
      </c>
      <c r="GJ22" s="130">
        <v>1.17729379</v>
      </c>
      <c r="GK22" s="130">
        <v>1.17729379</v>
      </c>
      <c r="GL22" s="130">
        <v>1.17729379</v>
      </c>
      <c r="GM22" s="130">
        <v>1.17729379</v>
      </c>
      <c r="GN22" s="130">
        <v>1.17729379</v>
      </c>
      <c r="GO22" s="130">
        <v>1.1728357899999999</v>
      </c>
      <c r="GP22" s="130">
        <v>1.1728357899999999</v>
      </c>
      <c r="GQ22" s="130">
        <v>1.1728357899999999</v>
      </c>
      <c r="GR22" s="130">
        <v>1.1728357899999999</v>
      </c>
      <c r="GS22" s="130">
        <v>1.1728357899999999</v>
      </c>
      <c r="GT22" s="130">
        <v>1.1728357899999999</v>
      </c>
      <c r="GU22" s="130">
        <v>1.1707357899999999</v>
      </c>
      <c r="GV22" s="130">
        <v>1.1707357899999999</v>
      </c>
      <c r="GW22" s="130">
        <v>1.1707357899999999</v>
      </c>
      <c r="GX22" s="130">
        <v>0</v>
      </c>
      <c r="GY22" s="130">
        <v>1.17037579</v>
      </c>
      <c r="GZ22" s="130">
        <v>1.17037579</v>
      </c>
      <c r="HA22" s="130">
        <v>1.1673935500000001</v>
      </c>
      <c r="HB22" s="130">
        <v>1.1673935500000001</v>
      </c>
      <c r="HC22" s="130">
        <v>1.1673935500000001</v>
      </c>
      <c r="HD22" s="130">
        <v>1.1673935500000001</v>
      </c>
      <c r="HE22" s="130">
        <v>1.1673935500000001</v>
      </c>
      <c r="HF22" s="130">
        <v>1.16423155</v>
      </c>
      <c r="HG22" s="130">
        <v>1.1617715500000001</v>
      </c>
      <c r="HH22" s="130">
        <v>1.1617715500000001</v>
      </c>
      <c r="HI22" s="130">
        <v>1.15973455</v>
      </c>
      <c r="HJ22" s="130">
        <v>1.15973455</v>
      </c>
      <c r="HK22" s="130">
        <v>1.1570265500000001</v>
      </c>
      <c r="HL22" s="130">
        <v>1.1570265500000001</v>
      </c>
      <c r="HM22" s="130">
        <v>1.1570265500000001</v>
      </c>
      <c r="HN22" s="130">
        <v>1.1570265500000001</v>
      </c>
      <c r="HO22" s="130">
        <v>1.1570265500000001</v>
      </c>
      <c r="HP22" s="130">
        <v>1.1570265500000001</v>
      </c>
      <c r="HQ22" s="130">
        <v>1.1170185500000001</v>
      </c>
      <c r="HR22" s="130">
        <v>1.1170185500000001</v>
      </c>
      <c r="HS22" s="130">
        <v>1.1170185500000001</v>
      </c>
      <c r="HT22" s="949">
        <v>1.1170185500000001</v>
      </c>
      <c r="HU22" s="949">
        <v>1.1170185500000001</v>
      </c>
      <c r="HV22" s="949">
        <v>1.11531855</v>
      </c>
      <c r="HW22" s="949">
        <v>1.11531855</v>
      </c>
      <c r="HX22" s="949">
        <v>1.1119480400000001</v>
      </c>
      <c r="HY22" s="949">
        <v>1.1119480400000001</v>
      </c>
      <c r="HZ22" s="949">
        <v>1.1119480400000001</v>
      </c>
      <c r="IA22" s="949">
        <v>1.1093343</v>
      </c>
      <c r="IB22" s="949">
        <v>1.1093343</v>
      </c>
      <c r="IC22" s="949">
        <v>1.1093343</v>
      </c>
      <c r="ID22" s="949">
        <v>1.1093343</v>
      </c>
      <c r="IE22" s="949">
        <v>1.1093343</v>
      </c>
      <c r="IF22" s="949">
        <v>1.1093343</v>
      </c>
      <c r="IG22" s="949">
        <v>1.1093343</v>
      </c>
      <c r="IH22" s="949">
        <v>1.0693263</v>
      </c>
      <c r="II22" s="949">
        <v>1.0693263</v>
      </c>
      <c r="IJ22" s="949">
        <v>1.0693263</v>
      </c>
      <c r="IK22" s="949">
        <v>1.0693263</v>
      </c>
      <c r="IL22" s="949">
        <v>1.0693263</v>
      </c>
      <c r="IM22" s="949">
        <v>1.0693263</v>
      </c>
      <c r="IN22" s="949">
        <v>1.0572026999999999</v>
      </c>
      <c r="IO22" s="949">
        <v>1.0515117</v>
      </c>
      <c r="IP22" s="949">
        <v>1.0498117</v>
      </c>
      <c r="IQ22" s="949">
        <v>1.0477117</v>
      </c>
      <c r="IR22" s="949">
        <v>1.0477117</v>
      </c>
      <c r="IS22" s="949">
        <v>1.0473516999999999</v>
      </c>
      <c r="IT22" s="949">
        <v>1.0463146999999999</v>
      </c>
      <c r="IU22" s="949">
        <v>1.0463146999999999</v>
      </c>
      <c r="IV22" s="949">
        <v>1.0463146999999999</v>
      </c>
      <c r="IW22" s="949">
        <v>1.0463146999999999</v>
      </c>
      <c r="IX22" s="949">
        <v>1.0424877699999999</v>
      </c>
      <c r="IY22" s="949">
        <v>1.0424877699999999</v>
      </c>
      <c r="IZ22" s="949">
        <v>1.0424877699999999</v>
      </c>
      <c r="JA22" s="949">
        <v>1.0424877699999999</v>
      </c>
      <c r="JB22" s="949">
        <v>1.0424877699999999</v>
      </c>
      <c r="JC22" s="949">
        <v>1.0424877699999999</v>
      </c>
      <c r="JD22" s="949">
        <v>1.0371140699999999</v>
      </c>
      <c r="JE22" s="949">
        <v>1.0371140699999999</v>
      </c>
      <c r="JF22" s="949">
        <v>1.0371140699999999</v>
      </c>
      <c r="JG22" s="949">
        <v>1.0371140699999999</v>
      </c>
      <c r="JH22" s="949">
        <v>1.0371140699999999</v>
      </c>
      <c r="JI22" s="949">
        <v>1.0371140699999999</v>
      </c>
      <c r="JJ22" s="949">
        <v>1.03130407</v>
      </c>
      <c r="JK22" s="949">
        <v>1.0299070699999999</v>
      </c>
      <c r="JL22" s="949">
        <v>1.0299070699999999</v>
      </c>
      <c r="JM22" s="949">
        <v>1.0299070699999999</v>
      </c>
      <c r="JN22" s="949">
        <v>1.0299070699999999</v>
      </c>
      <c r="JO22" s="949">
        <v>1.0299070699999999</v>
      </c>
      <c r="JP22" s="949">
        <v>1.0294870700000001</v>
      </c>
      <c r="JQ22" s="949">
        <v>1.0294870700000001</v>
      </c>
      <c r="JR22" s="949">
        <v>1.0294870700000001</v>
      </c>
      <c r="JS22" s="949">
        <v>1.0294870700000001</v>
      </c>
      <c r="JT22" s="949">
        <v>1.0242066700000001</v>
      </c>
      <c r="JU22" s="949">
        <v>1.0242066700000001</v>
      </c>
      <c r="JV22" s="949">
        <v>1.0242066700000001</v>
      </c>
      <c r="JW22" s="949">
        <v>1.0242066700000001</v>
      </c>
      <c r="JX22" s="949">
        <v>1.0242066700000001</v>
      </c>
      <c r="JY22" s="949">
        <v>1.0229166700000001</v>
      </c>
      <c r="JZ22" s="949">
        <v>1.0229166700000001</v>
      </c>
      <c r="KA22" s="949">
        <v>1.0229166700000001</v>
      </c>
      <c r="KB22" s="949">
        <v>1.0229166700000001</v>
      </c>
      <c r="KC22" s="949">
        <v>1.02013317</v>
      </c>
      <c r="KD22" s="949">
        <v>1.02013317</v>
      </c>
      <c r="KE22" s="949">
        <v>1.02013317</v>
      </c>
      <c r="KF22" s="949">
        <v>1.0299070699999999</v>
      </c>
      <c r="KG22" s="949">
        <v>1.0157001700000001</v>
      </c>
      <c r="KH22" s="949">
        <v>1.0157001700000001</v>
      </c>
      <c r="KI22" s="949">
        <v>1.0157001700000001</v>
      </c>
      <c r="KJ22" s="949">
        <v>1.0157001700000001</v>
      </c>
      <c r="KK22" s="949">
        <v>1.0157001700000001</v>
      </c>
      <c r="KL22" s="949">
        <v>1.0157001700000001</v>
      </c>
      <c r="KM22" s="949">
        <v>1.0157001700000001</v>
      </c>
      <c r="KN22" s="949">
        <v>1.01302297</v>
      </c>
      <c r="KO22" s="949">
        <v>1.0080229700000001</v>
      </c>
      <c r="KP22" s="949">
        <v>1.0080229700000001</v>
      </c>
      <c r="KQ22" s="949">
        <v>1.0080229700000001</v>
      </c>
      <c r="KR22" s="949">
        <v>1.0080229700000001</v>
      </c>
      <c r="KS22" s="949">
        <v>1.0080229700000001</v>
      </c>
      <c r="KT22" s="949">
        <v>1.0080229700000001</v>
      </c>
      <c r="KU22" s="949">
        <v>1.0067329700000001</v>
      </c>
      <c r="KV22" s="949">
        <v>0.99614289</v>
      </c>
      <c r="KW22" s="949">
        <v>0.99614289</v>
      </c>
      <c r="KX22" s="949">
        <v>0.99614289</v>
      </c>
      <c r="KY22" s="949">
        <v>0.99614289</v>
      </c>
      <c r="KZ22" s="949">
        <v>0.99578288999999998</v>
      </c>
      <c r="LA22" s="949">
        <v>0.99578288999999998</v>
      </c>
      <c r="LB22" s="949">
        <v>0.99578288999999998</v>
      </c>
      <c r="LC22" s="949">
        <v>0.99578288999999998</v>
      </c>
      <c r="LD22" s="949">
        <v>0.99578288999999998</v>
      </c>
      <c r="LE22" s="949">
        <v>0.99578288999999998</v>
      </c>
      <c r="LF22" s="949">
        <v>0.98862306999999994</v>
      </c>
      <c r="LG22" s="949">
        <v>0.98862306999999994</v>
      </c>
      <c r="LH22" s="949">
        <v>0.98862306999999994</v>
      </c>
      <c r="LI22" s="949">
        <v>0.98862306999999994</v>
      </c>
      <c r="LJ22" s="949">
        <v>0.98862306999999994</v>
      </c>
      <c r="LK22" s="949">
        <v>0.98862306999999994</v>
      </c>
      <c r="LL22" s="949">
        <v>0.98733306999999992</v>
      </c>
      <c r="LM22" s="949">
        <v>0.98733306999999992</v>
      </c>
      <c r="LN22" s="949">
        <v>0.98733306999999992</v>
      </c>
      <c r="LO22" s="949">
        <v>0.98733306999999992</v>
      </c>
      <c r="LP22" s="949">
        <v>0.98733306999999992</v>
      </c>
      <c r="LQ22" s="949">
        <v>0.98456045999999997</v>
      </c>
      <c r="LR22" s="949">
        <v>0.98426046</v>
      </c>
      <c r="LS22" s="949">
        <v>0.98426046</v>
      </c>
      <c r="LT22" s="949">
        <v>0.98390045999999998</v>
      </c>
      <c r="LU22" s="949">
        <v>0.98390045999999998</v>
      </c>
      <c r="LV22" s="949">
        <v>0.98390045999999998</v>
      </c>
      <c r="LW22" s="949">
        <v>0.98390045999999998</v>
      </c>
      <c r="LX22" s="949">
        <v>0.98290045999999998</v>
      </c>
      <c r="LY22" s="949">
        <v>0.98290045999999998</v>
      </c>
      <c r="LZ22" s="949">
        <v>0.98290045999999998</v>
      </c>
      <c r="MA22" s="949">
        <v>0.98290045999999998</v>
      </c>
      <c r="MB22" s="949">
        <v>0.98290045999999998</v>
      </c>
      <c r="MC22" s="949">
        <v>0.98290045999999998</v>
      </c>
      <c r="MD22" s="949">
        <v>0.98023322000000002</v>
      </c>
      <c r="ME22" s="949">
        <v>0.98023322000000002</v>
      </c>
      <c r="MF22" s="949">
        <v>0.98023322000000002</v>
      </c>
      <c r="MG22" s="949">
        <v>0.98023322000000002</v>
      </c>
      <c r="MH22" s="949">
        <v>0.97894322</v>
      </c>
      <c r="MI22" s="949">
        <v>0.97894322</v>
      </c>
      <c r="MJ22" s="949">
        <v>0.97894322</v>
      </c>
      <c r="MK22" s="949">
        <v>0.97894322</v>
      </c>
      <c r="ML22" s="949">
        <v>0.97894322</v>
      </c>
      <c r="MM22" s="949">
        <v>0.97894322</v>
      </c>
      <c r="MN22" s="949">
        <v>0.97894322</v>
      </c>
      <c r="MO22" s="949">
        <v>0.97894322</v>
      </c>
      <c r="MP22" s="949">
        <v>0.97894322</v>
      </c>
      <c r="MQ22" s="949">
        <v>0.97854317000000002</v>
      </c>
      <c r="MR22" s="949">
        <v>0.97854317000000002</v>
      </c>
      <c r="MS22" s="949">
        <v>0.97854317000000002</v>
      </c>
      <c r="MT22" s="949">
        <v>0.97854317000000002</v>
      </c>
      <c r="MU22" s="949">
        <v>0.97854317000000002</v>
      </c>
      <c r="MV22" s="949">
        <v>0.97854317000000002</v>
      </c>
      <c r="MW22" s="949">
        <v>0.97610467000000001</v>
      </c>
      <c r="MX22" s="949">
        <v>0.97610467000000001</v>
      </c>
      <c r="MY22" s="949">
        <v>0.97610467000000001</v>
      </c>
      <c r="MZ22" s="949">
        <v>0.97610467000000001</v>
      </c>
      <c r="NA22" s="949">
        <v>0.97610467000000001</v>
      </c>
      <c r="NB22" s="949">
        <v>0.97610467000000001</v>
      </c>
      <c r="NC22" s="949">
        <v>0.97610467000000001</v>
      </c>
      <c r="ND22" s="949">
        <v>0.97610467000000001</v>
      </c>
      <c r="NE22" s="949">
        <v>0.97610467000000001</v>
      </c>
      <c r="NF22" s="949">
        <v>0.97936218000000008</v>
      </c>
      <c r="NG22" s="949">
        <v>0.97118768</v>
      </c>
      <c r="NH22" s="949">
        <v>0.97118768</v>
      </c>
      <c r="NI22" s="949">
        <v>0.97018768</v>
      </c>
      <c r="NJ22" s="949">
        <v>0.97018768</v>
      </c>
      <c r="NK22" s="949">
        <v>0.96001088000000001</v>
      </c>
      <c r="NL22" s="949">
        <v>0.96001088000000001</v>
      </c>
      <c r="NM22" s="949">
        <v>0.96246524</v>
      </c>
      <c r="NN22" s="949">
        <v>0.96246524</v>
      </c>
      <c r="NO22" s="949">
        <v>0.96246524</v>
      </c>
      <c r="NP22" s="949">
        <v>0.96246524</v>
      </c>
      <c r="NQ22" s="949">
        <v>0.96246524</v>
      </c>
      <c r="NR22" s="949">
        <v>0.96508002999999998</v>
      </c>
      <c r="NS22" s="949">
        <v>0.96508002999999998</v>
      </c>
      <c r="NT22" s="949">
        <v>0.96508002999999998</v>
      </c>
      <c r="NU22" s="949">
        <v>0.96000982999999995</v>
      </c>
      <c r="NV22" s="949">
        <v>0.96000982999999995</v>
      </c>
      <c r="NW22" s="949">
        <v>0.96000982999999995</v>
      </c>
      <c r="NX22" s="949">
        <v>0.96000982999999995</v>
      </c>
      <c r="NY22" s="949">
        <v>0.96000982999999995</v>
      </c>
      <c r="NZ22" s="949">
        <v>0.95871982999999994</v>
      </c>
      <c r="OA22" s="949">
        <v>0.95871982999999994</v>
      </c>
      <c r="OB22" s="949">
        <v>0.95871982999999994</v>
      </c>
      <c r="OC22" s="949">
        <v>0.95968838000000001</v>
      </c>
      <c r="OD22" s="949">
        <v>0.95968838000000001</v>
      </c>
      <c r="OE22" s="949">
        <v>0.95968838000000001</v>
      </c>
      <c r="OF22" s="949">
        <v>0.95968838000000001</v>
      </c>
      <c r="OG22" s="949">
        <v>0.95506663000000003</v>
      </c>
      <c r="OH22" s="949">
        <v>0.95506663000000003</v>
      </c>
      <c r="OI22" s="949">
        <v>0.99578288999999998</v>
      </c>
      <c r="OJ22" s="949">
        <v>0.95506663000000003</v>
      </c>
      <c r="OK22" s="949">
        <v>0.95506663000000003</v>
      </c>
      <c r="OL22" s="949">
        <v>0.95878870999999999</v>
      </c>
      <c r="OM22" s="949">
        <v>0.95878870999999999</v>
      </c>
      <c r="ON22" s="949">
        <v>0.95878870999999999</v>
      </c>
      <c r="OO22" s="949">
        <v>0.95597926</v>
      </c>
      <c r="OP22" s="949">
        <v>0.95597926</v>
      </c>
      <c r="OQ22" s="949">
        <v>0.95597926</v>
      </c>
      <c r="OR22" s="949">
        <v>0.95597926</v>
      </c>
      <c r="OS22" s="949">
        <v>0.95597926</v>
      </c>
      <c r="OT22" s="949">
        <v>0.95468925999999998</v>
      </c>
      <c r="OU22" s="949">
        <v>0.95468925999999998</v>
      </c>
      <c r="OV22" s="949">
        <v>0.95468925999999998</v>
      </c>
      <c r="OW22" s="949">
        <v>0.95468925999999998</v>
      </c>
      <c r="OX22" s="949">
        <v>0.95468925999999998</v>
      </c>
      <c r="OY22" s="949">
        <v>0.94783245999999999</v>
      </c>
      <c r="OZ22" s="949">
        <v>0.94783245999999999</v>
      </c>
      <c r="PA22" s="949">
        <v>0.94783245999999999</v>
      </c>
      <c r="PB22" s="949">
        <v>0.90297245999999998</v>
      </c>
      <c r="PC22" s="949">
        <v>0.90297245999999998</v>
      </c>
      <c r="PD22" s="949">
        <v>0.90297245999999998</v>
      </c>
      <c r="PE22" s="949">
        <v>0.90142626000000003</v>
      </c>
      <c r="PF22" s="949">
        <v>0.90142626000000003</v>
      </c>
      <c r="PG22" s="949">
        <v>0.90142626000000003</v>
      </c>
      <c r="PH22" s="949">
        <v>0.90142626000000003</v>
      </c>
      <c r="PI22" s="949">
        <v>0.90424375000000001</v>
      </c>
      <c r="PJ22" s="949">
        <v>0.90424375000000001</v>
      </c>
      <c r="PK22" s="949">
        <v>0.90424375000000001</v>
      </c>
      <c r="PL22" s="949">
        <v>0.90424375000000001</v>
      </c>
      <c r="PM22" s="949">
        <v>0.90424375000000001</v>
      </c>
      <c r="PN22" s="949">
        <v>0.90122124999999997</v>
      </c>
      <c r="PO22" s="949">
        <v>0.90122124999999997</v>
      </c>
      <c r="PP22" s="949">
        <v>0.90124009999999999</v>
      </c>
      <c r="PQ22" s="949">
        <v>0.90124009999999999</v>
      </c>
      <c r="PR22" s="949">
        <v>0.90124009999999999</v>
      </c>
      <c r="PS22" s="949">
        <v>0.90088009999999996</v>
      </c>
      <c r="PT22" s="949">
        <v>0.90088009999999996</v>
      </c>
      <c r="PU22" s="949">
        <v>0.89988009999999996</v>
      </c>
      <c r="PV22" s="949">
        <v>0.89988009999999996</v>
      </c>
      <c r="PW22" s="949">
        <v>0.89988009999999996</v>
      </c>
      <c r="PX22" s="949">
        <v>0.89988009999999996</v>
      </c>
      <c r="PY22" s="949">
        <v>0.90284096999999996</v>
      </c>
      <c r="PZ22" s="949">
        <v>0.90284096999999996</v>
      </c>
      <c r="QA22" s="949">
        <v>0.90284096999999996</v>
      </c>
      <c r="QB22" s="949">
        <v>0.89568409999999998</v>
      </c>
      <c r="QC22" s="949">
        <v>0.89568409999999998</v>
      </c>
      <c r="QD22" s="949">
        <v>0.89568409999999998</v>
      </c>
      <c r="QE22" s="949">
        <v>0.8511841</v>
      </c>
      <c r="QF22" s="949">
        <v>0.8511841</v>
      </c>
      <c r="QG22" s="949">
        <v>0.8511841</v>
      </c>
      <c r="QH22" s="949">
        <v>0.8511841</v>
      </c>
      <c r="QI22" s="949">
        <v>0.84193960000000001</v>
      </c>
      <c r="QJ22" s="949">
        <v>0.84193960000000001</v>
      </c>
      <c r="QK22" s="949">
        <v>0.84145312999999999</v>
      </c>
      <c r="QL22" s="949">
        <v>0.84145312999999999</v>
      </c>
      <c r="QM22" s="949">
        <v>0.84145312999999999</v>
      </c>
      <c r="QN22" s="949">
        <v>0.84009312999999997</v>
      </c>
      <c r="QO22" s="949">
        <v>0.84009312999999997</v>
      </c>
      <c r="QP22" s="949">
        <v>0.84009312999999997</v>
      </c>
      <c r="QQ22" s="949">
        <v>0.84196673999999994</v>
      </c>
      <c r="QR22" s="949">
        <v>0.84196673999999994</v>
      </c>
      <c r="QS22" s="949">
        <v>0.84196673999999994</v>
      </c>
      <c r="QT22" s="949">
        <v>0.83775645999999993</v>
      </c>
      <c r="QU22" s="949">
        <v>0.83775645999999993</v>
      </c>
      <c r="QV22" s="949">
        <v>0.83775645999999993</v>
      </c>
      <c r="QW22" s="949">
        <v>0.83775645999999993</v>
      </c>
      <c r="QX22" s="949">
        <v>0.83775645999999993</v>
      </c>
      <c r="QY22" s="949">
        <v>0.83646645999999991</v>
      </c>
      <c r="QZ22" s="949">
        <v>0.83646645999999991</v>
      </c>
      <c r="RA22" s="949">
        <v>0.82372120999999998</v>
      </c>
      <c r="RB22" s="949">
        <v>0.82372120999999998</v>
      </c>
      <c r="RC22" s="949">
        <v>0.82372120999999998</v>
      </c>
      <c r="RD22" s="949">
        <v>0.82372120999999998</v>
      </c>
      <c r="RE22" s="949">
        <v>0.82015083999999994</v>
      </c>
      <c r="RF22" s="949">
        <v>0.82015083999999994</v>
      </c>
      <c r="RG22" s="949">
        <v>0.82015083999999994</v>
      </c>
      <c r="RH22" s="949">
        <v>0.81979084000000002</v>
      </c>
      <c r="RI22" s="949">
        <v>0.81686303000000005</v>
      </c>
      <c r="RJ22" s="949">
        <v>0.81686303000000005</v>
      </c>
      <c r="RK22" s="949">
        <v>0.81686303000000005</v>
      </c>
      <c r="RL22" s="949">
        <v>0.81686303000000005</v>
      </c>
      <c r="RM22" s="949">
        <v>0.81686303000000005</v>
      </c>
      <c r="RN22" s="949">
        <v>0.81686303000000005</v>
      </c>
      <c r="RO22" s="949">
        <v>0.81686303000000005</v>
      </c>
      <c r="RP22" s="949">
        <v>0.81686303000000005</v>
      </c>
      <c r="RQ22" s="949">
        <v>0.81411143999999991</v>
      </c>
      <c r="RR22" s="949">
        <v>0.81411143999999991</v>
      </c>
      <c r="RS22" s="949">
        <v>0.81576554000000001</v>
      </c>
      <c r="RT22" s="949">
        <v>0.81576554000000001</v>
      </c>
      <c r="RU22" s="949">
        <v>0.81576554000000001</v>
      </c>
      <c r="RV22" s="949">
        <v>0.81576554000000001</v>
      </c>
      <c r="RW22" s="949">
        <v>0.81576554000000001</v>
      </c>
      <c r="RX22" s="949">
        <v>0.81576554000000001</v>
      </c>
      <c r="RY22" s="949">
        <v>0.80229618999999996</v>
      </c>
      <c r="RZ22" s="949">
        <v>0.80229618999999996</v>
      </c>
      <c r="SA22" s="949">
        <v>0.79951393999999998</v>
      </c>
      <c r="SB22" s="949">
        <v>0.79951393999999998</v>
      </c>
      <c r="SC22" s="949">
        <v>0.79951393999999998</v>
      </c>
      <c r="SD22" s="949">
        <v>0.79951393999999998</v>
      </c>
      <c r="SE22" s="949">
        <v>0.79630973999999999</v>
      </c>
      <c r="SF22" s="949">
        <v>0.79630973999999999</v>
      </c>
      <c r="SG22" s="949">
        <v>0.79054780000000002</v>
      </c>
      <c r="SH22" s="949">
        <v>0.79054780000000002</v>
      </c>
      <c r="SI22" s="949">
        <v>0.79054780000000002</v>
      </c>
      <c r="SJ22" s="949">
        <v>0.79054780000000002</v>
      </c>
      <c r="SK22" s="949">
        <v>0.79273649000000002</v>
      </c>
      <c r="SL22" s="949">
        <v>0.79273649000000002</v>
      </c>
      <c r="SM22" s="949">
        <v>0.79273649000000002</v>
      </c>
      <c r="SN22" s="949">
        <v>0.79273649000000002</v>
      </c>
      <c r="SO22" s="949">
        <v>0.79273649000000002</v>
      </c>
      <c r="SP22" s="949">
        <v>0.79144649</v>
      </c>
      <c r="SQ22" s="949">
        <v>0.79144649</v>
      </c>
      <c r="SR22" s="949">
        <v>0.79144649</v>
      </c>
      <c r="SS22" s="949">
        <v>0.79179200000000005</v>
      </c>
      <c r="ST22" s="949">
        <v>0.79179200000000005</v>
      </c>
      <c r="SU22" s="949">
        <v>0.79143200000000002</v>
      </c>
      <c r="SV22" s="949">
        <v>0.79143200000000002</v>
      </c>
      <c r="SW22" s="949">
        <v>0.79143200000000002</v>
      </c>
      <c r="SX22" s="949">
        <v>0.79043200000000002</v>
      </c>
      <c r="SY22" s="949">
        <v>0.79043200000000002</v>
      </c>
      <c r="SZ22" s="949">
        <v>0.79043200000000002</v>
      </c>
      <c r="TA22" s="949">
        <v>0.79043200000000002</v>
      </c>
      <c r="TB22" s="949">
        <v>0.79043200000000002</v>
      </c>
      <c r="TC22" s="949">
        <v>0.78517848000000001</v>
      </c>
      <c r="TD22" s="949">
        <v>0.78517848000000001</v>
      </c>
      <c r="TE22" s="949">
        <v>0.78517848000000001</v>
      </c>
      <c r="TF22" s="949">
        <v>0.78754455000000001</v>
      </c>
      <c r="TG22" s="949">
        <v>0.77568146999999998</v>
      </c>
      <c r="TH22" s="949">
        <v>0.77475901000000003</v>
      </c>
      <c r="TI22" s="949">
        <v>0.77475901000000003</v>
      </c>
      <c r="TJ22" s="949">
        <v>0.77024510000000002</v>
      </c>
      <c r="TK22" s="949">
        <v>0.77024510000000002</v>
      </c>
      <c r="TL22" s="949">
        <v>0.77024510000000002</v>
      </c>
      <c r="TM22" s="949">
        <v>0.76480443000000009</v>
      </c>
      <c r="TN22" s="949">
        <v>0.76231943000000002</v>
      </c>
      <c r="TO22" s="949">
        <v>0.7609594300000001</v>
      </c>
      <c r="TP22" s="949">
        <v>0.76288352999999998</v>
      </c>
      <c r="TQ22" s="949">
        <v>0.76288352999999998</v>
      </c>
      <c r="TR22" s="949">
        <v>0.7585843000000001</v>
      </c>
      <c r="TS22" s="949">
        <v>0.76007019999999992</v>
      </c>
      <c r="TT22" s="949">
        <v>0.76007019999999992</v>
      </c>
      <c r="TU22" s="949">
        <v>0.7587801999999999</v>
      </c>
      <c r="TV22" s="949">
        <v>0.7587801999999999</v>
      </c>
      <c r="TW22" s="949">
        <v>0.7524575</v>
      </c>
      <c r="TX22" s="949">
        <v>0.7524575</v>
      </c>
      <c r="TY22" s="949">
        <v>0.75209749999999997</v>
      </c>
      <c r="TZ22" s="949">
        <v>0.75469503999999998</v>
      </c>
      <c r="UA22" s="949">
        <v>0.75469503999999998</v>
      </c>
      <c r="UB22" s="949">
        <v>0.74965554000000001</v>
      </c>
      <c r="UC22" s="949">
        <v>0.74965554000000001</v>
      </c>
      <c r="UD22" s="949">
        <v>0.74965554000000001</v>
      </c>
      <c r="UE22" s="949">
        <v>0.75241881999999993</v>
      </c>
      <c r="UF22" s="949">
        <v>0.75112881999999992</v>
      </c>
      <c r="UG22" s="949">
        <v>0.75112881999999992</v>
      </c>
      <c r="UH22" s="949">
        <v>0.74395462000000001</v>
      </c>
      <c r="UI22" s="949">
        <v>0.74555855000000004</v>
      </c>
      <c r="UJ22" s="949">
        <v>0.74681821999999998</v>
      </c>
      <c r="UK22" s="949">
        <v>0.74681821999999998</v>
      </c>
      <c r="UL22" s="949">
        <v>0.74681821999999998</v>
      </c>
      <c r="UM22" s="949">
        <v>0.74324988999999997</v>
      </c>
      <c r="UN22" s="949">
        <v>0.74324988999999997</v>
      </c>
      <c r="UO22" s="949">
        <v>0.74324988999999997</v>
      </c>
      <c r="UP22" s="949">
        <v>0.74195989000000007</v>
      </c>
      <c r="UQ22" s="949">
        <v>0.73789643000000005</v>
      </c>
      <c r="UR22" s="949">
        <v>0.73491351999999999</v>
      </c>
      <c r="US22" s="949">
        <v>0.73391351999999999</v>
      </c>
      <c r="UT22" s="949">
        <v>0.73353352000000005</v>
      </c>
      <c r="UU22" s="949">
        <v>0.73568303000000002</v>
      </c>
      <c r="UV22" s="949">
        <v>0.73568303000000002</v>
      </c>
      <c r="UW22" s="949">
        <v>0.73568303000000002</v>
      </c>
      <c r="UX22" s="949">
        <v>0.73748893000000004</v>
      </c>
      <c r="UY22" s="949">
        <v>0.72879504000000006</v>
      </c>
      <c r="UZ22" s="949">
        <v>0.72879504000000006</v>
      </c>
      <c r="VA22" s="949">
        <v>0.72879504000000006</v>
      </c>
      <c r="VB22" s="949">
        <v>0.72932143000000005</v>
      </c>
      <c r="VC22" s="949">
        <v>0.72932143000000005</v>
      </c>
      <c r="VD22" s="949">
        <v>0.72678997999999995</v>
      </c>
      <c r="VE22" s="949">
        <v>0.72678997999999995</v>
      </c>
      <c r="VF22" s="949">
        <v>0.72671997999999993</v>
      </c>
      <c r="VG22" s="949">
        <v>0.72899539000000002</v>
      </c>
      <c r="VH22" s="949">
        <v>0.72043709</v>
      </c>
      <c r="VI22" s="949">
        <v>0.72249675999999996</v>
      </c>
      <c r="VJ22" s="949">
        <v>0.72249675999999996</v>
      </c>
      <c r="VK22" s="949">
        <v>0.72289250000000005</v>
      </c>
      <c r="VL22" s="949">
        <v>0.71213669999999996</v>
      </c>
      <c r="VM22" s="949">
        <v>0.68637081999999994</v>
      </c>
      <c r="VN22" s="949">
        <v>0.68637081999999994</v>
      </c>
      <c r="VO22" s="949">
        <v>0.68632092</v>
      </c>
      <c r="VP22" s="949">
        <v>0.68632092</v>
      </c>
      <c r="VQ22" s="949">
        <v>0.68879999000000003</v>
      </c>
      <c r="VR22" s="949">
        <v>0.68750999000000002</v>
      </c>
      <c r="VS22" s="949">
        <v>0.68750999000000002</v>
      </c>
      <c r="VT22" s="949">
        <v>0.68898725000000005</v>
      </c>
      <c r="VU22" s="949">
        <v>0.68898725000000005</v>
      </c>
      <c r="VV22" s="949">
        <v>0.68898725000000005</v>
      </c>
      <c r="VW22" s="949">
        <v>0.68898725000000005</v>
      </c>
      <c r="VX22" s="949">
        <v>0.69111108999999993</v>
      </c>
      <c r="VY22" s="949">
        <v>0.68091846</v>
      </c>
      <c r="VZ22" s="949">
        <v>0.68091846</v>
      </c>
      <c r="WA22" s="949">
        <v>0.68304393999999991</v>
      </c>
      <c r="WB22" s="949">
        <v>0.68175393999999989</v>
      </c>
      <c r="WC22" s="949">
        <v>0.68175393999999989</v>
      </c>
      <c r="WD22" s="949">
        <v>0.67762897999999994</v>
      </c>
      <c r="WE22" s="949">
        <v>0.67972651000000006</v>
      </c>
      <c r="WF22" s="949">
        <v>0.67972651000000006</v>
      </c>
      <c r="WG22" s="949">
        <v>0.67770651000000004</v>
      </c>
      <c r="WH22" s="949">
        <v>0.67917477999999998</v>
      </c>
      <c r="WI22" s="949">
        <v>0.67917477999999998</v>
      </c>
      <c r="WJ22" s="949">
        <v>0.67917477999999998</v>
      </c>
      <c r="WK22" s="949">
        <v>0.67955755000000007</v>
      </c>
      <c r="WL22" s="949">
        <v>0.67955755000000007</v>
      </c>
      <c r="WM22" s="949">
        <v>0.67955755000000007</v>
      </c>
      <c r="WN22" s="949">
        <v>0.67391374999999998</v>
      </c>
      <c r="WO22" s="949">
        <v>0.67391374999999998</v>
      </c>
      <c r="WP22" s="949">
        <v>0.67538087000000002</v>
      </c>
      <c r="WQ22" s="949">
        <v>0.67538087000000002</v>
      </c>
      <c r="WR22" s="949">
        <v>0.67538087000000002</v>
      </c>
      <c r="WS22" s="949">
        <v>0.67553592000000007</v>
      </c>
      <c r="WT22" s="949">
        <v>0.67720868999999995</v>
      </c>
      <c r="WU22" s="949">
        <v>0.67720868999999995</v>
      </c>
      <c r="WV22" s="949">
        <v>0.67720868999999995</v>
      </c>
      <c r="WW22" s="949">
        <v>0.66887768999999997</v>
      </c>
      <c r="WX22" s="949">
        <v>0.66887768999999997</v>
      </c>
      <c r="WY22" s="949">
        <v>0.66304936999999997</v>
      </c>
      <c r="WZ22" s="949">
        <v>0.66549736999999998</v>
      </c>
      <c r="XA22" s="949">
        <v>0.66549736999999998</v>
      </c>
      <c r="XB22" s="949">
        <v>0.66549736999999998</v>
      </c>
      <c r="XC22" s="949">
        <v>0.66549736999999998</v>
      </c>
      <c r="XD22" s="949">
        <v>0.58990043999999997</v>
      </c>
      <c r="XE22" s="949">
        <v>0.58886495999999999</v>
      </c>
      <c r="XF22" s="949">
        <v>0.58886495999999999</v>
      </c>
      <c r="XG22" s="949">
        <v>0.58727496000000001</v>
      </c>
      <c r="XH22" s="949">
        <v>0.58727496000000001</v>
      </c>
      <c r="XI22" s="949">
        <v>0.56253774000000001</v>
      </c>
      <c r="XJ22" s="949">
        <v>0.56253774000000001</v>
      </c>
      <c r="XK22" s="949">
        <v>0.56253774000000001</v>
      </c>
      <c r="XL22" s="949">
        <v>0.53726893999999992</v>
      </c>
      <c r="XM22" s="949">
        <v>0.53497116</v>
      </c>
      <c r="XN22" s="949">
        <v>0.53497116</v>
      </c>
      <c r="XO22" s="949">
        <v>0.53497116</v>
      </c>
      <c r="XP22" s="949">
        <v>0.53497116</v>
      </c>
      <c r="XQ22" s="949">
        <v>0.53338116000000002</v>
      </c>
      <c r="XR22" s="949">
        <v>0.53238116000000002</v>
      </c>
      <c r="XS22" s="949">
        <v>0.53238116000000002</v>
      </c>
      <c r="XT22" s="949">
        <v>0.53238116000000002</v>
      </c>
      <c r="XU22" s="949">
        <v>0.53238116000000002</v>
      </c>
      <c r="XV22" s="949">
        <v>0.53238116000000002</v>
      </c>
      <c r="XW22" s="949">
        <v>0.53238116000000002</v>
      </c>
      <c r="XX22" s="949">
        <v>0.53238116000000002</v>
      </c>
      <c r="XY22" s="949">
        <v>0.53238116000000002</v>
      </c>
      <c r="XZ22" s="949">
        <v>0.49463636</v>
      </c>
      <c r="YA22" s="949">
        <v>0.49463636</v>
      </c>
      <c r="YB22" s="949">
        <v>0.49463636</v>
      </c>
      <c r="YC22" s="949">
        <v>0.49463636</v>
      </c>
      <c r="YD22" s="949">
        <v>0.49304635999999996</v>
      </c>
      <c r="YE22" s="949">
        <v>0.48745612999999999</v>
      </c>
      <c r="YF22" s="949">
        <v>0.48745612999999999</v>
      </c>
      <c r="YG22" s="949">
        <v>0.48745612999999999</v>
      </c>
      <c r="YH22" s="949">
        <v>0.48745612999999999</v>
      </c>
    </row>
    <row r="23" spans="2:658">
      <c r="B23" s="917" t="s">
        <v>54</v>
      </c>
      <c r="C23" s="918">
        <v>21.274706129999998</v>
      </c>
      <c r="D23" s="130">
        <v>21.30163216</v>
      </c>
      <c r="E23" s="130">
        <v>21.299632160000002</v>
      </c>
      <c r="F23" s="130">
        <v>21.299632160000002</v>
      </c>
      <c r="G23" s="130">
        <v>21.327108719999998</v>
      </c>
      <c r="H23" s="130">
        <v>21.335163510000001</v>
      </c>
      <c r="I23" s="130">
        <v>21.335163510000001</v>
      </c>
      <c r="J23" s="130">
        <v>21.335163510000001</v>
      </c>
      <c r="K23" s="130">
        <v>21.335163510000001</v>
      </c>
      <c r="L23" s="130">
        <v>21.38455995</v>
      </c>
      <c r="M23" s="130">
        <v>21.38455995</v>
      </c>
      <c r="N23" s="130">
        <v>21.38455995</v>
      </c>
      <c r="O23" s="130">
        <v>21.38455995</v>
      </c>
      <c r="P23" s="130">
        <v>21.38455995</v>
      </c>
      <c r="Q23" s="130">
        <v>21.340975619999998</v>
      </c>
      <c r="R23" s="130">
        <v>21.340975619999998</v>
      </c>
      <c r="S23" s="130">
        <f>0.34097562+21</f>
        <v>21.340975619999998</v>
      </c>
      <c r="T23" s="130">
        <v>21.340975619999998</v>
      </c>
      <c r="U23" s="130">
        <v>21.340975619999998</v>
      </c>
      <c r="V23" s="130">
        <v>21.388982200000001</v>
      </c>
      <c r="W23" s="130">
        <v>21.388982200000001</v>
      </c>
      <c r="X23" s="130">
        <v>21.388982200000001</v>
      </c>
      <c r="Y23" s="130">
        <v>21.388982200000001</v>
      </c>
      <c r="Z23" s="130">
        <v>21.386982199999998</v>
      </c>
      <c r="AA23" s="130">
        <v>21.375737699999998</v>
      </c>
      <c r="AB23" s="130">
        <v>21.375737699999998</v>
      </c>
      <c r="AC23" s="130">
        <v>21.375700720000001</v>
      </c>
      <c r="AD23" s="130">
        <v>21.375700720000001</v>
      </c>
      <c r="AE23" s="130">
        <v>21.375586160000001</v>
      </c>
      <c r="AF23" s="130">
        <f>0.37558616+21</f>
        <v>21.375586160000001</v>
      </c>
      <c r="AG23" s="130">
        <f>0.37558616+21</f>
        <v>21.375586160000001</v>
      </c>
      <c r="AH23" s="130">
        <v>21.520330820000002</v>
      </c>
      <c r="AI23" s="130">
        <v>21.520330820000002</v>
      </c>
      <c r="AJ23" s="130">
        <f t="shared" ref="AJ23:AO23" si="349">0.52033082+21</f>
        <v>21.520330820000002</v>
      </c>
      <c r="AK23" s="130">
        <f t="shared" si="349"/>
        <v>21.520330820000002</v>
      </c>
      <c r="AL23" s="130">
        <f t="shared" si="349"/>
        <v>21.520330820000002</v>
      </c>
      <c r="AM23" s="130">
        <f t="shared" si="349"/>
        <v>21.520330820000002</v>
      </c>
      <c r="AN23" s="130">
        <f t="shared" si="349"/>
        <v>21.520330820000002</v>
      </c>
      <c r="AO23" s="130">
        <f t="shared" si="349"/>
        <v>21.520330820000002</v>
      </c>
      <c r="AP23" s="130">
        <f>0.52033082+21</f>
        <v>21.520330820000002</v>
      </c>
      <c r="AQ23" s="130">
        <f>0.58702452+21</f>
        <v>21.58702452</v>
      </c>
      <c r="AR23" s="130">
        <f>0.58502452+21</f>
        <v>21.585024520000001</v>
      </c>
      <c r="AS23" s="130">
        <f>0.58502452+21</f>
        <v>21.585024520000001</v>
      </c>
      <c r="AT23" s="130">
        <f>0.58502452+21</f>
        <v>21.585024520000001</v>
      </c>
      <c r="AU23" s="130">
        <f>0.58502452+21</f>
        <v>21.585024520000001</v>
      </c>
      <c r="AV23" s="130">
        <f>0.52710499+21</f>
        <v>21.527104990000002</v>
      </c>
      <c r="AW23" s="130">
        <f>0.52619448+21</f>
        <v>21.526194480000001</v>
      </c>
      <c r="AX23" s="130">
        <f>0.52619448+21</f>
        <v>21.526194480000001</v>
      </c>
      <c r="AY23" s="130">
        <f>0.52619448+21</f>
        <v>21.526194480000001</v>
      </c>
      <c r="AZ23" s="130">
        <f>0.5261575+21</f>
        <v>21.5261575</v>
      </c>
      <c r="BA23" s="130">
        <f>0.5261575+21</f>
        <v>21.5261575</v>
      </c>
      <c r="BB23" s="130">
        <v>21.5261575</v>
      </c>
      <c r="BC23" s="130">
        <f>0.5261575+21</f>
        <v>21.5261575</v>
      </c>
      <c r="BD23" s="130">
        <f>0.5261575+21</f>
        <v>21.5261575</v>
      </c>
      <c r="BE23" s="130">
        <v>21.61363257</v>
      </c>
      <c r="BF23" s="130">
        <v>21.61363257</v>
      </c>
      <c r="BG23" s="130">
        <f>0.61648495+21</f>
        <v>21.61648495</v>
      </c>
      <c r="BH23" s="130">
        <f>0.61648495+21</f>
        <v>21.61648495</v>
      </c>
      <c r="BI23" s="130">
        <f>0.61648495+21</f>
        <v>21.61648495</v>
      </c>
      <c r="BJ23" s="130">
        <f>0.61648495+21</f>
        <v>21.61648495</v>
      </c>
      <c r="BK23" s="130">
        <f>0.61648495+21</f>
        <v>21.61648495</v>
      </c>
      <c r="BL23" s="130">
        <f t="shared" ref="BL23" si="350">0.61648495+21</f>
        <v>21.61648495</v>
      </c>
      <c r="BM23" s="130">
        <f>0.61448495+21</f>
        <v>21.614484950000001</v>
      </c>
      <c r="BN23" s="130">
        <f>0.61448495+21</f>
        <v>21.614484950000001</v>
      </c>
      <c r="BO23" s="130">
        <f>0.58312437+21</f>
        <v>21.58312437</v>
      </c>
      <c r="BP23" s="130">
        <f>0.58312437+21</f>
        <v>21.58312437</v>
      </c>
      <c r="BQ23" s="130">
        <f>0.58312437+21</f>
        <v>21.58312437</v>
      </c>
      <c r="BR23" s="130">
        <f>0.58312437+21</f>
        <v>21.58312437</v>
      </c>
      <c r="BS23" s="130">
        <f>0.58312437+21</f>
        <v>21.58312437</v>
      </c>
      <c r="BT23" s="130">
        <f>0.58308772+21</f>
        <v>21.583087720000002</v>
      </c>
      <c r="BU23" s="130">
        <f>0.32387427+21</f>
        <v>21.323874270000001</v>
      </c>
      <c r="BV23" s="130">
        <f>0.32387427+21</f>
        <v>21.323874270000001</v>
      </c>
      <c r="BW23" s="130">
        <f>0.32387427+21</f>
        <v>21.323874270000001</v>
      </c>
      <c r="BX23" s="130">
        <f>0.31591627+21</f>
        <v>21.315916269999999</v>
      </c>
      <c r="BY23" s="130">
        <f>0.31591627+21</f>
        <v>21.315916269999999</v>
      </c>
      <c r="BZ23" s="130">
        <f>0.31591627+21</f>
        <v>21.315916269999999</v>
      </c>
      <c r="CA23" s="130">
        <v>21.41644011</v>
      </c>
      <c r="CB23" s="130">
        <v>21.41644011</v>
      </c>
      <c r="CC23" s="130">
        <v>21.42794696</v>
      </c>
      <c r="CD23" s="130">
        <v>21.43052449</v>
      </c>
      <c r="CE23" s="130">
        <v>21.43052449</v>
      </c>
      <c r="CF23" s="130">
        <v>21.43052449</v>
      </c>
      <c r="CG23" s="130">
        <v>21.432992710000001</v>
      </c>
      <c r="CH23" s="130">
        <v>21.430992710000002</v>
      </c>
      <c r="CI23" s="130">
        <v>21.440750520000002</v>
      </c>
      <c r="CJ23" s="130">
        <v>1.4432337500000001</v>
      </c>
      <c r="CK23" s="130">
        <v>1.4432337500000001</v>
      </c>
      <c r="CL23" s="130">
        <v>1.42802495</v>
      </c>
      <c r="CM23" s="130">
        <v>1.42802495</v>
      </c>
      <c r="CN23" s="130">
        <v>1.42802495</v>
      </c>
      <c r="CO23" s="130">
        <v>1.42802495</v>
      </c>
      <c r="CP23" s="130">
        <v>1.42798797</v>
      </c>
      <c r="CQ23" s="130">
        <v>1.42798797</v>
      </c>
      <c r="CR23" s="130">
        <v>1.42798797</v>
      </c>
      <c r="CS23" s="130">
        <v>1.42798797</v>
      </c>
      <c r="CT23" s="130">
        <v>1.42798797</v>
      </c>
      <c r="CU23" s="130">
        <v>1.42798797</v>
      </c>
      <c r="CV23" s="130">
        <v>1.42798797</v>
      </c>
      <c r="CW23" s="130">
        <v>1.42798797</v>
      </c>
      <c r="CX23" s="130">
        <v>1.42798797</v>
      </c>
      <c r="CY23" s="130">
        <v>1.42787218</v>
      </c>
      <c r="CZ23" s="130">
        <v>1.4278999999999999</v>
      </c>
      <c r="DA23" s="130">
        <v>1.42787218</v>
      </c>
      <c r="DB23" s="130">
        <v>1.42787218</v>
      </c>
      <c r="DC23" s="130">
        <v>1.3786929999999999</v>
      </c>
      <c r="DD23" s="130">
        <v>1.3786929999999999</v>
      </c>
      <c r="DE23" s="130">
        <v>1.3766929999999999</v>
      </c>
      <c r="DF23" s="130">
        <v>1.3766929999999999</v>
      </c>
      <c r="DG23" s="130">
        <v>1.3766929999999999</v>
      </c>
      <c r="DH23" s="130">
        <v>1.3502086799999999</v>
      </c>
      <c r="DI23" s="130">
        <v>1.3502086799999999</v>
      </c>
      <c r="DJ23" s="130">
        <v>1.3502086799999999</v>
      </c>
      <c r="DK23" s="130">
        <v>1.3502086799999999</v>
      </c>
      <c r="DL23" s="130">
        <v>1.3501711599999999</v>
      </c>
      <c r="DM23" s="130">
        <v>1.3501711599999999</v>
      </c>
      <c r="DN23" s="130">
        <v>1.3501711599999999</v>
      </c>
      <c r="DO23" s="130">
        <v>1.3418321799999999</v>
      </c>
      <c r="DP23" s="130">
        <v>1.3418321799999999</v>
      </c>
      <c r="DQ23" s="130">
        <v>1.3418321799999999</v>
      </c>
      <c r="DR23" s="130">
        <v>1.3418321799999999</v>
      </c>
      <c r="DS23" s="130">
        <v>1.3418321799999999</v>
      </c>
      <c r="DT23" s="130">
        <v>1.3417959100000001</v>
      </c>
      <c r="DU23" s="130">
        <v>1.3417959100000001</v>
      </c>
      <c r="DV23" s="130">
        <v>1.3417959100000001</v>
      </c>
      <c r="DW23" s="130">
        <v>1.3417959100000001</v>
      </c>
      <c r="DX23" s="130">
        <v>1.3417959100000001</v>
      </c>
      <c r="DY23" s="130">
        <v>1.10288791</v>
      </c>
      <c r="DZ23" s="130">
        <v>1.05214484</v>
      </c>
      <c r="EA23" s="130">
        <v>1.05014484</v>
      </c>
      <c r="EB23" s="130">
        <v>1.05014484</v>
      </c>
      <c r="EC23" s="130">
        <v>0.98951672999999996</v>
      </c>
      <c r="ED23" s="130">
        <v>0.98951672999999996</v>
      </c>
      <c r="EE23" s="130">
        <v>0.98951672999999996</v>
      </c>
      <c r="EF23" s="130">
        <v>0.98951672999999996</v>
      </c>
      <c r="EG23" s="130">
        <v>0.98949306999999997</v>
      </c>
      <c r="EH23" s="130">
        <v>0.97820607000000004</v>
      </c>
      <c r="EI23" s="130">
        <v>0.97820607000000004</v>
      </c>
      <c r="EJ23" s="130">
        <v>0.97820607000000004</v>
      </c>
      <c r="EK23" s="130">
        <v>0.97820607000000004</v>
      </c>
      <c r="EL23" s="130">
        <v>0.97820607000000004</v>
      </c>
      <c r="EM23" s="130">
        <v>0.97820607000000004</v>
      </c>
      <c r="EN23" s="130">
        <v>0.97820607000000004</v>
      </c>
      <c r="EO23" s="130">
        <v>0.97820607000000004</v>
      </c>
      <c r="EP23" s="130">
        <v>0.97820607000000004</v>
      </c>
      <c r="EQ23" s="130">
        <v>0.91470627999999998</v>
      </c>
      <c r="ER23" s="130">
        <v>0.91470627999999998</v>
      </c>
      <c r="ES23" s="130">
        <v>0.91470627999999998</v>
      </c>
      <c r="ET23" s="130">
        <v>0.91470627999999998</v>
      </c>
      <c r="EU23" s="130">
        <v>0.87908828000000006</v>
      </c>
      <c r="EV23" s="130">
        <v>0.87908828000000006</v>
      </c>
      <c r="EW23" s="130">
        <v>0.87908828000000006</v>
      </c>
      <c r="EX23" s="130">
        <v>0.87908828000000006</v>
      </c>
      <c r="EY23" s="130">
        <v>0.87908828000000006</v>
      </c>
      <c r="EZ23" s="130">
        <v>0.87908828000000006</v>
      </c>
      <c r="FA23" s="130">
        <v>0.87908828000000006</v>
      </c>
      <c r="FB23" s="130">
        <v>1</v>
      </c>
      <c r="FC23" s="130">
        <v>0.86282059</v>
      </c>
      <c r="FD23" s="130">
        <v>0.86282059</v>
      </c>
      <c r="FE23" s="130">
        <v>0.86282059</v>
      </c>
      <c r="FF23" s="130">
        <v>0.84914561</v>
      </c>
      <c r="FG23" s="130">
        <v>0.84914561</v>
      </c>
      <c r="FH23" s="130">
        <v>1</v>
      </c>
      <c r="FI23" s="130">
        <v>0.84914561</v>
      </c>
      <c r="FJ23" s="130">
        <v>0.84914561</v>
      </c>
      <c r="FK23" s="130">
        <v>0.84914561</v>
      </c>
      <c r="FL23" s="130">
        <v>4.9187656100000003</v>
      </c>
      <c r="FM23" s="130">
        <v>5</v>
      </c>
      <c r="FN23" s="130">
        <v>4.9187656100000003</v>
      </c>
      <c r="FO23" s="130">
        <v>4.9187656100000003</v>
      </c>
      <c r="FP23" s="130">
        <v>4.9187656100000003</v>
      </c>
      <c r="FQ23" s="130">
        <v>4.9167656099999997</v>
      </c>
      <c r="FR23" s="130">
        <v>4.9167656099999997</v>
      </c>
      <c r="FS23" s="130">
        <v>4.9056396700000002</v>
      </c>
      <c r="FT23" s="130">
        <v>4.9056396700000002</v>
      </c>
      <c r="FU23" s="130">
        <v>4.7312028699999997</v>
      </c>
      <c r="FV23" s="130">
        <v>4.7312028699999997</v>
      </c>
      <c r="FW23" s="130">
        <v>4.7312028699999997</v>
      </c>
      <c r="FX23" s="130">
        <v>4.73116629</v>
      </c>
      <c r="FY23" s="130">
        <v>5</v>
      </c>
      <c r="FZ23" s="130">
        <v>4.7276033599999998</v>
      </c>
      <c r="GA23" s="130">
        <v>4.7276033599999998</v>
      </c>
      <c r="GB23" s="130">
        <v>4.7276033599999998</v>
      </c>
      <c r="GC23" s="130">
        <v>4.7276033599999998</v>
      </c>
      <c r="GD23" s="130">
        <v>4.4251033599999996</v>
      </c>
      <c r="GE23" s="130">
        <v>4.4251033599999996</v>
      </c>
      <c r="GF23" s="130">
        <v>4.4251033599999996</v>
      </c>
      <c r="GG23" s="130">
        <v>4.4251033599999996</v>
      </c>
      <c r="GH23" s="130">
        <v>4.4251033599999996</v>
      </c>
      <c r="GI23" s="130">
        <v>3.6530299099999999</v>
      </c>
      <c r="GJ23" s="130">
        <v>3.6401904300000001</v>
      </c>
      <c r="GK23" s="130">
        <v>8.8935221799999997</v>
      </c>
      <c r="GL23" s="130">
        <v>8.8935221799999997</v>
      </c>
      <c r="GM23" s="130">
        <v>8.8935221799999997</v>
      </c>
      <c r="GN23" s="130">
        <v>10.99224048</v>
      </c>
      <c r="GO23" s="130">
        <v>10.98341649</v>
      </c>
      <c r="GP23" s="130">
        <v>10.98341649</v>
      </c>
      <c r="GQ23" s="130">
        <v>10.80504049</v>
      </c>
      <c r="GR23" s="130">
        <v>10.8065172</v>
      </c>
      <c r="GS23" s="130">
        <v>10.80810909</v>
      </c>
      <c r="GT23" s="130">
        <v>10.80808734</v>
      </c>
      <c r="GU23" s="130">
        <v>10.807588109999999</v>
      </c>
      <c r="GV23" s="130">
        <v>10.80296658</v>
      </c>
      <c r="GW23" s="130">
        <v>10.80296658</v>
      </c>
      <c r="GX23" s="130">
        <v>10.8</v>
      </c>
      <c r="GY23" s="130">
        <v>10.80918323</v>
      </c>
      <c r="GZ23" s="130">
        <v>10.81264191</v>
      </c>
      <c r="HA23" s="130">
        <v>10.81341205</v>
      </c>
      <c r="HB23" s="130">
        <v>10.8148915</v>
      </c>
      <c r="HC23" s="130">
        <v>10.818693489999999</v>
      </c>
      <c r="HD23" s="130">
        <v>10.820300169999999</v>
      </c>
      <c r="HE23" s="130">
        <v>10.82843716</v>
      </c>
      <c r="HF23" s="130">
        <v>10.828379350000001</v>
      </c>
      <c r="HG23" s="130">
        <v>10.82956669</v>
      </c>
      <c r="HH23" s="130">
        <v>10.831185210000001</v>
      </c>
      <c r="HI23" s="130">
        <v>10.82525248</v>
      </c>
      <c r="HJ23" s="130">
        <v>10.44633155</v>
      </c>
      <c r="HK23" s="130">
        <v>10.447958509999999</v>
      </c>
      <c r="HL23" s="130">
        <v>10.449933939999999</v>
      </c>
      <c r="HM23" s="130">
        <v>10.452925720000001</v>
      </c>
      <c r="HN23" s="130">
        <v>10.45437602</v>
      </c>
      <c r="HO23" s="130">
        <v>10.457779720000001</v>
      </c>
      <c r="HP23" s="130">
        <v>10.46082575</v>
      </c>
      <c r="HQ23" s="130">
        <v>10.463846029999999</v>
      </c>
      <c r="HR23" s="130">
        <v>10.46684144</v>
      </c>
      <c r="HS23" s="130">
        <v>10.46837152</v>
      </c>
      <c r="HT23" s="949">
        <v>10.4698902</v>
      </c>
      <c r="HU23" s="949">
        <v>10.4698902</v>
      </c>
      <c r="HV23" s="949">
        <v>10.471219019999999</v>
      </c>
      <c r="HW23" s="949">
        <v>10.471219019999999</v>
      </c>
      <c r="HX23" s="949">
        <v>10.465379009999999</v>
      </c>
      <c r="HY23" s="949">
        <v>10.465379009999999</v>
      </c>
      <c r="HZ23" s="949">
        <v>10.46586709</v>
      </c>
      <c r="IA23" s="949">
        <v>10.465360329999999</v>
      </c>
      <c r="IB23" s="949">
        <v>10.469471889999999</v>
      </c>
      <c r="IC23" s="949">
        <v>10.469471889999999</v>
      </c>
      <c r="ID23" s="949">
        <v>10.469471889999999</v>
      </c>
      <c r="IE23" s="949">
        <v>10.264902529999999</v>
      </c>
      <c r="IF23" s="949">
        <v>10.264902529999999</v>
      </c>
      <c r="IG23" s="949">
        <v>10.270491570000001</v>
      </c>
      <c r="IH23" s="949">
        <v>10.27188883</v>
      </c>
      <c r="II23" s="949">
        <v>10.27188883</v>
      </c>
      <c r="IJ23" s="949">
        <v>10.27188883</v>
      </c>
      <c r="IK23" s="949">
        <v>10.273634939999999</v>
      </c>
      <c r="IL23" s="949">
        <v>10.273634939999999</v>
      </c>
      <c r="IM23" s="949">
        <v>10.273634939999999</v>
      </c>
      <c r="IN23" s="949">
        <v>10.19193445</v>
      </c>
      <c r="IO23" s="949">
        <v>10.19331801</v>
      </c>
      <c r="IP23" s="949">
        <v>10.19300157</v>
      </c>
      <c r="IQ23" s="949">
        <v>10.190901570000001</v>
      </c>
      <c r="IR23" s="949">
        <v>10.190901570000001</v>
      </c>
      <c r="IS23" s="949">
        <v>10.190901570000001</v>
      </c>
      <c r="IT23" s="949">
        <v>10.17402244</v>
      </c>
      <c r="IU23" s="949">
        <v>10.190690929999999</v>
      </c>
      <c r="IV23" s="949">
        <v>10.190690929999999</v>
      </c>
      <c r="IW23" s="949">
        <v>10.193295970000001</v>
      </c>
      <c r="IX23" s="949">
        <v>10.197358749999999</v>
      </c>
      <c r="IY23" s="949">
        <v>10.198701890000001</v>
      </c>
      <c r="IZ23" s="949">
        <v>10.20146325</v>
      </c>
      <c r="JA23" s="949">
        <v>10.199450480000001</v>
      </c>
      <c r="JB23" s="949">
        <v>10.199450480000001</v>
      </c>
      <c r="JC23" s="949">
        <v>10.20544226</v>
      </c>
      <c r="JD23" s="949">
        <v>10.206943900000001</v>
      </c>
      <c r="JE23" s="949">
        <v>10.206943900000001</v>
      </c>
      <c r="JF23" s="949">
        <v>10.206943900000001</v>
      </c>
      <c r="JG23" s="949">
        <v>10.210507849999999</v>
      </c>
      <c r="JH23" s="949">
        <v>10.210507849999999</v>
      </c>
      <c r="JI23" s="949">
        <v>10.210507849999999</v>
      </c>
      <c r="JJ23" s="949">
        <v>10.210993029999999</v>
      </c>
      <c r="JK23" s="949">
        <v>10.202388210000001</v>
      </c>
      <c r="JL23" s="949">
        <v>10.200811760000001</v>
      </c>
      <c r="JM23" s="949">
        <v>10.202221640000001</v>
      </c>
      <c r="JN23" s="949">
        <v>10.202221640000001</v>
      </c>
      <c r="JO23" s="949">
        <v>10.202221640000001</v>
      </c>
      <c r="JP23" s="949">
        <v>10.206078539999998</v>
      </c>
      <c r="JQ23" s="949">
        <v>10.206078539999998</v>
      </c>
      <c r="JR23" s="949">
        <v>10.21191827</v>
      </c>
      <c r="JS23" s="949">
        <v>10.21191827</v>
      </c>
      <c r="JT23" s="949">
        <v>10.21191827</v>
      </c>
      <c r="JU23" s="949">
        <v>10.21191827</v>
      </c>
      <c r="JV23" s="949">
        <v>10.21191827</v>
      </c>
      <c r="JW23" s="949">
        <v>10.21461968</v>
      </c>
      <c r="JX23" s="949">
        <v>10.21461968</v>
      </c>
      <c r="JY23" s="949">
        <v>10.21461968</v>
      </c>
      <c r="JZ23" s="949">
        <v>10.21461968</v>
      </c>
      <c r="KA23" s="949">
        <v>10.21461968</v>
      </c>
      <c r="KB23" s="949">
        <v>10.21461968</v>
      </c>
      <c r="KC23" s="949">
        <v>10.210467679999999</v>
      </c>
      <c r="KD23" s="949">
        <v>10.21045256</v>
      </c>
      <c r="KE23" s="949">
        <v>10.21045256</v>
      </c>
      <c r="KF23" s="949">
        <v>10.202388210000001</v>
      </c>
      <c r="KG23" s="949">
        <v>10.21047171</v>
      </c>
      <c r="KH23" s="949">
        <v>10.21047171</v>
      </c>
      <c r="KI23" s="949">
        <v>10.21203925</v>
      </c>
      <c r="KJ23" s="949">
        <v>10.21203925</v>
      </c>
      <c r="KK23" s="949">
        <v>10.21773514</v>
      </c>
      <c r="KL23" s="949">
        <v>10.21773514</v>
      </c>
      <c r="KM23" s="949">
        <v>10.21773514</v>
      </c>
      <c r="KN23" s="949">
        <v>10.222074869999998</v>
      </c>
      <c r="KO23" s="949">
        <v>10.2265461</v>
      </c>
      <c r="KP23" s="949">
        <v>10.228036509999999</v>
      </c>
      <c r="KQ23" s="949">
        <v>10.22952692</v>
      </c>
      <c r="KR23" s="949">
        <v>10.22952692</v>
      </c>
      <c r="KS23" s="949">
        <v>10.22944124</v>
      </c>
      <c r="KT23" s="949">
        <v>10.22944124</v>
      </c>
      <c r="KU23" s="949">
        <v>10.046919039999999</v>
      </c>
      <c r="KV23" s="949">
        <v>10.056219039999998</v>
      </c>
      <c r="KW23" s="949">
        <v>10.059004369999998</v>
      </c>
      <c r="KX23" s="949">
        <v>10.05055232</v>
      </c>
      <c r="KY23" s="949">
        <v>10.05055232</v>
      </c>
      <c r="KZ23" s="949">
        <v>10.052369800000001</v>
      </c>
      <c r="LA23" s="949">
        <v>10.052369800000001</v>
      </c>
      <c r="LB23" s="949">
        <v>10.053901310000001</v>
      </c>
      <c r="LC23" s="949">
        <v>10.053901310000001</v>
      </c>
      <c r="LD23" s="949">
        <v>10.053901310000001</v>
      </c>
      <c r="LE23" s="949">
        <v>10.0391847</v>
      </c>
      <c r="LF23" s="949">
        <v>10.040872369999999</v>
      </c>
      <c r="LG23" s="949">
        <v>10.040872369999999</v>
      </c>
      <c r="LH23" s="949">
        <v>10.040872369999999</v>
      </c>
      <c r="LI23" s="949">
        <v>10.010173400000001</v>
      </c>
      <c r="LJ23" s="949">
        <v>10.010173400000001</v>
      </c>
      <c r="LK23" s="949">
        <v>10.010173400000001</v>
      </c>
      <c r="LL23" s="949">
        <v>10.01920331</v>
      </c>
      <c r="LM23" s="949">
        <v>10.01920331</v>
      </c>
      <c r="LN23" s="949">
        <v>10.02027161</v>
      </c>
      <c r="LO23" s="949">
        <v>10.02027161</v>
      </c>
      <c r="LP23" s="949">
        <v>10.02027161</v>
      </c>
      <c r="LQ23" s="949">
        <v>10.03237845</v>
      </c>
      <c r="LR23" s="949">
        <v>10.034541460000002</v>
      </c>
      <c r="LS23" s="949">
        <v>10.034541460000002</v>
      </c>
      <c r="LT23" s="949">
        <v>10.044401730000001</v>
      </c>
      <c r="LU23" s="949">
        <v>10.032671990000001</v>
      </c>
      <c r="LV23" s="949">
        <v>9.9235074399999998</v>
      </c>
      <c r="LW23" s="949">
        <v>9.9235074399999998</v>
      </c>
      <c r="LX23" s="949">
        <v>9.9235074399999998</v>
      </c>
      <c r="LY23" s="949">
        <v>9.9235074399999998</v>
      </c>
      <c r="LZ23" s="949">
        <v>9.9188853699999999</v>
      </c>
      <c r="MA23" s="949">
        <v>9.9188853699999999</v>
      </c>
      <c r="MB23" s="949">
        <v>9.9188853699999999</v>
      </c>
      <c r="MC23" s="949">
        <v>9.9188853699999999</v>
      </c>
      <c r="MD23" s="949">
        <v>9.9176393100000002</v>
      </c>
      <c r="ME23" s="949">
        <v>9.9176393100000002</v>
      </c>
      <c r="MF23" s="949">
        <v>9.9176393100000002</v>
      </c>
      <c r="MG23" s="949">
        <v>9.9176393100000002</v>
      </c>
      <c r="MH23" s="949">
        <v>9.94351114</v>
      </c>
      <c r="MI23" s="949">
        <v>9.94351114</v>
      </c>
      <c r="MJ23" s="949">
        <v>9.9396191400000014</v>
      </c>
      <c r="MK23" s="949">
        <v>9.9396191400000014</v>
      </c>
      <c r="ML23" s="949">
        <v>9.9396191400000014</v>
      </c>
      <c r="MM23" s="949">
        <v>9.9396191400000014</v>
      </c>
      <c r="MN23" s="949">
        <v>9.9396191400000014</v>
      </c>
      <c r="MO23" s="949">
        <v>9.9396191400000014</v>
      </c>
      <c r="MP23" s="949">
        <v>9.9396191400000014</v>
      </c>
      <c r="MQ23" s="949">
        <v>9.9486736899999997</v>
      </c>
      <c r="MR23" s="949">
        <v>9.9486736899999997</v>
      </c>
      <c r="MS23" s="949">
        <v>9.9473836899999988</v>
      </c>
      <c r="MT23" s="949">
        <v>9.9307003000000016</v>
      </c>
      <c r="MU23" s="949">
        <v>9.9307003000000016</v>
      </c>
      <c r="MV23" s="949">
        <v>9.9307003000000016</v>
      </c>
      <c r="MW23" s="949">
        <v>9.9307003000000016</v>
      </c>
      <c r="MX23" s="949">
        <v>9.9307003000000016</v>
      </c>
      <c r="MY23" s="949">
        <v>9.9307003000000016</v>
      </c>
      <c r="MZ23" s="949">
        <v>9.9307003000000016</v>
      </c>
      <c r="NA23" s="949">
        <v>9.9307003000000016</v>
      </c>
      <c r="NB23" s="949">
        <v>9.9307003000000016</v>
      </c>
      <c r="NC23" s="949">
        <v>9.9307003000000016</v>
      </c>
      <c r="ND23" s="949">
        <v>9.9307003000000016</v>
      </c>
      <c r="NE23" s="949">
        <v>9.9307003000000016</v>
      </c>
      <c r="NF23" s="949">
        <v>10.389907819999999</v>
      </c>
      <c r="NG23" s="949">
        <v>10.30514803</v>
      </c>
      <c r="NH23" s="949">
        <v>10.313799869999999</v>
      </c>
      <c r="NI23" s="949">
        <v>10.31595768</v>
      </c>
      <c r="NJ23" s="949">
        <v>10.31595768</v>
      </c>
      <c r="NK23" s="949">
        <v>10.312408119999999</v>
      </c>
      <c r="NL23" s="949">
        <v>10.312408119999999</v>
      </c>
      <c r="NM23" s="949">
        <v>10.252796699999999</v>
      </c>
      <c r="NN23" s="949">
        <v>10.252796699999999</v>
      </c>
      <c r="NO23" s="949">
        <v>10.252796699999999</v>
      </c>
      <c r="NP23" s="949">
        <v>10.25946356</v>
      </c>
      <c r="NQ23" s="949">
        <v>10.25946356</v>
      </c>
      <c r="NR23" s="949">
        <v>10.270976989999999</v>
      </c>
      <c r="NS23" s="949">
        <v>10.270976989999999</v>
      </c>
      <c r="NT23" s="949">
        <v>10.270976989999999</v>
      </c>
      <c r="NU23" s="949">
        <v>0.26781823999999999</v>
      </c>
      <c r="NV23" s="949">
        <v>0.26449124000000002</v>
      </c>
      <c r="NW23" s="949">
        <v>0.26449124000000002</v>
      </c>
      <c r="NX23" s="949">
        <v>0.26449124000000002</v>
      </c>
      <c r="NY23" s="949">
        <v>0.26449124000000002</v>
      </c>
      <c r="NZ23" s="949">
        <v>0.26449124000000002</v>
      </c>
      <c r="OA23" s="949">
        <v>0.26449124000000002</v>
      </c>
      <c r="OB23" s="949">
        <v>0.26449124000000002</v>
      </c>
      <c r="OC23" s="949">
        <v>0.26084024</v>
      </c>
      <c r="OD23" s="949">
        <v>0.26084024</v>
      </c>
      <c r="OE23" s="949">
        <v>0.26084024</v>
      </c>
      <c r="OF23" s="949">
        <v>0.26084024</v>
      </c>
      <c r="OG23" s="949">
        <v>0.24430423999999998</v>
      </c>
      <c r="OH23" s="949">
        <v>0.24430423999999998</v>
      </c>
      <c r="OI23" s="949">
        <v>10.05083829</v>
      </c>
      <c r="OJ23" s="949">
        <v>0.24430423999999998</v>
      </c>
      <c r="OK23" s="949">
        <v>0.24430423999999998</v>
      </c>
      <c r="OL23" s="949">
        <v>0.24340423999999999</v>
      </c>
      <c r="OM23" s="949">
        <v>0.24340423999999999</v>
      </c>
      <c r="ON23" s="949">
        <v>0.24340423999999999</v>
      </c>
      <c r="OO23" s="949">
        <v>0.14928451000000001</v>
      </c>
      <c r="OP23" s="949">
        <v>0.14918451000000002</v>
      </c>
      <c r="OQ23" s="949">
        <v>0.14918451000000002</v>
      </c>
      <c r="OR23" s="949">
        <v>0.14918451000000002</v>
      </c>
      <c r="OS23" s="949">
        <v>0.54471113000000004</v>
      </c>
      <c r="OT23" s="949">
        <v>0.54471113000000004</v>
      </c>
      <c r="OU23" s="949">
        <v>0.54471113000000004</v>
      </c>
      <c r="OV23" s="949">
        <v>0.54471113000000004</v>
      </c>
      <c r="OW23" s="949">
        <v>0.38636113</v>
      </c>
      <c r="OX23" s="949">
        <v>0.38636113</v>
      </c>
      <c r="OY23" s="949">
        <v>3.0171502100000001</v>
      </c>
      <c r="OZ23" s="949">
        <v>3.0171502100000001</v>
      </c>
      <c r="PA23" s="949">
        <v>3.0171502100000001</v>
      </c>
      <c r="PB23" s="949">
        <v>3.02597264</v>
      </c>
      <c r="PC23" s="949">
        <v>3.02597264</v>
      </c>
      <c r="PD23" s="949">
        <v>3.02597264</v>
      </c>
      <c r="PE23" s="949">
        <v>3.0244726399999999</v>
      </c>
      <c r="PF23" s="949">
        <v>2.96123264</v>
      </c>
      <c r="PG23" s="949">
        <v>2.96123264</v>
      </c>
      <c r="PH23" s="949">
        <v>2.96123264</v>
      </c>
      <c r="PI23" s="949">
        <v>2.9660931600000002</v>
      </c>
      <c r="PJ23" s="949">
        <v>2.9660931600000002</v>
      </c>
      <c r="PK23" s="949">
        <v>2.9660931600000002</v>
      </c>
      <c r="PL23" s="949">
        <v>2.9660931600000002</v>
      </c>
      <c r="PM23" s="949">
        <v>2.9660931600000002</v>
      </c>
      <c r="PN23" s="949">
        <v>2.8812801600000002</v>
      </c>
      <c r="PO23" s="949">
        <v>2.8812801600000002</v>
      </c>
      <c r="PP23" s="949">
        <v>2.8870735999999999</v>
      </c>
      <c r="PQ23" s="949">
        <v>2.8870735999999999</v>
      </c>
      <c r="PR23" s="949">
        <v>2.8870735999999999</v>
      </c>
      <c r="PS23" s="949">
        <v>2.8814957300000001</v>
      </c>
      <c r="PT23" s="949">
        <v>2.8814957300000001</v>
      </c>
      <c r="PU23" s="949">
        <v>0.86812572999999993</v>
      </c>
      <c r="PV23" s="949">
        <v>0.86812572999999993</v>
      </c>
      <c r="PW23" s="949">
        <v>0.86812572999999993</v>
      </c>
      <c r="PX23" s="949">
        <v>0.86812572999999993</v>
      </c>
      <c r="PY23" s="949">
        <v>0.86812572999999993</v>
      </c>
      <c r="PZ23" s="949">
        <v>0.86812572999999993</v>
      </c>
      <c r="QA23" s="949">
        <v>0.86812572999999993</v>
      </c>
      <c r="QB23" s="949">
        <v>0.86741403000000006</v>
      </c>
      <c r="QC23" s="949">
        <v>0.86741403000000006</v>
      </c>
      <c r="QD23" s="949">
        <v>0.86741403000000006</v>
      </c>
      <c r="QE23" s="949">
        <v>0.85908297999999994</v>
      </c>
      <c r="QF23" s="949">
        <v>0.85908297999999994</v>
      </c>
      <c r="QG23" s="949">
        <v>0.85908297999999994</v>
      </c>
      <c r="QH23" s="949">
        <v>0.85908297999999994</v>
      </c>
      <c r="QI23" s="949">
        <v>0.85908297999999994</v>
      </c>
      <c r="QJ23" s="949">
        <v>0.85908297999999994</v>
      </c>
      <c r="QK23" s="949">
        <v>0.85808297999999994</v>
      </c>
      <c r="QL23" s="949">
        <v>0.85808297999999994</v>
      </c>
      <c r="QM23" s="949">
        <v>0.85808297999999994</v>
      </c>
      <c r="QN23" s="949">
        <v>0.83724756999999994</v>
      </c>
      <c r="QO23" s="949">
        <v>0.83724756999999994</v>
      </c>
      <c r="QP23" s="949">
        <v>0.83724756999999994</v>
      </c>
      <c r="QQ23" s="949">
        <v>0.83724756999999994</v>
      </c>
      <c r="QR23" s="949">
        <v>0.83724756999999994</v>
      </c>
      <c r="QS23" s="949">
        <v>0.83724756999999994</v>
      </c>
      <c r="QT23" s="949">
        <v>0.83724756999999994</v>
      </c>
      <c r="QU23" s="949">
        <v>0.83724756999999994</v>
      </c>
      <c r="QV23" s="949">
        <v>0.83724756999999994</v>
      </c>
      <c r="QW23" s="949">
        <v>0.83724756999999994</v>
      </c>
      <c r="QX23" s="949">
        <v>0.83724756999999994</v>
      </c>
      <c r="QY23" s="949">
        <v>0.83279784000000001</v>
      </c>
      <c r="QZ23" s="949">
        <v>0.83279784000000001</v>
      </c>
      <c r="RA23" s="949">
        <v>0.82913797999999994</v>
      </c>
      <c r="RB23" s="949">
        <v>0.82913797999999994</v>
      </c>
      <c r="RC23" s="949">
        <v>0.82913797999999994</v>
      </c>
      <c r="RD23" s="949">
        <v>0.82913797999999994</v>
      </c>
      <c r="RE23" s="949">
        <v>0.80413798000000003</v>
      </c>
      <c r="RF23" s="949">
        <v>0.80413798000000003</v>
      </c>
      <c r="RG23" s="949">
        <v>0.80413798000000003</v>
      </c>
      <c r="RH23" s="949">
        <v>0.80413798000000003</v>
      </c>
      <c r="RI23" s="949">
        <v>0.79854848999999994</v>
      </c>
      <c r="RJ23" s="949">
        <v>0.79854848999999994</v>
      </c>
      <c r="RK23" s="949">
        <v>0.79854848999999994</v>
      </c>
      <c r="RL23" s="949">
        <v>0.79854848999999994</v>
      </c>
      <c r="RM23" s="949">
        <v>0.79854848999999994</v>
      </c>
      <c r="RN23" s="949">
        <v>0.79854848999999994</v>
      </c>
      <c r="RO23" s="949">
        <v>0.79854848999999994</v>
      </c>
      <c r="RP23" s="949">
        <v>0.79854848999999994</v>
      </c>
      <c r="RQ23" s="949">
        <v>0.79854848999999994</v>
      </c>
      <c r="RR23" s="949">
        <v>0.79854848999999994</v>
      </c>
      <c r="RS23" s="949">
        <v>0.79447363000000004</v>
      </c>
      <c r="RT23" s="949">
        <v>0.79447363000000004</v>
      </c>
      <c r="RU23" s="949">
        <v>0.79447363000000004</v>
      </c>
      <c r="RV23" s="949">
        <v>0.79447363000000004</v>
      </c>
      <c r="RW23" s="949">
        <v>0.79447363000000004</v>
      </c>
      <c r="RX23" s="949">
        <v>0.79447363000000004</v>
      </c>
      <c r="RY23" s="949">
        <v>0.70089488</v>
      </c>
      <c r="RZ23" s="949">
        <v>0.70089488</v>
      </c>
      <c r="SA23" s="949">
        <v>0.69054488000000003</v>
      </c>
      <c r="SB23" s="949">
        <v>0.68555173999999997</v>
      </c>
      <c r="SC23" s="949">
        <v>0.68555173999999997</v>
      </c>
      <c r="SD23" s="949">
        <v>0.68555173999999997</v>
      </c>
      <c r="SE23" s="949">
        <v>0.68530743999999999</v>
      </c>
      <c r="SF23" s="949">
        <v>0.68530743999999999</v>
      </c>
      <c r="SG23" s="949">
        <v>0.68530743999999999</v>
      </c>
      <c r="SH23" s="949">
        <v>0.68530743999999999</v>
      </c>
      <c r="SI23" s="949">
        <v>0.68530743999999999</v>
      </c>
      <c r="SJ23" s="949">
        <v>0.68530743999999999</v>
      </c>
      <c r="SK23" s="949">
        <v>0.68407455000000006</v>
      </c>
      <c r="SL23" s="949">
        <v>0.68407455000000006</v>
      </c>
      <c r="SM23" s="949">
        <v>0.68407455000000006</v>
      </c>
      <c r="SN23" s="949">
        <v>0.68407455000000006</v>
      </c>
      <c r="SO23" s="949">
        <v>0.68407455000000006</v>
      </c>
      <c r="SP23" s="949">
        <v>0.67984559999999994</v>
      </c>
      <c r="SQ23" s="949">
        <v>0.67984559999999994</v>
      </c>
      <c r="SR23" s="949">
        <v>0.67984559999999994</v>
      </c>
      <c r="SS23" s="949">
        <v>2.5855104</v>
      </c>
      <c r="ST23" s="949">
        <v>2.5855104</v>
      </c>
      <c r="SU23" s="949">
        <v>8.2443340000000003</v>
      </c>
      <c r="SV23" s="949">
        <v>8.2443340000000003</v>
      </c>
      <c r="SW23" s="949">
        <v>8.2443340000000003</v>
      </c>
      <c r="SX23" s="949">
        <v>8.2292723300000006</v>
      </c>
      <c r="SY23" s="949">
        <v>8.2292723300000006</v>
      </c>
      <c r="SZ23" s="949">
        <v>8.2292723300000006</v>
      </c>
      <c r="TA23" s="949">
        <v>8.2292723300000006</v>
      </c>
      <c r="TB23" s="949">
        <v>8.2292723300000006</v>
      </c>
      <c r="TC23" s="949">
        <v>8.2292723300000006</v>
      </c>
      <c r="TD23" s="949">
        <v>8.2292723300000006</v>
      </c>
      <c r="TE23" s="949">
        <v>8.2279823299999997</v>
      </c>
      <c r="TF23" s="949">
        <v>8.2406802300000006</v>
      </c>
      <c r="TG23" s="949">
        <v>8.2381802300000011</v>
      </c>
      <c r="TH23" s="949">
        <v>8.2355610199999987</v>
      </c>
      <c r="TI23" s="949">
        <v>8.2533271399999997</v>
      </c>
      <c r="TJ23" s="949">
        <v>8.2533271399999997</v>
      </c>
      <c r="TK23" s="949">
        <v>8.2533271399999997</v>
      </c>
      <c r="TL23" s="949">
        <v>8.268719110000001</v>
      </c>
      <c r="TM23" s="949">
        <v>8.1787081100000005</v>
      </c>
      <c r="TN23" s="949">
        <v>8.2040982699999994</v>
      </c>
      <c r="TO23" s="949">
        <v>8.1930982700000001</v>
      </c>
      <c r="TP23" s="949">
        <v>8.20781809</v>
      </c>
      <c r="TQ23" s="949">
        <v>8.20781809</v>
      </c>
      <c r="TR23" s="949">
        <v>8.1982443899999993</v>
      </c>
      <c r="TS23" s="949">
        <v>8.1982443899999993</v>
      </c>
      <c r="TT23" s="949">
        <v>8.1982443899999993</v>
      </c>
      <c r="TU23" s="949">
        <v>8.2141018199999998</v>
      </c>
      <c r="TV23" s="949">
        <v>8.2141018199999998</v>
      </c>
      <c r="TW23" s="949">
        <v>8.2131018200000003</v>
      </c>
      <c r="TX23" s="949">
        <v>8.1897573799999996</v>
      </c>
      <c r="TY23" s="949">
        <v>8.1897573799999996</v>
      </c>
      <c r="TZ23" s="949">
        <v>8.2274659000000003</v>
      </c>
      <c r="UA23" s="949">
        <v>4.0132566499999998</v>
      </c>
      <c r="UB23" s="949">
        <v>4.0132566499999998</v>
      </c>
      <c r="UC23" s="949">
        <v>4.0132566499999998</v>
      </c>
      <c r="UD23" s="949">
        <v>4.0586316499999997</v>
      </c>
      <c r="UE23" s="949">
        <v>4.0544587000000005</v>
      </c>
      <c r="UF23" s="949">
        <v>4.0505558300000004</v>
      </c>
      <c r="UG23" s="949">
        <v>4.0505558300000004</v>
      </c>
      <c r="UH23" s="949">
        <v>4.0495558300000001</v>
      </c>
      <c r="UI23" s="949">
        <v>3.9464115</v>
      </c>
      <c r="UJ23" s="949">
        <v>9.8759804100000004</v>
      </c>
      <c r="UK23" s="949">
        <v>9.8047259100000002</v>
      </c>
      <c r="UL23" s="949">
        <v>9.8047259100000002</v>
      </c>
      <c r="UM23" s="949">
        <v>18.481696230000001</v>
      </c>
      <c r="UN23" s="949">
        <v>18.515960280000002</v>
      </c>
      <c r="UO23" s="949">
        <v>18.499370120000002</v>
      </c>
      <c r="UP23" s="949">
        <v>18.507614929999999</v>
      </c>
      <c r="UQ23" s="949">
        <v>18.455997969999999</v>
      </c>
      <c r="UR23" s="949">
        <v>18.472161910000001</v>
      </c>
      <c r="US23" s="949">
        <v>18.480743879999999</v>
      </c>
      <c r="UT23" s="949">
        <v>18.489493879999998</v>
      </c>
      <c r="UU23" s="949">
        <v>18.518058789999998</v>
      </c>
      <c r="UV23" s="949">
        <v>18.55323379</v>
      </c>
      <c r="UW23" s="949">
        <v>18.56200879</v>
      </c>
      <c r="UX23" s="949">
        <v>18.07182259</v>
      </c>
      <c r="UY23" s="949">
        <v>18.09767914</v>
      </c>
      <c r="UZ23" s="949">
        <v>18.132597180000001</v>
      </c>
      <c r="VA23" s="949">
        <v>18.132597180000001</v>
      </c>
      <c r="VB23" s="949">
        <v>18.180765559999998</v>
      </c>
      <c r="VC23" s="949">
        <v>18.185556219999999</v>
      </c>
      <c r="VD23" s="949">
        <v>18.237877530000002</v>
      </c>
      <c r="VE23" s="949">
        <v>18.237877530000002</v>
      </c>
      <c r="VF23" s="949">
        <v>18.24962047</v>
      </c>
      <c r="VG23" s="949">
        <v>18.297875059999999</v>
      </c>
      <c r="VH23" s="949">
        <v>18.297875059999999</v>
      </c>
      <c r="VI23" s="949">
        <v>18.26567116</v>
      </c>
      <c r="VJ23" s="949">
        <v>18.261968020000001</v>
      </c>
      <c r="VK23" s="949">
        <v>18.335709000000001</v>
      </c>
      <c r="VL23" s="949">
        <v>18.088516780000003</v>
      </c>
      <c r="VM23" s="949">
        <v>18.183411379999999</v>
      </c>
      <c r="VN23" s="949">
        <v>18.218326449999999</v>
      </c>
      <c r="VO23" s="949">
        <v>18.218326449999999</v>
      </c>
      <c r="VP23" s="949">
        <v>18.218326449999999</v>
      </c>
      <c r="VQ23" s="949">
        <v>18.280705079999997</v>
      </c>
      <c r="VR23" s="949">
        <v>18.31633029</v>
      </c>
      <c r="VS23" s="949">
        <v>18.357652949999999</v>
      </c>
      <c r="VT23" s="949">
        <v>18.356652950000001</v>
      </c>
      <c r="VU23" s="949">
        <v>18.407368569999999</v>
      </c>
      <c r="VV23" s="949">
        <v>18.40870576</v>
      </c>
      <c r="VW23" s="949">
        <v>18.417025210000002</v>
      </c>
      <c r="VX23" s="949">
        <v>3.4422608800000001</v>
      </c>
      <c r="VY23" s="949">
        <v>3.4422608800000001</v>
      </c>
      <c r="VZ23" s="949">
        <v>3.4422608800000001</v>
      </c>
      <c r="WA23" s="949">
        <v>3.43986788</v>
      </c>
      <c r="WB23" s="949">
        <v>3.43986788</v>
      </c>
      <c r="WC23" s="949">
        <v>2.3543526699999999</v>
      </c>
      <c r="WD23" s="949">
        <v>2.35335267</v>
      </c>
      <c r="WE23" s="949">
        <v>2.3495551699999999</v>
      </c>
      <c r="WF23" s="949">
        <v>2.3419951700000001</v>
      </c>
      <c r="WG23" s="949">
        <v>2.3419951700000001</v>
      </c>
      <c r="WH23" s="949">
        <v>2.3419951700000001</v>
      </c>
      <c r="WI23" s="949">
        <v>2.32299517</v>
      </c>
      <c r="WJ23" s="949">
        <v>2.3208421699999997</v>
      </c>
      <c r="WK23" s="949">
        <v>2.3208421699999997</v>
      </c>
      <c r="WL23" s="949">
        <v>2.3208421699999997</v>
      </c>
      <c r="WM23" s="949">
        <v>2.31851217</v>
      </c>
      <c r="WN23" s="949">
        <v>2.3175121700000001</v>
      </c>
      <c r="WO23" s="949">
        <v>2.3175121700000001</v>
      </c>
      <c r="WP23" s="949">
        <v>2.3034746699999999</v>
      </c>
      <c r="WQ23" s="949">
        <v>2.3034746699999999</v>
      </c>
      <c r="WR23" s="949">
        <v>2.3034746699999999</v>
      </c>
      <c r="WS23" s="949">
        <v>2.30096772</v>
      </c>
      <c r="WT23" s="949">
        <v>2.30096772</v>
      </c>
      <c r="WU23" s="949">
        <v>2.30096772</v>
      </c>
      <c r="WV23" s="949">
        <v>2.30096772</v>
      </c>
      <c r="WW23" s="949">
        <v>2.21222772</v>
      </c>
      <c r="WX23" s="949">
        <v>2.2287277200000002</v>
      </c>
      <c r="WY23" s="949">
        <v>2.2235277200000003</v>
      </c>
      <c r="WZ23" s="949">
        <v>2.2112496699999999</v>
      </c>
      <c r="XA23" s="949">
        <v>2.2132152899999999</v>
      </c>
      <c r="XB23" s="949">
        <v>2.21031529</v>
      </c>
      <c r="XC23" s="949">
        <v>2.21031529</v>
      </c>
      <c r="XD23" s="949">
        <v>2.2101997899999999</v>
      </c>
      <c r="XE23" s="949">
        <v>2.20895317</v>
      </c>
      <c r="XF23" s="949">
        <v>2.2086811200000001</v>
      </c>
      <c r="XG23" s="949">
        <v>2.2086811200000001</v>
      </c>
      <c r="XH23" s="949">
        <v>2.1986811200000003</v>
      </c>
      <c r="XI23" s="949">
        <v>2.20535886</v>
      </c>
      <c r="XJ23" s="949">
        <v>2.20535886</v>
      </c>
      <c r="XK23" s="949">
        <v>2.2028364200000001</v>
      </c>
      <c r="XL23" s="949">
        <v>2.2047790200000001</v>
      </c>
      <c r="XM23" s="949">
        <v>2.9443839700000001</v>
      </c>
      <c r="XN23" s="949">
        <v>2.9443839700000001</v>
      </c>
      <c r="XO23" s="949">
        <v>2.94985835</v>
      </c>
      <c r="XP23" s="949">
        <v>2.94915679</v>
      </c>
      <c r="XQ23" s="949">
        <v>2.9514748599999998</v>
      </c>
      <c r="XR23" s="949">
        <v>2.9504748599999999</v>
      </c>
      <c r="XS23" s="949">
        <v>2.9450238999999998</v>
      </c>
      <c r="XT23" s="949">
        <v>2.94516482</v>
      </c>
      <c r="XU23" s="949">
        <v>2.94516482</v>
      </c>
      <c r="XV23" s="949">
        <v>2.94516482</v>
      </c>
      <c r="XW23" s="949">
        <v>2.9497138599999997</v>
      </c>
      <c r="XX23" s="949">
        <v>2.9497138599999997</v>
      </c>
      <c r="XY23" s="949">
        <v>2.9497138599999997</v>
      </c>
      <c r="XZ23" s="949">
        <v>2.9482138600000001</v>
      </c>
      <c r="YA23" s="949">
        <v>2.9517850600000002</v>
      </c>
      <c r="YB23" s="949">
        <v>2.9517850600000002</v>
      </c>
      <c r="YC23" s="949">
        <v>2.9517850600000002</v>
      </c>
      <c r="YD23" s="949">
        <v>2.65627368</v>
      </c>
      <c r="YE23" s="949">
        <v>2.7744517599999998</v>
      </c>
      <c r="YF23" s="949">
        <v>2.7595417499999999</v>
      </c>
      <c r="YG23" s="949">
        <v>2.7579517500000001</v>
      </c>
      <c r="YH23" s="949">
        <v>2.7620942200000003</v>
      </c>
    </row>
    <row r="24" spans="2:658">
      <c r="B24" s="917" t="s">
        <v>31</v>
      </c>
      <c r="C24" s="918">
        <v>0.97111479000000001</v>
      </c>
      <c r="D24" s="130">
        <v>11.71395328</v>
      </c>
      <c r="E24" s="130">
        <v>11.708530269999999</v>
      </c>
      <c r="F24" s="130">
        <v>11.72207843</v>
      </c>
      <c r="G24" s="130">
        <v>11.527827520000001</v>
      </c>
      <c r="H24" s="130">
        <v>11.527827520000001</v>
      </c>
      <c r="I24" s="130">
        <v>11.527827520000001</v>
      </c>
      <c r="J24" s="130">
        <v>5.7242773600000003</v>
      </c>
      <c r="K24" s="130">
        <v>5.68801077</v>
      </c>
      <c r="L24" s="130">
        <v>5.68801077</v>
      </c>
      <c r="M24" s="130">
        <v>6.7617434799999998</v>
      </c>
      <c r="N24" s="130">
        <v>6.7617434799999998</v>
      </c>
      <c r="O24" s="130">
        <v>6.6624032499999997</v>
      </c>
      <c r="P24" s="130">
        <v>6.6624032499999997</v>
      </c>
      <c r="Q24" s="130">
        <v>3.5056685600000002</v>
      </c>
      <c r="R24" s="130">
        <v>3.5007196999999999</v>
      </c>
      <c r="S24" s="130">
        <v>3.4893908599999999</v>
      </c>
      <c r="T24" s="130">
        <v>3.4893908599999999</v>
      </c>
      <c r="U24" s="130">
        <v>3.4212889</v>
      </c>
      <c r="V24" s="130">
        <v>2.6253823399999998</v>
      </c>
      <c r="W24" s="130">
        <v>2.58699945</v>
      </c>
      <c r="X24" s="130">
        <v>2.58699945</v>
      </c>
      <c r="Y24" s="130">
        <v>2.5843234100000001</v>
      </c>
      <c r="Z24" s="130">
        <v>2.4787434099999999</v>
      </c>
      <c r="AA24" s="130">
        <v>0.59252784000000003</v>
      </c>
      <c r="AB24" s="130">
        <v>0.60508015000000004</v>
      </c>
      <c r="AC24" s="130">
        <v>0.53223684000000004</v>
      </c>
      <c r="AD24" s="130">
        <v>0.12620451999999999</v>
      </c>
      <c r="AE24" s="130">
        <v>0.12620451999999999</v>
      </c>
      <c r="AF24" s="130">
        <v>0.12620451999999999</v>
      </c>
      <c r="AG24" s="130">
        <v>0.37780207999999998</v>
      </c>
      <c r="AH24" s="130">
        <v>3.0103326899999998</v>
      </c>
      <c r="AI24" s="130">
        <v>3.0103326899999998</v>
      </c>
      <c r="AJ24" s="130">
        <v>2.27888943</v>
      </c>
      <c r="AK24" s="130">
        <v>2.2703436400000001</v>
      </c>
      <c r="AL24" s="130">
        <f>2.27034364-0.12559604</f>
        <v>2.1447476000000001</v>
      </c>
      <c r="AM24" s="130">
        <v>2.0603656899999998</v>
      </c>
      <c r="AN24" s="130">
        <v>2.0083656900000002</v>
      </c>
      <c r="AO24" s="130">
        <v>2.0083656900000002</v>
      </c>
      <c r="AP24" s="130">
        <v>2.0083656900000002</v>
      </c>
      <c r="AQ24" s="130">
        <v>1.99807201</v>
      </c>
      <c r="AR24" s="130">
        <v>1.8815226300000001</v>
      </c>
      <c r="AS24" s="130">
        <v>1.846514</v>
      </c>
      <c r="AT24" s="130">
        <v>1.7465099500000001</v>
      </c>
      <c r="AU24" s="130">
        <v>1.7465099500000001</v>
      </c>
      <c r="AV24" s="130">
        <v>3.3123828099999999</v>
      </c>
      <c r="AW24" s="130">
        <v>4.9411798899999999</v>
      </c>
      <c r="AX24" s="130">
        <v>0.95658114000000005</v>
      </c>
      <c r="AY24" s="130">
        <v>0.23212044000000001</v>
      </c>
      <c r="AZ24" s="130">
        <v>0.15853611000000001</v>
      </c>
      <c r="BA24" s="130">
        <v>1.63951395</v>
      </c>
      <c r="BB24" s="130">
        <v>1.63951395</v>
      </c>
      <c r="BC24" s="130">
        <v>1.63951395</v>
      </c>
      <c r="BD24" s="130">
        <v>1.63951395</v>
      </c>
      <c r="BE24" s="130">
        <v>2.2611910000000002</v>
      </c>
      <c r="BF24" s="130">
        <v>2.2302937200000001</v>
      </c>
      <c r="BG24" s="130">
        <v>2.2302937200000001</v>
      </c>
      <c r="BH24" s="130">
        <v>0.19748257</v>
      </c>
      <c r="BI24" s="130">
        <v>0.19748257</v>
      </c>
      <c r="BJ24" s="130">
        <v>0.23841882</v>
      </c>
      <c r="BK24" s="130">
        <v>0.57729965999999999</v>
      </c>
      <c r="BL24" s="130">
        <v>0.57441003999999996</v>
      </c>
      <c r="BM24" s="130">
        <v>0.56910203999999998</v>
      </c>
      <c r="BN24" s="130">
        <v>0.35024332000000002</v>
      </c>
      <c r="BO24" s="130">
        <v>1.1571288799999999</v>
      </c>
      <c r="BP24" s="130">
        <v>4.4430446699999999</v>
      </c>
      <c r="BQ24" s="130">
        <v>4.4430455699999998</v>
      </c>
      <c r="BR24" s="130">
        <v>0.39997073</v>
      </c>
      <c r="BS24" s="130">
        <v>0.39997073</v>
      </c>
      <c r="BT24" s="130">
        <v>0.35578912000000001</v>
      </c>
      <c r="BU24" s="130">
        <v>4.4513536299999998</v>
      </c>
      <c r="BV24" s="130">
        <v>4.4513536299999998</v>
      </c>
      <c r="BW24" s="130">
        <v>4.4513536299999998</v>
      </c>
      <c r="BX24" s="130">
        <v>4.0909167599999998</v>
      </c>
      <c r="BY24" s="130">
        <v>1.25011059</v>
      </c>
      <c r="BZ24" s="130">
        <v>0.71371167000000002</v>
      </c>
      <c r="CA24" s="130">
        <v>1.3488283700000001</v>
      </c>
      <c r="CB24" s="130">
        <v>0.14522837</v>
      </c>
      <c r="CC24" s="130">
        <v>0.60990321000000003</v>
      </c>
      <c r="CD24" s="130">
        <v>0.60986616999999999</v>
      </c>
      <c r="CE24" s="130">
        <v>0.60986616999999999</v>
      </c>
      <c r="CF24" s="130">
        <v>0.60986616999999999</v>
      </c>
      <c r="CG24" s="130">
        <v>0.58977917000000002</v>
      </c>
      <c r="CH24" s="130">
        <v>0.28895442999999998</v>
      </c>
      <c r="CI24" s="130">
        <v>1.6325313100000001</v>
      </c>
      <c r="CJ24" s="130">
        <v>1.3322040399999999</v>
      </c>
      <c r="CK24" s="130">
        <v>1.3322040399999999</v>
      </c>
      <c r="CL24" s="130">
        <v>1.3322040399999999</v>
      </c>
      <c r="CM24" s="130">
        <v>1.3322040399999999</v>
      </c>
      <c r="CN24" s="130">
        <v>5.6713532799999999</v>
      </c>
      <c r="CO24" s="130">
        <v>1.87817111</v>
      </c>
      <c r="CP24" s="130">
        <v>1.87817111</v>
      </c>
      <c r="CQ24" s="130">
        <v>1.87817111</v>
      </c>
      <c r="CR24" s="130">
        <v>1.82928321</v>
      </c>
      <c r="CS24" s="130">
        <v>1.81980641</v>
      </c>
      <c r="CT24" s="130">
        <v>2.0295337999999998</v>
      </c>
      <c r="CU24" s="130">
        <v>2.0295337999999998</v>
      </c>
      <c r="CV24" s="130">
        <f>1.9295258+0.0958</f>
        <v>2.0253258000000001</v>
      </c>
      <c r="CW24" s="130">
        <f>2.90051518+0.0958</f>
        <v>2.9963151800000003</v>
      </c>
      <c r="CX24" s="130">
        <f>2.90051518+0.0958</f>
        <v>2.9963151800000003</v>
      </c>
      <c r="CY24" s="130">
        <f>0.54260634+0.0958</f>
        <v>0.63840633999999996</v>
      </c>
      <c r="CZ24" s="130">
        <v>0.63841000000000003</v>
      </c>
      <c r="DA24" s="130">
        <f>0.54260634+0.0958</f>
        <v>0.63840633999999996</v>
      </c>
      <c r="DB24" s="130">
        <f>0.54260634+0.0958</f>
        <v>0.63840633999999996</v>
      </c>
      <c r="DC24" s="130">
        <f>0.53517+0.0958</f>
        <v>0.63097000000000003</v>
      </c>
      <c r="DD24" s="130">
        <f>0.53266284+0.0958</f>
        <v>0.62846283999999997</v>
      </c>
      <c r="DE24" s="130">
        <f>0.24682372+0.09515484</f>
        <v>0.34197855999999999</v>
      </c>
      <c r="DF24" s="130">
        <f>0.17932069+0.09515484</f>
        <v>0.27447553000000002</v>
      </c>
      <c r="DG24" s="130">
        <f>0.17932069+0.09515484</f>
        <v>0.27447553000000002</v>
      </c>
      <c r="DH24" s="130">
        <f>0.09345484+0.05841345</f>
        <v>0.15186828999999999</v>
      </c>
      <c r="DI24" s="130">
        <f>0.09345484+3.28525481</f>
        <v>3.3787096500000002</v>
      </c>
      <c r="DJ24" s="130">
        <f>0.09345484+4.66768785</f>
        <v>4.7611426899999998</v>
      </c>
      <c r="DK24" s="130">
        <f>0.09345484+0.96068848</f>
        <v>1.0541433199999999</v>
      </c>
      <c r="DL24" s="130">
        <f>0.09345484+0.96068848</f>
        <v>1.0541433199999999</v>
      </c>
      <c r="DM24" s="130">
        <f>0.09345484+0.96068848</f>
        <v>1.0541433199999999</v>
      </c>
      <c r="DN24" s="130">
        <f>0.09345484+5.0603375</f>
        <v>5.1537923399999999</v>
      </c>
      <c r="DO24" s="130">
        <f>0.09345484+3.83165108</f>
        <v>3.92510592</v>
      </c>
      <c r="DP24" s="130">
        <f>0.09345484+3.83165108</f>
        <v>3.92510592</v>
      </c>
      <c r="DQ24" s="130">
        <f>0.09345484+3.83165108</f>
        <v>3.92510592</v>
      </c>
      <c r="DR24" s="130">
        <v>5.6291699499999996</v>
      </c>
      <c r="DS24" s="130">
        <v>5.6291699499999996</v>
      </c>
      <c r="DT24" s="130">
        <f>0.09345484+5.51451511</f>
        <v>5.6079699499999993</v>
      </c>
      <c r="DU24" s="130">
        <f>0.09345484+4.26191811</f>
        <v>4.3553729499999996</v>
      </c>
      <c r="DV24" s="130">
        <f>0.09345484+4.26191811</f>
        <v>4.3553729499999996</v>
      </c>
      <c r="DW24" s="130">
        <f>0.09345484+4.26191811</f>
        <v>4.3553729499999996</v>
      </c>
      <c r="DX24" s="130">
        <f>0.09345484+4.17419817</f>
        <v>4.2676530100000001</v>
      </c>
      <c r="DY24" s="130">
        <f>0.09345484+6.49724029</f>
        <v>6.5906951299999994</v>
      </c>
      <c r="DZ24" s="130">
        <f>0.09345484+1.59018993</f>
        <v>1.6836447699999999</v>
      </c>
      <c r="EA24" s="130">
        <f>0.09345484+1.58818993</f>
        <v>1.6816447699999999</v>
      </c>
      <c r="EB24" s="130">
        <f>0.09345484+1.58818993</f>
        <v>1.6816447699999999</v>
      </c>
      <c r="EC24" s="130">
        <f>0.09345484+2.30357792</f>
        <v>2.3970327600000001</v>
      </c>
      <c r="ED24" s="130">
        <f>0.09345484+2.30357792</f>
        <v>2.3970327600000001</v>
      </c>
      <c r="EE24" s="130">
        <f>0.09345484+2.23745292</f>
        <v>2.3309077600000001</v>
      </c>
      <c r="EF24" s="130">
        <f>0.09345484+0.38831823</f>
        <v>0.48177306999999997</v>
      </c>
      <c r="EG24" s="130">
        <f>0.09345484+0.38831823</f>
        <v>0.48177306999999997</v>
      </c>
      <c r="EH24" s="130">
        <f>0.09345484+0.33161041</f>
        <v>0.42506525000000001</v>
      </c>
      <c r="EI24" s="130">
        <f>0.09345484+0.31677341</f>
        <v>0.41022824999999996</v>
      </c>
      <c r="EJ24" s="130">
        <f>0.09345484+0.31677341</f>
        <v>0.41022824999999996</v>
      </c>
      <c r="EK24" s="130">
        <f>0.09345484+0.31677341</f>
        <v>0.41022824999999996</v>
      </c>
      <c r="EL24" s="130">
        <f>0.09345484+0.31677341</f>
        <v>0.41022824999999996</v>
      </c>
      <c r="EM24" s="130">
        <f>0.09265484+2.83387586</f>
        <v>2.9265306999999998</v>
      </c>
      <c r="EN24" s="130">
        <f>0.09265484+6.35874237</f>
        <v>6.4513972099999997</v>
      </c>
      <c r="EO24" s="130">
        <f>0.09265484+7.33070712</f>
        <v>7.4233619599999994</v>
      </c>
      <c r="EP24" s="130">
        <f>0.09265484+7.33070712</f>
        <v>7.4233619599999994</v>
      </c>
      <c r="EQ24" s="130">
        <f>0.09265484+6.3414922</f>
        <v>6.43414704</v>
      </c>
      <c r="ER24" s="130">
        <v>6.43414704</v>
      </c>
      <c r="ES24" s="130">
        <f>0.09265484+6.3414922</f>
        <v>6.43414704</v>
      </c>
      <c r="ET24" s="130">
        <f>0.09265484+6.3414922</f>
        <v>6.43414704</v>
      </c>
      <c r="EU24" s="130">
        <f>0.09265484+6.2874472</f>
        <v>6.3801020399999997</v>
      </c>
      <c r="EV24" s="130">
        <f>0.09265484+6.16975638</f>
        <v>6.2624112199999997</v>
      </c>
      <c r="EW24" s="130">
        <f>0.09265484+6.20834124</f>
        <v>6.30099608</v>
      </c>
      <c r="EX24" s="130">
        <f>0.09265484+6.20834124</f>
        <v>6.30099608</v>
      </c>
      <c r="EY24" s="130">
        <v>6.30099608</v>
      </c>
      <c r="EZ24" s="130">
        <v>6.2986727599999996</v>
      </c>
      <c r="FA24" s="130">
        <v>8.3899814900000003</v>
      </c>
      <c r="FB24" s="130">
        <v>8</v>
      </c>
      <c r="FC24" s="130">
        <v>7.6486403200000002</v>
      </c>
      <c r="FD24" s="130">
        <v>7.6486403200000002</v>
      </c>
      <c r="FE24" s="130">
        <v>7.6486403200000002</v>
      </c>
      <c r="FF24" s="130">
        <f>1.72393618+5.7639577</f>
        <v>7.4878938799999997</v>
      </c>
      <c r="FG24" s="130">
        <f>1.72393618+5.7639577</f>
        <v>7.4878938799999997</v>
      </c>
      <c r="FH24" s="130">
        <v>7</v>
      </c>
      <c r="FI24" s="130">
        <v>7.4878938799999997</v>
      </c>
      <c r="FJ24" s="130">
        <f>1.72393618+5.7639577</f>
        <v>7.4878938799999997</v>
      </c>
      <c r="FK24" s="130">
        <f>1.72393618+5.7639577</f>
        <v>7.4878938799999997</v>
      </c>
      <c r="FL24" s="130">
        <f>1.72393618+4.5524517</f>
        <v>6.2763878799999997</v>
      </c>
      <c r="FM24" s="130">
        <v>6</v>
      </c>
      <c r="FN24" s="130">
        <v>6.2649878799999996</v>
      </c>
      <c r="FO24" s="130">
        <f>1.72393618+4.5410517</f>
        <v>6.2649878799999996</v>
      </c>
      <c r="FP24" s="130">
        <f>1.72393618+4.47487273</f>
        <v>6.1988089100000003</v>
      </c>
      <c r="FQ24" s="130">
        <f>1.72193618+4.47287273</f>
        <v>6.1948089099999999</v>
      </c>
      <c r="FR24" s="130">
        <v>6.1948089099999999</v>
      </c>
      <c r="FS24" s="130">
        <v>6.1948089099999999</v>
      </c>
      <c r="FT24" s="130">
        <f>1.72193618+4.46246812</f>
        <v>6.1844042999999997</v>
      </c>
      <c r="FU24" s="130">
        <f>2.27654157+4.446324913</f>
        <v>6.7228664829999998</v>
      </c>
      <c r="FV24" s="130">
        <f>3.40845107+4.446324913</f>
        <v>7.8547759829999997</v>
      </c>
      <c r="FW24" s="130">
        <f>3.40845107+3.83403055</f>
        <v>7.2424816199999995</v>
      </c>
      <c r="FX24" s="130">
        <f>3.40845107+3.83403055</f>
        <v>7.2424816199999995</v>
      </c>
      <c r="FY24" s="130">
        <v>7</v>
      </c>
      <c r="FZ24" s="130">
        <f>3.80757023+3.83403055</f>
        <v>7.6416007800000001</v>
      </c>
      <c r="GA24" s="130">
        <f>3.80757023+3.83403055</f>
        <v>7.6416007800000001</v>
      </c>
      <c r="GB24" s="130">
        <f>3.80757023+3.70878576</f>
        <v>7.5163559900000001</v>
      </c>
      <c r="GC24" s="130">
        <f>3.80757023+3.70878576</f>
        <v>7.5163559900000001</v>
      </c>
      <c r="GD24" s="130">
        <f>3.80757023+3.70878576</f>
        <v>7.5163559900000001</v>
      </c>
      <c r="GE24" s="130">
        <f>3.80757023+3.65877776</f>
        <v>7.46634799</v>
      </c>
      <c r="GF24" s="130">
        <f>3.80757023+3.65877776</f>
        <v>7.46634799</v>
      </c>
      <c r="GG24" s="130">
        <f>3.80757023+2.1160635</f>
        <v>5.9236337300000006</v>
      </c>
      <c r="GH24" s="130">
        <f>3.80757023+2.1160635</f>
        <v>5.9236337300000006</v>
      </c>
      <c r="GI24" s="130">
        <v>5.6281260399999997</v>
      </c>
      <c r="GJ24" s="130">
        <v>5.6281260399999997</v>
      </c>
      <c r="GK24" s="130">
        <v>5.5959309600000005</v>
      </c>
      <c r="GL24" s="130">
        <v>5.5959309600000005</v>
      </c>
      <c r="GM24" s="130">
        <v>5.3505662200000002</v>
      </c>
      <c r="GN24" s="130">
        <v>4.3356018899999995</v>
      </c>
      <c r="GO24" s="130">
        <v>4.3356018899999995</v>
      </c>
      <c r="GP24" s="130">
        <v>4.3311438899999999</v>
      </c>
      <c r="GQ24" s="130">
        <v>4.2680466099999999</v>
      </c>
      <c r="GR24" s="130">
        <v>4.2680466099999999</v>
      </c>
      <c r="GS24" s="130">
        <v>4.2680466099999999</v>
      </c>
      <c r="GT24" s="130">
        <v>4.2680466099999999</v>
      </c>
      <c r="GU24" s="130">
        <v>4.2035091299999996</v>
      </c>
      <c r="GV24" s="130">
        <v>4.19347213</v>
      </c>
      <c r="GW24" s="130">
        <v>4.19347213</v>
      </c>
      <c r="GX24" s="130">
        <v>0</v>
      </c>
      <c r="GY24" s="130">
        <v>7.0321331699999998</v>
      </c>
      <c r="GZ24" s="130">
        <v>7.0310751700000003</v>
      </c>
      <c r="HA24" s="130">
        <v>6.88558059</v>
      </c>
      <c r="HB24" s="130">
        <v>6.88558059</v>
      </c>
      <c r="HC24" s="130">
        <v>6.88558059</v>
      </c>
      <c r="HD24" s="130">
        <v>6.0564842800000003</v>
      </c>
      <c r="HE24" s="130">
        <v>6.0630388399999999</v>
      </c>
      <c r="HF24" s="130">
        <v>6.0556388399999994</v>
      </c>
      <c r="HG24" s="130">
        <v>6.0535388399999999</v>
      </c>
      <c r="HH24" s="130">
        <v>6.0535388399999999</v>
      </c>
      <c r="HI24" s="130">
        <v>6.0435018400000002</v>
      </c>
      <c r="HJ24" s="130">
        <v>6.9930649599999999</v>
      </c>
      <c r="HK24" s="130">
        <v>6.7649487199999996</v>
      </c>
      <c r="HL24" s="130">
        <v>6.73494072</v>
      </c>
      <c r="HM24" s="130">
        <v>7.3458031200000002</v>
      </c>
      <c r="HN24" s="130">
        <v>7.3458031200000002</v>
      </c>
      <c r="HO24" s="130">
        <v>7.3458031200000002</v>
      </c>
      <c r="HP24" s="130">
        <v>7.3458031200000002</v>
      </c>
      <c r="HQ24" s="130">
        <v>7.1815566799999999</v>
      </c>
      <c r="HR24" s="130">
        <v>7.1917188699999999</v>
      </c>
      <c r="HS24" s="130">
        <v>6.8306825399999997</v>
      </c>
      <c r="HT24" s="949">
        <v>6.8306825399999997</v>
      </c>
      <c r="HU24" s="949">
        <v>6.8306825399999997</v>
      </c>
      <c r="HV24" s="949">
        <v>6.8135220300000006</v>
      </c>
      <c r="HW24" s="949">
        <v>6.8135220300000006</v>
      </c>
      <c r="HX24" s="949">
        <v>6.7513770300000004</v>
      </c>
      <c r="HY24" s="949">
        <v>6.7513770300000004</v>
      </c>
      <c r="HZ24" s="949">
        <v>6.7411879299999997</v>
      </c>
      <c r="IA24" s="949">
        <v>6.7389082199999999</v>
      </c>
      <c r="IB24" s="949">
        <v>6.4787361700000003</v>
      </c>
      <c r="IC24" s="949">
        <v>6.4787361700000003</v>
      </c>
      <c r="ID24" s="949">
        <v>6.4787361700000003</v>
      </c>
      <c r="IE24" s="949">
        <v>6.3699985999999997</v>
      </c>
      <c r="IF24" s="949">
        <v>6.3699985999999997</v>
      </c>
      <c r="IG24" s="949">
        <v>6.3699985999999997</v>
      </c>
      <c r="IH24" s="949">
        <v>6.3699985999999997</v>
      </c>
      <c r="II24" s="949">
        <v>6.3699985999999997</v>
      </c>
      <c r="IJ24" s="949">
        <v>6.3699985999999997</v>
      </c>
      <c r="IK24" s="949">
        <v>6.1898446399999996</v>
      </c>
      <c r="IL24" s="949">
        <v>6.1898446399999996</v>
      </c>
      <c r="IM24" s="949">
        <v>6.1898446399999996</v>
      </c>
      <c r="IN24" s="949">
        <v>6.1095009899999999</v>
      </c>
      <c r="IO24" s="949">
        <v>5.6708945199999992</v>
      </c>
      <c r="IP24" s="949">
        <v>4.31922169</v>
      </c>
      <c r="IQ24" s="949">
        <v>4.3158631100000004</v>
      </c>
      <c r="IR24" s="949">
        <v>4.3158631100000004</v>
      </c>
      <c r="IS24" s="949">
        <v>4.3158631100000004</v>
      </c>
      <c r="IT24" s="949">
        <v>4.2999299000000004</v>
      </c>
      <c r="IU24" s="949">
        <v>4.6206503200000002</v>
      </c>
      <c r="IV24" s="949">
        <v>4.6206503200000002</v>
      </c>
      <c r="IW24" s="949">
        <v>5.2281044200000002</v>
      </c>
      <c r="IX24" s="949">
        <v>5.2281044200000002</v>
      </c>
      <c r="IY24" s="949">
        <v>5.2281044200000002</v>
      </c>
      <c r="IZ24" s="949">
        <v>6.6030536</v>
      </c>
      <c r="JA24" s="949">
        <v>6.6030536</v>
      </c>
      <c r="JB24" s="949">
        <v>6.6030536</v>
      </c>
      <c r="JC24" s="949">
        <v>6.3314587900000001</v>
      </c>
      <c r="JD24" s="949">
        <v>6.3314587900000001</v>
      </c>
      <c r="JE24" s="949">
        <v>6.3314587900000001</v>
      </c>
      <c r="JF24" s="949">
        <v>6.3314587900000001</v>
      </c>
      <c r="JG24" s="949">
        <v>6.3242396799999998</v>
      </c>
      <c r="JH24" s="949">
        <v>6.3242396799999998</v>
      </c>
      <c r="JI24" s="949">
        <v>6.3242396799999998</v>
      </c>
      <c r="JJ24" s="949">
        <v>6.3047026800000001</v>
      </c>
      <c r="JK24" s="949">
        <v>6.3047026800000001</v>
      </c>
      <c r="JL24" s="949">
        <v>6.3047026800000001</v>
      </c>
      <c r="JM24" s="949">
        <v>6.3047026800000001</v>
      </c>
      <c r="JN24" s="949">
        <v>6.3047026800000001</v>
      </c>
      <c r="JO24" s="949">
        <v>6.3047026800000001</v>
      </c>
      <c r="JP24" s="949">
        <v>6.28834333</v>
      </c>
      <c r="JQ24" s="949">
        <v>6.28834333</v>
      </c>
      <c r="JR24" s="949">
        <v>6.28834333</v>
      </c>
      <c r="JS24" s="949">
        <v>6.28834333</v>
      </c>
      <c r="JT24" s="949">
        <v>6.28834333</v>
      </c>
      <c r="JU24" s="949">
        <v>6.28834333</v>
      </c>
      <c r="JV24" s="949">
        <v>6.28834333</v>
      </c>
      <c r="JW24" s="949">
        <v>6.3010521900000001</v>
      </c>
      <c r="JX24" s="949">
        <v>6.3010521900000001</v>
      </c>
      <c r="JY24" s="949">
        <v>6.2819944300000001</v>
      </c>
      <c r="JZ24" s="949">
        <v>6.2819944300000001</v>
      </c>
      <c r="KA24" s="949">
        <v>6.2819944300000001</v>
      </c>
      <c r="KB24" s="949">
        <v>6.2819944300000001</v>
      </c>
      <c r="KC24" s="949">
        <v>6.0792844600000002</v>
      </c>
      <c r="KD24" s="949">
        <v>6.0730844599999996</v>
      </c>
      <c r="KE24" s="949">
        <v>6.0730844599999996</v>
      </c>
      <c r="KF24" s="949">
        <v>6.3047026800000001</v>
      </c>
      <c r="KG24" s="949">
        <v>6.07098446</v>
      </c>
      <c r="KH24" s="949">
        <v>6.07098446</v>
      </c>
      <c r="KI24" s="949">
        <v>6.0609474600000004</v>
      </c>
      <c r="KJ24" s="949">
        <v>6.0609474600000004</v>
      </c>
      <c r="KK24" s="949">
        <v>6.0368953599999999</v>
      </c>
      <c r="KL24" s="949">
        <v>6.0368953599999999</v>
      </c>
      <c r="KM24" s="949">
        <v>6.0368953599999999</v>
      </c>
      <c r="KN24" s="949">
        <v>6.0318583600000002</v>
      </c>
      <c r="KO24" s="949">
        <v>6.0513501399999994</v>
      </c>
      <c r="KP24" s="949">
        <v>6.0513501399999994</v>
      </c>
      <c r="KQ24" s="949">
        <v>6.0494423299999998</v>
      </c>
      <c r="KR24" s="949">
        <v>6.0494423299999998</v>
      </c>
      <c r="KS24" s="949">
        <v>6.0494423299999998</v>
      </c>
      <c r="KT24" s="949">
        <v>6.0494423299999998</v>
      </c>
      <c r="KU24" s="949">
        <v>6.0319116399999997</v>
      </c>
      <c r="KV24" s="949">
        <v>5.9509118600000006</v>
      </c>
      <c r="KW24" s="949">
        <v>6.3562538799999997</v>
      </c>
      <c r="KX24" s="949">
        <v>6.3462168800000001</v>
      </c>
      <c r="KY24" s="949">
        <v>6.3462168800000001</v>
      </c>
      <c r="KZ24" s="949">
        <v>6.3527511299999997</v>
      </c>
      <c r="LA24" s="949">
        <v>6.3527511299999997</v>
      </c>
      <c r="LB24" s="949">
        <v>6.3527511299999997</v>
      </c>
      <c r="LC24" s="949">
        <v>6.3527511299999997</v>
      </c>
      <c r="LD24" s="949">
        <v>6.3527511299999997</v>
      </c>
      <c r="LE24" s="949">
        <v>6.3301698200000001</v>
      </c>
      <c r="LF24" s="949">
        <v>6.3301698200000001</v>
      </c>
      <c r="LG24" s="949">
        <v>6.3301698200000001</v>
      </c>
      <c r="LH24" s="949">
        <v>6.3301698200000001</v>
      </c>
      <c r="LI24" s="949">
        <v>6.33701092</v>
      </c>
      <c r="LJ24" s="949">
        <v>6.33701092</v>
      </c>
      <c r="LK24" s="949">
        <v>6.33701092</v>
      </c>
      <c r="LL24" s="949">
        <v>6.33701092</v>
      </c>
      <c r="LM24" s="949">
        <v>6.33701092</v>
      </c>
      <c r="LN24" s="949">
        <v>6.3178949299999996</v>
      </c>
      <c r="LO24" s="949">
        <v>6.3178949299999996</v>
      </c>
      <c r="LP24" s="949">
        <v>6.3178949299999996</v>
      </c>
      <c r="LQ24" s="949">
        <v>6.1946951299999995</v>
      </c>
      <c r="LR24" s="949">
        <v>6.2396366700000003</v>
      </c>
      <c r="LS24" s="949">
        <v>6.2396366700000003</v>
      </c>
      <c r="LT24" s="949">
        <v>6.2375366699999999</v>
      </c>
      <c r="LU24" s="949">
        <v>6.2375366699999999</v>
      </c>
      <c r="LV24" s="949">
        <v>6.3926947599999995</v>
      </c>
      <c r="LW24" s="949">
        <v>6.3926947599999995</v>
      </c>
      <c r="LX24" s="949">
        <v>6.9263252300000007</v>
      </c>
      <c r="LY24" s="949">
        <v>6.9263252300000007</v>
      </c>
      <c r="LZ24" s="949">
        <v>6.9386062699999993</v>
      </c>
      <c r="MA24" s="949">
        <v>6.9386062699999993</v>
      </c>
      <c r="MB24" s="949">
        <v>6.9386062699999993</v>
      </c>
      <c r="MC24" s="949">
        <v>6.9386062699999993</v>
      </c>
      <c r="MD24" s="949">
        <v>6.9386062699999993</v>
      </c>
      <c r="ME24" s="949">
        <v>6.9386062699999993</v>
      </c>
      <c r="MF24" s="949">
        <v>6.9386062699999993</v>
      </c>
      <c r="MG24" s="949">
        <v>6.9386062699999993</v>
      </c>
      <c r="MH24" s="949">
        <v>6.9333933099999996</v>
      </c>
      <c r="MI24" s="949">
        <v>6.9333933099999996</v>
      </c>
      <c r="MJ24" s="949">
        <v>6.9192414199999996</v>
      </c>
      <c r="MK24" s="949">
        <v>6.9142044199999999</v>
      </c>
      <c r="ML24" s="949">
        <v>6.9142044199999999</v>
      </c>
      <c r="MM24" s="949">
        <v>6.9142044199999999</v>
      </c>
      <c r="MN24" s="949">
        <v>6.9142044199999999</v>
      </c>
      <c r="MO24" s="949">
        <v>6.9142044199999999</v>
      </c>
      <c r="MP24" s="949">
        <v>6.9142044199999999</v>
      </c>
      <c r="MQ24" s="949">
        <v>6.8744251299999997</v>
      </c>
      <c r="MR24" s="949">
        <v>6.8744251299999997</v>
      </c>
      <c r="MS24" s="949">
        <v>6.8744251299999997</v>
      </c>
      <c r="MT24" s="949">
        <v>6.8509807599999997</v>
      </c>
      <c r="MU24" s="949">
        <v>6.8509807599999997</v>
      </c>
      <c r="MV24" s="949">
        <v>6.8509807599999997</v>
      </c>
      <c r="MW24" s="949">
        <v>6.8509807599999997</v>
      </c>
      <c r="MX24" s="949">
        <v>6.8509807599999997</v>
      </c>
      <c r="MY24" s="949">
        <v>6.8509807599999997</v>
      </c>
      <c r="MZ24" s="949">
        <v>6.8509807599999997</v>
      </c>
      <c r="NA24" s="949">
        <v>6.8509807599999997</v>
      </c>
      <c r="NB24" s="949">
        <v>6.8509807599999997</v>
      </c>
      <c r="NC24" s="949">
        <v>6.8509807599999997</v>
      </c>
      <c r="ND24" s="949">
        <v>6.8509807599999997</v>
      </c>
      <c r="NE24" s="949">
        <v>6.8509807599999997</v>
      </c>
      <c r="NF24" s="949">
        <v>6.8514854500000002</v>
      </c>
      <c r="NG24" s="949">
        <v>6.8514854500000002</v>
      </c>
      <c r="NH24" s="949">
        <v>6.8514854500000002</v>
      </c>
      <c r="NI24" s="949">
        <v>6.8505854500000005</v>
      </c>
      <c r="NJ24" s="949">
        <v>6.8505854500000005</v>
      </c>
      <c r="NK24" s="949">
        <v>6.8384484500000005</v>
      </c>
      <c r="NL24" s="949">
        <v>6.8384484500000005</v>
      </c>
      <c r="NM24" s="949">
        <v>6.8318887799999999</v>
      </c>
      <c r="NN24" s="949">
        <v>6.8318887799999999</v>
      </c>
      <c r="NO24" s="949">
        <v>6.8318887799999999</v>
      </c>
      <c r="NP24" s="949">
        <v>6.8103852400000005</v>
      </c>
      <c r="NQ24" s="949">
        <v>6.8103852400000005</v>
      </c>
      <c r="NR24" s="949">
        <v>6.8299962000000001</v>
      </c>
      <c r="NS24" s="949">
        <v>6.8299962000000001</v>
      </c>
      <c r="NT24" s="949">
        <v>6.8299962000000001</v>
      </c>
      <c r="NU24" s="949">
        <v>6.8299962000000001</v>
      </c>
      <c r="NV24" s="949">
        <v>6.8299962000000001</v>
      </c>
      <c r="NW24" s="949">
        <v>6.8299962000000001</v>
      </c>
      <c r="NX24" s="949">
        <v>6.8299962000000001</v>
      </c>
      <c r="NY24" s="949">
        <v>6.8299962000000001</v>
      </c>
      <c r="NZ24" s="949">
        <v>6.8168817300000004</v>
      </c>
      <c r="OA24" s="949">
        <v>6.8168817300000004</v>
      </c>
      <c r="OB24" s="949">
        <v>6.8168817300000004</v>
      </c>
      <c r="OC24" s="949">
        <v>6.8194134999999996</v>
      </c>
      <c r="OD24" s="949">
        <v>6.8194134999999996</v>
      </c>
      <c r="OE24" s="949">
        <v>6.8194134999999996</v>
      </c>
      <c r="OF24" s="949">
        <v>6.8194134999999996</v>
      </c>
      <c r="OG24" s="949">
        <v>6.8063764999999998</v>
      </c>
      <c r="OH24" s="949">
        <v>6.8063764999999998</v>
      </c>
      <c r="OI24" s="949">
        <v>6.3527511299999997</v>
      </c>
      <c r="OJ24" s="949">
        <v>6.7898850300000007</v>
      </c>
      <c r="OK24" s="949">
        <v>6.7898850300000007</v>
      </c>
      <c r="OL24" s="949">
        <v>6.8191964299999999</v>
      </c>
      <c r="OM24" s="949">
        <v>6.8191964299999999</v>
      </c>
      <c r="ON24" s="949">
        <v>6.8191964299999999</v>
      </c>
      <c r="OO24" s="949">
        <v>6.8375073300000002</v>
      </c>
      <c r="OP24" s="949">
        <v>6.8375073300000002</v>
      </c>
      <c r="OQ24" s="949">
        <v>6.8375073300000002</v>
      </c>
      <c r="OR24" s="949">
        <v>6.8375073300000002</v>
      </c>
      <c r="OS24" s="949">
        <v>6.8311371400000001</v>
      </c>
      <c r="OT24" s="949">
        <v>6.8311371400000001</v>
      </c>
      <c r="OU24" s="949">
        <v>6.8311371400000001</v>
      </c>
      <c r="OV24" s="949">
        <v>6.8311371400000001</v>
      </c>
      <c r="OW24" s="949">
        <v>7.0661540600000006</v>
      </c>
      <c r="OX24" s="949">
        <v>7.0661540600000006</v>
      </c>
      <c r="OY24" s="949">
        <v>6.6781732400000005</v>
      </c>
      <c r="OZ24" s="949">
        <v>6.6781732400000005</v>
      </c>
      <c r="PA24" s="949">
        <v>6.6781732400000005</v>
      </c>
      <c r="PB24" s="949">
        <v>7.6777800100000002</v>
      </c>
      <c r="PC24" s="949">
        <v>7.6777800100000002</v>
      </c>
      <c r="PD24" s="949">
        <v>7.6777800100000002</v>
      </c>
      <c r="PE24" s="949">
        <v>7.6774897300000005</v>
      </c>
      <c r="PF24" s="949">
        <v>7.6744817300000001</v>
      </c>
      <c r="PG24" s="949">
        <v>7.6744817300000001</v>
      </c>
      <c r="PH24" s="949">
        <v>7.6744817300000001</v>
      </c>
      <c r="PI24" s="949">
        <v>7.5977635899999996</v>
      </c>
      <c r="PJ24" s="949">
        <v>7.5977635899999996</v>
      </c>
      <c r="PK24" s="949">
        <v>7.5977635899999996</v>
      </c>
      <c r="PL24" s="949">
        <v>7.5977635899999996</v>
      </c>
      <c r="PM24" s="949">
        <v>7.5977635899999996</v>
      </c>
      <c r="PN24" s="949">
        <v>7.1745280599999992</v>
      </c>
      <c r="PO24" s="949">
        <v>7.1745280599999992</v>
      </c>
      <c r="PP24" s="949">
        <v>7.17683362</v>
      </c>
      <c r="PQ24" s="949">
        <v>7.17683362</v>
      </c>
      <c r="PR24" s="949">
        <v>7.17683362</v>
      </c>
      <c r="PS24" s="949">
        <v>7.1589812400000001</v>
      </c>
      <c r="PT24" s="949">
        <v>7.1589812400000001</v>
      </c>
      <c r="PU24" s="949">
        <v>6.9007066300000002</v>
      </c>
      <c r="PV24" s="949">
        <v>6.9007066300000002</v>
      </c>
      <c r="PW24" s="949">
        <v>6.9007066300000002</v>
      </c>
      <c r="PX24" s="949">
        <v>9.2447250899999993</v>
      </c>
      <c r="PY24" s="949">
        <v>9.2632305500000012</v>
      </c>
      <c r="PZ24" s="949">
        <v>9.2632305500000012</v>
      </c>
      <c r="QA24" s="949">
        <v>9.2632305500000012</v>
      </c>
      <c r="QB24" s="949">
        <v>9.2632305500000012</v>
      </c>
      <c r="QC24" s="949">
        <v>9.2632305500000012</v>
      </c>
      <c r="QD24" s="949">
        <v>9.2632305500000012</v>
      </c>
      <c r="QE24" s="949">
        <v>8.9978979700000004</v>
      </c>
      <c r="QF24" s="949">
        <v>8.9978979700000004</v>
      </c>
      <c r="QG24" s="949">
        <v>8.9978979700000004</v>
      </c>
      <c r="QH24" s="949">
        <v>8.9978979700000004</v>
      </c>
      <c r="QI24" s="949">
        <v>10.395749589999999</v>
      </c>
      <c r="QJ24" s="949">
        <v>10.395749589999999</v>
      </c>
      <c r="QK24" s="949">
        <v>10.35814871</v>
      </c>
      <c r="QL24" s="949">
        <v>10.35814871</v>
      </c>
      <c r="QM24" s="949">
        <v>10.35814871</v>
      </c>
      <c r="QN24" s="949">
        <v>9.8977544700000006</v>
      </c>
      <c r="QO24" s="949">
        <v>9.8977544700000006</v>
      </c>
      <c r="QP24" s="949">
        <v>9.8977544700000006</v>
      </c>
      <c r="QQ24" s="949">
        <v>9.9310737200000005</v>
      </c>
      <c r="QR24" s="949">
        <v>9.9310737200000005</v>
      </c>
      <c r="QS24" s="949">
        <v>10.506058560000001</v>
      </c>
      <c r="QT24" s="949">
        <v>10.50434156</v>
      </c>
      <c r="QU24" s="949">
        <v>10.50434156</v>
      </c>
      <c r="QV24" s="949">
        <v>10.438624220000001</v>
      </c>
      <c r="QW24" s="949">
        <v>10.50434156</v>
      </c>
      <c r="QX24" s="949">
        <v>10.50434156</v>
      </c>
      <c r="QY24" s="949">
        <v>10.31928336</v>
      </c>
      <c r="QZ24" s="949">
        <v>10.31928336</v>
      </c>
      <c r="RA24" s="949">
        <v>10.33377516</v>
      </c>
      <c r="RB24" s="949">
        <v>10.33377516</v>
      </c>
      <c r="RC24" s="949">
        <v>10.33377516</v>
      </c>
      <c r="RD24" s="949">
        <v>10.33377516</v>
      </c>
      <c r="RE24" s="949">
        <v>1.5996446899999999</v>
      </c>
      <c r="RF24" s="949">
        <v>1.5996446899999999</v>
      </c>
      <c r="RG24" s="949">
        <v>1.5996446899999999</v>
      </c>
      <c r="RH24" s="949">
        <v>1.50322668</v>
      </c>
      <c r="RI24" s="949">
        <v>1.23468186</v>
      </c>
      <c r="RJ24" s="949">
        <v>1.23468186</v>
      </c>
      <c r="RK24" s="949">
        <v>1.23468186</v>
      </c>
      <c r="RL24" s="949">
        <v>1.23468186</v>
      </c>
      <c r="RM24" s="949">
        <v>1.79068363</v>
      </c>
      <c r="RN24" s="949">
        <v>1.79068363</v>
      </c>
      <c r="RO24" s="949">
        <v>1.79068363</v>
      </c>
      <c r="RP24" s="949">
        <v>1.79068363</v>
      </c>
      <c r="RQ24" s="949">
        <v>1.9610606399999999</v>
      </c>
      <c r="RR24" s="949">
        <v>1.9610606399999999</v>
      </c>
      <c r="RS24" s="949">
        <v>3.49736219</v>
      </c>
      <c r="RT24" s="949">
        <v>3.49736219</v>
      </c>
      <c r="RU24" s="949">
        <v>3.49736219</v>
      </c>
      <c r="RV24" s="949">
        <v>3.49736219</v>
      </c>
      <c r="RW24" s="949">
        <v>3.49736219</v>
      </c>
      <c r="RX24" s="949">
        <v>3.49736219</v>
      </c>
      <c r="RY24" s="949">
        <v>2.8770301600000003</v>
      </c>
      <c r="RZ24" s="949">
        <v>2.8770301600000003</v>
      </c>
      <c r="SA24" s="949">
        <v>2.90951424</v>
      </c>
      <c r="SB24" s="949">
        <v>2.69883892</v>
      </c>
      <c r="SC24" s="949">
        <v>2.69883892</v>
      </c>
      <c r="SD24" s="949">
        <v>2.69883892</v>
      </c>
      <c r="SE24" s="949">
        <v>2.7334157799999996</v>
      </c>
      <c r="SF24" s="949">
        <v>2.7334157799999996</v>
      </c>
      <c r="SG24" s="949">
        <v>2.9700464500000003</v>
      </c>
      <c r="SH24" s="949">
        <v>2.9700464500000003</v>
      </c>
      <c r="SI24" s="949">
        <v>3.2808107899999999</v>
      </c>
      <c r="SJ24" s="949">
        <v>3.2808107899999999</v>
      </c>
      <c r="SK24" s="949">
        <v>3.2197735699999996</v>
      </c>
      <c r="SL24" s="949">
        <v>3.2197735699999996</v>
      </c>
      <c r="SM24" s="949">
        <v>3.1593858300000002</v>
      </c>
      <c r="SN24" s="949">
        <v>3.1593858300000002</v>
      </c>
      <c r="SO24" s="949">
        <v>3.1593858300000002</v>
      </c>
      <c r="SP24" s="949">
        <v>2.6697476</v>
      </c>
      <c r="SQ24" s="949">
        <v>2.6697476</v>
      </c>
      <c r="SR24" s="949">
        <v>2.6697476</v>
      </c>
      <c r="SS24" s="949">
        <v>2.6049026</v>
      </c>
      <c r="ST24" s="949">
        <v>2.6049026</v>
      </c>
      <c r="SU24" s="949">
        <v>2.6028026</v>
      </c>
      <c r="SV24" s="949">
        <v>2.6028026</v>
      </c>
      <c r="SW24" s="949">
        <v>2.6028026</v>
      </c>
      <c r="SX24" s="949">
        <v>2.8326889</v>
      </c>
      <c r="SY24" s="949">
        <v>2.8326889</v>
      </c>
      <c r="SZ24" s="949">
        <v>2.8326889</v>
      </c>
      <c r="TA24" s="949">
        <v>3.6682389900000003</v>
      </c>
      <c r="TB24" s="949">
        <v>3.6682389900000003</v>
      </c>
      <c r="TC24" s="949">
        <v>3.6682389900000003</v>
      </c>
      <c r="TD24" s="949">
        <v>3.6682389900000003</v>
      </c>
      <c r="TE24" s="949">
        <v>3.6682389900000003</v>
      </c>
      <c r="TF24" s="949"/>
      <c r="TG24" s="949"/>
      <c r="TH24" s="949"/>
      <c r="TI24" s="949"/>
      <c r="TJ24" s="949"/>
      <c r="TK24" s="949"/>
      <c r="TL24" s="949"/>
      <c r="TM24" s="949"/>
      <c r="TN24" s="949"/>
      <c r="TO24" s="949"/>
      <c r="TP24" s="949"/>
      <c r="TQ24" s="949"/>
      <c r="TR24" s="949"/>
      <c r="TS24" s="949"/>
      <c r="TT24" s="949"/>
      <c r="TU24" s="949"/>
      <c r="TV24" s="949"/>
      <c r="TW24" s="949"/>
      <c r="TX24" s="949"/>
      <c r="TY24" s="949"/>
      <c r="TZ24" s="949"/>
      <c r="UA24" s="949"/>
      <c r="UB24" s="949"/>
      <c r="UC24" s="949"/>
      <c r="UD24" s="949"/>
      <c r="UE24" s="949"/>
      <c r="UF24" s="949"/>
      <c r="UG24" s="949"/>
      <c r="UH24" s="949"/>
      <c r="UI24" s="949"/>
      <c r="UJ24" s="949"/>
      <c r="UK24" s="949"/>
      <c r="UL24" s="949"/>
      <c r="UM24" s="949"/>
      <c r="UN24" s="949"/>
      <c r="UO24" s="949"/>
      <c r="UP24" s="949"/>
      <c r="UQ24" s="949"/>
      <c r="UR24" s="949"/>
      <c r="US24" s="949"/>
      <c r="UT24" s="949"/>
      <c r="UU24" s="949"/>
      <c r="UV24" s="949"/>
      <c r="UW24" s="949"/>
      <c r="UX24" s="949"/>
      <c r="UY24" s="949"/>
      <c r="UZ24" s="949"/>
      <c r="VA24" s="949"/>
      <c r="VB24" s="949"/>
      <c r="VC24" s="949"/>
      <c r="VD24" s="949"/>
      <c r="VE24" s="949"/>
      <c r="VF24" s="949"/>
      <c r="VG24" s="949"/>
      <c r="VH24" s="949"/>
      <c r="VI24" s="949"/>
      <c r="VJ24" s="949"/>
      <c r="VK24" s="949"/>
      <c r="VL24" s="949"/>
      <c r="VM24" s="949"/>
      <c r="VN24" s="949"/>
      <c r="VO24" s="949"/>
      <c r="VP24" s="949"/>
      <c r="VQ24" s="949"/>
      <c r="VR24" s="949"/>
      <c r="VS24" s="949"/>
      <c r="VT24" s="949"/>
      <c r="VU24" s="949"/>
      <c r="VV24" s="949"/>
      <c r="VW24" s="949"/>
      <c r="VX24" s="949"/>
      <c r="VY24" s="949"/>
      <c r="VZ24" s="949"/>
      <c r="WA24" s="949"/>
      <c r="WB24" s="949"/>
      <c r="WC24" s="949"/>
      <c r="WD24" s="949"/>
      <c r="WE24" s="949"/>
      <c r="WF24" s="949"/>
      <c r="WG24" s="949"/>
      <c r="WH24" s="949"/>
      <c r="WI24" s="949"/>
      <c r="WJ24" s="949"/>
      <c r="WK24" s="949"/>
      <c r="WL24" s="949"/>
      <c r="WM24" s="949"/>
      <c r="WN24" s="949"/>
      <c r="WO24" s="949"/>
      <c r="WP24" s="949"/>
      <c r="WQ24" s="949"/>
      <c r="WR24" s="949"/>
      <c r="WS24" s="949"/>
      <c r="WT24" s="949"/>
      <c r="WU24" s="949"/>
      <c r="WV24" s="949"/>
      <c r="WW24" s="949"/>
      <c r="WX24" s="949"/>
      <c r="WY24" s="949"/>
      <c r="WZ24" s="949"/>
      <c r="XA24" s="949"/>
      <c r="XB24" s="949"/>
      <c r="XC24" s="949"/>
      <c r="XD24" s="949"/>
      <c r="XE24" s="949"/>
      <c r="XF24" s="949"/>
      <c r="XG24" s="949"/>
      <c r="XH24" s="949"/>
      <c r="XI24" s="949"/>
      <c r="XJ24" s="949"/>
      <c r="XK24" s="949"/>
      <c r="XL24" s="949"/>
      <c r="XM24" s="949"/>
      <c r="XN24" s="949"/>
      <c r="XO24" s="949"/>
      <c r="XP24" s="949"/>
      <c r="XQ24" s="949"/>
      <c r="XR24" s="949"/>
      <c r="XS24" s="949"/>
      <c r="XT24" s="949"/>
      <c r="XU24" s="949"/>
      <c r="XV24" s="949"/>
      <c r="XW24" s="949"/>
      <c r="XX24" s="949"/>
      <c r="XY24" s="949"/>
      <c r="XZ24" s="949"/>
      <c r="YA24" s="949"/>
      <c r="YB24" s="949"/>
      <c r="YC24" s="949"/>
      <c r="YD24" s="949"/>
      <c r="YE24" s="949"/>
      <c r="YF24" s="949"/>
      <c r="YG24" s="949"/>
      <c r="YH24" s="949"/>
    </row>
    <row r="25" spans="2:658" s="948" customFormat="1">
      <c r="B25" s="919" t="s">
        <v>65</v>
      </c>
      <c r="C25" s="920">
        <f t="shared" ref="C25:H25" si="351">SUM(C14:C23)</f>
        <v>1328.6760784999997</v>
      </c>
      <c r="D25" s="128">
        <f t="shared" si="351"/>
        <v>1369.50876548</v>
      </c>
      <c r="E25" s="128">
        <f t="shared" si="351"/>
        <v>1426.9487643</v>
      </c>
      <c r="F25" s="128">
        <f t="shared" si="351"/>
        <v>1503.9493382999999</v>
      </c>
      <c r="G25" s="128">
        <f t="shared" si="351"/>
        <v>1429.1009675899998</v>
      </c>
      <c r="H25" s="128">
        <f t="shared" si="351"/>
        <v>1440.6636960599999</v>
      </c>
      <c r="I25" s="128">
        <f t="shared" ref="I25:P25" si="352">SUM(I14:I23)</f>
        <v>1483.2650477</v>
      </c>
      <c r="J25" s="128">
        <f t="shared" si="352"/>
        <v>1545.2568832699999</v>
      </c>
      <c r="K25" s="128">
        <f t="shared" si="352"/>
        <v>1610.0625091700001</v>
      </c>
      <c r="L25" s="128">
        <f t="shared" si="352"/>
        <v>1522.2787735499999</v>
      </c>
      <c r="M25" s="128">
        <f t="shared" si="352"/>
        <v>1530.04103078</v>
      </c>
      <c r="N25" s="128">
        <f t="shared" si="352"/>
        <v>1517.37352945</v>
      </c>
      <c r="O25" s="128">
        <f t="shared" si="352"/>
        <v>1517.8637767300002</v>
      </c>
      <c r="P25" s="128">
        <f t="shared" si="352"/>
        <v>1582.3643708699999</v>
      </c>
      <c r="Q25" s="128">
        <f t="shared" ref="Q25:R25" si="353">SUM(Q14:Q23)</f>
        <v>1665.0096517500001</v>
      </c>
      <c r="R25" s="128">
        <f t="shared" si="353"/>
        <v>1685.3010763100003</v>
      </c>
      <c r="S25" s="128">
        <f t="shared" ref="S25:T25" si="354">SUM(S14:S23)</f>
        <v>1705.0484681200001</v>
      </c>
      <c r="T25" s="128">
        <f t="shared" si="354"/>
        <v>1953.5701670800001</v>
      </c>
      <c r="U25" s="128">
        <f t="shared" ref="U25" si="355">SUM(U14:U23)</f>
        <v>1685.3886654099999</v>
      </c>
      <c r="V25" s="128">
        <f t="shared" ref="V25:X25" si="356">SUM(V14:V23)</f>
        <v>1685.5249904899997</v>
      </c>
      <c r="W25" s="128">
        <f t="shared" si="356"/>
        <v>1703.9716684699999</v>
      </c>
      <c r="X25" s="128">
        <f t="shared" si="356"/>
        <v>1642.7366931000001</v>
      </c>
      <c r="Y25" s="128">
        <f t="shared" ref="Y25:Z25" si="357">SUM(Y14:Y23)</f>
        <v>2116.0789571199998</v>
      </c>
      <c r="Z25" s="128">
        <f t="shared" si="357"/>
        <v>2159.4856484500001</v>
      </c>
      <c r="AA25" s="128">
        <f t="shared" ref="AA25:AB25" si="358">SUM(AA14:AA23)</f>
        <v>2151.97292453</v>
      </c>
      <c r="AB25" s="128">
        <f t="shared" si="358"/>
        <v>2301.95867223</v>
      </c>
      <c r="AC25" s="128">
        <f t="shared" ref="AC25:AE25" si="359">SUM(AC14:AC23)</f>
        <v>2353.49816053</v>
      </c>
      <c r="AD25" s="128">
        <f t="shared" si="359"/>
        <v>2323.1395163300003</v>
      </c>
      <c r="AE25" s="128">
        <f t="shared" si="359"/>
        <v>2339.7712115099998</v>
      </c>
      <c r="AF25" s="128">
        <f t="shared" ref="AF25:AG25" si="360">SUM(AF14:AF23)</f>
        <v>2372.2050370400002</v>
      </c>
      <c r="AG25" s="128">
        <f t="shared" si="360"/>
        <v>2411.6106872699993</v>
      </c>
      <c r="AH25" s="128">
        <f t="shared" ref="AH25:AI25" si="361">SUM(AH14:AH23)</f>
        <v>2426.1664509699999</v>
      </c>
      <c r="AI25" s="128">
        <f t="shared" si="361"/>
        <v>2464.4742063399995</v>
      </c>
      <c r="AJ25" s="128">
        <f t="shared" ref="AJ25:AK25" si="362">SUM(AJ14:AJ23)</f>
        <v>2533.3804658599993</v>
      </c>
      <c r="AK25" s="128">
        <f t="shared" si="362"/>
        <v>2692.6228869299998</v>
      </c>
      <c r="AL25" s="128">
        <f t="shared" ref="AL25:AM25" si="363">SUM(AL14:AL23)</f>
        <v>2490.2828267599994</v>
      </c>
      <c r="AM25" s="128">
        <f t="shared" si="363"/>
        <v>2414.3200722099996</v>
      </c>
      <c r="AN25" s="128">
        <f t="shared" ref="AN25:AP25" si="364">SUM(AN14:AN23)</f>
        <v>2448.81877106</v>
      </c>
      <c r="AO25" s="128">
        <f t="shared" si="364"/>
        <v>2496.7756070099999</v>
      </c>
      <c r="AP25" s="128">
        <f t="shared" si="364"/>
        <v>2547.2438469599992</v>
      </c>
      <c r="AQ25" s="128">
        <f t="shared" ref="AQ25:AR25" si="365">SUM(AQ14:AQ23)</f>
        <v>2606.5285698999996</v>
      </c>
      <c r="AR25" s="128">
        <f t="shared" si="365"/>
        <v>2620.4738217999998</v>
      </c>
      <c r="AS25" s="128">
        <f t="shared" ref="AS25:AU25" si="366">SUM(AS14:AS23)</f>
        <v>3145.1938101199994</v>
      </c>
      <c r="AT25" s="128">
        <f t="shared" si="366"/>
        <v>3204.7870201000001</v>
      </c>
      <c r="AU25" s="128">
        <f t="shared" si="366"/>
        <v>3268.0397697199996</v>
      </c>
      <c r="AV25" s="128">
        <f t="shared" ref="AV25:AY25" si="367">SUM(AV14:AV23)</f>
        <v>3187.523384308</v>
      </c>
      <c r="AW25" s="128">
        <f t="shared" si="367"/>
        <v>3194.2834763599994</v>
      </c>
      <c r="AX25" s="128">
        <f t="shared" si="367"/>
        <v>3227.0043012400006</v>
      </c>
      <c r="AY25" s="128">
        <f t="shared" si="367"/>
        <v>3354.1515332250001</v>
      </c>
      <c r="AZ25" s="128">
        <f t="shared" ref="AZ25:BA25" si="368">SUM(AZ14:AZ23)</f>
        <v>3347.7732515099997</v>
      </c>
      <c r="BA25" s="128">
        <f t="shared" si="368"/>
        <v>3192.4124225700002</v>
      </c>
      <c r="BB25" s="128">
        <f t="shared" ref="BB25:BC25" si="369">SUM(BB14:BB23)</f>
        <v>3199.7322079599999</v>
      </c>
      <c r="BC25" s="128">
        <f t="shared" si="369"/>
        <v>3262.1344249399999</v>
      </c>
      <c r="BD25" s="128">
        <f t="shared" ref="BD25:BE25" si="370">SUM(BD14:BD23)</f>
        <v>3332.7994811119997</v>
      </c>
      <c r="BE25" s="128">
        <f t="shared" si="370"/>
        <v>2442.0275767590001</v>
      </c>
      <c r="BF25" s="128">
        <f t="shared" ref="BF25:BG25" si="371">SUM(BF14:BF23)</f>
        <v>2456.9480259800002</v>
      </c>
      <c r="BG25" s="128">
        <f t="shared" si="371"/>
        <v>2600.4511821200008</v>
      </c>
      <c r="BH25" s="128">
        <f t="shared" ref="BH25:BI25" si="372">SUM(BH14:BH23)</f>
        <v>1339.8112443299999</v>
      </c>
      <c r="BI25" s="128">
        <f t="shared" si="372"/>
        <v>1367.87120854</v>
      </c>
      <c r="BJ25" s="128">
        <f t="shared" ref="BJ25:BK25" si="373">SUM(BJ14:BJ23)</f>
        <v>801.00671277999993</v>
      </c>
      <c r="BK25" s="128">
        <f t="shared" si="373"/>
        <v>788.18022031999999</v>
      </c>
      <c r="BL25" s="128">
        <f t="shared" ref="BL25:BM25" si="374">SUM(BL14:BL23)</f>
        <v>829.33411142</v>
      </c>
      <c r="BM25" s="128">
        <f t="shared" si="374"/>
        <v>924.70575309999992</v>
      </c>
      <c r="BN25" s="128">
        <f t="shared" ref="BN25:BO25" si="375">SUM(BN14:BN23)</f>
        <v>990.08150675000002</v>
      </c>
      <c r="BO25" s="128">
        <f t="shared" si="375"/>
        <v>908.8604004299998</v>
      </c>
      <c r="BP25" s="128">
        <f t="shared" ref="BP25:BQ25" si="376">SUM(BP14:BP23)</f>
        <v>927.48325175999992</v>
      </c>
      <c r="BQ25" s="128">
        <f t="shared" si="376"/>
        <v>968.2883436300001</v>
      </c>
      <c r="BR25" s="128">
        <f t="shared" ref="BR25:BS25" si="377">SUM(BR14:BR23)</f>
        <v>1023.0807138130001</v>
      </c>
      <c r="BS25" s="128">
        <f t="shared" si="377"/>
        <v>1023.0807138130001</v>
      </c>
      <c r="BT25" s="128">
        <f t="shared" ref="BT25:BU25" si="378">SUM(BT14:BT23)</f>
        <v>1159.8022176300001</v>
      </c>
      <c r="BU25" s="128">
        <f t="shared" si="378"/>
        <v>1059.7162148200002</v>
      </c>
      <c r="BV25" s="128">
        <f t="shared" ref="BV25:BW25" si="379">SUM(BV14:BV23)</f>
        <v>1002.84416276</v>
      </c>
      <c r="BW25" s="128">
        <f t="shared" si="379"/>
        <v>983.78519369200001</v>
      </c>
      <c r="BX25" s="128">
        <f t="shared" ref="BX25:BY25" si="380">SUM(BX14:BX23)</f>
        <v>1046.0966060799997</v>
      </c>
      <c r="BY25" s="128">
        <f t="shared" si="380"/>
        <v>979.84075473999997</v>
      </c>
      <c r="BZ25" s="128">
        <f t="shared" ref="BZ25:CB25" si="381">SUM(BZ14:BZ23)</f>
        <v>976.18126370000016</v>
      </c>
      <c r="CA25" s="128">
        <f t="shared" ref="CA25" si="382">SUM(CA14:CA23)</f>
        <v>988.89052909000031</v>
      </c>
      <c r="CB25" s="128">
        <f t="shared" si="381"/>
        <v>1044.5338454000002</v>
      </c>
      <c r="CC25" s="128">
        <f t="shared" ref="CC25:CD25" si="383">SUM(CC14:CC23)</f>
        <v>984.29928568000003</v>
      </c>
      <c r="CD25" s="128">
        <f t="shared" si="383"/>
        <v>973.46868160000031</v>
      </c>
      <c r="CE25" s="128">
        <f t="shared" ref="CE25:CF25" si="384">SUM(CE14:CE23)</f>
        <v>1005.5251515100002</v>
      </c>
      <c r="CF25" s="128">
        <f t="shared" si="384"/>
        <v>1005.5251515100002</v>
      </c>
      <c r="CG25" s="128">
        <f t="shared" ref="CG25:CH25" si="385">SUM(CG14:CG23)</f>
        <v>1042.7115525300001</v>
      </c>
      <c r="CH25" s="128">
        <f t="shared" si="385"/>
        <v>1147.6548458200002</v>
      </c>
      <c r="CI25" s="128">
        <f t="shared" ref="CI25:CJ25" si="386">SUM(CI14:CI23)</f>
        <v>999.01834315000008</v>
      </c>
      <c r="CJ25" s="128">
        <f t="shared" si="386"/>
        <v>1013.185362919</v>
      </c>
      <c r="CK25" s="128">
        <f t="shared" ref="CK25:CL25" si="387">SUM(CK14:CK23)</f>
        <v>1055.0107891499997</v>
      </c>
      <c r="CL25" s="128">
        <f t="shared" si="387"/>
        <v>1110.4078148900001</v>
      </c>
      <c r="CM25" s="128">
        <f t="shared" ref="CM25:CN25" si="388">SUM(CM14:CM23)</f>
        <v>1217.3695682499999</v>
      </c>
      <c r="CN25" s="128">
        <f t="shared" si="388"/>
        <v>1129.5152317999998</v>
      </c>
      <c r="CO25" s="128">
        <f t="shared" ref="CO25:CP25" si="389">SUM(CO14:CO23)</f>
        <v>1194.3897955200002</v>
      </c>
      <c r="CP25" s="128">
        <f t="shared" si="389"/>
        <v>1201.9436295099999</v>
      </c>
      <c r="CQ25" s="128">
        <f t="shared" ref="CQ25:CR25" si="390">SUM(CQ14:CQ23)</f>
        <v>1291.6954123599999</v>
      </c>
      <c r="CR25" s="128">
        <f t="shared" si="390"/>
        <v>1326.0098372200002</v>
      </c>
      <c r="CS25" s="128">
        <f t="shared" ref="CS25:CT25" si="391">SUM(CS14:CS23)</f>
        <v>1338.3382709100003</v>
      </c>
      <c r="CT25" s="128">
        <f t="shared" si="391"/>
        <v>1371.9958121300003</v>
      </c>
      <c r="CU25" s="128">
        <f t="shared" ref="CU25:CV25" si="392">SUM(CU14:CU23)</f>
        <v>1363.5359868900002</v>
      </c>
      <c r="CV25" s="128">
        <f t="shared" si="392"/>
        <v>1416.4763575200002</v>
      </c>
      <c r="CW25" s="128">
        <f t="shared" ref="CW25:CX25" si="393">SUM(CW14:CW23)</f>
        <v>1629.7176964600001</v>
      </c>
      <c r="CX25" s="128">
        <f t="shared" si="393"/>
        <v>1629.7176964600001</v>
      </c>
      <c r="CY25" s="128">
        <f t="shared" ref="CY25:CZ25" si="394">SUM(CY14:CY23)</f>
        <v>1517.4648736500001</v>
      </c>
      <c r="CZ25" s="128">
        <f t="shared" si="394"/>
        <v>1517.4648975999999</v>
      </c>
      <c r="DA25" s="128">
        <f t="shared" ref="DA25:DB25" si="395">SUM(DA14:DA23)</f>
        <v>1654.3018992899997</v>
      </c>
      <c r="DB25" s="128">
        <f t="shared" si="395"/>
        <v>1743.02433658</v>
      </c>
      <c r="DC25" s="128">
        <f t="shared" ref="DC25:DD25" si="396">SUM(DC14:DC23)</f>
        <v>1740.0842132600001</v>
      </c>
      <c r="DD25" s="128">
        <f t="shared" si="396"/>
        <v>1754.2476184100001</v>
      </c>
      <c r="DE25" s="128">
        <f t="shared" ref="DE25:DF25" si="397">SUM(DE14:DE23)</f>
        <v>1757.5391877200002</v>
      </c>
      <c r="DF25" s="128">
        <f t="shared" si="397"/>
        <v>1894.40360706</v>
      </c>
      <c r="DG25" s="128">
        <f t="shared" ref="DG25:DH25" si="398">SUM(DG14:DG23)</f>
        <v>1935.2544100500002</v>
      </c>
      <c r="DH25" s="128">
        <f t="shared" si="398"/>
        <v>1782.8623638200004</v>
      </c>
      <c r="DI25" s="128">
        <f t="shared" ref="DI25:DJ25" si="399">SUM(DI14:DI23)</f>
        <v>1763.2629240600002</v>
      </c>
      <c r="DJ25" s="128">
        <f t="shared" si="399"/>
        <v>1760.8267772200004</v>
      </c>
      <c r="DK25" s="128">
        <f t="shared" ref="DK25:DL25" si="400">SUM(DK14:DK23)</f>
        <v>1817.4089058500001</v>
      </c>
      <c r="DL25" s="128">
        <f t="shared" si="400"/>
        <v>1911.4618395799998</v>
      </c>
      <c r="DM25" s="128">
        <f t="shared" ref="DM25:DN25" si="401">SUM(DM14:DM23)</f>
        <v>1911.4618395799998</v>
      </c>
      <c r="DN25" s="128">
        <f t="shared" si="401"/>
        <v>1764.1057350700003</v>
      </c>
      <c r="DO25" s="128">
        <f t="shared" ref="DO25:DP25" si="402">SUM(DO14:DO23)</f>
        <v>1792.8469127999999</v>
      </c>
      <c r="DP25" s="128">
        <f t="shared" si="402"/>
        <v>1792.8469127999999</v>
      </c>
      <c r="DQ25" s="128">
        <f t="shared" ref="DQ25:DR25" si="403">SUM(DQ14:DQ23)</f>
        <v>1282.0659987800002</v>
      </c>
      <c r="DR25" s="128">
        <f t="shared" si="403"/>
        <v>1239.0625095399998</v>
      </c>
      <c r="DS25" s="128">
        <f t="shared" ref="DS25:DT25" si="404">SUM(DS14:DS23)</f>
        <v>1239.0625095399998</v>
      </c>
      <c r="DT25" s="128">
        <f t="shared" si="404"/>
        <v>597.24211898999988</v>
      </c>
      <c r="DU25" s="128">
        <f t="shared" ref="DU25:DV25" si="405">SUM(DU14:DU23)</f>
        <v>635.39949431999992</v>
      </c>
      <c r="DV25" s="128">
        <f t="shared" si="405"/>
        <v>685.73021870000002</v>
      </c>
      <c r="DW25" s="128">
        <f t="shared" ref="DW25:DX25" si="406">SUM(DW14:DW23)</f>
        <v>749.71159161000003</v>
      </c>
      <c r="DX25" s="128">
        <f t="shared" si="406"/>
        <v>777.19766001999994</v>
      </c>
      <c r="DY25" s="128">
        <f t="shared" ref="DY25:DZ25" si="407">SUM(DY14:DY23)</f>
        <v>663.29495322999992</v>
      </c>
      <c r="DZ25" s="128">
        <f t="shared" si="407"/>
        <v>723.54592895999997</v>
      </c>
      <c r="EA25" s="128">
        <f t="shared" ref="EA25:EB25" si="408">SUM(EA14:EA23)</f>
        <v>770.15135166000016</v>
      </c>
      <c r="EB25" s="128">
        <f t="shared" si="408"/>
        <v>801.02431660000013</v>
      </c>
      <c r="EC25" s="128">
        <f t="shared" ref="EC25:ED25" si="409">SUM(EC14:EC23)</f>
        <v>716.66827646000013</v>
      </c>
      <c r="ED25" s="128">
        <f t="shared" si="409"/>
        <v>740.53671863</v>
      </c>
      <c r="EE25" s="128">
        <f t="shared" ref="EE25:EF25" si="410">SUM(EE14:EE23)</f>
        <v>804.39531989999989</v>
      </c>
      <c r="EF25" s="128">
        <f t="shared" si="410"/>
        <v>873.59699462000003</v>
      </c>
      <c r="EG25" s="128">
        <f t="shared" ref="EG25:EH25" si="411">SUM(EG14:EG23)</f>
        <v>924.66257985999994</v>
      </c>
      <c r="EH25" s="128">
        <f t="shared" si="411"/>
        <v>797.24904189000017</v>
      </c>
      <c r="EI25" s="128">
        <f t="shared" ref="EI25:EJ25" si="412">SUM(EI14:EI23)</f>
        <v>809.10131927000009</v>
      </c>
      <c r="EJ25" s="128">
        <f t="shared" si="412"/>
        <v>821.98283951999997</v>
      </c>
      <c r="EK25" s="128">
        <f t="shared" ref="EK25:EL25" si="413">SUM(EK14:EK23)</f>
        <v>889.05342285000006</v>
      </c>
      <c r="EL25" s="128">
        <f t="shared" si="413"/>
        <v>945.76160449000008</v>
      </c>
      <c r="EM25" s="128">
        <f t="shared" ref="EM25:EN25" si="414">SUM(EM14:EM23)</f>
        <v>848.05170477000013</v>
      </c>
      <c r="EN25" s="128">
        <f t="shared" si="414"/>
        <v>831.0252275900001</v>
      </c>
      <c r="EO25" s="128">
        <f t="shared" ref="EO25:EP25" si="415">SUM(EO14:EO23)</f>
        <v>837.58813280000004</v>
      </c>
      <c r="EP25" s="128">
        <f t="shared" si="415"/>
        <v>889.06964296000012</v>
      </c>
      <c r="EQ25" s="128">
        <f t="shared" ref="EQ25:ER25" si="416">SUM(EQ14:EQ23)</f>
        <v>798.35960878000003</v>
      </c>
      <c r="ER25" s="128">
        <f t="shared" si="416"/>
        <v>798.35960878000003</v>
      </c>
      <c r="ES25" s="128">
        <f t="shared" ref="ES25:ET25" si="417">SUM(ES14:ES23)</f>
        <v>843.07735347999994</v>
      </c>
      <c r="ET25" s="128">
        <f t="shared" si="417"/>
        <v>1044.8322625600001</v>
      </c>
      <c r="EU25" s="128">
        <f t="shared" ref="EU25:EV25" si="418">SUM(EU14:EU23)</f>
        <v>1118.48805197</v>
      </c>
      <c r="EV25" s="128">
        <f t="shared" si="418"/>
        <v>1162.0418673900001</v>
      </c>
      <c r="EW25" s="128">
        <f t="shared" ref="EW25:EX25" si="419">SUM(EW14:EW23)</f>
        <v>1061.5586202100001</v>
      </c>
      <c r="EX25" s="128">
        <f t="shared" si="419"/>
        <v>1178.4688053099999</v>
      </c>
      <c r="EY25" s="128">
        <f t="shared" ref="EY25:EZ25" si="420">SUM(EY14:EY23)</f>
        <v>1243.5691176399998</v>
      </c>
      <c r="EZ25" s="128">
        <f t="shared" si="420"/>
        <v>1301.3573409799999</v>
      </c>
      <c r="FA25" s="128">
        <f t="shared" ref="FA25:FB25" si="421">SUM(FA14:FA23)</f>
        <v>1246.31455652</v>
      </c>
      <c r="FB25" s="128">
        <f t="shared" si="421"/>
        <v>1264</v>
      </c>
      <c r="FC25" s="128">
        <f t="shared" ref="FC25:FD25" si="422">SUM(FC14:FC23)</f>
        <v>1503.28653951</v>
      </c>
      <c r="FD25" s="128">
        <f t="shared" si="422"/>
        <v>1581.06453489</v>
      </c>
      <c r="FE25" s="128">
        <f t="shared" ref="FE25:FF25" si="423">SUM(FE14:FE23)</f>
        <v>1545.0386954899998</v>
      </c>
      <c r="FF25" s="128">
        <f t="shared" si="423"/>
        <v>1463.44957806</v>
      </c>
      <c r="FG25" s="128">
        <f t="shared" ref="FG25:FI25" si="424">SUM(FG14:FG23)</f>
        <v>1510.05984272</v>
      </c>
      <c r="FH25" s="128">
        <f t="shared" si="424"/>
        <v>1557</v>
      </c>
      <c r="FI25" s="128">
        <f t="shared" si="424"/>
        <v>1627.3894281400001</v>
      </c>
      <c r="FJ25" s="128">
        <f t="shared" ref="FJ25" si="425">SUM(FJ14:FJ23)</f>
        <v>1652.4042800600002</v>
      </c>
      <c r="FK25" s="128">
        <f t="shared" ref="FK25:FL25" si="426">SUM(FK14:FK23)</f>
        <v>1652.4042800600002</v>
      </c>
      <c r="FL25" s="128">
        <f t="shared" si="426"/>
        <v>1416.5592438000001</v>
      </c>
      <c r="FM25" s="128">
        <f t="shared" ref="FM25:FN25" si="427">SUM(FM14:FM23)</f>
        <v>1459</v>
      </c>
      <c r="FN25" s="128">
        <f t="shared" si="427"/>
        <v>1513.6635980600001</v>
      </c>
      <c r="FO25" s="128">
        <f t="shared" ref="FO25:FP25" si="428">SUM(FO14:FO23)</f>
        <v>1523.4122299600001</v>
      </c>
      <c r="FP25" s="128">
        <f t="shared" si="428"/>
        <v>1493.4439653200002</v>
      </c>
      <c r="FQ25" s="128">
        <f t="shared" ref="FQ25:FR25" si="429">SUM(FQ14:FQ23)</f>
        <v>1471.13446002</v>
      </c>
      <c r="FR25" s="128">
        <f t="shared" si="429"/>
        <v>1514.1798646700001</v>
      </c>
      <c r="FS25" s="128">
        <f t="shared" ref="FS25:FT25" si="430">SUM(FS14:FS23)</f>
        <v>1562.4709368300003</v>
      </c>
      <c r="FT25" s="128">
        <f t="shared" si="430"/>
        <v>1597.4208220000003</v>
      </c>
      <c r="FU25" s="128">
        <f t="shared" ref="FU25:FV25" si="431">SUM(FU14:FU23)</f>
        <v>1615.8919571900001</v>
      </c>
      <c r="FV25" s="128">
        <f t="shared" si="431"/>
        <v>1609.0216083600001</v>
      </c>
      <c r="FW25" s="128">
        <f t="shared" ref="FW25:FX25" si="432">SUM(FW14:FW23)</f>
        <v>1693.6346091500002</v>
      </c>
      <c r="FX25" s="128">
        <f t="shared" si="432"/>
        <v>1754.9504299700002</v>
      </c>
      <c r="FY25" s="128">
        <f t="shared" ref="FY25:FZ25" si="433">SUM(FY14:FY23)</f>
        <v>1804</v>
      </c>
      <c r="FZ25" s="128">
        <f t="shared" si="433"/>
        <v>1715.39390224</v>
      </c>
      <c r="GA25" s="128">
        <f t="shared" ref="GA25:GB25" si="434">SUM(GA14:GA23)</f>
        <v>1662.6856155100004</v>
      </c>
      <c r="GB25" s="128">
        <f t="shared" si="434"/>
        <v>1722.0456388099999</v>
      </c>
      <c r="GC25" s="128">
        <f t="shared" ref="GC25:GD25" si="435">SUM(GC14:GC23)</f>
        <v>1786.7514309299997</v>
      </c>
      <c r="GD25" s="128">
        <f t="shared" si="435"/>
        <v>3486.7296900099996</v>
      </c>
      <c r="GE25" s="128">
        <f t="shared" ref="GE25:GF25" si="436">SUM(GE14:GE23)</f>
        <v>3447.1546982200002</v>
      </c>
      <c r="GF25" s="128">
        <f t="shared" si="436"/>
        <v>2996.1485805099996</v>
      </c>
      <c r="GG25" s="128">
        <f t="shared" ref="GG25:GH25" si="437">SUM(GG14:GG23)</f>
        <v>831.61342671000011</v>
      </c>
      <c r="GH25" s="128">
        <f t="shared" si="437"/>
        <v>692.89922067999987</v>
      </c>
      <c r="GI25" s="128">
        <f t="shared" ref="GI25:GJ25" si="438">SUM(GI14:GI23)</f>
        <v>948.01015332000009</v>
      </c>
      <c r="GJ25" s="128">
        <f t="shared" si="438"/>
        <v>843.58147607000001</v>
      </c>
      <c r="GK25" s="128">
        <f t="shared" ref="GK25:GL25" si="439">SUM(GK14:GK23)</f>
        <v>996.54701105000004</v>
      </c>
      <c r="GL25" s="128">
        <f t="shared" si="439"/>
        <v>977.51931592999995</v>
      </c>
      <c r="GM25" s="128">
        <f t="shared" ref="GM25:GN25" si="440">SUM(GM14:GM23)</f>
        <v>917.34099020999997</v>
      </c>
      <c r="GN25" s="128">
        <f t="shared" si="440"/>
        <v>959.06374849000008</v>
      </c>
      <c r="GO25" s="128">
        <f t="shared" ref="GO25:GP25" si="441">SUM(GO14:GO23)</f>
        <v>1016.3411958400002</v>
      </c>
      <c r="GP25" s="128">
        <f t="shared" si="441"/>
        <v>892.03435093999985</v>
      </c>
      <c r="GQ25" s="128">
        <f t="shared" ref="GQ25:GR25" si="442">SUM(GQ14:GQ23)</f>
        <v>864.83866316000001</v>
      </c>
      <c r="GR25" s="128">
        <f t="shared" si="442"/>
        <v>814.12867168000014</v>
      </c>
      <c r="GS25" s="128">
        <f t="shared" ref="GS25:GT25" si="443">SUM(GS14:GS23)</f>
        <v>850.58282309999993</v>
      </c>
      <c r="GT25" s="128">
        <f t="shared" si="443"/>
        <v>933.88383198700012</v>
      </c>
      <c r="GU25" s="128">
        <f t="shared" ref="GU25:GV25" si="444">SUM(GU14:GU23)</f>
        <v>964.6016216999999</v>
      </c>
      <c r="GV25" s="128">
        <f t="shared" si="444"/>
        <v>1076.3730743999997</v>
      </c>
      <c r="GW25" s="128">
        <f t="shared" ref="GW25:GX25" si="445">SUM(GW14:GW23)</f>
        <v>1076.3730743999997</v>
      </c>
      <c r="GX25" s="128">
        <f t="shared" si="445"/>
        <v>998.11</v>
      </c>
      <c r="GY25" s="128">
        <f t="shared" ref="GY25:GZ25" si="446">SUM(GY14:GY23)</f>
        <v>1060.5840372499999</v>
      </c>
      <c r="GZ25" s="128">
        <f t="shared" si="446"/>
        <v>1165.04203547</v>
      </c>
      <c r="HA25" s="128">
        <f t="shared" ref="HA25:HB25" si="447">SUM(HA14:HA23)</f>
        <v>1424.1757766600001</v>
      </c>
      <c r="HB25" s="128">
        <f t="shared" si="447"/>
        <v>1488.80595165</v>
      </c>
      <c r="HC25" s="128">
        <f t="shared" ref="HC25:HD25" si="448">SUM(HC14:HC23)</f>
        <v>542.87399888000016</v>
      </c>
      <c r="HD25" s="128">
        <f t="shared" si="448"/>
        <v>421.85515399999997</v>
      </c>
      <c r="HE25" s="128">
        <f t="shared" ref="HE25:HF25" si="449">SUM(HE14:HE23)</f>
        <v>495.29788992000005</v>
      </c>
      <c r="HF25" s="128">
        <f t="shared" si="449"/>
        <v>424.11818829000003</v>
      </c>
      <c r="HG25" s="128">
        <f t="shared" ref="HG25:HH25" si="450">SUM(HG14:HG23)</f>
        <v>474.57846046999998</v>
      </c>
      <c r="HH25" s="128">
        <f t="shared" si="450"/>
        <v>568.03224273000023</v>
      </c>
      <c r="HI25" s="128">
        <f t="shared" ref="HI25:HJ25" si="451">SUM(HI14:HI23)</f>
        <v>1062.3935498100002</v>
      </c>
      <c r="HJ25" s="128">
        <f t="shared" si="451"/>
        <v>1007.47861872</v>
      </c>
      <c r="HK25" s="128">
        <f t="shared" ref="HK25:HL25" si="452">SUM(HK14:HK23)</f>
        <v>1073.15562447</v>
      </c>
      <c r="HL25" s="128">
        <f t="shared" si="452"/>
        <v>1190.1450004200001</v>
      </c>
      <c r="HM25" s="128">
        <f t="shared" ref="HM25" si="453">SUM(HM14:HM23)</f>
        <v>1077.6503762899997</v>
      </c>
      <c r="HN25" s="128">
        <f>SUM(HN14:HN23)</f>
        <v>1173.94722095</v>
      </c>
      <c r="HO25" s="128">
        <v>1269.5816992699999</v>
      </c>
      <c r="HP25" s="128">
        <v>1239.75831363</v>
      </c>
      <c r="HQ25" s="128">
        <v>762.08307453999998</v>
      </c>
      <c r="HR25" s="128">
        <f>SUM(HR14:HR23)</f>
        <v>999.4290110500001</v>
      </c>
      <c r="HS25" s="128">
        <f>SUM(HS14:HS23)</f>
        <v>1077.24465719</v>
      </c>
      <c r="HT25" s="128">
        <f>SUM(HT14:HT23)</f>
        <v>627.02549296999996</v>
      </c>
      <c r="HU25" s="128">
        <f>SUM(HU14:HU23)</f>
        <v>627.02549296999996</v>
      </c>
      <c r="HV25" s="128">
        <v>493.29022157999998</v>
      </c>
      <c r="HW25" s="128">
        <v>493.29022157999998</v>
      </c>
      <c r="HX25" s="128">
        <v>530.01397379000002</v>
      </c>
      <c r="HY25" s="128">
        <v>530.01397379000002</v>
      </c>
      <c r="HZ25" s="128">
        <v>518.27352767000002</v>
      </c>
      <c r="IA25" s="128">
        <v>579.89655075000007</v>
      </c>
      <c r="IB25" s="128">
        <v>692.84986687000003</v>
      </c>
      <c r="IC25" s="128">
        <v>692.84986687000003</v>
      </c>
      <c r="ID25" s="128">
        <v>692.84986687000003</v>
      </c>
      <c r="IE25" s="128">
        <v>586.52409390000003</v>
      </c>
      <c r="IF25" s="128">
        <v>586.52409390000003</v>
      </c>
      <c r="IG25" s="128">
        <v>776.77414025000019</v>
      </c>
      <c r="IH25" s="128">
        <v>781.3304197299999</v>
      </c>
      <c r="II25" s="128">
        <v>781.3304197299999</v>
      </c>
      <c r="IJ25" s="128">
        <v>781.3304197299999</v>
      </c>
      <c r="IK25" s="128">
        <v>992.43676655000013</v>
      </c>
      <c r="IL25" s="128">
        <v>992.43676655000013</v>
      </c>
      <c r="IM25" s="128">
        <v>992.43676655000013</v>
      </c>
      <c r="IN25" s="128">
        <v>811.93011989000001</v>
      </c>
      <c r="IO25" s="128">
        <v>781.62361761</v>
      </c>
      <c r="IP25" s="128">
        <v>827.34148014999994</v>
      </c>
      <c r="IQ25" s="128">
        <v>877.43858168999998</v>
      </c>
      <c r="IR25" s="128">
        <v>877.43858168999998</v>
      </c>
      <c r="IS25" s="128">
        <v>900.82251460999987</v>
      </c>
      <c r="IT25" s="128">
        <v>1044.5282810000001</v>
      </c>
      <c r="IU25" s="128">
        <v>1099.7875436700003</v>
      </c>
      <c r="IV25" s="128">
        <v>1099.7875436700003</v>
      </c>
      <c r="IW25" s="128">
        <v>1130.84836092</v>
      </c>
      <c r="IX25" s="128">
        <v>843.99708865000002</v>
      </c>
      <c r="IY25" s="128">
        <f>SUM(IY14:IY23)</f>
        <v>879.51514999000005</v>
      </c>
      <c r="IZ25" s="128">
        <v>909.23922075999997</v>
      </c>
      <c r="JA25" s="128">
        <v>980.45038016000001</v>
      </c>
      <c r="JB25" s="128">
        <v>980.45038016000001</v>
      </c>
      <c r="JC25" s="128">
        <v>997.91794645000004</v>
      </c>
      <c r="JD25" s="128">
        <v>1029.68777512</v>
      </c>
      <c r="JE25" s="128">
        <v>1029.68777512</v>
      </c>
      <c r="JF25" s="128">
        <v>1029.68777512</v>
      </c>
      <c r="JG25" s="128">
        <v>968.01678174999995</v>
      </c>
      <c r="JH25" s="128">
        <v>968.01678174999995</v>
      </c>
      <c r="JI25" s="128">
        <v>968.01678174999995</v>
      </c>
      <c r="JJ25" s="128">
        <v>1100.7582327699999</v>
      </c>
      <c r="JK25" s="128">
        <v>1155.9382863400001</v>
      </c>
      <c r="JL25" s="128">
        <v>1057.9308315000001</v>
      </c>
      <c r="JM25" s="128">
        <v>1092.2585413000002</v>
      </c>
      <c r="JN25" s="128">
        <v>1092.2585413000002</v>
      </c>
      <c r="JO25" s="128">
        <v>1092.2585413000002</v>
      </c>
      <c r="JP25" s="128">
        <v>1202.4971732900001</v>
      </c>
      <c r="JQ25" s="128">
        <v>1202.4971732900001</v>
      </c>
      <c r="JR25" s="128">
        <v>1207.5070615200002</v>
      </c>
      <c r="JS25" s="128">
        <f>SUM(JS14:JS23)</f>
        <v>1201.2187181900001</v>
      </c>
      <c r="JT25" s="128">
        <v>1992.2331151500002</v>
      </c>
      <c r="JU25" s="128">
        <v>2061.2855002299998</v>
      </c>
      <c r="JV25" s="128">
        <v>2061.2855002299998</v>
      </c>
      <c r="JW25" s="128">
        <v>2068.0857095699998</v>
      </c>
      <c r="JX25" s="128">
        <v>2068.0857095699998</v>
      </c>
      <c r="JY25" s="128">
        <v>1415.4653555800001</v>
      </c>
      <c r="JZ25" s="128">
        <v>1415.4653555800001</v>
      </c>
      <c r="KA25" s="128">
        <v>1383.6013582399999</v>
      </c>
      <c r="KB25" s="128">
        <v>1388.4804830200001</v>
      </c>
      <c r="KC25" s="128">
        <v>1216.1908275799999</v>
      </c>
      <c r="KD25" s="128">
        <v>1349.2357683900002</v>
      </c>
      <c r="KE25" s="128">
        <v>1349.2357683900002</v>
      </c>
      <c r="KF25" s="128">
        <v>1155.9382863400001</v>
      </c>
      <c r="KG25" s="128">
        <v>2033.7559193100003</v>
      </c>
      <c r="KH25" s="128">
        <v>2033.7559193100003</v>
      </c>
      <c r="KI25" s="128">
        <v>1981.3916482900001</v>
      </c>
      <c r="KJ25" s="128">
        <f>SUM(KJ14:KJ23)</f>
        <v>1975.3307008300001</v>
      </c>
      <c r="KK25" s="128">
        <v>2044.81151067</v>
      </c>
      <c r="KL25" s="128">
        <v>2055.6082778299997</v>
      </c>
      <c r="KM25" s="128">
        <v>2055.6082778299997</v>
      </c>
      <c r="KN25" s="128">
        <v>2048.08942493</v>
      </c>
      <c r="KO25" s="128">
        <v>2108.7348439600005</v>
      </c>
      <c r="KP25" s="128">
        <v>2072.15698875</v>
      </c>
      <c r="KQ25" s="128">
        <v>1966.4576267799996</v>
      </c>
      <c r="KR25" s="128">
        <v>1966.4576267799996</v>
      </c>
      <c r="KS25" s="128">
        <f>SUM(KS14:KS23)</f>
        <v>2018.7913747099999</v>
      </c>
      <c r="KT25" s="128">
        <v>2024.8408170399998</v>
      </c>
      <c r="KU25" s="128">
        <f>SUM(KU14:KU23)</f>
        <v>1828.16358593</v>
      </c>
      <c r="KV25" s="128">
        <f>SUM(KV14:KV23)</f>
        <v>1876.8317148900003</v>
      </c>
      <c r="KW25" s="128">
        <f>SUM(KW14:KW23)</f>
        <v>1775.0438344500003</v>
      </c>
      <c r="KX25" s="128">
        <v>1478.2703256299999</v>
      </c>
      <c r="KY25" s="128">
        <v>1478.2703256299999</v>
      </c>
      <c r="KZ25" s="128">
        <v>1421.9574041400001</v>
      </c>
      <c r="LA25" s="128">
        <v>1421.9574041400001</v>
      </c>
      <c r="LB25" s="128">
        <v>1475.2666276500001</v>
      </c>
      <c r="LC25" s="128">
        <v>1475.2666276500001</v>
      </c>
      <c r="LD25" s="128">
        <v>1475.2666276500001</v>
      </c>
      <c r="LE25" s="128">
        <f>SUM(LE14:LE23)</f>
        <v>1581.9836407100004</v>
      </c>
      <c r="LF25" s="967">
        <v>1587.95026957</v>
      </c>
      <c r="LG25" s="967">
        <v>1587.95026957</v>
      </c>
      <c r="LH25" s="967">
        <v>1587.95026957</v>
      </c>
      <c r="LI25" s="967">
        <v>1660.3104757000001</v>
      </c>
      <c r="LJ25" s="967">
        <v>1660.3104757000001</v>
      </c>
      <c r="LK25" s="967">
        <v>1660.3104757000001</v>
      </c>
      <c r="LL25" s="967">
        <v>1648.9289809799998</v>
      </c>
      <c r="LM25" s="967">
        <v>1648.9289809799998</v>
      </c>
      <c r="LN25" s="967">
        <v>1520.9886459400002</v>
      </c>
      <c r="LO25" s="967">
        <v>1520.9886459400002</v>
      </c>
      <c r="LP25" s="967">
        <v>1520.9886459400002</v>
      </c>
      <c r="LQ25" s="967">
        <v>1475.1526938399998</v>
      </c>
      <c r="LR25" s="967">
        <v>1503.52394413</v>
      </c>
      <c r="LS25" s="967">
        <v>1503.52394413</v>
      </c>
      <c r="LT25" s="967">
        <v>1650.78019174</v>
      </c>
      <c r="LU25" s="967">
        <v>1581.4529638099998</v>
      </c>
      <c r="LV25" s="967">
        <v>1622.0923192499999</v>
      </c>
      <c r="LW25" s="967">
        <v>1622.0923192499999</v>
      </c>
      <c r="LX25" s="967">
        <v>1690.7160976599998</v>
      </c>
      <c r="LY25" s="967">
        <v>1690.7160976599998</v>
      </c>
      <c r="LZ25" s="967">
        <v>1734.57686638</v>
      </c>
      <c r="MA25" s="967">
        <v>1734.57686638</v>
      </c>
      <c r="MB25" s="967">
        <v>1734.57686638</v>
      </c>
      <c r="MC25" s="967">
        <v>1734.57686638</v>
      </c>
      <c r="MD25" s="967">
        <v>1271.1556390999999</v>
      </c>
      <c r="ME25" s="967">
        <v>1276.18674917</v>
      </c>
      <c r="MF25" s="967">
        <v>1276.18674917</v>
      </c>
      <c r="MG25" s="967">
        <v>1276.18674917</v>
      </c>
      <c r="MH25" s="967">
        <v>824.17163529000038</v>
      </c>
      <c r="MI25" s="967">
        <v>824.17163529000038</v>
      </c>
      <c r="MJ25" s="967">
        <v>808.59636263000004</v>
      </c>
      <c r="MK25" s="967">
        <v>810.00938484000005</v>
      </c>
      <c r="ML25" s="967">
        <v>810.00938484000005</v>
      </c>
      <c r="MM25" s="967">
        <v>810.00938484000005</v>
      </c>
      <c r="MN25" s="967">
        <v>810.00938484000005</v>
      </c>
      <c r="MO25" s="967">
        <v>810.00938484000005</v>
      </c>
      <c r="MP25" s="967">
        <v>810.00938484000005</v>
      </c>
      <c r="MQ25" s="967">
        <v>899.37640627999997</v>
      </c>
      <c r="MR25" s="967">
        <v>899.37640627999997</v>
      </c>
      <c r="MS25" s="967">
        <v>1104.9742323999999</v>
      </c>
      <c r="MT25" s="967">
        <v>1070.5479724599998</v>
      </c>
      <c r="MU25" s="967">
        <v>1070.5479724599998</v>
      </c>
      <c r="MV25" s="967">
        <v>1070.5479724599998</v>
      </c>
      <c r="MW25" s="967">
        <v>1265.2159840599998</v>
      </c>
      <c r="MX25" s="967">
        <v>1328.2219107599999</v>
      </c>
      <c r="MY25" s="967">
        <v>1328.2219107599999</v>
      </c>
      <c r="MZ25" s="967">
        <v>1328.2219107599999</v>
      </c>
      <c r="NA25" s="967">
        <v>1328.2219107599999</v>
      </c>
      <c r="NB25" s="967">
        <v>1328.2219107599999</v>
      </c>
      <c r="NC25" s="967">
        <v>1328.2219107599999</v>
      </c>
      <c r="ND25" s="967">
        <v>1328.2219107599999</v>
      </c>
      <c r="NE25" s="967">
        <v>1328.2219107599999</v>
      </c>
      <c r="NF25" s="967">
        <v>1179.0142940899998</v>
      </c>
      <c r="NG25" s="967">
        <v>1145.2908477200001</v>
      </c>
      <c r="NH25" s="967">
        <v>1147.9261880699999</v>
      </c>
      <c r="NI25" s="967">
        <v>1089.7718142200001</v>
      </c>
      <c r="NJ25" s="967">
        <v>1089.7718142200001</v>
      </c>
      <c r="NK25" s="967">
        <v>1164.9352368300003</v>
      </c>
      <c r="NL25" s="967">
        <v>1164.9352368300003</v>
      </c>
      <c r="NM25" s="967">
        <v>1283.8232014500004</v>
      </c>
      <c r="NN25" s="967">
        <v>1283.8232014500004</v>
      </c>
      <c r="NO25" s="967">
        <v>1283.8232014500004</v>
      </c>
      <c r="NP25" s="967">
        <v>1555.1794275100001</v>
      </c>
      <c r="NQ25" s="967">
        <v>1555.1794275100001</v>
      </c>
      <c r="NR25" s="967">
        <v>1650.3089203300003</v>
      </c>
      <c r="NS25" s="967">
        <v>1650.3089203300003</v>
      </c>
      <c r="NT25" s="967">
        <v>1650.3089203300003</v>
      </c>
      <c r="NU25" s="967">
        <f>SUM(NU14:NU23)</f>
        <v>1651.0208768400003</v>
      </c>
      <c r="NV25" s="967">
        <v>1710.4127313700003</v>
      </c>
      <c r="NW25" s="967">
        <v>1710.4127313700003</v>
      </c>
      <c r="NX25" s="967">
        <v>1710.4127313700003</v>
      </c>
      <c r="NY25" s="967">
        <v>1719.6775128200002</v>
      </c>
      <c r="NZ25" s="967">
        <v>1758.9176849800001</v>
      </c>
      <c r="OA25" s="967">
        <v>1758.9176849800001</v>
      </c>
      <c r="OB25" s="967">
        <v>1758.9176849800001</v>
      </c>
      <c r="OC25" s="967">
        <v>1556.8261088200004</v>
      </c>
      <c r="OD25" s="967">
        <v>1556.8261088200004</v>
      </c>
      <c r="OE25" s="967">
        <v>1556.8261088200004</v>
      </c>
      <c r="OF25" s="967">
        <v>1556.8261088200004</v>
      </c>
      <c r="OG25" s="967">
        <v>1758.42377506</v>
      </c>
      <c r="OH25" s="967">
        <v>1758.42377506</v>
      </c>
      <c r="OI25" s="967">
        <v>1605.8264828700001</v>
      </c>
      <c r="OJ25" s="967">
        <v>1814.1410285799998</v>
      </c>
      <c r="OK25" s="967">
        <v>1814.1410285799998</v>
      </c>
      <c r="OL25" s="967">
        <v>1801.9183295</v>
      </c>
      <c r="OM25" s="967">
        <v>1801.9183295</v>
      </c>
      <c r="ON25" s="967">
        <v>1801.9183295</v>
      </c>
      <c r="OO25" s="967">
        <v>1580.39794183</v>
      </c>
      <c r="OP25" s="967">
        <v>1618.0678195700002</v>
      </c>
      <c r="OQ25" s="967">
        <v>1618.0678195700002</v>
      </c>
      <c r="OR25" s="967">
        <v>1618.0678195700002</v>
      </c>
      <c r="OS25" s="967">
        <v>1595.0038190200003</v>
      </c>
      <c r="OT25" s="967">
        <v>818.57662575000006</v>
      </c>
      <c r="OU25" s="967">
        <v>818.57662575000006</v>
      </c>
      <c r="OV25" s="967">
        <v>818.57662575000006</v>
      </c>
      <c r="OW25" s="967">
        <v>637.50260204999995</v>
      </c>
      <c r="OX25" s="967">
        <v>637.50260204999995</v>
      </c>
      <c r="OY25" s="967">
        <v>801.11967431999994</v>
      </c>
      <c r="OZ25" s="967">
        <v>801.11967431999994</v>
      </c>
      <c r="PA25" s="967">
        <v>801.11967431999994</v>
      </c>
      <c r="PB25" s="967">
        <v>687.53957244000003</v>
      </c>
      <c r="PC25" s="967">
        <v>687.53957244000003</v>
      </c>
      <c r="PD25" s="967">
        <v>687.53957244000003</v>
      </c>
      <c r="PE25" s="967">
        <v>828.72916664999991</v>
      </c>
      <c r="PF25" s="967">
        <v>843.70789294999997</v>
      </c>
      <c r="PG25" s="967">
        <v>843.70789294999997</v>
      </c>
      <c r="PH25" s="967">
        <v>843.70789294999997</v>
      </c>
      <c r="PI25" s="967">
        <v>1013.9703140199999</v>
      </c>
      <c r="PJ25" s="967">
        <v>1097.6494862299999</v>
      </c>
      <c r="PK25" s="967">
        <v>1097.6494862299999</v>
      </c>
      <c r="PL25" s="967">
        <v>1097.6494862299999</v>
      </c>
      <c r="PM25" s="967">
        <v>1097.6494862299999</v>
      </c>
      <c r="PN25" s="967">
        <v>1002.0191220299998</v>
      </c>
      <c r="PO25" s="967">
        <v>1002.0191220299998</v>
      </c>
      <c r="PP25" s="967">
        <v>993.45819880000022</v>
      </c>
      <c r="PQ25" s="967">
        <v>993.45819880000022</v>
      </c>
      <c r="PR25" s="967">
        <v>993.45819880000022</v>
      </c>
      <c r="PS25" s="967">
        <v>1172.9198991000003</v>
      </c>
      <c r="PT25" s="967">
        <v>1172.9198991000003</v>
      </c>
      <c r="PU25" s="967">
        <v>976.74854461000007</v>
      </c>
      <c r="PV25" s="967">
        <v>976.74854461000007</v>
      </c>
      <c r="PW25" s="967">
        <v>976.74854461000007</v>
      </c>
      <c r="PX25" s="967">
        <v>1167.7739972900001</v>
      </c>
      <c r="PY25" s="967">
        <v>1191.5386162499997</v>
      </c>
      <c r="PZ25" s="967">
        <v>1391.5386162499999</v>
      </c>
      <c r="QA25" s="967">
        <v>1391.5386162499999</v>
      </c>
      <c r="QB25" s="967">
        <v>731.32881501000008</v>
      </c>
      <c r="QC25" s="967">
        <v>775.42262202000018</v>
      </c>
      <c r="QD25" s="967">
        <v>775.42262202000018</v>
      </c>
      <c r="QE25" s="967">
        <v>794.8240363000001</v>
      </c>
      <c r="QF25" s="967">
        <v>794.8240363000001</v>
      </c>
      <c r="QG25" s="967">
        <v>794.8240363000001</v>
      </c>
      <c r="QH25" s="967">
        <f>SUM(QH14:QH23)</f>
        <v>785.82613833000005</v>
      </c>
      <c r="QI25" s="967">
        <v>961.74499651000019</v>
      </c>
      <c r="QJ25" s="967">
        <v>961.74499651000019</v>
      </c>
      <c r="QK25" s="967">
        <v>1065.7785754700003</v>
      </c>
      <c r="QL25" s="967">
        <v>1065.7785754700003</v>
      </c>
      <c r="QM25" s="967">
        <v>1065.7785754700003</v>
      </c>
      <c r="QN25" s="967">
        <v>1088.2364190200001</v>
      </c>
      <c r="QO25" s="967">
        <v>1279.2924993800002</v>
      </c>
      <c r="QP25" s="967">
        <v>1279.2924993800002</v>
      </c>
      <c r="QQ25" s="967">
        <v>1380.7033056000002</v>
      </c>
      <c r="QR25" s="967">
        <v>1380.7033056000002</v>
      </c>
      <c r="QS25" s="967">
        <v>1353.76434543</v>
      </c>
      <c r="QT25" s="967">
        <v>1418.8330642500002</v>
      </c>
      <c r="QU25" s="967">
        <v>1418.8330642500002</v>
      </c>
      <c r="QV25" s="967">
        <v>1594.1598622445763</v>
      </c>
      <c r="QW25" s="967">
        <v>1418.8330642500002</v>
      </c>
      <c r="QX25" s="967">
        <v>1418.8330642500002</v>
      </c>
      <c r="QY25" s="967">
        <v>711.62719441000013</v>
      </c>
      <c r="QZ25" s="967">
        <v>711.62719441000013</v>
      </c>
      <c r="RA25" s="967">
        <v>547.94656904999999</v>
      </c>
      <c r="RB25" s="967">
        <v>547.94656904999999</v>
      </c>
      <c r="RC25" s="967">
        <v>547.94656904999999</v>
      </c>
      <c r="RD25" s="967">
        <v>547.94656904999999</v>
      </c>
      <c r="RE25" s="967">
        <v>568.63442713999996</v>
      </c>
      <c r="RF25" s="967">
        <v>568.63442713999996</v>
      </c>
      <c r="RG25" s="967">
        <f>SUM(RG14:RG23)</f>
        <v>567.03478244999997</v>
      </c>
      <c r="RH25" s="967">
        <v>525.71328740999991</v>
      </c>
      <c r="RI25" s="967">
        <v>606.75287607000018</v>
      </c>
      <c r="RJ25" s="967">
        <v>606.75287607000018</v>
      </c>
      <c r="RK25" s="967">
        <v>668.29865258000007</v>
      </c>
      <c r="RL25" s="967">
        <v>668.29865258000007</v>
      </c>
      <c r="RM25" s="967">
        <v>697.04223941000021</v>
      </c>
      <c r="RN25" s="967">
        <v>697.04223941000021</v>
      </c>
      <c r="RO25" s="967">
        <v>697.04223941000021</v>
      </c>
      <c r="RP25" s="967">
        <v>697.04223941000021</v>
      </c>
      <c r="RQ25" s="967">
        <v>379.72475593999997</v>
      </c>
      <c r="RR25" s="967">
        <v>379.72475593999997</v>
      </c>
      <c r="RS25" s="967">
        <v>485.09416727999997</v>
      </c>
      <c r="RT25" s="967">
        <v>485.09416727999997</v>
      </c>
      <c r="RU25" s="967">
        <v>485.09416727999997</v>
      </c>
      <c r="RV25" s="967">
        <v>485.09416727999997</v>
      </c>
      <c r="RW25" s="967">
        <v>485.09416727999997</v>
      </c>
      <c r="RX25" s="967">
        <v>485.09416727999997</v>
      </c>
      <c r="RY25" s="967">
        <v>1216.1543989407999</v>
      </c>
      <c r="RZ25" s="967">
        <v>1216.1543989407999</v>
      </c>
      <c r="SA25" s="967">
        <v>752.13299191999999</v>
      </c>
      <c r="SB25" s="967">
        <v>836.48578687399993</v>
      </c>
      <c r="SC25" s="967">
        <v>836.48578687399993</v>
      </c>
      <c r="SD25" s="967">
        <v>836.48578687399993</v>
      </c>
      <c r="SE25" s="967">
        <v>926.58050176000006</v>
      </c>
      <c r="SF25" s="967">
        <v>926.58050176000006</v>
      </c>
      <c r="SG25" s="967">
        <v>925.77225768000017</v>
      </c>
      <c r="SH25" s="967">
        <v>925.77225768000017</v>
      </c>
      <c r="SI25" s="967">
        <v>1220.0940876500001</v>
      </c>
      <c r="SJ25" s="967">
        <v>1220.0940876500001</v>
      </c>
      <c r="SK25" s="967">
        <v>1287.7878409</v>
      </c>
      <c r="SL25" s="967">
        <v>1287.7878409</v>
      </c>
      <c r="SM25" s="967">
        <v>1261.25710202</v>
      </c>
      <c r="SN25" s="967">
        <v>1261.25710202</v>
      </c>
      <c r="SO25" s="967">
        <v>1261.25710202</v>
      </c>
      <c r="SP25" s="967">
        <v>1326.9287012899997</v>
      </c>
      <c r="SQ25" s="967">
        <v>1326.9287012899997</v>
      </c>
      <c r="SR25" s="967">
        <v>1326.9287012899997</v>
      </c>
      <c r="SS25" s="967">
        <v>1511.0201785359998</v>
      </c>
      <c r="ST25" s="967">
        <v>1511.0201785359998</v>
      </c>
      <c r="SU25" s="967">
        <v>1521.1297994700001</v>
      </c>
      <c r="SV25" s="967">
        <v>1521.1297994700001</v>
      </c>
      <c r="SW25" s="967">
        <v>1521.1297994700001</v>
      </c>
      <c r="SX25" s="967">
        <v>1626.2114768599999</v>
      </c>
      <c r="SY25" s="967">
        <v>1626.2114768599999</v>
      </c>
      <c r="SZ25" s="967">
        <v>1626.2114768599999</v>
      </c>
      <c r="TA25" s="967">
        <v>1531.7757234599999</v>
      </c>
      <c r="TB25" s="967">
        <v>1531.7757234599999</v>
      </c>
      <c r="TC25" s="967">
        <v>1677.6289782899996</v>
      </c>
      <c r="TD25" s="967">
        <v>1677.6289782899996</v>
      </c>
      <c r="TE25" s="967">
        <f>SUM(TE13:TE24)</f>
        <v>1462.9309145600002</v>
      </c>
      <c r="TF25" s="967">
        <f>SUM(TF13:TF24)</f>
        <v>1652.7479667540001</v>
      </c>
      <c r="TG25" s="967">
        <v>1041.5314239320001</v>
      </c>
      <c r="TH25" s="967">
        <v>1058.2586269000001</v>
      </c>
      <c r="TI25" s="967">
        <v>1079.3670619300001</v>
      </c>
      <c r="TJ25" s="967">
        <v>1088.3885164800001</v>
      </c>
      <c r="TK25" s="967">
        <v>1120.4242351100002</v>
      </c>
      <c r="TL25" s="967">
        <v>1051.3781719499998</v>
      </c>
      <c r="TM25" s="967">
        <v>548.69307483</v>
      </c>
      <c r="TN25" s="967">
        <v>466.52733718999991</v>
      </c>
      <c r="TO25" s="967">
        <v>627.16579324999975</v>
      </c>
      <c r="TP25" s="967">
        <v>650.73995759000013</v>
      </c>
      <c r="TQ25" s="967">
        <v>813.83634345000007</v>
      </c>
      <c r="TR25" s="967">
        <v>909.13164227999994</v>
      </c>
      <c r="TS25" s="967">
        <v>912.83744672</v>
      </c>
      <c r="TT25" s="967">
        <v>917.97556505</v>
      </c>
      <c r="TU25" s="967">
        <v>860.7497658100001</v>
      </c>
      <c r="TV25" s="967">
        <v>714.93095857000003</v>
      </c>
      <c r="TW25" s="967">
        <v>904.70120321000002</v>
      </c>
      <c r="TX25" s="967">
        <v>911.71046929000011</v>
      </c>
      <c r="TY25" s="967">
        <v>940.67410792000021</v>
      </c>
      <c r="TZ25" s="967">
        <f t="shared" ref="TZ25:UE25" si="454">SUM(TZ13:TZ24)</f>
        <v>1111.8184034799999</v>
      </c>
      <c r="UA25" s="967">
        <f t="shared" si="454"/>
        <v>1236.8655844699999</v>
      </c>
      <c r="UB25" s="967">
        <f t="shared" si="454"/>
        <v>1253.5785030799998</v>
      </c>
      <c r="UC25" s="967">
        <f t="shared" si="454"/>
        <v>1296.0045611499997</v>
      </c>
      <c r="UD25" s="967">
        <f t="shared" si="454"/>
        <v>1374.18955321</v>
      </c>
      <c r="UE25" s="967">
        <f t="shared" si="454"/>
        <v>1528.6691546899997</v>
      </c>
      <c r="UF25" s="967">
        <v>785.90630299999998</v>
      </c>
      <c r="UG25" s="967">
        <v>737.48240392999992</v>
      </c>
      <c r="UH25" s="967">
        <v>760.04701066999996</v>
      </c>
      <c r="UI25" s="967">
        <v>760.33437590000005</v>
      </c>
      <c r="UJ25" s="967">
        <v>730.41110165000009</v>
      </c>
      <c r="UK25" s="967">
        <v>752.52102403000004</v>
      </c>
      <c r="UL25" s="967">
        <v>537.71941133999997</v>
      </c>
      <c r="UM25" s="967">
        <v>547.90459089410012</v>
      </c>
      <c r="UN25" s="967">
        <v>649.43063113090011</v>
      </c>
      <c r="UO25" s="967">
        <v>656.85469815090005</v>
      </c>
      <c r="UP25" s="967">
        <v>979.34037906640003</v>
      </c>
      <c r="UQ25" s="967">
        <v>778.96996775220009</v>
      </c>
      <c r="UR25" s="967">
        <v>740.3465123464</v>
      </c>
      <c r="US25" s="967">
        <v>784.1298343062</v>
      </c>
      <c r="UT25" s="967">
        <v>807.1290822804001</v>
      </c>
      <c r="UU25" s="967">
        <v>778.18081013000005</v>
      </c>
      <c r="UV25" s="967">
        <v>868.66166589999989</v>
      </c>
      <c r="UW25" s="967">
        <v>867.32955664000008</v>
      </c>
      <c r="UX25" s="967">
        <v>757.50423522000006</v>
      </c>
      <c r="UY25" s="967">
        <v>784.98957716000007</v>
      </c>
      <c r="UZ25" s="967">
        <v>802.40359972999988</v>
      </c>
      <c r="VA25" s="967">
        <v>802.40359972999988</v>
      </c>
      <c r="VB25" s="967">
        <v>860.51237565999986</v>
      </c>
      <c r="VC25" s="967">
        <v>705.34565358999998</v>
      </c>
      <c r="VD25" s="967">
        <v>828.17006452999999</v>
      </c>
      <c r="VE25" s="967">
        <v>828.17006452999999</v>
      </c>
      <c r="VF25" s="967">
        <v>780.28120253199995</v>
      </c>
      <c r="VG25" s="967">
        <v>1056.5110761767999</v>
      </c>
      <c r="VH25" s="967">
        <v>1121.55798071</v>
      </c>
      <c r="VI25" s="967">
        <v>1109.9430240399997</v>
      </c>
      <c r="VJ25" s="967">
        <v>1238.0687149099999</v>
      </c>
      <c r="VK25" s="967">
        <v>726.01646555999992</v>
      </c>
      <c r="VL25" s="967">
        <v>842.65569007999989</v>
      </c>
      <c r="VM25" s="967">
        <v>638.16433734000009</v>
      </c>
      <c r="VN25" s="967">
        <v>699.48458848000007</v>
      </c>
      <c r="VO25" s="967">
        <v>538.51545125999985</v>
      </c>
      <c r="VP25" s="967">
        <v>623.98915011999986</v>
      </c>
      <c r="VQ25" s="967">
        <v>702.12414337999985</v>
      </c>
      <c r="VR25" s="967">
        <v>637.41543273000002</v>
      </c>
      <c r="VS25" s="967">
        <v>292.50858299000004</v>
      </c>
      <c r="VT25" s="967">
        <v>407.30546706000001</v>
      </c>
      <c r="VU25" s="967">
        <v>435.55016193</v>
      </c>
      <c r="VV25" s="967">
        <f t="shared" ref="VV25" si="455">SUM(VV13:VV24)</f>
        <v>421.10428132000004</v>
      </c>
      <c r="VW25" s="967">
        <v>575.39606538999999</v>
      </c>
      <c r="VX25" s="967">
        <v>672.04504818999999</v>
      </c>
      <c r="VY25" s="967">
        <v>923.86737061000019</v>
      </c>
      <c r="VZ25" s="967">
        <v>737.5797253480722</v>
      </c>
      <c r="WA25" s="967">
        <v>926.07127547986977</v>
      </c>
      <c r="WB25" s="967">
        <v>590.59518195987005</v>
      </c>
      <c r="WC25" s="967">
        <v>612.20311042266701</v>
      </c>
      <c r="WD25" s="967">
        <v>333.65176315635398</v>
      </c>
      <c r="WE25" s="967">
        <v>670.24017386793287</v>
      </c>
      <c r="WF25" s="967">
        <v>698.81128555488306</v>
      </c>
      <c r="WG25" s="967">
        <v>358.61726814290307</v>
      </c>
      <c r="WH25" s="967">
        <v>428.57695201290306</v>
      </c>
      <c r="WI25" s="967">
        <v>384.11092226290305</v>
      </c>
      <c r="WJ25" s="967">
        <v>552.92611474981095</v>
      </c>
      <c r="WK25" s="967">
        <v>151.28600260981099</v>
      </c>
      <c r="WL25" s="967">
        <v>166.05532952981105</v>
      </c>
      <c r="WM25" s="967">
        <v>446.28410751981096</v>
      </c>
      <c r="WN25" s="967">
        <v>872.63334533981106</v>
      </c>
      <c r="WO25" s="967">
        <v>340.22828392942392</v>
      </c>
      <c r="WP25" s="967">
        <v>344.07286317942408</v>
      </c>
      <c r="WQ25" s="967">
        <v>445.72169559942409</v>
      </c>
      <c r="WR25" s="967">
        <f t="shared" ref="WR25:WS25" si="456">SUM(WR13:WR24)</f>
        <v>421.05812886973411</v>
      </c>
      <c r="WS25" s="967">
        <f t="shared" si="456"/>
        <v>510.06213878973404</v>
      </c>
      <c r="WT25" s="967">
        <f t="shared" ref="WT25:WU25" si="457">SUM(WT13:WT24)</f>
        <v>615.84874020080019</v>
      </c>
      <c r="WU25" s="967">
        <f t="shared" si="457"/>
        <v>507.40983439000007</v>
      </c>
      <c r="WV25" s="967">
        <f t="shared" ref="WV25" si="458">SUM(WV13:WV24)</f>
        <v>447.28611927000003</v>
      </c>
      <c r="WW25" s="967">
        <v>300.38487497999995</v>
      </c>
      <c r="WX25" s="967">
        <v>296.46649790152003</v>
      </c>
      <c r="WY25" s="967">
        <v>337.27684965000003</v>
      </c>
      <c r="WZ25" s="967">
        <v>374.17320154000004</v>
      </c>
      <c r="XA25" s="967">
        <v>400.74154595000005</v>
      </c>
      <c r="XB25" s="967">
        <v>269.04215988000004</v>
      </c>
      <c r="XC25" s="967">
        <v>363.01233735</v>
      </c>
      <c r="XD25" s="967">
        <v>225.5184409</v>
      </c>
      <c r="XE25" s="967">
        <v>490.86095674999996</v>
      </c>
      <c r="XF25" s="967">
        <v>480.21928894000007</v>
      </c>
      <c r="XG25" s="967">
        <v>474.36701838000005</v>
      </c>
      <c r="XH25" s="967">
        <v>523.35028227999999</v>
      </c>
      <c r="XI25" s="967">
        <v>282.77887126999997</v>
      </c>
      <c r="XJ25" s="967">
        <v>387.22874958</v>
      </c>
      <c r="XK25" s="967">
        <v>274.57442690999994</v>
      </c>
      <c r="XL25" s="967">
        <v>373.14155549999998</v>
      </c>
      <c r="XM25" s="967">
        <v>530.82551191000005</v>
      </c>
      <c r="XN25" s="967">
        <v>605.93165625999984</v>
      </c>
      <c r="XO25" s="967">
        <v>658.92147361999992</v>
      </c>
      <c r="XP25" s="967">
        <v>745.50808998000002</v>
      </c>
      <c r="XQ25" s="967">
        <v>221.21643493000002</v>
      </c>
      <c r="XR25" s="967">
        <v>341.96815507000002</v>
      </c>
      <c r="XS25" s="967">
        <v>262.16483626000007</v>
      </c>
      <c r="XT25" s="967">
        <v>330.84448450155293</v>
      </c>
      <c r="XU25" s="967">
        <v>459.83250003999996</v>
      </c>
      <c r="XV25" s="967">
        <v>509.33530454000004</v>
      </c>
      <c r="XW25" s="967">
        <v>490.69002787000005</v>
      </c>
      <c r="XX25" s="967">
        <v>336.07350125000005</v>
      </c>
      <c r="XY25" s="967">
        <v>517.74105225000005</v>
      </c>
      <c r="XZ25" s="967">
        <v>416.01451800999996</v>
      </c>
      <c r="YA25" s="967">
        <v>501.03908343000012</v>
      </c>
      <c r="YB25" s="967">
        <v>627.05732666999984</v>
      </c>
      <c r="YC25" s="967">
        <v>419.19484637000005</v>
      </c>
      <c r="YD25" s="967">
        <v>371.67534907000004</v>
      </c>
      <c r="YE25" s="967">
        <v>230.88582764000003</v>
      </c>
      <c r="YF25" s="967">
        <v>264.31944283000001</v>
      </c>
      <c r="YG25" s="967">
        <v>223.75877724999998</v>
      </c>
      <c r="YH25" s="967">
        <f>SUM(YH13:YH24)</f>
        <v>283.10949120999999</v>
      </c>
    </row>
    <row r="26" spans="2:658" s="948" customFormat="1" ht="15" thickBot="1">
      <c r="B26" s="921" t="s">
        <v>63</v>
      </c>
      <c r="C26" s="922">
        <f t="shared" ref="C26:BN26" si="459">C25/C2</f>
        <v>15.801563873980047</v>
      </c>
      <c r="D26" s="129">
        <f t="shared" si="459"/>
        <v>16.419058760312048</v>
      </c>
      <c r="E26" s="129">
        <f t="shared" si="459"/>
        <v>17.103852571962818</v>
      </c>
      <c r="F26" s="129">
        <f t="shared" si="459"/>
        <v>17.991288027016552</v>
      </c>
      <c r="G26" s="129">
        <f t="shared" si="459"/>
        <v>17.145371047965252</v>
      </c>
      <c r="H26" s="129">
        <f t="shared" si="459"/>
        <v>17.442251532879236</v>
      </c>
      <c r="I26" s="129">
        <f t="shared" si="459"/>
        <v>19.451457388200332</v>
      </c>
      <c r="J26" s="129">
        <f t="shared" si="459"/>
        <v>20.644686957933256</v>
      </c>
      <c r="K26" s="129">
        <f t="shared" si="459"/>
        <v>20.33944725807104</v>
      </c>
      <c r="L26" s="129">
        <f t="shared" si="459"/>
        <v>19.117524539919675</v>
      </c>
      <c r="M26" s="129">
        <f t="shared" si="459"/>
        <v>19.162136518170353</v>
      </c>
      <c r="N26" s="129">
        <f t="shared" si="459"/>
        <v>18.666636274111802</v>
      </c>
      <c r="O26" s="129">
        <f t="shared" si="459"/>
        <v>18.962938703858018</v>
      </c>
      <c r="P26" s="129">
        <f t="shared" si="459"/>
        <v>19.915753495089543</v>
      </c>
      <c r="Q26" s="129">
        <f t="shared" si="459"/>
        <v>21.068417571717617</v>
      </c>
      <c r="R26" s="129">
        <f t="shared" si="459"/>
        <v>21.864055509341487</v>
      </c>
      <c r="S26" s="129">
        <f t="shared" si="459"/>
        <v>22.73428269870265</v>
      </c>
      <c r="T26" s="129">
        <f t="shared" si="459"/>
        <v>26.577377961771312</v>
      </c>
      <c r="U26" s="129">
        <f t="shared" si="459"/>
        <v>22.973873966039225</v>
      </c>
      <c r="V26" s="129">
        <f t="shared" si="459"/>
        <v>23.181824927759873</v>
      </c>
      <c r="W26" s="129">
        <f t="shared" si="459"/>
        <v>23.381666334643313</v>
      </c>
      <c r="X26" s="129">
        <f t="shared" si="459"/>
        <v>22.722593212836799</v>
      </c>
      <c r="Y26" s="129">
        <f t="shared" si="459"/>
        <v>29.793983657849417</v>
      </c>
      <c r="Z26" s="129">
        <f t="shared" si="459"/>
        <v>31.109335721591567</v>
      </c>
      <c r="AA26" s="129">
        <f t="shared" si="459"/>
        <v>32.488592986633016</v>
      </c>
      <c r="AB26" s="129">
        <f t="shared" si="459"/>
        <v>34.161647033953017</v>
      </c>
      <c r="AC26" s="129">
        <f t="shared" si="459"/>
        <v>34.188491689001424</v>
      </c>
      <c r="AD26" s="129">
        <f t="shared" si="459"/>
        <v>35.310579410289463</v>
      </c>
      <c r="AE26" s="129">
        <f t="shared" si="459"/>
        <v>36.685087488534791</v>
      </c>
      <c r="AF26" s="129">
        <f t="shared" si="459"/>
        <v>37.390239296392913</v>
      </c>
      <c r="AG26" s="129">
        <f t="shared" si="459"/>
        <v>37.95254044942935</v>
      </c>
      <c r="AH26" s="129">
        <f t="shared" si="459"/>
        <v>38.168696122980975</v>
      </c>
      <c r="AI26" s="129">
        <f t="shared" si="459"/>
        <v>39.492816964862314</v>
      </c>
      <c r="AJ26" s="129">
        <f t="shared" si="459"/>
        <v>43.021632672171052</v>
      </c>
      <c r="AK26" s="129">
        <f t="shared" si="459"/>
        <v>46.258083189110906</v>
      </c>
      <c r="AL26" s="129">
        <f t="shared" si="459"/>
        <v>43.712946106830017</v>
      </c>
      <c r="AM26" s="129">
        <f t="shared" si="459"/>
        <v>42.883432070742948</v>
      </c>
      <c r="AN26" s="129">
        <f t="shared" si="459"/>
        <v>39.465568152201065</v>
      </c>
      <c r="AO26" s="129">
        <f t="shared" si="459"/>
        <v>37.60040008809856</v>
      </c>
      <c r="AP26" s="129">
        <f t="shared" si="459"/>
        <v>40.369964688933784</v>
      </c>
      <c r="AQ26" s="129">
        <f t="shared" si="459"/>
        <v>42.309036323853327</v>
      </c>
      <c r="AR26" s="129">
        <f t="shared" si="459"/>
        <v>42.627837155317835</v>
      </c>
      <c r="AS26" s="129">
        <f t="shared" si="459"/>
        <v>51.07907121591554</v>
      </c>
      <c r="AT26" s="129">
        <f t="shared" si="459"/>
        <v>51.718558434558368</v>
      </c>
      <c r="AU26" s="129">
        <f t="shared" si="459"/>
        <v>53.47851181193073</v>
      </c>
      <c r="AV26" s="129">
        <f t="shared" si="459"/>
        <v>52.291771743915746</v>
      </c>
      <c r="AW26" s="129">
        <f t="shared" si="459"/>
        <v>53.036343047940989</v>
      </c>
      <c r="AX26" s="129">
        <f t="shared" si="459"/>
        <v>55.266859644970424</v>
      </c>
      <c r="AY26" s="129">
        <f t="shared" si="459"/>
        <v>58.052399411973418</v>
      </c>
      <c r="AZ26" s="129">
        <f t="shared" si="459"/>
        <v>58.637603673856155</v>
      </c>
      <c r="BA26" s="129">
        <f t="shared" si="459"/>
        <v>56.340931950817478</v>
      </c>
      <c r="BB26" s="129">
        <f t="shared" si="459"/>
        <v>56.264864539090645</v>
      </c>
      <c r="BC26" s="129">
        <f t="shared" si="459"/>
        <v>57.522988408414022</v>
      </c>
      <c r="BD26" s="129">
        <f t="shared" si="459"/>
        <v>59.331302948086879</v>
      </c>
      <c r="BE26" s="129">
        <f t="shared" si="459"/>
        <v>44.637404273937499</v>
      </c>
      <c r="BF26" s="129">
        <f t="shared" si="459"/>
        <v>46.114928001006035</v>
      </c>
      <c r="BG26" s="129">
        <f t="shared" si="459"/>
        <v>48.736101977967621</v>
      </c>
      <c r="BH26" s="129">
        <f t="shared" si="459"/>
        <v>25.126140574869567</v>
      </c>
      <c r="BI26" s="129">
        <f t="shared" si="459"/>
        <v>25.632798239640508</v>
      </c>
      <c r="BJ26" s="129">
        <f t="shared" si="459"/>
        <v>15.121922313993418</v>
      </c>
      <c r="BK26" s="129">
        <f t="shared" si="459"/>
        <v>15.406783305054928</v>
      </c>
      <c r="BL26" s="129">
        <f t="shared" si="459"/>
        <v>15.793140110412226</v>
      </c>
      <c r="BM26" s="129">
        <f t="shared" si="459"/>
        <v>17.198196555174491</v>
      </c>
      <c r="BN26" s="129">
        <f t="shared" si="459"/>
        <v>17.973443369253058</v>
      </c>
      <c r="BO26" s="129">
        <f t="shared" ref="BO26:DZ26" si="460">BO25/BO2</f>
        <v>15.532942080571779</v>
      </c>
      <c r="BP26" s="129">
        <f t="shared" si="460"/>
        <v>14.742783483969415</v>
      </c>
      <c r="BQ26" s="129">
        <f t="shared" si="460"/>
        <v>15.334921433989996</v>
      </c>
      <c r="BR26" s="129">
        <f t="shared" si="460"/>
        <v>16.698887380570756</v>
      </c>
      <c r="BS26" s="129">
        <f t="shared" si="460"/>
        <v>16.688509225472846</v>
      </c>
      <c r="BT26" s="129">
        <f t="shared" si="460"/>
        <v>19.706396285560395</v>
      </c>
      <c r="BU26" s="129">
        <f t="shared" si="460"/>
        <v>18.104841690898347</v>
      </c>
      <c r="BV26" s="129">
        <f t="shared" si="460"/>
        <v>17.21419924815644</v>
      </c>
      <c r="BW26" s="129">
        <f t="shared" si="460"/>
        <v>17.010998934712955</v>
      </c>
      <c r="BX26" s="129">
        <f t="shared" si="460"/>
        <v>18.494819914571011</v>
      </c>
      <c r="BY26" s="129">
        <f t="shared" si="460"/>
        <v>17.674851718888107</v>
      </c>
      <c r="BZ26" s="129">
        <f t="shared" si="460"/>
        <v>17.797580337690139</v>
      </c>
      <c r="CA26" s="129">
        <f t="shared" si="460"/>
        <v>17.509212017535944</v>
      </c>
      <c r="CB26" s="129">
        <f t="shared" si="460"/>
        <v>18.200085472289551</v>
      </c>
      <c r="CC26" s="129">
        <f t="shared" si="460"/>
        <v>17.034674850515991</v>
      </c>
      <c r="CD26" s="129">
        <f t="shared" si="460"/>
        <v>16.594960520281965</v>
      </c>
      <c r="CE26" s="129">
        <f t="shared" si="460"/>
        <v>16.697583710175063</v>
      </c>
      <c r="CF26" s="129">
        <f t="shared" si="460"/>
        <v>16.702215525612473</v>
      </c>
      <c r="CG26" s="129">
        <f t="shared" si="460"/>
        <v>17.007174226269409</v>
      </c>
      <c r="CH26" s="129">
        <f t="shared" si="460"/>
        <v>18.495467341492269</v>
      </c>
      <c r="CI26" s="129">
        <f t="shared" si="460"/>
        <v>16.606161007820877</v>
      </c>
      <c r="CJ26" s="129">
        <f t="shared" si="460"/>
        <v>16.819872088088133</v>
      </c>
      <c r="CK26" s="129">
        <f t="shared" si="460"/>
        <v>17.50822777307577</v>
      </c>
      <c r="CL26" s="129">
        <f t="shared" si="460"/>
        <v>18.393492997965865</v>
      </c>
      <c r="CM26" s="129">
        <f t="shared" si="460"/>
        <v>20.183060796897692</v>
      </c>
      <c r="CN26" s="129">
        <f t="shared" si="460"/>
        <v>18.706343870794647</v>
      </c>
      <c r="CO26" s="129">
        <f t="shared" si="460"/>
        <v>19.756936582073706</v>
      </c>
      <c r="CP26" s="129">
        <f t="shared" si="460"/>
        <v>19.826561076919777</v>
      </c>
      <c r="CQ26" s="129">
        <f t="shared" si="460"/>
        <v>21.210349090383634</v>
      </c>
      <c r="CR26" s="129">
        <f t="shared" si="460"/>
        <v>21.605153869917089</v>
      </c>
      <c r="CS26" s="129">
        <f t="shared" si="460"/>
        <v>21.788275252626391</v>
      </c>
      <c r="CT26" s="129">
        <f t="shared" si="460"/>
        <v>22.582360228095705</v>
      </c>
      <c r="CU26" s="129">
        <f t="shared" si="460"/>
        <v>22.741898141834984</v>
      </c>
      <c r="CV26" s="129">
        <f t="shared" si="460"/>
        <v>23.954440270512972</v>
      </c>
      <c r="CW26" s="129">
        <f t="shared" si="460"/>
        <v>27.279308098001572</v>
      </c>
      <c r="CX26" s="129">
        <f t="shared" si="460"/>
        <v>27.208987808261949</v>
      </c>
      <c r="CY26" s="129">
        <f t="shared" si="460"/>
        <v>25.292177221846281</v>
      </c>
      <c r="CZ26" s="129">
        <f t="shared" si="460"/>
        <v>25.388446318297333</v>
      </c>
      <c r="DA26" s="129">
        <f t="shared" si="460"/>
        <v>27.529303194580343</v>
      </c>
      <c r="DB26" s="129">
        <f t="shared" si="460"/>
        <v>28.875420561066605</v>
      </c>
      <c r="DC26" s="129">
        <f t="shared" si="460"/>
        <v>28.824755842279895</v>
      </c>
      <c r="DD26" s="129">
        <f t="shared" si="460"/>
        <v>29.121653199277542</v>
      </c>
      <c r="DE26" s="129">
        <f t="shared" si="460"/>
        <v>29.177070367382175</v>
      </c>
      <c r="DF26" s="129">
        <f t="shared" si="460"/>
        <v>31.379208449379092</v>
      </c>
      <c r="DG26" s="129">
        <f t="shared" si="460"/>
        <v>31.775854675362421</v>
      </c>
      <c r="DH26" s="129">
        <f t="shared" si="460"/>
        <v>29.297180874677927</v>
      </c>
      <c r="DI26" s="129">
        <f t="shared" si="460"/>
        <v>28.820244781257053</v>
      </c>
      <c r="DJ26" s="129">
        <f t="shared" si="460"/>
        <v>28.960490406736739</v>
      </c>
      <c r="DK26" s="129">
        <f t="shared" si="460"/>
        <v>30.054918601247572</v>
      </c>
      <c r="DL26" s="129">
        <f t="shared" si="460"/>
        <v>31.61698666783554</v>
      </c>
      <c r="DM26" s="129">
        <f t="shared" si="460"/>
        <v>31.821844714621523</v>
      </c>
      <c r="DN26" s="129">
        <f t="shared" si="460"/>
        <v>29.368673545638586</v>
      </c>
      <c r="DO26" s="129">
        <f t="shared" si="460"/>
        <v>29.847154086395992</v>
      </c>
      <c r="DP26" s="129">
        <f t="shared" si="460"/>
        <v>29.865052952111888</v>
      </c>
      <c r="DQ26" s="129">
        <f t="shared" si="460"/>
        <v>21.308741432565132</v>
      </c>
      <c r="DR26" s="129">
        <f t="shared" si="460"/>
        <v>20.645605149643924</v>
      </c>
      <c r="DS26" s="129">
        <f t="shared" si="460"/>
        <v>20.356383179148491</v>
      </c>
      <c r="DT26" s="129">
        <f t="shared" si="460"/>
        <v>9.9820182409688467</v>
      </c>
      <c r="DU26" s="129">
        <f t="shared" si="460"/>
        <v>10.936195053407364</v>
      </c>
      <c r="DV26" s="129">
        <f t="shared" si="460"/>
        <v>11.823138652390558</v>
      </c>
      <c r="DW26" s="129">
        <f t="shared" si="460"/>
        <v>12.887045283761577</v>
      </c>
      <c r="DX26" s="129">
        <f t="shared" si="460"/>
        <v>13.297136111619629</v>
      </c>
      <c r="DY26" s="129">
        <f t="shared" si="460"/>
        <v>11.553044662881229</v>
      </c>
      <c r="DZ26" s="129">
        <f t="shared" si="460"/>
        <v>13.084320769927684</v>
      </c>
      <c r="EA26" s="129">
        <f t="shared" ref="EA26:GL26" si="461">EA25/EA2</f>
        <v>13.378487306136915</v>
      </c>
      <c r="EB26" s="129">
        <f t="shared" si="461"/>
        <v>13.624878453104458</v>
      </c>
      <c r="EC26" s="129">
        <f t="shared" si="461"/>
        <v>12.064249161424344</v>
      </c>
      <c r="ED26" s="129">
        <f t="shared" si="461"/>
        <v>12.290372304799398</v>
      </c>
      <c r="EE26" s="129">
        <f t="shared" si="461"/>
        <v>13.133520876770477</v>
      </c>
      <c r="EF26" s="129">
        <f t="shared" si="461"/>
        <v>14.019588247320767</v>
      </c>
      <c r="EG26" s="129">
        <f t="shared" si="461"/>
        <v>14.519543054142327</v>
      </c>
      <c r="EH26" s="129">
        <f t="shared" si="461"/>
        <v>12.504710025111406</v>
      </c>
      <c r="EI26" s="129">
        <f t="shared" si="461"/>
        <v>12.743418734574757</v>
      </c>
      <c r="EJ26" s="129">
        <f t="shared" si="461"/>
        <v>13.035800664173637</v>
      </c>
      <c r="EK26" s="129">
        <f t="shared" si="461"/>
        <v>14.394502615626733</v>
      </c>
      <c r="EL26" s="129">
        <f t="shared" si="461"/>
        <v>15.327594103547305</v>
      </c>
      <c r="EM26" s="129">
        <f t="shared" si="461"/>
        <v>13.769196625615965</v>
      </c>
      <c r="EN26" s="129">
        <f t="shared" si="461"/>
        <v>13.512209847354063</v>
      </c>
      <c r="EO26" s="129">
        <f t="shared" si="461"/>
        <v>13.687019906594898</v>
      </c>
      <c r="EP26" s="129">
        <f t="shared" si="461"/>
        <v>14.536093660699544</v>
      </c>
      <c r="EQ26" s="129">
        <f t="shared" si="461"/>
        <v>13.01688838855682</v>
      </c>
      <c r="ER26" s="129">
        <f t="shared" si="461"/>
        <v>12.996736143140636</v>
      </c>
      <c r="ES26" s="129">
        <f t="shared" si="461"/>
        <v>13.740098885084315</v>
      </c>
      <c r="ET26" s="129">
        <f t="shared" si="461"/>
        <v>16.979672516953961</v>
      </c>
      <c r="EU26" s="129">
        <f t="shared" si="461"/>
        <v>18.150526053950724</v>
      </c>
      <c r="EV26" s="129">
        <f t="shared" si="461"/>
        <v>18.91729058467299</v>
      </c>
      <c r="EW26" s="129">
        <f t="shared" si="461"/>
        <v>17.228200108897635</v>
      </c>
      <c r="EX26" s="129">
        <f t="shared" si="461"/>
        <v>18.978328627839375</v>
      </c>
      <c r="EY26" s="129">
        <f t="shared" si="461"/>
        <v>20.307578913298723</v>
      </c>
      <c r="EZ26" s="129">
        <f t="shared" si="461"/>
        <v>21.34163380170358</v>
      </c>
      <c r="FA26" s="129">
        <f t="shared" si="461"/>
        <v>20.410941770128609</v>
      </c>
      <c r="FB26" s="129">
        <f t="shared" si="461"/>
        <v>20.638958646972572</v>
      </c>
      <c r="FC26" s="129">
        <f t="shared" si="461"/>
        <v>24.151742024214617</v>
      </c>
      <c r="FD26" s="129">
        <f t="shared" si="461"/>
        <v>26.177345266746357</v>
      </c>
      <c r="FE26" s="129">
        <f t="shared" si="461"/>
        <v>25.617604167191715</v>
      </c>
      <c r="FF26" s="129">
        <f t="shared" si="461"/>
        <v>24.250014549847222</v>
      </c>
      <c r="FG26" s="129">
        <f t="shared" si="461"/>
        <v>25.005379134748814</v>
      </c>
      <c r="FH26" s="129">
        <f t="shared" si="461"/>
        <v>25.789204311120166</v>
      </c>
      <c r="FI26" s="129">
        <f t="shared" si="461"/>
        <v>26.793640019493594</v>
      </c>
      <c r="FJ26" s="129">
        <f t="shared" si="461"/>
        <v>27.241953555919725</v>
      </c>
      <c r="FK26" s="129">
        <f t="shared" si="461"/>
        <v>27.310526360275222</v>
      </c>
      <c r="FL26" s="129">
        <f t="shared" si="461"/>
        <v>23.458171908999681</v>
      </c>
      <c r="FM26" s="129">
        <f t="shared" si="461"/>
        <v>24.12379691036827</v>
      </c>
      <c r="FN26" s="129">
        <f t="shared" si="461"/>
        <v>24.915452957268897</v>
      </c>
      <c r="FO26" s="129">
        <f t="shared" si="461"/>
        <v>24.94362971532988</v>
      </c>
      <c r="FP26" s="129">
        <f t="shared" si="461"/>
        <v>24.530824672677372</v>
      </c>
      <c r="FQ26" s="129">
        <f t="shared" si="461"/>
        <v>24.058626052897974</v>
      </c>
      <c r="FR26" s="129">
        <f t="shared" si="461"/>
        <v>24.511247523994374</v>
      </c>
      <c r="FS26" s="129">
        <f t="shared" si="461"/>
        <v>25.126211296150679</v>
      </c>
      <c r="FT26" s="129">
        <f t="shared" si="461"/>
        <v>25.392039491148513</v>
      </c>
      <c r="FU26" s="129">
        <f t="shared" si="461"/>
        <v>25.674671850511306</v>
      </c>
      <c r="FV26" s="129">
        <f t="shared" si="461"/>
        <v>25.714640181422421</v>
      </c>
      <c r="FW26" s="129">
        <f t="shared" si="461"/>
        <v>27.149716487953924</v>
      </c>
      <c r="FX26" s="129">
        <f t="shared" si="461"/>
        <v>27.959584592798173</v>
      </c>
      <c r="FY26" s="129">
        <f t="shared" si="461"/>
        <v>28.538885021831295</v>
      </c>
      <c r="FZ26" s="129">
        <f t="shared" si="461"/>
        <v>27.074194703830553</v>
      </c>
      <c r="GA26" s="129">
        <f t="shared" si="461"/>
        <v>25.857648974129692</v>
      </c>
      <c r="GB26" s="129">
        <f t="shared" si="461"/>
        <v>26.65383496744975</v>
      </c>
      <c r="GC26" s="129">
        <f t="shared" si="461"/>
        <v>27.233826327509835</v>
      </c>
      <c r="GD26" s="129">
        <f t="shared" si="461"/>
        <v>52.347167899405171</v>
      </c>
      <c r="GE26" s="129">
        <f t="shared" si="461"/>
        <v>48.878062692412406</v>
      </c>
      <c r="GF26" s="129">
        <f t="shared" si="461"/>
        <v>41.537829721505155</v>
      </c>
      <c r="GG26" s="129">
        <f t="shared" si="461"/>
        <v>12.109229231609298</v>
      </c>
      <c r="GH26" s="129">
        <f t="shared" si="461"/>
        <v>10.122898180389107</v>
      </c>
      <c r="GI26" s="129">
        <f t="shared" si="461"/>
        <v>13.61899618902045</v>
      </c>
      <c r="GJ26" s="129">
        <f t="shared" si="461"/>
        <v>12.222240388610871</v>
      </c>
      <c r="GK26" s="129">
        <f t="shared" si="461"/>
        <v>14.593039763974392</v>
      </c>
      <c r="GL26" s="129">
        <f t="shared" si="461"/>
        <v>14.236188125578902</v>
      </c>
      <c r="GM26" s="129">
        <f t="shared" ref="GM26:HN26" si="462">GM25/GM2</f>
        <v>13.319350893386067</v>
      </c>
      <c r="GN26" s="129">
        <f t="shared" si="462"/>
        <v>13.967164759209853</v>
      </c>
      <c r="GO26" s="129">
        <f t="shared" si="462"/>
        <v>14.809252031800064</v>
      </c>
      <c r="GP26" s="129">
        <f t="shared" si="462"/>
        <v>12.974497816673914</v>
      </c>
      <c r="GQ26" s="129">
        <f t="shared" si="462"/>
        <v>12.54165495400777</v>
      </c>
      <c r="GR26" s="129">
        <f t="shared" si="462"/>
        <v>11.777408478104572</v>
      </c>
      <c r="GS26" s="129">
        <f t="shared" si="462"/>
        <v>12.267337347051798</v>
      </c>
      <c r="GT26" s="129">
        <f t="shared" si="462"/>
        <v>13.243310615351675</v>
      </c>
      <c r="GU26" s="129">
        <f t="shared" si="462"/>
        <v>13.771878084961179</v>
      </c>
      <c r="GV26" s="129">
        <f t="shared" si="462"/>
        <v>15.292713819906881</v>
      </c>
      <c r="GW26" s="129">
        <f t="shared" si="462"/>
        <v>15.24627189865026</v>
      </c>
      <c r="GX26" s="129">
        <f t="shared" si="462"/>
        <v>13.944699572344478</v>
      </c>
      <c r="GY26" s="129">
        <f t="shared" si="462"/>
        <v>14.570003108158417</v>
      </c>
      <c r="GZ26" s="129">
        <f t="shared" si="462"/>
        <v>15.772692368729226</v>
      </c>
      <c r="HA26" s="129">
        <f t="shared" si="462"/>
        <v>19.191752023846583</v>
      </c>
      <c r="HB26" s="129">
        <f t="shared" si="462"/>
        <v>19.914791993049651</v>
      </c>
      <c r="HC26" s="129">
        <f t="shared" si="462"/>
        <v>7.2518955335053912</v>
      </c>
      <c r="HD26" s="129">
        <f t="shared" si="462"/>
        <v>5.6466670414556805</v>
      </c>
      <c r="HE26" s="129">
        <f t="shared" si="462"/>
        <v>6.5661247226983672</v>
      </c>
      <c r="HF26" s="129">
        <f t="shared" si="462"/>
        <v>5.6629732511095812</v>
      </c>
      <c r="HG26" s="129">
        <f t="shared" si="462"/>
        <v>6.2880644638009144</v>
      </c>
      <c r="HH26" s="129">
        <f t="shared" si="462"/>
        <v>7.52767379895361</v>
      </c>
      <c r="HI26" s="129">
        <f t="shared" si="462"/>
        <v>14.076509017950839</v>
      </c>
      <c r="HJ26" s="129">
        <f t="shared" si="462"/>
        <v>13.273273432864137</v>
      </c>
      <c r="HK26" s="129">
        <f t="shared" si="462"/>
        <v>14.131513636579115</v>
      </c>
      <c r="HL26" s="129">
        <f t="shared" si="462"/>
        <v>15.827932770335419</v>
      </c>
      <c r="HM26" s="129">
        <f t="shared" si="462"/>
        <v>14.227215225286713</v>
      </c>
      <c r="HN26" s="129">
        <f t="shared" si="462"/>
        <v>15.363890889876259</v>
      </c>
      <c r="HO26" s="129">
        <v>16.436374148716634</v>
      </c>
      <c r="HP26" s="129">
        <v>16.134850048479059</v>
      </c>
      <c r="HQ26" s="129">
        <v>9.9870402077392448</v>
      </c>
      <c r="HR26" s="129">
        <f>HR25/HR2</f>
        <v>13.053135862168949</v>
      </c>
      <c r="HS26" s="129">
        <f>HS25/HS2</f>
        <v>14.064366185688415</v>
      </c>
      <c r="HT26" s="129">
        <f>HT25/HT2</f>
        <v>8.1455049289343329</v>
      </c>
      <c r="HU26" s="129">
        <f>HU25/HU2</f>
        <v>8.1340717218234637</v>
      </c>
      <c r="HV26" s="129">
        <v>6.3795805608400054</v>
      </c>
      <c r="HW26" s="129">
        <v>6.3282090233608299</v>
      </c>
      <c r="HX26" s="129">
        <v>6.6789148913192777</v>
      </c>
      <c r="HY26" s="129">
        <v>6.6671695063028249</v>
      </c>
      <c r="HZ26" s="129">
        <v>6.4245094311111881</v>
      </c>
      <c r="IA26" s="129">
        <v>7.0376819899076217</v>
      </c>
      <c r="IB26" s="129">
        <v>8.4758394412563103</v>
      </c>
      <c r="IC26" s="129">
        <v>8.4308920656997639</v>
      </c>
      <c r="ID26" s="129">
        <v>8.4397755102115397</v>
      </c>
      <c r="IE26" s="129">
        <v>7.181124566885174</v>
      </c>
      <c r="IF26" s="129">
        <v>7.1962173119275636</v>
      </c>
      <c r="IG26" s="129">
        <v>9.5160372893336742</v>
      </c>
      <c r="IH26" s="129">
        <v>9.5747991457400961</v>
      </c>
      <c r="II26" s="129">
        <v>9.5686899344681073</v>
      </c>
      <c r="IJ26" s="129">
        <v>9.5729221665841688</v>
      </c>
      <c r="IK26" s="129">
        <v>12.179185538550653</v>
      </c>
      <c r="IL26" s="129">
        <v>12.210924294212823</v>
      </c>
      <c r="IM26" s="129">
        <v>12.169687106299335</v>
      </c>
      <c r="IN26" s="129">
        <v>9.9467840442057458</v>
      </c>
      <c r="IO26" s="129">
        <v>9.583406808108375</v>
      </c>
      <c r="IP26" s="129">
        <v>10.276346709634787</v>
      </c>
      <c r="IQ26" s="129">
        <v>10.973345493735064</v>
      </c>
      <c r="IR26" s="129">
        <v>11.063808684090073</v>
      </c>
      <c r="IS26" s="129">
        <v>11.458819809346691</v>
      </c>
      <c r="IT26" s="129">
        <v>13.596963852190882</v>
      </c>
      <c r="IU26" s="129">
        <v>14.340148092848235</v>
      </c>
      <c r="IV26" s="129">
        <v>14.492895049456678</v>
      </c>
      <c r="IW26" s="129">
        <v>14.647516918402003</v>
      </c>
      <c r="IX26" s="129">
        <v>10.669947163984002</v>
      </c>
      <c r="IY26" s="129">
        <f>IY25/IY2</f>
        <v>10.996716045676534</v>
      </c>
      <c r="IZ26" s="129">
        <v>11.360292925486588</v>
      </c>
      <c r="JA26" s="129">
        <v>12.269540343364289</v>
      </c>
      <c r="JB26" s="129">
        <v>12.265150575133948</v>
      </c>
      <c r="JC26" s="129">
        <v>12.448066791614952</v>
      </c>
      <c r="JD26" s="129">
        <v>12.876424809765041</v>
      </c>
      <c r="JE26" s="129">
        <v>12.873655828095835</v>
      </c>
      <c r="JF26" s="129">
        <v>12.876457014232173</v>
      </c>
      <c r="JG26" s="129">
        <v>12.091821071006988</v>
      </c>
      <c r="JH26" s="129">
        <v>11.997154217149683</v>
      </c>
      <c r="JI26" s="129">
        <v>11.951680265377025</v>
      </c>
      <c r="JJ26" s="129">
        <v>13.595364861540133</v>
      </c>
      <c r="JK26" s="129">
        <v>14.292793949473019</v>
      </c>
      <c r="JL26" s="129">
        <v>13.007975363152807</v>
      </c>
      <c r="JM26" s="129">
        <v>13.443148955941032</v>
      </c>
      <c r="JN26" s="129">
        <v>13.408838915958022</v>
      </c>
      <c r="JO26" s="129">
        <v>13.305136141936586</v>
      </c>
      <c r="JP26" s="129">
        <v>14.550731329219996</v>
      </c>
      <c r="JQ26" s="129">
        <v>14.376972558628895</v>
      </c>
      <c r="JR26" s="129">
        <v>14.319697521372694</v>
      </c>
      <c r="JS26" s="129">
        <f>JS25/JS2</f>
        <v>14.306848268900719</v>
      </c>
      <c r="JT26" s="129">
        <v>23.816352401918479</v>
      </c>
      <c r="JU26" s="129">
        <v>24.543028295347113</v>
      </c>
      <c r="JV26" s="129">
        <v>24.471060244724196</v>
      </c>
      <c r="JW26" s="129">
        <v>24.547972912529509</v>
      </c>
      <c r="JX26" s="129">
        <v>24.735589061414199</v>
      </c>
      <c r="JY26" s="129">
        <v>16.834885109414564</v>
      </c>
      <c r="JZ26" s="129">
        <v>16.7194112400189</v>
      </c>
      <c r="KA26" s="129">
        <v>16.268017060942686</v>
      </c>
      <c r="KB26" s="129">
        <v>16.21692894841344</v>
      </c>
      <c r="KC26" s="129">
        <v>13.973727855863391</v>
      </c>
      <c r="KD26" s="129">
        <v>15.265541977882977</v>
      </c>
      <c r="KE26" s="129">
        <v>15.104709947215522</v>
      </c>
      <c r="KF26" s="129">
        <v>12.909021009994975</v>
      </c>
      <c r="KG26" s="129">
        <v>22.512740146007221</v>
      </c>
      <c r="KH26" s="129">
        <v>21.970043257336382</v>
      </c>
      <c r="KI26" s="129">
        <v>21.610175915142566</v>
      </c>
      <c r="KJ26" s="129">
        <f>KJ25/KJ2</f>
        <v>21.589941764242333</v>
      </c>
      <c r="KK26" s="129">
        <v>22.593478895193059</v>
      </c>
      <c r="KL26" s="129">
        <v>22.682499013299815</v>
      </c>
      <c r="KM26" s="129">
        <v>22.795589918680971</v>
      </c>
      <c r="KN26" s="129">
        <v>22.726499682974733</v>
      </c>
      <c r="KO26" s="129">
        <v>23.321114776209697</v>
      </c>
      <c r="KP26" s="129">
        <v>22.848641300752227</v>
      </c>
      <c r="KQ26" s="129">
        <v>21.560947877409689</v>
      </c>
      <c r="KR26" s="129">
        <v>21.64403113527673</v>
      </c>
      <c r="KS26" s="129">
        <f>KS25/KS2</f>
        <v>22.335567947526457</v>
      </c>
      <c r="KT26" s="129">
        <v>22.376651493993741</v>
      </c>
      <c r="KU26" s="129">
        <f>KU25/KU2</f>
        <v>20.291622528900209</v>
      </c>
      <c r="KV26" s="129">
        <f>KV25/KV2</f>
        <v>20.629443668325305</v>
      </c>
      <c r="KW26" s="129">
        <f>KW25/KW2</f>
        <v>19.119180474682526</v>
      </c>
      <c r="KX26" s="129">
        <v>15.76330706201375</v>
      </c>
      <c r="KY26" s="129">
        <v>15.592318818639011</v>
      </c>
      <c r="KZ26" s="129">
        <v>14.725116749648949</v>
      </c>
      <c r="LA26" s="129">
        <v>14.800416382324318</v>
      </c>
      <c r="LB26" s="129">
        <v>15.146490167341035</v>
      </c>
      <c r="LC26" s="129">
        <v>15.165252125835483</v>
      </c>
      <c r="LD26" s="129">
        <v>15.022072117861734</v>
      </c>
      <c r="LE26" s="129">
        <f>LE25/LE2</f>
        <v>15.657019065834392</v>
      </c>
      <c r="LF26" s="968">
        <v>16.299759392106687</v>
      </c>
      <c r="LG26" s="968">
        <v>16.420645053435983</v>
      </c>
      <c r="LH26" s="968">
        <v>16.938858933394492</v>
      </c>
      <c r="LI26" s="968">
        <v>17.775448941006182</v>
      </c>
      <c r="LJ26" s="968">
        <v>17.636160494102555</v>
      </c>
      <c r="LK26" s="968">
        <v>17.640638936022143</v>
      </c>
      <c r="LL26" s="968">
        <v>17.459681444821747</v>
      </c>
      <c r="LM26" s="968">
        <v>17.467338494100147</v>
      </c>
      <c r="LN26" s="968">
        <v>16.059142069459213</v>
      </c>
      <c r="LO26" s="968">
        <v>15.931303684128387</v>
      </c>
      <c r="LP26" s="968">
        <v>15.892135851505119</v>
      </c>
      <c r="LQ26" s="968">
        <v>15.377659083294501</v>
      </c>
      <c r="LR26" s="968">
        <v>15.607342176107393</v>
      </c>
      <c r="LS26" s="968">
        <v>15.606256770267311</v>
      </c>
      <c r="LT26" s="968">
        <v>17.085302217659095</v>
      </c>
      <c r="LU26" s="968">
        <v>16.213661339289281</v>
      </c>
      <c r="LV26" s="968">
        <v>16.578369415466881</v>
      </c>
      <c r="LW26" s="968">
        <v>16.518907769758677</v>
      </c>
      <c r="LX26" s="968">
        <v>17.265577091441227</v>
      </c>
      <c r="LY26" s="968">
        <v>17.518867264888094</v>
      </c>
      <c r="LZ26" s="968">
        <v>18.315868646670925</v>
      </c>
      <c r="MA26" s="968">
        <v>18.072387057847831</v>
      </c>
      <c r="MB26" s="968">
        <v>18.03827612241566</v>
      </c>
      <c r="MC26" s="968">
        <v>17.950001618274353</v>
      </c>
      <c r="MD26" s="968">
        <v>13.152534570065143</v>
      </c>
      <c r="ME26" s="968">
        <v>13.262720883130541</v>
      </c>
      <c r="MF26" s="968">
        <v>13.208691094028806</v>
      </c>
      <c r="MG26" s="968">
        <v>13.28306853487128</v>
      </c>
      <c r="MH26" s="968">
        <v>8.581375787963383</v>
      </c>
      <c r="MI26" s="968">
        <v>8.5721201520402435</v>
      </c>
      <c r="MJ26" s="968">
        <v>8.4020661593469512</v>
      </c>
      <c r="MK26" s="968">
        <v>8.3938796356476697</v>
      </c>
      <c r="ML26" s="968">
        <v>8.3504572579065552</v>
      </c>
      <c r="MM26" s="968">
        <v>8.315063176707417</v>
      </c>
      <c r="MN26" s="968">
        <v>8.2252408885188153</v>
      </c>
      <c r="MO26" s="968">
        <v>8.1598484183677069</v>
      </c>
      <c r="MP26" s="968">
        <v>8.1444403259749336</v>
      </c>
      <c r="MQ26" s="968">
        <v>9.0229804735734316</v>
      </c>
      <c r="MR26" s="968">
        <v>8.9498115383352346</v>
      </c>
      <c r="MS26" s="968">
        <v>10.90150367700015</v>
      </c>
      <c r="MT26" s="968">
        <v>10.712453531849231</v>
      </c>
      <c r="MU26" s="968">
        <v>10.707535571429712</v>
      </c>
      <c r="MV26" s="968">
        <v>11.037168718941631</v>
      </c>
      <c r="MW26" s="968">
        <v>13.002245295172518</v>
      </c>
      <c r="MX26" s="968">
        <v>13.652684707127914</v>
      </c>
      <c r="MY26" s="968">
        <v>13.644367920958068</v>
      </c>
      <c r="MZ26" s="968">
        <v>13.64064057946605</v>
      </c>
      <c r="NA26" s="968">
        <v>13.649752339082124</v>
      </c>
      <c r="NB26" s="968">
        <v>13.849306667723264</v>
      </c>
      <c r="NC26" s="968">
        <v>14.024375008684578</v>
      </c>
      <c r="ND26" s="968">
        <v>14.202179485984106</v>
      </c>
      <c r="NE26" s="968">
        <v>14.258850558932997</v>
      </c>
      <c r="NF26" s="968">
        <v>12.601476397261267</v>
      </c>
      <c r="NG26" s="968">
        <v>12.286234627011696</v>
      </c>
      <c r="NH26" s="968">
        <v>12.311058551748914</v>
      </c>
      <c r="NI26" s="968">
        <v>11.842436686422685</v>
      </c>
      <c r="NJ26" s="968">
        <v>11.682789943621417</v>
      </c>
      <c r="NK26" s="968">
        <v>12.50292720884806</v>
      </c>
      <c r="NL26" s="968">
        <v>12.521459501091527</v>
      </c>
      <c r="NM26" s="968">
        <v>13.891920275474467</v>
      </c>
      <c r="NN26" s="968">
        <v>13.924737508039827</v>
      </c>
      <c r="NO26" s="968">
        <v>13.965742249251038</v>
      </c>
      <c r="NP26" s="968">
        <v>16.89429980945863</v>
      </c>
      <c r="NQ26" s="968">
        <v>16.882378973930319</v>
      </c>
      <c r="NR26" s="968">
        <v>18.084189928772592</v>
      </c>
      <c r="NS26" s="968">
        <v>18.448172243828008</v>
      </c>
      <c r="NT26" s="968">
        <v>18.553929215169553</v>
      </c>
      <c r="NU26" s="968">
        <f>NU25/NU2</f>
        <v>18.525048632855238</v>
      </c>
      <c r="NV26" s="968">
        <v>19.327702133331226</v>
      </c>
      <c r="NW26" s="968">
        <v>19.465241662067079</v>
      </c>
      <c r="NX26" s="968">
        <v>19.400177070327391</v>
      </c>
      <c r="NY26" s="968">
        <v>19.515045435687004</v>
      </c>
      <c r="NZ26" s="968">
        <v>19.804665348320579</v>
      </c>
      <c r="OA26" s="968">
        <v>19.828956647971637</v>
      </c>
      <c r="OB26" s="968">
        <v>19.850058853044008</v>
      </c>
      <c r="OC26" s="968">
        <v>17.515237357637645</v>
      </c>
      <c r="OD26" s="968">
        <v>17.574991153045943</v>
      </c>
      <c r="OE26" s="968">
        <v>17.343952265047871</v>
      </c>
      <c r="OF26" s="968">
        <v>17.169714719518979</v>
      </c>
      <c r="OG26" s="968">
        <v>19.200476238967575</v>
      </c>
      <c r="OH26" s="968">
        <v>18.952085574881497</v>
      </c>
      <c r="OI26" s="968">
        <v>17.348020781739184</v>
      </c>
      <c r="OJ26" s="968">
        <v>19.796345147435296</v>
      </c>
      <c r="OK26" s="968">
        <v>19.938989989294889</v>
      </c>
      <c r="OL26" s="968">
        <v>19.973422942544431</v>
      </c>
      <c r="OM26" s="968">
        <v>20.045235419823211</v>
      </c>
      <c r="ON26" s="968">
        <v>20.094077660104759</v>
      </c>
      <c r="OO26" s="968">
        <v>17.619373998902969</v>
      </c>
      <c r="OP26" s="968">
        <v>17.895773319051234</v>
      </c>
      <c r="OQ26" s="968">
        <v>17.961168865319081</v>
      </c>
      <c r="OR26" s="968">
        <v>17.897871587268931</v>
      </c>
      <c r="OS26" s="968">
        <v>17.392540733560004</v>
      </c>
      <c r="OT26" s="968">
        <v>8.9034850944485964</v>
      </c>
      <c r="OU26" s="968">
        <v>8.9005711245093462</v>
      </c>
      <c r="OV26" s="968">
        <v>8.9260091198154115</v>
      </c>
      <c r="OW26" s="968">
        <v>6.9516591994338368</v>
      </c>
      <c r="OX26" s="968">
        <v>7.0595089486523861</v>
      </c>
      <c r="OY26" s="968">
        <v>8.9322651262204769</v>
      </c>
      <c r="OZ26" s="968">
        <v>8.8615511959647808</v>
      </c>
      <c r="PA26" s="968">
        <v>8.9616816619478499</v>
      </c>
      <c r="PB26" s="968">
        <v>7.7441499546078134</v>
      </c>
      <c r="PC26" s="968">
        <v>7.8012124081495564</v>
      </c>
      <c r="PD26" s="968">
        <v>7.8417145214491342</v>
      </c>
      <c r="PE26" s="968">
        <v>9.4554458079517865</v>
      </c>
      <c r="PF26" s="968">
        <v>9.5491759620390706</v>
      </c>
      <c r="PG26" s="968">
        <v>9.5161107245575849</v>
      </c>
      <c r="PH26" s="968">
        <v>9.5237803641736711</v>
      </c>
      <c r="PI26" s="968">
        <v>11.526004906311526</v>
      </c>
      <c r="PJ26" s="968">
        <v>12.484653488345641</v>
      </c>
      <c r="PK26" s="968">
        <v>12.433319320389337</v>
      </c>
      <c r="PL26" s="968">
        <v>12.380966996442435</v>
      </c>
      <c r="PM26" s="968">
        <v>12.262061669826252</v>
      </c>
      <c r="PN26" s="968">
        <v>11.182125925186085</v>
      </c>
      <c r="PO26" s="968">
        <v>11.222238895067346</v>
      </c>
      <c r="PP26" s="968">
        <v>11.07931943016334</v>
      </c>
      <c r="PQ26" s="968">
        <v>11.010299233402677</v>
      </c>
      <c r="PR26" s="968">
        <v>10.957751032950746</v>
      </c>
      <c r="PS26" s="968">
        <v>12.854846477663045</v>
      </c>
      <c r="PT26" s="968">
        <v>12.934115304540375</v>
      </c>
      <c r="PU26" s="968">
        <v>10.715672437395368</v>
      </c>
      <c r="PV26" s="968">
        <v>10.703378126064997</v>
      </c>
      <c r="PW26" s="968">
        <v>10.74647893015851</v>
      </c>
      <c r="PX26" s="968">
        <v>12.822000984784104</v>
      </c>
      <c r="PY26" s="968">
        <v>13.064299887507028</v>
      </c>
      <c r="PZ26" s="968">
        <v>15.219449470970648</v>
      </c>
      <c r="QA26" s="968">
        <v>15.15446030000969</v>
      </c>
      <c r="QB26" s="968">
        <v>7.9020544208918073</v>
      </c>
      <c r="QC26" s="968">
        <v>8.3910934292967667</v>
      </c>
      <c r="QD26" s="968">
        <v>8.39665423577949</v>
      </c>
      <c r="QE26" s="968">
        <v>8.5983904609216708</v>
      </c>
      <c r="QF26" s="968">
        <v>8.5693558439234128</v>
      </c>
      <c r="QG26" s="968">
        <v>8.5804384905448554</v>
      </c>
      <c r="QH26" s="968">
        <f>QH25/QH2</f>
        <v>8.5376444395795428</v>
      </c>
      <c r="QI26" s="968">
        <v>10.468633628136526</v>
      </c>
      <c r="QJ26" s="968">
        <v>10.586973210827997</v>
      </c>
      <c r="QK26" s="968">
        <v>11.66907442025717</v>
      </c>
      <c r="QL26" s="968">
        <v>11.666545256881522</v>
      </c>
      <c r="QM26" s="968">
        <v>11.691245052347295</v>
      </c>
      <c r="QN26" s="968">
        <v>12.045848616356658</v>
      </c>
      <c r="QO26" s="968">
        <v>14.096995782667195</v>
      </c>
      <c r="QP26" s="968">
        <v>14.116299874427865</v>
      </c>
      <c r="QQ26" s="968">
        <v>15.192297089186177</v>
      </c>
      <c r="QR26" s="968">
        <v>15.08225259517461</v>
      </c>
      <c r="QS26" s="968">
        <v>14.773296769388416</v>
      </c>
      <c r="QT26" s="968">
        <v>15.44392145695004</v>
      </c>
      <c r="QU26" s="968">
        <v>15.424965556097929</v>
      </c>
      <c r="QV26" s="968">
        <v>17.285681346939757</v>
      </c>
      <c r="QW26" s="968">
        <v>15.307937913559858</v>
      </c>
      <c r="QX26" s="968">
        <v>15.430501438827015</v>
      </c>
      <c r="QY26" s="968">
        <v>7.6839797348717997</v>
      </c>
      <c r="QZ26" s="968">
        <v>7.6703719428818431</v>
      </c>
      <c r="RA26" s="968">
        <v>5.9189795143371011</v>
      </c>
      <c r="RB26" s="968">
        <v>5.9178672113867412</v>
      </c>
      <c r="RC26" s="968">
        <v>5.9389761534442922</v>
      </c>
      <c r="RD26" s="968">
        <v>5.9323405695818812</v>
      </c>
      <c r="RE26" s="968">
        <v>6.161293762365724</v>
      </c>
      <c r="RF26" s="968">
        <v>6.1457116331299293</v>
      </c>
      <c r="RG26" s="968">
        <f>RG25/RG2</f>
        <v>6.1374574349599298</v>
      </c>
      <c r="RH26" s="968">
        <v>5.6953440348277127</v>
      </c>
      <c r="RI26" s="968">
        <v>6.5654882143147004</v>
      </c>
      <c r="RJ26" s="968">
        <v>6.5537515912552271</v>
      </c>
      <c r="RK26" s="968">
        <v>7.2056637577995026</v>
      </c>
      <c r="RL26" s="968">
        <v>7.1690633597154259</v>
      </c>
      <c r="RM26" s="968">
        <v>7.437528963098436</v>
      </c>
      <c r="RN26" s="968">
        <v>7.4596325568080291</v>
      </c>
      <c r="RO26" s="968">
        <v>7.4478998025411096</v>
      </c>
      <c r="RP26" s="968">
        <v>7.4094942014920155</v>
      </c>
      <c r="RQ26" s="968">
        <v>4.0257405410276466</v>
      </c>
      <c r="RR26" s="968">
        <v>4.0356666752398178</v>
      </c>
      <c r="RS26" s="968">
        <v>5.1914543554267985</v>
      </c>
      <c r="RT26" s="968">
        <v>5.2019762308328295</v>
      </c>
      <c r="RU26" s="968">
        <v>5.1997513959426227</v>
      </c>
      <c r="RV26" s="968">
        <v>5.2439324591539123</v>
      </c>
      <c r="RW26" s="968">
        <v>5.265242547926114</v>
      </c>
      <c r="RX26" s="968">
        <v>5.2719948103211047</v>
      </c>
      <c r="RY26" s="968">
        <v>13.250886083441653</v>
      </c>
      <c r="RZ26" s="968">
        <v>13.211343789618679</v>
      </c>
      <c r="SA26" s="968">
        <v>8.202838115513055</v>
      </c>
      <c r="SB26" s="968">
        <v>9.1607031123264751</v>
      </c>
      <c r="SC26" s="968">
        <v>9.1797336446411499</v>
      </c>
      <c r="SD26" s="968">
        <v>9.1096739179451092</v>
      </c>
      <c r="SE26" s="968">
        <v>10.111864740431942</v>
      </c>
      <c r="SF26" s="968">
        <v>10.14218071062434</v>
      </c>
      <c r="SG26" s="968">
        <v>10.144637828206623</v>
      </c>
      <c r="SH26" s="968">
        <v>10.181836213360844</v>
      </c>
      <c r="SI26" s="968">
        <v>13.409498772356143</v>
      </c>
      <c r="SJ26" s="968">
        <v>13.458844897119478</v>
      </c>
      <c r="SK26" s="968">
        <v>14.244148660187903</v>
      </c>
      <c r="SL26" s="968">
        <v>14.278815870502624</v>
      </c>
      <c r="SM26" s="968">
        <v>13.97536473718152</v>
      </c>
      <c r="SN26" s="968">
        <v>14.060429709060831</v>
      </c>
      <c r="SO26" s="968">
        <v>14.221731495446818</v>
      </c>
      <c r="SP26" s="968">
        <v>15.004140791971729</v>
      </c>
      <c r="SQ26" s="968">
        <v>14.866066031398546</v>
      </c>
      <c r="SR26" s="968">
        <v>14.778644783259024</v>
      </c>
      <c r="SS26" s="968">
        <v>16.753465443373262</v>
      </c>
      <c r="ST26" s="968">
        <v>16.906424898725039</v>
      </c>
      <c r="SU26" s="968">
        <v>17.138061721839531</v>
      </c>
      <c r="SV26" s="968">
        <v>17.140726761929876</v>
      </c>
      <c r="SW26" s="968">
        <v>17.137482474955046</v>
      </c>
      <c r="SX26" s="968">
        <v>18.321321361730316</v>
      </c>
      <c r="SY26" s="968">
        <v>18.273188839522486</v>
      </c>
      <c r="SZ26" s="968">
        <v>18.267646620475524</v>
      </c>
      <c r="TA26" s="968">
        <v>17.365496592826048</v>
      </c>
      <c r="TB26" s="968">
        <v>17.198248075692351</v>
      </c>
      <c r="TC26" s="968">
        <v>18.839201147783431</v>
      </c>
      <c r="TD26" s="968">
        <v>19.275248672264386</v>
      </c>
      <c r="TE26" s="968">
        <f>TE25/TE2</f>
        <v>17.704983462788736</v>
      </c>
      <c r="TF26" s="968">
        <f>TF25/TF2</f>
        <v>18.936810004399785</v>
      </c>
      <c r="TG26" s="968">
        <v>11.930868618145828</v>
      </c>
      <c r="TH26" s="968">
        <v>12.002642963270453</v>
      </c>
      <c r="TI26" s="968">
        <v>12.301502711108732</v>
      </c>
      <c r="TJ26" s="968">
        <v>12.39513751618594</v>
      </c>
      <c r="TK26" s="968">
        <v>12.763930885675066</v>
      </c>
      <c r="TL26" s="968">
        <v>11.935652080551996</v>
      </c>
      <c r="TM26" s="968">
        <v>6.4125877967626952</v>
      </c>
      <c r="TN26" s="968">
        <v>5.4040001991196558</v>
      </c>
      <c r="TO26" s="968">
        <v>7.3179490101794089</v>
      </c>
      <c r="TP26" s="968">
        <v>7.51760825569158</v>
      </c>
      <c r="TQ26" s="968">
        <v>9.0479039823230227</v>
      </c>
      <c r="TR26" s="968">
        <v>10.024121029302801</v>
      </c>
      <c r="TS26" s="968">
        <v>9.9561051359964754</v>
      </c>
      <c r="TT26" s="968">
        <v>10.055807548300381</v>
      </c>
      <c r="TU26" s="968">
        <v>9.3789643725653651</v>
      </c>
      <c r="TV26" s="968">
        <v>7.8151015303774463</v>
      </c>
      <c r="TW26" s="968">
        <v>9.9214053263191602</v>
      </c>
      <c r="TX26" s="968">
        <v>10.288815589910149</v>
      </c>
      <c r="TY26" s="968">
        <v>10.577834266514339</v>
      </c>
      <c r="TZ26" s="968">
        <f t="shared" ref="TZ26:UE26" si="463">TZ25/TZ2</f>
        <v>12.202672113547287</v>
      </c>
      <c r="UA26" s="968">
        <f t="shared" si="463"/>
        <v>13.57557913183682</v>
      </c>
      <c r="UB26" s="968">
        <f t="shared" si="463"/>
        <v>13.754080191963553</v>
      </c>
      <c r="UC26" s="968">
        <f t="shared" si="463"/>
        <v>14.174952434780135</v>
      </c>
      <c r="UD26" s="968">
        <f t="shared" si="463"/>
        <v>14.824658974262158</v>
      </c>
      <c r="UE26" s="968">
        <f t="shared" si="463"/>
        <v>16.451454527442959</v>
      </c>
      <c r="UF26" s="968">
        <v>8.5065842208944886</v>
      </c>
      <c r="UG26" s="968">
        <v>7.9545002937033367</v>
      </c>
      <c r="UH26" s="968">
        <v>8.1530775499586472</v>
      </c>
      <c r="UI26" s="968">
        <v>8.1442785992859772</v>
      </c>
      <c r="UJ26" s="968">
        <v>7.5114727327605895</v>
      </c>
      <c r="UK26" s="968">
        <v>7.8331632190955212</v>
      </c>
      <c r="UL26" s="968">
        <v>5.5952930408388575</v>
      </c>
      <c r="UM26" s="968">
        <v>5.6398376812329527</v>
      </c>
      <c r="UN26" s="968">
        <v>6.7234551083104366</v>
      </c>
      <c r="UO26" s="968">
        <v>6.7970713162320378</v>
      </c>
      <c r="UP26" s="968">
        <v>10.123406598977468</v>
      </c>
      <c r="UQ26" s="968">
        <v>8.0037109033671356</v>
      </c>
      <c r="UR26" s="968">
        <v>7.6306604064042816</v>
      </c>
      <c r="US26" s="968">
        <v>8.0472929479434558</v>
      </c>
      <c r="UT26" s="968">
        <v>8.274012400631884</v>
      </c>
      <c r="UU26" s="968">
        <v>7.9347423248695366</v>
      </c>
      <c r="UV26" s="968">
        <v>8.8679665754683263</v>
      </c>
      <c r="UW26" s="968">
        <v>8.8542860270795334</v>
      </c>
      <c r="UX26" s="968">
        <v>7.7008981303442159</v>
      </c>
      <c r="UY26" s="968">
        <v>7.8501312755382671</v>
      </c>
      <c r="UZ26" s="968">
        <v>8.0212446041777454</v>
      </c>
      <c r="VA26" s="968">
        <v>8.0064857804692107</v>
      </c>
      <c r="VB26" s="968">
        <v>8.2908347913302514</v>
      </c>
      <c r="VC26" s="968">
        <v>6.4369158609102906</v>
      </c>
      <c r="VD26" s="968">
        <v>7.6866822583624232</v>
      </c>
      <c r="VE26" s="968">
        <v>7.7272114090121091</v>
      </c>
      <c r="VF26" s="968">
        <v>7.5474296483101293</v>
      </c>
      <c r="VG26" s="968">
        <v>10.230501741314814</v>
      </c>
      <c r="VH26" s="968">
        <v>10.843590437153452</v>
      </c>
      <c r="VI26" s="968">
        <v>10.799600920056468</v>
      </c>
      <c r="VJ26" s="968">
        <v>12.097154052419393</v>
      </c>
      <c r="VK26" s="968">
        <v>7.2884072336303172</v>
      </c>
      <c r="VL26" s="968">
        <v>8.2873542120993662</v>
      </c>
      <c r="VM26" s="968">
        <v>6.2617557969123183</v>
      </c>
      <c r="VN26" s="968">
        <v>6.8104130879648253</v>
      </c>
      <c r="VO26" s="968">
        <v>5.2601625305490911</v>
      </c>
      <c r="VP26" s="968">
        <v>6.0928288902754204</v>
      </c>
      <c r="VQ26" s="968">
        <v>7.0262863073686885</v>
      </c>
      <c r="VR26" s="968">
        <v>6.4867909656271499</v>
      </c>
      <c r="VS26" s="968">
        <v>2.9843977507993871</v>
      </c>
      <c r="VT26" s="968">
        <v>4.0753654027833788</v>
      </c>
      <c r="VU26" s="968">
        <v>4.4203212095163478</v>
      </c>
      <c r="VV26" s="968">
        <f t="shared" ref="VV26" si="464">VV25/VV2</f>
        <v>4.3452950490349851</v>
      </c>
      <c r="VW26" s="968">
        <v>5.9150754798193184</v>
      </c>
      <c r="VX26" s="968">
        <v>7.3825711397068918</v>
      </c>
      <c r="VY26" s="968">
        <v>10.104122074114096</v>
      </c>
      <c r="VZ26" s="968">
        <v>8.1566496364802497</v>
      </c>
      <c r="WA26" s="968">
        <v>10.503532765776429</v>
      </c>
      <c r="WB26" s="968">
        <v>6.8173024450590898</v>
      </c>
      <c r="WC26" s="968">
        <v>6.9809138818526462</v>
      </c>
      <c r="WD26" s="968">
        <v>3.7386129293399053</v>
      </c>
      <c r="WE26" s="968">
        <v>7.5830004103301478</v>
      </c>
      <c r="WF26" s="968">
        <v>8.072499830245544</v>
      </c>
      <c r="WG26" s="968">
        <v>4.1909522345944117</v>
      </c>
      <c r="WH26" s="968">
        <v>5.2584967695548199</v>
      </c>
      <c r="WI26" s="968">
        <v>4.6362938979477422</v>
      </c>
      <c r="WJ26" s="968">
        <v>6.5326809398607155</v>
      </c>
      <c r="WK26" s="968">
        <v>1.796895259817455</v>
      </c>
      <c r="WL26" s="968">
        <v>1.9720013244798327</v>
      </c>
      <c r="WM26" s="968">
        <v>5.3233816965983172</v>
      </c>
      <c r="WN26" s="968">
        <v>10.20667964976041</v>
      </c>
      <c r="WO26" s="968">
        <v>4.0238844634370707</v>
      </c>
      <c r="WP26" s="968">
        <v>4.0826231371568662</v>
      </c>
      <c r="WQ26" s="968">
        <v>5.2153090666071966</v>
      </c>
      <c r="WR26" s="968">
        <f t="shared" ref="WR26:WS26" si="465">WR25/WR2</f>
        <v>5.0123580885402372</v>
      </c>
      <c r="WS26" s="968">
        <f t="shared" si="465"/>
        <v>6.3158003161197236</v>
      </c>
      <c r="WT26" s="968">
        <f t="shared" ref="WT26:WU26" si="466">WT25/WT2</f>
        <v>7.5599511453291122</v>
      </c>
      <c r="WU26" s="968">
        <f t="shared" si="466"/>
        <v>6.1606002934545208</v>
      </c>
      <c r="WV26" s="968">
        <f t="shared" ref="WV26" si="467">WV25/WV2</f>
        <v>5.3983617252362235</v>
      </c>
      <c r="WW26" s="968">
        <v>3.6342052918822714</v>
      </c>
      <c r="WX26" s="968">
        <v>3.6348783974507617</v>
      </c>
      <c r="WY26" s="968">
        <v>4.1387064905949327</v>
      </c>
      <c r="WZ26" s="968">
        <v>4.5678952548841041</v>
      </c>
      <c r="XA26" s="968">
        <v>4.949601873786504</v>
      </c>
      <c r="XB26" s="968">
        <v>3.3272095872927938</v>
      </c>
      <c r="XC26" s="968">
        <v>4.4878225571559796</v>
      </c>
      <c r="XD26" s="968">
        <v>2.8111199171815811</v>
      </c>
      <c r="XE26" s="968">
        <v>6.1041956376836275</v>
      </c>
      <c r="XF26" s="968">
        <v>6.0213319742204066</v>
      </c>
      <c r="XG26" s="968">
        <v>5.951100959719386</v>
      </c>
      <c r="XH26" s="968">
        <v>6.5698991483677887</v>
      </c>
      <c r="XI26" s="968">
        <v>3.5736665205330564</v>
      </c>
      <c r="XJ26" s="968">
        <v>4.9106491743696337</v>
      </c>
      <c r="XK26" s="968">
        <v>3.4700384559291866</v>
      </c>
      <c r="XL26" s="968">
        <v>4.7131507080306632</v>
      </c>
      <c r="XM26" s="968">
        <v>6.7190721330130083</v>
      </c>
      <c r="XN26" s="968">
        <v>7.7182158498573994</v>
      </c>
      <c r="XO26" s="968">
        <v>8.3711367633252234</v>
      </c>
      <c r="XP26" s="968">
        <v>9.5221125191110758</v>
      </c>
      <c r="XQ26" s="968">
        <v>2.8191750183831727</v>
      </c>
      <c r="XR26" s="968">
        <v>4.3608319389273653</v>
      </c>
      <c r="XS26" s="968">
        <v>3.3276786044215072</v>
      </c>
      <c r="XT26" s="968">
        <v>4.1966487707495981</v>
      </c>
      <c r="XU26" s="968">
        <v>5.8414794494305653</v>
      </c>
      <c r="XV26" s="968">
        <v>6.515888872201228</v>
      </c>
      <c r="XW26" s="968">
        <v>6.276999871694338</v>
      </c>
      <c r="XX26" s="968">
        <v>4.3140050145758382</v>
      </c>
      <c r="XY26" s="968">
        <v>6.6061824505373083</v>
      </c>
      <c r="XZ26" s="968">
        <v>5.3208585469702863</v>
      </c>
      <c r="YA26" s="968">
        <v>6.3979125205425946</v>
      </c>
      <c r="YB26" s="968">
        <v>8.0301162873519925</v>
      </c>
      <c r="YC26" s="968">
        <v>5.31552904708587</v>
      </c>
      <c r="YD26" s="968">
        <v>4.520514536905389</v>
      </c>
      <c r="YE26" s="968">
        <v>2.8747069728062677</v>
      </c>
      <c r="YF26" s="968">
        <v>3.3019705783957325</v>
      </c>
      <c r="YG26" s="968">
        <v>2.7903089015779745</v>
      </c>
      <c r="YH26" s="968">
        <f>YH25/YH2</f>
        <v>3.5486451575340059</v>
      </c>
    </row>
    <row r="27" spans="2:658" ht="15" thickTop="1">
      <c r="B27" s="917" t="s">
        <v>33</v>
      </c>
      <c r="C27" s="918">
        <v>67.658161737084995</v>
      </c>
      <c r="D27" s="130">
        <v>6.5560428889299995</v>
      </c>
      <c r="E27" s="130">
        <v>13.148721447867999</v>
      </c>
      <c r="F27" s="130">
        <v>22.253805429471999</v>
      </c>
      <c r="G27" s="130">
        <v>58.239883694488995</v>
      </c>
      <c r="H27" s="130">
        <v>45.516005476398</v>
      </c>
      <c r="I27" s="130">
        <v>6.2614811969300002</v>
      </c>
      <c r="J27" s="130">
        <v>7.5279277642639997</v>
      </c>
      <c r="K27" s="130">
        <v>8.118204389352</v>
      </c>
      <c r="L27" s="130">
        <f>51.135518265139</f>
        <v>51.135518265138998</v>
      </c>
      <c r="M27" s="130">
        <v>31.3</v>
      </c>
      <c r="N27" s="130">
        <v>17</v>
      </c>
      <c r="O27" s="130">
        <v>15.6</v>
      </c>
      <c r="P27" s="130">
        <v>13.5</v>
      </c>
      <c r="Q27" s="130">
        <v>42.4</v>
      </c>
      <c r="R27" s="130">
        <v>38.5</v>
      </c>
      <c r="S27" s="130">
        <v>1.1000000000000001</v>
      </c>
      <c r="T27" s="130">
        <v>0.2</v>
      </c>
      <c r="U27" s="130">
        <v>0.2</v>
      </c>
      <c r="V27" s="130">
        <v>23.8</v>
      </c>
      <c r="W27" s="130">
        <v>18.899999999999999</v>
      </c>
      <c r="X27" s="130">
        <v>29.9</v>
      </c>
      <c r="Y27" s="130">
        <v>2.7</v>
      </c>
      <c r="Z27" s="130">
        <v>21.7</v>
      </c>
      <c r="AA27" s="130">
        <v>13.399999999999999</v>
      </c>
      <c r="AB27" s="130">
        <v>0.9</v>
      </c>
      <c r="AC27" s="130">
        <v>38.700000000000003</v>
      </c>
      <c r="AD27" s="130">
        <v>14.9</v>
      </c>
      <c r="AE27" s="130">
        <v>7.7</v>
      </c>
      <c r="AF27" s="130">
        <v>42.3</v>
      </c>
      <c r="AG27" s="130">
        <v>38.799999999999997</v>
      </c>
      <c r="AH27" s="130">
        <v>33.9</v>
      </c>
      <c r="AI27" s="130">
        <v>44.3</v>
      </c>
      <c r="AJ27" s="130">
        <v>7</v>
      </c>
      <c r="AK27" s="130">
        <v>25.8</v>
      </c>
      <c r="AL27" s="130">
        <v>27.4</v>
      </c>
      <c r="AM27" s="130">
        <v>31.3</v>
      </c>
      <c r="AN27" s="130">
        <v>17.899999999999999</v>
      </c>
      <c r="AO27" s="130">
        <v>14.1</v>
      </c>
      <c r="AP27" s="130">
        <v>59.1</v>
      </c>
      <c r="AQ27" s="130">
        <v>44.6</v>
      </c>
      <c r="AR27" s="130">
        <v>18.100000000000001</v>
      </c>
      <c r="AS27" s="130">
        <v>7.7</v>
      </c>
      <c r="AT27" s="130">
        <v>10.4</v>
      </c>
      <c r="AU27" s="130">
        <v>40.200000000000003</v>
      </c>
      <c r="AV27" s="130">
        <v>36.667999999999999</v>
      </c>
      <c r="AW27" s="130">
        <v>27.53</v>
      </c>
      <c r="AX27" s="130">
        <v>0.622</v>
      </c>
      <c r="AY27" s="130">
        <v>3</v>
      </c>
      <c r="AZ27" s="130">
        <v>38.4</v>
      </c>
      <c r="BA27" s="130">
        <v>32.700000000000003</v>
      </c>
      <c r="BB27" s="130">
        <v>32.1</v>
      </c>
      <c r="BC27" s="130">
        <v>32.6</v>
      </c>
      <c r="BD27" s="130">
        <v>73.400000000000006</v>
      </c>
      <c r="BE27" s="130">
        <v>78.599999999999994</v>
      </c>
      <c r="BF27" s="130">
        <v>78.599999999999994</v>
      </c>
      <c r="BG27" s="130">
        <v>177.6</v>
      </c>
      <c r="BH27" s="130">
        <v>120.2</v>
      </c>
      <c r="BI27" s="130">
        <v>151</v>
      </c>
      <c r="BJ27" s="130">
        <v>847.6</v>
      </c>
      <c r="BK27" s="130">
        <v>27.3</v>
      </c>
      <c r="BL27" s="130">
        <v>2.5</v>
      </c>
      <c r="BM27" s="130">
        <v>0.5</v>
      </c>
      <c r="BN27" s="130">
        <v>43.8</v>
      </c>
      <c r="BO27" s="130">
        <v>43.3</v>
      </c>
      <c r="BP27" s="130">
        <v>14.8</v>
      </c>
      <c r="BQ27" s="130">
        <v>1.5</v>
      </c>
      <c r="BR27" s="130">
        <v>0.5</v>
      </c>
      <c r="BS27" s="130">
        <v>31.7</v>
      </c>
      <c r="BT27" s="130">
        <v>31.7</v>
      </c>
      <c r="BU27" s="130">
        <v>22.6</v>
      </c>
      <c r="BV27" s="130">
        <v>20.9</v>
      </c>
      <c r="BW27" s="130">
        <v>16.5</v>
      </c>
      <c r="BX27" s="130">
        <v>33.6</v>
      </c>
      <c r="BY27" s="130">
        <v>17.5</v>
      </c>
      <c r="BZ27" s="130">
        <v>10.7</v>
      </c>
      <c r="CA27" s="130">
        <v>15.1</v>
      </c>
      <c r="CB27" s="130">
        <v>11.9</v>
      </c>
      <c r="CC27" s="130">
        <v>25.6</v>
      </c>
      <c r="CD27" s="130">
        <v>25.9</v>
      </c>
      <c r="CE27" s="130">
        <v>23.5</v>
      </c>
      <c r="CF27" s="130">
        <v>23.5</v>
      </c>
      <c r="CG27" s="130">
        <v>0.8</v>
      </c>
      <c r="CH27" s="130">
        <v>0.8</v>
      </c>
      <c r="CI27" s="130">
        <v>30.4</v>
      </c>
      <c r="CJ27" s="130">
        <v>30.6</v>
      </c>
      <c r="CK27" s="130">
        <v>41.7</v>
      </c>
      <c r="CL27" s="130">
        <v>29.2</v>
      </c>
      <c r="CM27" s="130">
        <v>58.1</v>
      </c>
      <c r="CN27" s="130">
        <v>51.5</v>
      </c>
      <c r="CO27" s="130">
        <v>50.6</v>
      </c>
      <c r="CP27" s="130">
        <v>27</v>
      </c>
      <c r="CQ27" s="130">
        <v>6.3</v>
      </c>
      <c r="CR27" s="130">
        <v>38.200000000000003</v>
      </c>
      <c r="CS27" s="130">
        <v>38.200000000000003</v>
      </c>
      <c r="CT27" s="130">
        <v>68.2</v>
      </c>
      <c r="CU27" s="130">
        <v>42.7</v>
      </c>
      <c r="CV27" s="130">
        <v>12.2</v>
      </c>
      <c r="CW27" s="130">
        <v>46.1</v>
      </c>
      <c r="CX27" s="130">
        <v>46.1</v>
      </c>
      <c r="CY27" s="130">
        <v>18</v>
      </c>
      <c r="CZ27" s="130">
        <v>18</v>
      </c>
      <c r="DA27" s="130">
        <v>27</v>
      </c>
      <c r="DB27" s="130">
        <v>45.5</v>
      </c>
      <c r="DC27" s="130">
        <v>35</v>
      </c>
      <c r="DD27" s="130">
        <v>53.37</v>
      </c>
      <c r="DE27" s="130">
        <v>89.1</v>
      </c>
      <c r="DF27" s="130">
        <v>94.367999999999995</v>
      </c>
      <c r="DG27" s="130">
        <v>53.2</v>
      </c>
      <c r="DH27" s="130">
        <v>78</v>
      </c>
      <c r="DI27" s="130">
        <v>33.700000000000003</v>
      </c>
      <c r="DJ27" s="130">
        <v>33.9</v>
      </c>
      <c r="DK27" s="130">
        <v>42.9</v>
      </c>
      <c r="DL27" s="130">
        <v>32.799999999999997</v>
      </c>
      <c r="DM27" s="130">
        <v>32.799999999999997</v>
      </c>
      <c r="DN27" s="130">
        <v>32.799999999999997</v>
      </c>
      <c r="DO27" s="130">
        <v>2.5</v>
      </c>
      <c r="DP27" s="130">
        <v>2.5</v>
      </c>
      <c r="DQ27" s="130">
        <v>27.2</v>
      </c>
      <c r="DR27" s="130">
        <v>40.799999999999997</v>
      </c>
      <c r="DS27" s="130">
        <v>40.799999999999997</v>
      </c>
      <c r="DT27" s="130">
        <v>101.3</v>
      </c>
      <c r="DU27" s="130">
        <v>107.5</v>
      </c>
      <c r="DV27" s="130">
        <v>137.80000000000001</v>
      </c>
      <c r="DW27" s="130">
        <v>145.69999999999999</v>
      </c>
      <c r="DX27" s="130">
        <v>139.5</v>
      </c>
      <c r="DY27" s="130">
        <v>124.7</v>
      </c>
      <c r="DZ27" s="130">
        <v>57.1</v>
      </c>
      <c r="EA27" s="130">
        <v>77.099999999999994</v>
      </c>
      <c r="EB27" s="130">
        <v>70.52</v>
      </c>
      <c r="EC27" s="130">
        <v>48.92</v>
      </c>
      <c r="ED27" s="130">
        <v>38.799999999999997</v>
      </c>
      <c r="EE27" s="130">
        <v>0.5</v>
      </c>
      <c r="EF27" s="130">
        <v>0.7</v>
      </c>
      <c r="EG27" s="130">
        <v>35.97</v>
      </c>
      <c r="EH27" s="130">
        <v>35.799999999999997</v>
      </c>
      <c r="EI27" s="130">
        <v>134.1</v>
      </c>
      <c r="EJ27" s="130">
        <v>99.22</v>
      </c>
      <c r="EK27" s="130">
        <v>122.66</v>
      </c>
      <c r="EL27" s="130">
        <v>118.87</v>
      </c>
      <c r="EM27" s="130">
        <v>118.87</v>
      </c>
      <c r="EN27" s="130">
        <v>170.9</v>
      </c>
      <c r="EO27" s="130">
        <v>19.899999999999999</v>
      </c>
      <c r="EP27" s="130">
        <v>46.2</v>
      </c>
      <c r="EQ27" s="130">
        <v>70.5</v>
      </c>
      <c r="ER27" s="130">
        <v>70.5</v>
      </c>
      <c r="ES27" s="130">
        <v>79.2</v>
      </c>
      <c r="ET27" s="130">
        <v>17.850000000000001</v>
      </c>
      <c r="EU27" s="130">
        <v>59.9</v>
      </c>
      <c r="EV27" s="130">
        <v>59.35</v>
      </c>
      <c r="EW27" s="130">
        <v>47.6</v>
      </c>
      <c r="EX27" s="130">
        <v>11</v>
      </c>
      <c r="EY27" s="130">
        <v>201.4</v>
      </c>
      <c r="EZ27" s="130">
        <v>227.5</v>
      </c>
      <c r="FA27" s="130">
        <v>184.08</v>
      </c>
      <c r="FB27" s="130">
        <v>196.65</v>
      </c>
      <c r="FC27" s="130">
        <v>41.37</v>
      </c>
      <c r="FD27" s="130">
        <v>76.400000000000006</v>
      </c>
      <c r="FE27" s="130">
        <v>63.74</v>
      </c>
      <c r="FF27" s="130">
        <v>63.6</v>
      </c>
      <c r="FG27" s="130">
        <v>63.2</v>
      </c>
      <c r="FH27" s="130">
        <v>136.41999999999999</v>
      </c>
      <c r="FI27" s="130">
        <v>132.29</v>
      </c>
      <c r="FJ27" s="130">
        <v>157</v>
      </c>
      <c r="FK27" s="130">
        <v>157</v>
      </c>
      <c r="FL27" s="130">
        <v>167.6</v>
      </c>
      <c r="FM27" s="130">
        <v>88.7</v>
      </c>
      <c r="FN27" s="130">
        <v>123</v>
      </c>
      <c r="FO27" s="130">
        <v>122.5</v>
      </c>
      <c r="FP27" s="130">
        <v>122.5</v>
      </c>
      <c r="FQ27" s="130">
        <v>223.34</v>
      </c>
      <c r="FR27" s="130">
        <v>186.6</v>
      </c>
      <c r="FS27" s="130">
        <v>212.7</v>
      </c>
      <c r="FT27" s="130">
        <v>214</v>
      </c>
      <c r="FU27" s="130">
        <v>203.8</v>
      </c>
      <c r="FV27" s="130">
        <v>240</v>
      </c>
      <c r="FW27" s="130">
        <v>164.9</v>
      </c>
      <c r="FX27" s="130">
        <v>224.3</v>
      </c>
      <c r="FY27" s="130">
        <v>223.9</v>
      </c>
      <c r="FZ27" s="130">
        <v>249.9</v>
      </c>
      <c r="GA27" s="130">
        <v>235.46</v>
      </c>
      <c r="GB27" s="130">
        <v>238.74</v>
      </c>
      <c r="GC27" s="130">
        <v>235</v>
      </c>
      <c r="GD27" s="130">
        <v>269.60000000000002</v>
      </c>
      <c r="GE27" s="130">
        <v>274.04000000000002</v>
      </c>
      <c r="GF27" s="130">
        <v>245.52</v>
      </c>
      <c r="GG27" s="130">
        <v>244.9</v>
      </c>
      <c r="GH27" s="130">
        <v>229.35</v>
      </c>
      <c r="GI27" s="130">
        <v>137.4</v>
      </c>
      <c r="GJ27" s="130">
        <v>67</v>
      </c>
      <c r="GK27" s="130">
        <v>95</v>
      </c>
      <c r="GL27" s="130">
        <v>50</v>
      </c>
      <c r="GM27" s="130">
        <v>94</v>
      </c>
      <c r="GN27" s="130">
        <v>75</v>
      </c>
      <c r="GO27" s="130">
        <v>57.5</v>
      </c>
      <c r="GP27" s="130"/>
      <c r="GQ27" s="130">
        <v>25</v>
      </c>
      <c r="GR27" s="130">
        <v>1</v>
      </c>
      <c r="GS27" s="130">
        <v>5.9</v>
      </c>
      <c r="GT27" s="130">
        <v>16</v>
      </c>
      <c r="GU27" s="130">
        <v>87.85</v>
      </c>
      <c r="GV27" s="130">
        <v>109.5</v>
      </c>
      <c r="GW27" s="130">
        <v>32.5</v>
      </c>
      <c r="GX27" s="130">
        <v>5.2</v>
      </c>
      <c r="GY27" s="130">
        <v>5.2</v>
      </c>
      <c r="GZ27" s="130">
        <v>100</v>
      </c>
      <c r="HA27" s="130">
        <v>115</v>
      </c>
      <c r="HB27" s="130">
        <v>93.5</v>
      </c>
      <c r="HC27" s="130">
        <v>161.30000000000001</v>
      </c>
      <c r="HD27" s="130">
        <v>113</v>
      </c>
      <c r="HE27" s="130">
        <v>8</v>
      </c>
      <c r="HF27" s="130">
        <v>40.5</v>
      </c>
      <c r="HG27" s="130">
        <v>15</v>
      </c>
      <c r="HH27" s="130">
        <v>15.2</v>
      </c>
      <c r="HI27" s="130">
        <v>9.5</v>
      </c>
      <c r="HJ27" s="130">
        <v>50</v>
      </c>
      <c r="HK27" s="130">
        <v>50</v>
      </c>
      <c r="HL27" s="130">
        <v>88.5</v>
      </c>
      <c r="HM27" s="130">
        <v>91.5</v>
      </c>
      <c r="HN27" s="130">
        <v>96.7</v>
      </c>
      <c r="HO27" s="130">
        <v>131.30000000000001</v>
      </c>
      <c r="HP27" s="130">
        <v>127.8</v>
      </c>
      <c r="HQ27" s="130">
        <v>27</v>
      </c>
      <c r="HR27" s="130">
        <v>52.3</v>
      </c>
      <c r="HS27" s="130">
        <v>45.2</v>
      </c>
      <c r="HT27" s="130">
        <v>45</v>
      </c>
      <c r="HU27" s="130">
        <v>45</v>
      </c>
      <c r="HV27" s="130">
        <v>24.5</v>
      </c>
      <c r="HW27" s="130">
        <v>24.5</v>
      </c>
      <c r="HX27" s="130">
        <v>53.5</v>
      </c>
      <c r="HY27" s="130">
        <v>53.5</v>
      </c>
      <c r="HZ27" s="130">
        <v>55.7</v>
      </c>
      <c r="IA27" s="130">
        <v>49.9</v>
      </c>
      <c r="IB27" s="130">
        <v>50</v>
      </c>
      <c r="IC27" s="130">
        <v>50</v>
      </c>
      <c r="ID27" s="130">
        <v>50</v>
      </c>
      <c r="IE27" s="130">
        <v>69.400000000000006</v>
      </c>
      <c r="IF27" s="130">
        <v>69.400000000000006</v>
      </c>
      <c r="IG27" s="130">
        <v>118.5</v>
      </c>
      <c r="IH27" s="130">
        <v>128.4</v>
      </c>
      <c r="II27" s="130">
        <v>128.4</v>
      </c>
      <c r="IJ27" s="130">
        <v>128.4</v>
      </c>
      <c r="IK27" s="130">
        <v>30</v>
      </c>
      <c r="IL27" s="130">
        <v>30</v>
      </c>
      <c r="IM27" s="130">
        <v>30</v>
      </c>
      <c r="IN27" s="130">
        <v>75.5</v>
      </c>
      <c r="IO27" s="130">
        <v>45</v>
      </c>
      <c r="IP27" s="130">
        <v>37.4</v>
      </c>
      <c r="IQ27" s="130">
        <v>41.504999999999995</v>
      </c>
      <c r="IR27" s="130">
        <v>41.504999999999995</v>
      </c>
      <c r="IS27" s="130">
        <v>35.700000000000003</v>
      </c>
      <c r="IT27" s="130">
        <v>7</v>
      </c>
      <c r="IU27" s="130">
        <v>44.857999999999997</v>
      </c>
      <c r="IV27" s="130">
        <v>44.857999999999997</v>
      </c>
      <c r="IW27" s="130">
        <v>21</v>
      </c>
      <c r="IX27" s="130">
        <v>37.725000000000001</v>
      </c>
      <c r="IY27" s="130">
        <v>44</v>
      </c>
      <c r="IZ27" s="130">
        <v>61</v>
      </c>
      <c r="JA27" s="130">
        <v>52.5</v>
      </c>
      <c r="JB27" s="130">
        <v>52.5</v>
      </c>
      <c r="JC27" s="130">
        <v>11</v>
      </c>
      <c r="JD27" s="130">
        <v>11</v>
      </c>
      <c r="JE27" s="130">
        <v>11</v>
      </c>
      <c r="JF27" s="130">
        <v>11</v>
      </c>
      <c r="JG27" s="130">
        <v>60.6</v>
      </c>
      <c r="JH27" s="130">
        <v>60.6</v>
      </c>
      <c r="JI27" s="130">
        <v>60.6</v>
      </c>
      <c r="JJ27" s="130">
        <v>97.2</v>
      </c>
      <c r="JK27" s="130">
        <v>77</v>
      </c>
      <c r="JL27" s="130">
        <v>95.800000000000011</v>
      </c>
      <c r="JM27" s="130">
        <v>53.2</v>
      </c>
      <c r="JN27" s="130">
        <v>53.2</v>
      </c>
      <c r="JO27" s="130">
        <v>53.2</v>
      </c>
      <c r="JP27" s="130">
        <v>97.4</v>
      </c>
      <c r="JQ27" s="130">
        <v>97.4</v>
      </c>
      <c r="JR27" s="130">
        <v>24.5</v>
      </c>
      <c r="JS27" s="130">
        <v>24.5</v>
      </c>
      <c r="JT27" s="130">
        <v>67.900000000000006</v>
      </c>
      <c r="JU27" s="130">
        <v>67.900000000000006</v>
      </c>
      <c r="JV27" s="130">
        <v>67.900000000000006</v>
      </c>
      <c r="JW27" s="130">
        <v>19.8</v>
      </c>
      <c r="JX27" s="130">
        <v>19.8</v>
      </c>
      <c r="JY27" s="130">
        <v>270.7</v>
      </c>
      <c r="JZ27" s="130">
        <v>270.7</v>
      </c>
      <c r="KA27" s="130">
        <v>186.5</v>
      </c>
      <c r="KB27" s="130">
        <v>186.5</v>
      </c>
      <c r="KC27" s="130">
        <v>158.80000000000001</v>
      </c>
      <c r="KD27" s="130">
        <v>68.5</v>
      </c>
      <c r="KE27" s="130">
        <v>68.5</v>
      </c>
      <c r="KF27" s="130">
        <v>77</v>
      </c>
      <c r="KG27" s="130">
        <v>112.5</v>
      </c>
      <c r="KH27" s="130">
        <v>112.5</v>
      </c>
      <c r="KI27" s="130">
        <v>103.5</v>
      </c>
      <c r="KJ27" s="130">
        <v>103.5</v>
      </c>
      <c r="KK27" s="130">
        <v>152</v>
      </c>
      <c r="KL27" s="130">
        <v>83</v>
      </c>
      <c r="KM27" s="130">
        <v>83</v>
      </c>
      <c r="KN27" s="130">
        <v>63.3</v>
      </c>
      <c r="KO27" s="130">
        <v>92.5</v>
      </c>
      <c r="KP27" s="130">
        <v>89</v>
      </c>
      <c r="KQ27" s="130">
        <v>92.3</v>
      </c>
      <c r="KR27" s="130">
        <v>92.3</v>
      </c>
      <c r="KS27" s="130">
        <v>82.3</v>
      </c>
      <c r="KT27" s="130">
        <v>82.3</v>
      </c>
      <c r="KU27" s="130">
        <v>116.6</v>
      </c>
      <c r="KV27" s="130">
        <v>132</v>
      </c>
      <c r="KW27" s="130">
        <v>128.5</v>
      </c>
      <c r="KX27" s="130">
        <v>127</v>
      </c>
      <c r="KY27" s="130">
        <v>127</v>
      </c>
      <c r="KZ27" s="130">
        <v>148.20500000000001</v>
      </c>
      <c r="LA27" s="130">
        <v>148.20500000000001</v>
      </c>
      <c r="LB27" s="130">
        <v>148.20500000000001</v>
      </c>
      <c r="LC27" s="130">
        <v>148.20500000000001</v>
      </c>
      <c r="LD27" s="130">
        <v>148.20500000000001</v>
      </c>
      <c r="LE27" s="130">
        <v>102</v>
      </c>
      <c r="LF27" s="130">
        <v>103.38500000000001</v>
      </c>
      <c r="LG27" s="130">
        <v>103.38500000000001</v>
      </c>
      <c r="LH27" s="130">
        <v>103.38500000000001</v>
      </c>
      <c r="LI27" s="130">
        <v>75.150999999999996</v>
      </c>
      <c r="LJ27" s="130">
        <v>75.150999999999996</v>
      </c>
      <c r="LK27" s="130">
        <v>75.150999999999996</v>
      </c>
      <c r="LL27" s="130">
        <v>98.59</v>
      </c>
      <c r="LM27" s="130">
        <v>98.59</v>
      </c>
      <c r="LN27" s="130">
        <v>31.1</v>
      </c>
      <c r="LO27" s="130">
        <v>31.1</v>
      </c>
      <c r="LP27" s="130">
        <v>31.1</v>
      </c>
      <c r="LQ27" s="130">
        <v>29</v>
      </c>
      <c r="LR27" s="130">
        <v>8.23</v>
      </c>
      <c r="LS27" s="130">
        <v>8.23</v>
      </c>
      <c r="LT27" s="130">
        <v>59.5</v>
      </c>
      <c r="LU27" s="130">
        <v>17.7</v>
      </c>
      <c r="LV27" s="130">
        <v>33.5</v>
      </c>
      <c r="LW27" s="130">
        <v>33.5</v>
      </c>
      <c r="LX27" s="130">
        <v>25.5</v>
      </c>
      <c r="LY27" s="130">
        <v>25.5</v>
      </c>
      <c r="LZ27" s="130">
        <v>31.5</v>
      </c>
      <c r="MA27" s="130">
        <v>31.5</v>
      </c>
      <c r="MB27" s="130">
        <v>31.5</v>
      </c>
      <c r="MC27" s="130">
        <v>31.5</v>
      </c>
      <c r="MD27" s="130">
        <v>95.82</v>
      </c>
      <c r="ME27" s="130">
        <v>92.7</v>
      </c>
      <c r="MF27" s="130">
        <v>92.7</v>
      </c>
      <c r="MG27" s="130">
        <v>92.7</v>
      </c>
      <c r="MH27" s="130">
        <v>12.3</v>
      </c>
      <c r="MI27" s="130">
        <v>12.3</v>
      </c>
      <c r="MJ27" s="130">
        <v>59.3</v>
      </c>
      <c r="MK27" s="130">
        <v>68.8</v>
      </c>
      <c r="ML27" s="130">
        <v>68.8</v>
      </c>
      <c r="MM27" s="130">
        <v>68.8</v>
      </c>
      <c r="MN27" s="130">
        <v>68.8</v>
      </c>
      <c r="MO27" s="130">
        <v>68.8</v>
      </c>
      <c r="MP27" s="130">
        <v>68.8</v>
      </c>
      <c r="MQ27" s="130">
        <v>21.8</v>
      </c>
      <c r="MR27" s="130">
        <v>21.8</v>
      </c>
      <c r="MS27" s="130">
        <v>64.965000000000003</v>
      </c>
      <c r="MT27" s="130">
        <v>53.6</v>
      </c>
      <c r="MU27" s="130">
        <v>53.6</v>
      </c>
      <c r="MV27" s="130">
        <v>53.6</v>
      </c>
      <c r="MW27" s="130">
        <v>4.3</v>
      </c>
      <c r="MX27" s="130">
        <v>97.81</v>
      </c>
      <c r="MY27" s="130">
        <v>97.81</v>
      </c>
      <c r="MZ27" s="130">
        <v>97.81</v>
      </c>
      <c r="NA27" s="130">
        <v>97.81</v>
      </c>
      <c r="NB27" s="130">
        <v>97.81</v>
      </c>
      <c r="NC27" s="130">
        <v>97.81</v>
      </c>
      <c r="ND27" s="130">
        <v>97.81</v>
      </c>
      <c r="NE27" s="130">
        <v>97.81</v>
      </c>
      <c r="NF27" s="130">
        <v>3.6</v>
      </c>
      <c r="NG27" s="130">
        <v>7.5</v>
      </c>
      <c r="NH27" s="130">
        <v>67.900000000000006</v>
      </c>
      <c r="NI27" s="130">
        <v>48.5</v>
      </c>
      <c r="NJ27" s="130">
        <v>48.5</v>
      </c>
      <c r="NK27" s="130">
        <v>16.600000000000001</v>
      </c>
      <c r="NL27" s="130">
        <v>16.600000000000001</v>
      </c>
      <c r="NM27" s="130">
        <v>64.001999999999995</v>
      </c>
      <c r="NN27" s="130">
        <v>64.001999999999995</v>
      </c>
      <c r="NO27" s="130">
        <v>64.001999999999995</v>
      </c>
      <c r="NP27" s="130">
        <v>98.4</v>
      </c>
      <c r="NQ27" s="130">
        <v>98.4</v>
      </c>
      <c r="NR27" s="130">
        <v>162.9</v>
      </c>
      <c r="NS27" s="130">
        <v>162.9</v>
      </c>
      <c r="NT27" s="130">
        <v>162.9</v>
      </c>
      <c r="NU27" s="130">
        <v>120</v>
      </c>
      <c r="NV27" s="130">
        <v>146.9</v>
      </c>
      <c r="NW27" s="130">
        <v>146.9</v>
      </c>
      <c r="NX27" s="130">
        <v>146.9</v>
      </c>
      <c r="NY27" s="130">
        <v>193.89999999999998</v>
      </c>
      <c r="NZ27" s="130">
        <v>189</v>
      </c>
      <c r="OA27" s="130">
        <v>189</v>
      </c>
      <c r="OB27" s="130">
        <v>189</v>
      </c>
      <c r="OC27" s="130">
        <v>162.446</v>
      </c>
      <c r="OD27" s="130">
        <v>162.446</v>
      </c>
      <c r="OE27" s="130">
        <v>162.446</v>
      </c>
      <c r="OF27" s="130">
        <v>162.446</v>
      </c>
      <c r="OG27" s="130">
        <v>160.6</v>
      </c>
      <c r="OH27" s="130">
        <v>160.6</v>
      </c>
      <c r="OI27" s="130">
        <v>93.899999999999991</v>
      </c>
      <c r="OJ27" s="130">
        <v>87.6</v>
      </c>
      <c r="OK27" s="130">
        <v>87.6</v>
      </c>
      <c r="OL27" s="130">
        <v>149.5</v>
      </c>
      <c r="OM27" s="130">
        <v>149.5</v>
      </c>
      <c r="ON27" s="130">
        <v>149.5</v>
      </c>
      <c r="OO27" s="130">
        <v>92.4</v>
      </c>
      <c r="OP27" s="130">
        <v>138.80000000000001</v>
      </c>
      <c r="OQ27" s="130">
        <v>138.80000000000001</v>
      </c>
      <c r="OR27" s="130">
        <v>138.80000000000001</v>
      </c>
      <c r="OS27" s="130">
        <v>77.5</v>
      </c>
      <c r="OT27" s="130">
        <v>81.800000000000011</v>
      </c>
      <c r="OU27" s="130">
        <v>81.800000000000011</v>
      </c>
      <c r="OV27" s="130">
        <v>81.800000000000011</v>
      </c>
      <c r="OW27" s="130">
        <v>94.600000000000009</v>
      </c>
      <c r="OX27" s="130">
        <v>94.600000000000009</v>
      </c>
      <c r="OY27" s="130">
        <v>1.8</v>
      </c>
      <c r="OZ27" s="130">
        <v>1.8</v>
      </c>
      <c r="PA27" s="130">
        <v>1.8</v>
      </c>
      <c r="PB27" s="130">
        <v>4.9000000000000004</v>
      </c>
      <c r="PC27" s="130">
        <v>4.9000000000000004</v>
      </c>
      <c r="PD27" s="130">
        <v>4.9000000000000004</v>
      </c>
      <c r="PE27" s="130">
        <v>41</v>
      </c>
      <c r="PF27" s="130">
        <v>48</v>
      </c>
      <c r="PG27" s="130">
        <v>48</v>
      </c>
      <c r="PH27" s="130">
        <v>48</v>
      </c>
      <c r="PI27" s="130">
        <v>79</v>
      </c>
      <c r="PJ27" s="130">
        <v>79</v>
      </c>
      <c r="PK27" s="130">
        <v>79</v>
      </c>
      <c r="PL27" s="130">
        <v>79</v>
      </c>
      <c r="PM27" s="130">
        <v>79</v>
      </c>
      <c r="PN27" s="130">
        <v>124</v>
      </c>
      <c r="PO27" s="130">
        <v>124</v>
      </c>
      <c r="PP27" s="130">
        <v>124</v>
      </c>
      <c r="PQ27" s="130">
        <v>33.57</v>
      </c>
      <c r="PR27" s="130">
        <v>33.57</v>
      </c>
      <c r="PS27" s="130">
        <v>75.27</v>
      </c>
      <c r="PT27" s="130">
        <v>75.27</v>
      </c>
      <c r="PU27" s="130">
        <v>71.900000000000006</v>
      </c>
      <c r="PV27" s="130">
        <v>71.900000000000006</v>
      </c>
      <c r="PW27" s="130">
        <v>71.900000000000006</v>
      </c>
      <c r="PX27" s="130">
        <v>93.7</v>
      </c>
      <c r="PY27" s="130">
        <v>693.4</v>
      </c>
      <c r="PZ27" s="130">
        <v>693.4</v>
      </c>
      <c r="QA27" s="130">
        <v>693.4</v>
      </c>
      <c r="QB27" s="130">
        <v>30.995000000000001</v>
      </c>
      <c r="QC27" s="130">
        <v>71</v>
      </c>
      <c r="QD27" s="130">
        <v>71</v>
      </c>
      <c r="QE27" s="130">
        <v>61.7</v>
      </c>
      <c r="QF27" s="130">
        <v>61.7</v>
      </c>
      <c r="QG27" s="130">
        <v>61.7</v>
      </c>
      <c r="QH27" s="130">
        <v>61.7</v>
      </c>
      <c r="QI27" s="130">
        <v>84.1</v>
      </c>
      <c r="QJ27" s="130">
        <v>84.1</v>
      </c>
      <c r="QK27" s="130">
        <v>1</v>
      </c>
      <c r="QL27" s="130">
        <v>1</v>
      </c>
      <c r="QM27" s="130">
        <v>1</v>
      </c>
      <c r="QN27" s="130">
        <v>48.7</v>
      </c>
      <c r="QO27" s="130">
        <v>23</v>
      </c>
      <c r="QP27" s="130">
        <v>23</v>
      </c>
      <c r="QQ27" s="130">
        <v>51</v>
      </c>
      <c r="QR27" s="130">
        <v>51</v>
      </c>
      <c r="QS27" s="130">
        <v>38</v>
      </c>
      <c r="QT27" s="130">
        <v>37.5</v>
      </c>
      <c r="QU27" s="130">
        <v>37.5</v>
      </c>
      <c r="QV27" s="130">
        <v>71.900000000000006</v>
      </c>
      <c r="QW27" s="130">
        <v>37.5</v>
      </c>
      <c r="QX27" s="130">
        <v>37.5</v>
      </c>
      <c r="QY27" s="130">
        <v>20.9</v>
      </c>
      <c r="QZ27" s="130">
        <v>20.9</v>
      </c>
      <c r="RA27" s="130">
        <v>9.6</v>
      </c>
      <c r="RB27" s="130">
        <v>9.6</v>
      </c>
      <c r="RC27" s="130">
        <v>9.6</v>
      </c>
      <c r="RD27" s="130">
        <v>9.6</v>
      </c>
      <c r="RE27" s="130">
        <v>0.38</v>
      </c>
      <c r="RF27" s="130">
        <v>0.38</v>
      </c>
      <c r="RG27" s="130">
        <v>0.38</v>
      </c>
      <c r="RH27" s="130">
        <v>0.3</v>
      </c>
      <c r="RI27" s="130">
        <v>0.53</v>
      </c>
      <c r="RJ27" s="130">
        <v>0.53</v>
      </c>
      <c r="RK27" s="130">
        <v>44.8</v>
      </c>
      <c r="RL27" s="130">
        <v>44.8</v>
      </c>
      <c r="RM27" s="130">
        <v>44.8</v>
      </c>
      <c r="RN27" s="130">
        <v>44.8</v>
      </c>
      <c r="RO27" s="130">
        <v>44.8</v>
      </c>
      <c r="RP27" s="130">
        <v>44.8</v>
      </c>
      <c r="RQ27" s="130">
        <v>45</v>
      </c>
      <c r="RR27" s="130">
        <v>45</v>
      </c>
      <c r="RS27" s="130">
        <v>34.1</v>
      </c>
      <c r="RT27" s="130">
        <v>34.1</v>
      </c>
      <c r="RU27" s="130">
        <v>34.1</v>
      </c>
      <c r="RV27" s="130">
        <v>34.1</v>
      </c>
      <c r="RW27" s="130">
        <v>34.1</v>
      </c>
      <c r="RX27" s="130">
        <v>34.1</v>
      </c>
      <c r="RY27" s="130">
        <v>85</v>
      </c>
      <c r="RZ27" s="130">
        <v>85</v>
      </c>
      <c r="SA27" s="130">
        <v>1.0369999999999999</v>
      </c>
      <c r="SB27" s="130">
        <v>54.900000000000006</v>
      </c>
      <c r="SC27" s="130">
        <v>54.900000000000006</v>
      </c>
      <c r="SD27" s="130">
        <v>54.900000000000006</v>
      </c>
      <c r="SE27" s="130">
        <v>93.9</v>
      </c>
      <c r="SF27" s="130">
        <v>93.9</v>
      </c>
      <c r="SG27" s="130">
        <v>93</v>
      </c>
      <c r="SH27" s="130">
        <v>93</v>
      </c>
      <c r="SI27" s="130">
        <v>79.5</v>
      </c>
      <c r="SJ27" s="130">
        <v>79.5</v>
      </c>
      <c r="SK27" s="130">
        <v>204.89999999999998</v>
      </c>
      <c r="SL27" s="130">
        <v>204.89999999999998</v>
      </c>
      <c r="SM27" s="130">
        <v>106.2</v>
      </c>
      <c r="SN27" s="130">
        <v>106.2</v>
      </c>
      <c r="SO27" s="130">
        <v>106.2</v>
      </c>
      <c r="SP27" s="130">
        <v>146</v>
      </c>
      <c r="SQ27" s="130">
        <v>146</v>
      </c>
      <c r="SR27" s="130">
        <v>146</v>
      </c>
      <c r="SS27" s="130">
        <v>1.3320000000000001</v>
      </c>
      <c r="ST27" s="130">
        <v>1.3320000000000001</v>
      </c>
      <c r="SU27" s="130">
        <v>107</v>
      </c>
      <c r="SV27" s="130">
        <v>107</v>
      </c>
      <c r="SW27" s="130">
        <v>107</v>
      </c>
      <c r="SX27" s="130">
        <v>100.10000000000001</v>
      </c>
      <c r="SY27" s="130">
        <v>100.10000000000001</v>
      </c>
      <c r="SZ27" s="130">
        <v>100.10000000000001</v>
      </c>
      <c r="TA27" s="130">
        <v>125.69</v>
      </c>
      <c r="TB27" s="130">
        <v>125.69</v>
      </c>
      <c r="TC27" s="130">
        <v>168.9</v>
      </c>
      <c r="TD27" s="130">
        <v>168.9</v>
      </c>
      <c r="TE27" s="130">
        <v>137.17000000000002</v>
      </c>
      <c r="TF27" s="130">
        <v>124.4</v>
      </c>
      <c r="TG27" s="130">
        <v>6.4080000000000004</v>
      </c>
      <c r="TH27" s="130">
        <v>77</v>
      </c>
      <c r="TI27" s="130">
        <v>62</v>
      </c>
      <c r="TJ27" s="130">
        <v>110.5</v>
      </c>
      <c r="TK27" s="130">
        <v>102.405</v>
      </c>
      <c r="TL27" s="130">
        <v>140.69999999999999</v>
      </c>
      <c r="TM27" s="130">
        <v>54</v>
      </c>
      <c r="TN27" s="130">
        <v>76.850000000000009</v>
      </c>
      <c r="TO27" s="130">
        <v>142.79999999999998</v>
      </c>
      <c r="TP27" s="130">
        <v>131.27000000000001</v>
      </c>
      <c r="TQ27" s="130">
        <v>183.88</v>
      </c>
      <c r="TR27" s="130">
        <v>60.1</v>
      </c>
      <c r="TS27" s="130">
        <v>56.94</v>
      </c>
      <c r="TT27" s="130">
        <v>83.5</v>
      </c>
      <c r="TU27" s="130">
        <v>166.54500000000002</v>
      </c>
      <c r="TV27" s="130">
        <v>182.8</v>
      </c>
      <c r="TW27" s="130">
        <v>45.2</v>
      </c>
      <c r="TX27" s="130">
        <v>139.6</v>
      </c>
      <c r="TY27" s="130">
        <v>129.9</v>
      </c>
      <c r="TZ27" s="130">
        <v>68.429999999999993</v>
      </c>
      <c r="UA27" s="130">
        <v>65.7</v>
      </c>
      <c r="UB27" s="130">
        <v>120.67</v>
      </c>
      <c r="UC27" s="130">
        <v>117.60000000000001</v>
      </c>
      <c r="UD27" s="130">
        <v>106.56</v>
      </c>
      <c r="UE27" s="130">
        <v>150.5</v>
      </c>
      <c r="UF27" s="130">
        <v>95.2</v>
      </c>
      <c r="UG27" s="130">
        <v>101.8</v>
      </c>
      <c r="UH27" s="130">
        <v>112</v>
      </c>
      <c r="UI27" s="130">
        <v>106.55800000000001</v>
      </c>
      <c r="UJ27" s="130">
        <v>96.7</v>
      </c>
      <c r="UK27" s="130">
        <v>34</v>
      </c>
      <c r="UL27" s="130">
        <v>87</v>
      </c>
      <c r="UM27" s="130">
        <v>73</v>
      </c>
      <c r="UN27" s="130">
        <v>107.43</v>
      </c>
      <c r="UO27" s="130">
        <v>81.759999999999991</v>
      </c>
      <c r="UP27" s="130">
        <v>77.186000000000007</v>
      </c>
      <c r="UQ27" s="130">
        <v>61.28</v>
      </c>
      <c r="UR27" s="130">
        <v>26.937000000000001</v>
      </c>
      <c r="US27" s="130">
        <v>50.256999999999998</v>
      </c>
      <c r="UT27" s="130">
        <v>47.134999999999998</v>
      </c>
      <c r="UU27" s="130">
        <v>92.850000000000009</v>
      </c>
      <c r="UV27" s="130">
        <v>35.799999999999997</v>
      </c>
      <c r="UW27" s="130">
        <v>50.900000000000006</v>
      </c>
      <c r="UX27" s="130">
        <v>30.099999999999998</v>
      </c>
      <c r="UY27" s="130">
        <v>31.51</v>
      </c>
      <c r="UZ27" s="130">
        <v>89.47999999999999</v>
      </c>
      <c r="VA27" s="130">
        <v>75.819999999999993</v>
      </c>
      <c r="VB27" s="130">
        <v>95</v>
      </c>
      <c r="VC27" s="130">
        <v>35.659999999999997</v>
      </c>
      <c r="VD27" s="130">
        <v>72.2</v>
      </c>
      <c r="VE27" s="130">
        <v>72.2</v>
      </c>
      <c r="VF27" s="130">
        <v>11.299999999999999</v>
      </c>
      <c r="VG27" s="130">
        <v>63.05</v>
      </c>
      <c r="VH27" s="130">
        <v>84.865000000000009</v>
      </c>
      <c r="VI27" s="130">
        <v>144.55000000000001</v>
      </c>
      <c r="VJ27" s="130">
        <v>135.887</v>
      </c>
      <c r="VK27" s="130">
        <v>108.855</v>
      </c>
      <c r="VL27" s="130">
        <v>153.87</v>
      </c>
      <c r="VM27" s="130">
        <v>2.0699999999999998</v>
      </c>
      <c r="VN27" s="130">
        <v>1.4630000000000001</v>
      </c>
      <c r="VO27" s="130">
        <v>29.564999999999998</v>
      </c>
      <c r="VP27" s="130">
        <v>25</v>
      </c>
      <c r="VQ27" s="130">
        <v>82.84</v>
      </c>
      <c r="VR27" s="130">
        <v>0.66200000000000003</v>
      </c>
      <c r="VS27" s="130">
        <v>34.15</v>
      </c>
      <c r="VT27" s="130">
        <v>50.351999999999997</v>
      </c>
      <c r="VU27" s="130">
        <v>0.28499999999999998</v>
      </c>
      <c r="VV27" s="130">
        <v>0.41</v>
      </c>
      <c r="VW27" s="130">
        <v>0.3</v>
      </c>
      <c r="VX27" s="130">
        <v>12</v>
      </c>
      <c r="VY27" s="130">
        <v>57.6</v>
      </c>
      <c r="VZ27" s="130">
        <v>63.9</v>
      </c>
      <c r="WA27" s="130">
        <v>64.900000000000006</v>
      </c>
      <c r="WB27" s="130">
        <v>100.95399999999999</v>
      </c>
      <c r="WC27" s="130">
        <v>76.365000000000009</v>
      </c>
      <c r="WD27" s="130">
        <v>3.7030000000000003</v>
      </c>
      <c r="WE27" s="130">
        <v>22.254999999999999</v>
      </c>
      <c r="WF27" s="130">
        <v>22.24</v>
      </c>
      <c r="WG27" s="130">
        <v>3.75</v>
      </c>
      <c r="WH27" s="130">
        <v>71.5</v>
      </c>
      <c r="WI27" s="130">
        <v>69.080000000000013</v>
      </c>
      <c r="WJ27" s="130">
        <v>91.069000000000003</v>
      </c>
      <c r="WK27" s="130">
        <v>20.3</v>
      </c>
      <c r="WL27" s="130">
        <v>19.834</v>
      </c>
      <c r="WM27" s="130">
        <v>17.400000000000002</v>
      </c>
      <c r="WN27" s="130">
        <v>17.600000000000001</v>
      </c>
      <c r="WO27" s="130">
        <v>17.878</v>
      </c>
      <c r="WP27" s="130">
        <v>0.4</v>
      </c>
      <c r="WQ27" s="130">
        <v>13</v>
      </c>
      <c r="WR27" s="130">
        <v>3.5</v>
      </c>
      <c r="WS27" s="130">
        <v>58.780900000000003</v>
      </c>
      <c r="WT27" s="130">
        <v>14.5</v>
      </c>
      <c r="WU27" s="130">
        <v>2.351</v>
      </c>
      <c r="WV27" s="130">
        <v>4.0358000000000001</v>
      </c>
      <c r="WW27" s="130">
        <v>2.4697</v>
      </c>
      <c r="WX27" s="130">
        <v>39.700000000000003</v>
      </c>
      <c r="WY27" s="130">
        <v>0.86699999999999999</v>
      </c>
      <c r="WZ27" s="130">
        <v>62.501999999999995</v>
      </c>
      <c r="XA27" s="130">
        <v>25.700000000000003</v>
      </c>
      <c r="XB27" s="130">
        <v>10.8</v>
      </c>
      <c r="XC27" s="130">
        <v>49.099999999999994</v>
      </c>
      <c r="XD27" s="130">
        <v>66.125</v>
      </c>
      <c r="XE27" s="130">
        <v>39.027900000000002</v>
      </c>
      <c r="XF27" s="130">
        <v>31.620999999999999</v>
      </c>
      <c r="XG27" s="130">
        <v>0.26</v>
      </c>
      <c r="XH27" s="130">
        <v>0.22499999999999998</v>
      </c>
      <c r="XI27" s="130">
        <v>2.85</v>
      </c>
      <c r="XJ27" s="130">
        <v>6.218</v>
      </c>
      <c r="XK27" s="130">
        <v>14.089</v>
      </c>
      <c r="XL27" s="130">
        <v>61.375999999999998</v>
      </c>
      <c r="XM27" s="130">
        <v>4.2</v>
      </c>
      <c r="XN27" s="130">
        <v>48.392000000000003</v>
      </c>
      <c r="XO27" s="130">
        <v>154.31399999999999</v>
      </c>
      <c r="XP27" s="130">
        <v>33.085999999999999</v>
      </c>
      <c r="XQ27" s="130">
        <v>28.487000000000002</v>
      </c>
      <c r="XR27" s="130">
        <v>27.484999999999999</v>
      </c>
      <c r="XS27" s="130">
        <v>58.551000000000002</v>
      </c>
      <c r="XT27" s="130">
        <v>65.804000000000002</v>
      </c>
      <c r="XU27" s="130">
        <v>73.7</v>
      </c>
      <c r="XV27" s="130">
        <v>66.3</v>
      </c>
      <c r="XW27" s="130">
        <v>104.7</v>
      </c>
      <c r="XX27" s="130">
        <v>102.2</v>
      </c>
      <c r="XY27" s="130">
        <v>38.799999999999997</v>
      </c>
      <c r="XZ27" s="130">
        <v>14.414999999999999</v>
      </c>
      <c r="YA27" s="130">
        <v>47.48</v>
      </c>
      <c r="YB27" s="130">
        <v>55.8</v>
      </c>
      <c r="YC27" s="130">
        <v>56.227999999999994</v>
      </c>
      <c r="YD27" s="130">
        <v>60.2</v>
      </c>
      <c r="YE27" s="130">
        <v>99.135000000000005</v>
      </c>
      <c r="YF27" s="130">
        <v>43.171999999999997</v>
      </c>
      <c r="YG27" s="130">
        <v>42.8</v>
      </c>
      <c r="YH27" s="130">
        <v>53.399000000000001</v>
      </c>
    </row>
    <row r="28" spans="2:658">
      <c r="B28" s="917" t="s">
        <v>34</v>
      </c>
      <c r="C28" s="918">
        <v>34</v>
      </c>
      <c r="D28" s="130">
        <v>1.1000000000000001</v>
      </c>
      <c r="E28" s="130">
        <v>1.1000000000000001</v>
      </c>
      <c r="F28" s="130">
        <v>43</v>
      </c>
      <c r="G28" s="130">
        <v>24.1</v>
      </c>
      <c r="H28" s="130">
        <v>30.9</v>
      </c>
      <c r="I28" s="130">
        <v>26</v>
      </c>
      <c r="J28" s="130">
        <v>25.8</v>
      </c>
      <c r="K28" s="130">
        <v>24.1</v>
      </c>
      <c r="L28" s="130">
        <v>23.7</v>
      </c>
      <c r="M28" s="130">
        <v>52.7</v>
      </c>
      <c r="N28" s="130">
        <v>105.69999999999999</v>
      </c>
      <c r="O28" s="130">
        <v>14.1</v>
      </c>
      <c r="P28" s="130">
        <v>2.7</v>
      </c>
      <c r="Q28" s="130">
        <v>4.5</v>
      </c>
      <c r="R28" s="130">
        <v>29.6</v>
      </c>
      <c r="S28" s="130">
        <v>16.600000000000001</v>
      </c>
      <c r="T28" s="130">
        <v>0.3</v>
      </c>
      <c r="U28" s="130">
        <v>1.2</v>
      </c>
      <c r="V28" s="130">
        <v>34</v>
      </c>
      <c r="W28" s="130">
        <v>52.2</v>
      </c>
      <c r="X28" s="130">
        <v>51</v>
      </c>
      <c r="Y28" s="130">
        <v>1.4</v>
      </c>
      <c r="Z28" s="130">
        <v>6.4</v>
      </c>
      <c r="AA28" s="130">
        <v>2.9</v>
      </c>
      <c r="AB28" s="130">
        <v>6.6</v>
      </c>
      <c r="AC28" s="130">
        <v>46.5</v>
      </c>
      <c r="AD28" s="130">
        <v>0.7</v>
      </c>
      <c r="AE28" s="130">
        <v>4.3</v>
      </c>
      <c r="AF28" s="130">
        <v>29.2</v>
      </c>
      <c r="AG28" s="130">
        <v>27.9</v>
      </c>
      <c r="AH28" s="130">
        <v>25.1</v>
      </c>
      <c r="AI28" s="130">
        <v>3.9</v>
      </c>
      <c r="AJ28" s="130">
        <v>4.3</v>
      </c>
      <c r="AK28" s="130">
        <v>34.6</v>
      </c>
      <c r="AL28" s="130">
        <v>31.3</v>
      </c>
      <c r="AM28" s="130">
        <v>41</v>
      </c>
      <c r="AN28" s="130">
        <v>19.600000000000001</v>
      </c>
      <c r="AO28" s="130">
        <v>19</v>
      </c>
      <c r="AP28" s="130">
        <v>73.8</v>
      </c>
      <c r="AQ28" s="130">
        <v>21.2</v>
      </c>
      <c r="AR28" s="130">
        <v>82.7</v>
      </c>
      <c r="AS28" s="130">
        <v>2</v>
      </c>
      <c r="AT28" s="130">
        <v>2</v>
      </c>
      <c r="AU28" s="130">
        <v>29.6</v>
      </c>
      <c r="AV28" s="130">
        <v>29.6</v>
      </c>
      <c r="AW28" s="130">
        <v>2.8</v>
      </c>
      <c r="AX28" s="130">
        <v>2.8</v>
      </c>
      <c r="AY28" s="130">
        <v>2.8</v>
      </c>
      <c r="AZ28" s="130">
        <v>45.1</v>
      </c>
      <c r="BA28" s="130">
        <v>55.7</v>
      </c>
      <c r="BB28" s="130">
        <v>37.799999999999997</v>
      </c>
      <c r="BC28" s="130">
        <v>88.3</v>
      </c>
      <c r="BD28" s="130">
        <v>63.5</v>
      </c>
      <c r="BE28" s="130">
        <v>64</v>
      </c>
      <c r="BF28" s="130">
        <v>64.3</v>
      </c>
      <c r="BG28" s="130">
        <v>52.4</v>
      </c>
      <c r="BH28" s="130">
        <v>52.9</v>
      </c>
      <c r="BI28" s="130">
        <v>80.099999999999994</v>
      </c>
      <c r="BJ28" s="130">
        <v>77.2</v>
      </c>
      <c r="BK28" s="130">
        <v>98</v>
      </c>
      <c r="BL28" s="130">
        <v>0.2</v>
      </c>
      <c r="BM28" s="130">
        <v>0.2</v>
      </c>
      <c r="BN28" s="130">
        <v>30.8</v>
      </c>
      <c r="BO28" s="130">
        <v>30.5</v>
      </c>
      <c r="BP28" s="130">
        <v>15.9</v>
      </c>
      <c r="BQ28" s="130">
        <v>5.4</v>
      </c>
      <c r="BR28" s="130">
        <v>0.2</v>
      </c>
      <c r="BS28" s="130">
        <v>26.8</v>
      </c>
      <c r="BT28" s="130">
        <v>44</v>
      </c>
      <c r="BU28" s="130">
        <v>27.1</v>
      </c>
      <c r="BV28" s="130">
        <v>26.5</v>
      </c>
      <c r="BW28" s="130">
        <v>42.7</v>
      </c>
      <c r="BX28" s="130">
        <v>1.1000000000000001</v>
      </c>
      <c r="BY28" s="130">
        <v>7.4</v>
      </c>
      <c r="BZ28" s="130">
        <v>0.8</v>
      </c>
      <c r="CA28" s="130">
        <v>0.5</v>
      </c>
      <c r="CB28" s="130">
        <v>0.1</v>
      </c>
      <c r="CC28" s="130">
        <v>13.5</v>
      </c>
      <c r="CD28" s="130">
        <v>8.9</v>
      </c>
      <c r="CE28" s="130">
        <v>0.5</v>
      </c>
      <c r="CF28" s="130">
        <v>0.5</v>
      </c>
      <c r="CG28" s="130">
        <v>0.3</v>
      </c>
      <c r="CH28" s="130">
        <v>28.3</v>
      </c>
      <c r="CI28" s="130">
        <v>25.3</v>
      </c>
      <c r="CJ28" s="130">
        <v>24.1</v>
      </c>
      <c r="CK28" s="130">
        <v>24.3</v>
      </c>
      <c r="CL28" s="130">
        <v>0.88</v>
      </c>
      <c r="CM28" s="130">
        <v>0.7</v>
      </c>
      <c r="CN28" s="130">
        <v>26.4</v>
      </c>
      <c r="CO28" s="130">
        <v>18</v>
      </c>
      <c r="CP28" s="130">
        <v>1.9</v>
      </c>
      <c r="CQ28" s="130">
        <v>1</v>
      </c>
      <c r="CR28" s="130">
        <v>36.700000000000003</v>
      </c>
      <c r="CS28" s="130">
        <v>34.6</v>
      </c>
      <c r="CT28" s="130">
        <v>32.700000000000003</v>
      </c>
      <c r="CU28" s="130">
        <v>33.299999999999997</v>
      </c>
      <c r="CV28" s="130">
        <v>28.8</v>
      </c>
      <c r="CW28" s="130">
        <v>43.9</v>
      </c>
      <c r="CX28" s="130">
        <v>43.9</v>
      </c>
      <c r="CY28" s="130">
        <v>52.95</v>
      </c>
      <c r="CZ28" s="130">
        <v>52.95</v>
      </c>
      <c r="DA28" s="130">
        <v>51.6</v>
      </c>
      <c r="DB28" s="130">
        <v>99</v>
      </c>
      <c r="DC28" s="130">
        <v>114.9</v>
      </c>
      <c r="DD28" s="130">
        <v>64.900000000000006</v>
      </c>
      <c r="DE28" s="130">
        <f>0.6+0.692</f>
        <v>1.2919999999999998</v>
      </c>
      <c r="DF28" s="130">
        <f>0.556+0.692</f>
        <v>1.248</v>
      </c>
      <c r="DG28" s="130">
        <f>0.451+0.556</f>
        <v>1.0070000000000001</v>
      </c>
      <c r="DH28" s="130">
        <f>0.451+0.556</f>
        <v>1.0070000000000001</v>
      </c>
      <c r="DI28" s="130">
        <v>33.4</v>
      </c>
      <c r="DJ28" s="130">
        <v>38.9</v>
      </c>
      <c r="DK28" s="130">
        <v>1</v>
      </c>
      <c r="DL28" s="130">
        <v>36.6</v>
      </c>
      <c r="DM28" s="130">
        <v>36.6</v>
      </c>
      <c r="DN28" s="130">
        <v>38.700000000000003</v>
      </c>
      <c r="DO28" s="130">
        <v>3.7</v>
      </c>
      <c r="DP28" s="130">
        <v>3.7</v>
      </c>
      <c r="DQ28" s="130">
        <v>28.2</v>
      </c>
      <c r="DR28" s="130">
        <v>42.1</v>
      </c>
      <c r="DS28" s="130">
        <v>42.1</v>
      </c>
      <c r="DT28" s="130">
        <v>30.9</v>
      </c>
      <c r="DU28" s="130">
        <v>27.9</v>
      </c>
      <c r="DV28" s="130">
        <v>82.9</v>
      </c>
      <c r="DW28" s="130">
        <v>116.5</v>
      </c>
      <c r="DX28" s="130">
        <v>117.21</v>
      </c>
      <c r="DY28" s="130">
        <f>46.4+1.7</f>
        <v>48.1</v>
      </c>
      <c r="DZ28" s="130">
        <v>2.2999999999999998</v>
      </c>
      <c r="EA28" s="130">
        <v>40.74</v>
      </c>
      <c r="EB28" s="130">
        <v>57.9</v>
      </c>
      <c r="EC28" s="130">
        <v>56.9</v>
      </c>
      <c r="ED28" s="130">
        <v>1.56</v>
      </c>
      <c r="EE28" s="130">
        <v>0.2</v>
      </c>
      <c r="EF28" s="130">
        <v>1</v>
      </c>
      <c r="EG28" s="130">
        <v>32</v>
      </c>
      <c r="EH28" s="130">
        <v>32.54</v>
      </c>
      <c r="EI28" s="130">
        <v>19.47</v>
      </c>
      <c r="EJ28" s="130">
        <v>17.600000000000001</v>
      </c>
      <c r="EK28" s="130">
        <v>38.14</v>
      </c>
      <c r="EL28" s="130">
        <v>31.64</v>
      </c>
      <c r="EM28" s="130">
        <v>29.69</v>
      </c>
      <c r="EN28" s="130">
        <v>8.1</v>
      </c>
      <c r="EO28" s="130">
        <v>30.69</v>
      </c>
      <c r="EP28" s="130">
        <v>37.04</v>
      </c>
      <c r="EQ28" s="130">
        <v>80.33</v>
      </c>
      <c r="ER28" s="130">
        <v>80.33</v>
      </c>
      <c r="ES28" s="130">
        <v>53.24</v>
      </c>
      <c r="ET28" s="130">
        <v>53.96</v>
      </c>
      <c r="EU28" s="130">
        <v>92.54</v>
      </c>
      <c r="EV28" s="130">
        <v>83.5</v>
      </c>
      <c r="EW28" s="130">
        <v>60.28</v>
      </c>
      <c r="EX28" s="130">
        <v>92.08</v>
      </c>
      <c r="EY28" s="130">
        <v>96.64</v>
      </c>
      <c r="EZ28" s="130">
        <v>141.97999999999999</v>
      </c>
      <c r="FA28" s="130">
        <v>129.12</v>
      </c>
      <c r="FB28" s="130">
        <v>140.84</v>
      </c>
      <c r="FC28" s="130">
        <v>135.29</v>
      </c>
      <c r="FD28" s="130">
        <v>178</v>
      </c>
      <c r="FE28" s="130">
        <v>113.9</v>
      </c>
      <c r="FF28" s="130">
        <v>114.4</v>
      </c>
      <c r="FG28" s="130">
        <v>89.96</v>
      </c>
      <c r="FH28" s="130">
        <v>77.72</v>
      </c>
      <c r="FI28" s="130">
        <v>140.97</v>
      </c>
      <c r="FJ28" s="130">
        <v>154</v>
      </c>
      <c r="FK28" s="130">
        <v>154</v>
      </c>
      <c r="FL28" s="130">
        <v>83.7</v>
      </c>
      <c r="FM28" s="130">
        <v>98.9</v>
      </c>
      <c r="FN28" s="130">
        <v>150.13</v>
      </c>
      <c r="FO28" s="130">
        <v>121.67</v>
      </c>
      <c r="FP28" s="130">
        <v>128.94</v>
      </c>
      <c r="FQ28" s="130">
        <v>80.3</v>
      </c>
      <c r="FR28" s="130">
        <v>111.21</v>
      </c>
      <c r="FS28" s="130">
        <v>144.69999999999999</v>
      </c>
      <c r="FT28" s="130">
        <v>133.59</v>
      </c>
      <c r="FU28" s="130">
        <v>78.37</v>
      </c>
      <c r="FV28" s="130">
        <v>30.5</v>
      </c>
      <c r="FW28" s="130">
        <f>1.2+50</f>
        <v>51.2</v>
      </c>
      <c r="FX28" s="130">
        <f>32.5+56.3</f>
        <v>88.8</v>
      </c>
      <c r="FY28" s="130">
        <f>66.38+32.48</f>
        <v>98.859999999999985</v>
      </c>
      <c r="FZ28" s="130">
        <f>14.3+0.6+31.15</f>
        <v>46.05</v>
      </c>
      <c r="GA28" s="130">
        <f>17.8+0.4+38.9</f>
        <v>57.099999999999994</v>
      </c>
      <c r="GB28" s="130">
        <f>45.1+0.46+10.3</f>
        <v>55.86</v>
      </c>
      <c r="GC28" s="130">
        <f>47.07+58.9</f>
        <v>105.97</v>
      </c>
      <c r="GD28" s="130">
        <f>47.17+67.4</f>
        <v>114.57000000000001</v>
      </c>
      <c r="GE28" s="130">
        <f>43.19+0.9+73.75</f>
        <v>117.84</v>
      </c>
      <c r="GF28" s="130">
        <f>13+1.28+58.8</f>
        <v>73.08</v>
      </c>
      <c r="GG28" s="130">
        <f>1.1+68.3+13</f>
        <v>82.399999999999991</v>
      </c>
      <c r="GH28" s="130">
        <f>1.2+78.9+44.2</f>
        <v>124.30000000000001</v>
      </c>
      <c r="GI28" s="130">
        <v>96</v>
      </c>
      <c r="GJ28" s="130">
        <v>66.5</v>
      </c>
      <c r="GK28" s="130">
        <v>153</v>
      </c>
      <c r="GL28" s="130">
        <v>160.30000000000001</v>
      </c>
      <c r="GM28" s="130">
        <v>170.3</v>
      </c>
      <c r="GN28" s="130">
        <v>125</v>
      </c>
      <c r="GO28" s="130">
        <v>179.9</v>
      </c>
      <c r="GP28" s="130">
        <v>175.4</v>
      </c>
      <c r="GQ28" s="130">
        <v>157.6</v>
      </c>
      <c r="GR28" s="130">
        <v>95.5</v>
      </c>
      <c r="GS28" s="130">
        <v>118.3</v>
      </c>
      <c r="GT28" s="130">
        <v>178.6</v>
      </c>
      <c r="GU28" s="130">
        <v>87</v>
      </c>
      <c r="GV28" s="130">
        <v>115.5</v>
      </c>
      <c r="GW28" s="130">
        <v>119.2</v>
      </c>
      <c r="GX28" s="130">
        <v>93</v>
      </c>
      <c r="GY28" s="130">
        <v>100.7</v>
      </c>
      <c r="GZ28" s="130">
        <v>163.30000000000001</v>
      </c>
      <c r="HA28" s="130">
        <v>140.19999999999999</v>
      </c>
      <c r="HB28" s="130">
        <v>148.5</v>
      </c>
      <c r="HC28" s="130">
        <v>147.9</v>
      </c>
      <c r="HD28" s="130">
        <v>120.5</v>
      </c>
      <c r="HE28" s="130">
        <v>145.5</v>
      </c>
      <c r="HF28" s="130">
        <v>149.5</v>
      </c>
      <c r="HG28" s="130">
        <v>98</v>
      </c>
      <c r="HH28" s="130">
        <v>98</v>
      </c>
      <c r="HI28" s="130">
        <v>105.6</v>
      </c>
      <c r="HJ28" s="130">
        <v>105.2</v>
      </c>
      <c r="HK28" s="130">
        <v>136.6</v>
      </c>
      <c r="HL28" s="130">
        <v>189.8</v>
      </c>
      <c r="HM28" s="130">
        <v>189.3</v>
      </c>
      <c r="HN28" s="130">
        <v>170.3</v>
      </c>
      <c r="HO28" s="130">
        <v>422.98</v>
      </c>
      <c r="HP28" s="130">
        <v>288.54999999999995</v>
      </c>
      <c r="HQ28" s="130">
        <v>266.70499999999998</v>
      </c>
      <c r="HR28" s="130">
        <v>282.39299999999997</v>
      </c>
      <c r="HS28" s="130">
        <v>288.37</v>
      </c>
      <c r="HT28" s="130">
        <v>279.38499999999999</v>
      </c>
      <c r="HU28" s="130">
        <v>279.38499999999999</v>
      </c>
      <c r="HV28" s="130">
        <v>178.61199999999999</v>
      </c>
      <c r="HW28" s="130">
        <v>178.61199999999999</v>
      </c>
      <c r="HX28" s="130">
        <v>202.328</v>
      </c>
      <c r="HY28" s="130">
        <v>202.328</v>
      </c>
      <c r="HZ28" s="130">
        <v>174.46600000000001</v>
      </c>
      <c r="IA28" s="130">
        <v>195.96600000000001</v>
      </c>
      <c r="IB28" s="130">
        <v>211.566</v>
      </c>
      <c r="IC28" s="130">
        <v>211.566</v>
      </c>
      <c r="ID28" s="130">
        <v>211.566</v>
      </c>
      <c r="IE28" s="130">
        <v>232.46600000000001</v>
      </c>
      <c r="IF28" s="130">
        <v>232.46600000000001</v>
      </c>
      <c r="IG28" s="130">
        <v>242.32</v>
      </c>
      <c r="IH28" s="130">
        <v>253.42</v>
      </c>
      <c r="II28" s="130">
        <v>253.42</v>
      </c>
      <c r="IJ28" s="130">
        <v>253.42</v>
      </c>
      <c r="IK28" s="130">
        <v>223.51999999999998</v>
      </c>
      <c r="IL28" s="130">
        <v>223.51999999999998</v>
      </c>
      <c r="IM28" s="130">
        <v>223.51999999999998</v>
      </c>
      <c r="IN28" s="130">
        <v>262.14</v>
      </c>
      <c r="IO28" s="130">
        <v>189.75900000000001</v>
      </c>
      <c r="IP28" s="130">
        <v>190.559</v>
      </c>
      <c r="IQ28" s="130">
        <v>205.25900000000001</v>
      </c>
      <c r="IR28" s="130">
        <v>205.25900000000001</v>
      </c>
      <c r="IS28" s="130">
        <v>216.15899999999999</v>
      </c>
      <c r="IT28" s="130">
        <v>237.57900000000001</v>
      </c>
      <c r="IU28" s="130">
        <v>272.17899999999997</v>
      </c>
      <c r="IV28" s="130">
        <v>272.17899999999997</v>
      </c>
      <c r="IW28" s="130">
        <v>286.279</v>
      </c>
      <c r="IX28" s="130">
        <v>342.87900000000002</v>
      </c>
      <c r="IY28" s="130">
        <v>399.53000000000003</v>
      </c>
      <c r="IZ28" s="130">
        <v>367.43</v>
      </c>
      <c r="JA28" s="130">
        <v>367.43</v>
      </c>
      <c r="JB28" s="130">
        <v>367.43</v>
      </c>
      <c r="JC28" s="130">
        <v>302.43</v>
      </c>
      <c r="JD28" s="130">
        <v>298.23</v>
      </c>
      <c r="JE28" s="130">
        <v>298.23</v>
      </c>
      <c r="JF28" s="130">
        <v>298.23</v>
      </c>
      <c r="JG28" s="130">
        <v>343.03</v>
      </c>
      <c r="JH28" s="130">
        <v>343.03</v>
      </c>
      <c r="JI28" s="130">
        <v>343.03</v>
      </c>
      <c r="JJ28" s="130">
        <v>265.37900000000002</v>
      </c>
      <c r="JK28" s="130">
        <v>283.47899999999998</v>
      </c>
      <c r="JL28" s="130">
        <v>311.42900000000003</v>
      </c>
      <c r="JM28" s="130">
        <v>335.63499999999999</v>
      </c>
      <c r="JN28" s="130">
        <v>335.63499999999999</v>
      </c>
      <c r="JO28" s="130">
        <v>335.63499999999999</v>
      </c>
      <c r="JP28" s="130">
        <v>326.84699999999998</v>
      </c>
      <c r="JQ28" s="130">
        <v>326.84699999999998</v>
      </c>
      <c r="JR28" s="130">
        <v>387.04699999999997</v>
      </c>
      <c r="JS28" s="130">
        <v>387.04699999999997</v>
      </c>
      <c r="JT28" s="130">
        <v>366.447</v>
      </c>
      <c r="JU28" s="130">
        <v>366.447</v>
      </c>
      <c r="JV28" s="130">
        <v>366.447</v>
      </c>
      <c r="JW28" s="130">
        <v>430.14699999999999</v>
      </c>
      <c r="JX28" s="130">
        <v>430.14699999999999</v>
      </c>
      <c r="JY28" s="130">
        <v>461.34699999999998</v>
      </c>
      <c r="JZ28" s="130">
        <v>461.34699999999998</v>
      </c>
      <c r="KA28" s="130">
        <v>227.83100000000002</v>
      </c>
      <c r="KB28" s="130">
        <v>292.83100000000002</v>
      </c>
      <c r="KC28" s="130">
        <v>265.83100000000002</v>
      </c>
      <c r="KD28" s="130">
        <v>201.53100000000001</v>
      </c>
      <c r="KE28" s="130">
        <v>201.53100000000001</v>
      </c>
      <c r="KF28" s="130">
        <v>283.47899999999998</v>
      </c>
      <c r="KG28" s="130">
        <v>261.42600000000004</v>
      </c>
      <c r="KH28" s="130">
        <v>261.42600000000004</v>
      </c>
      <c r="KI28" s="130">
        <v>261.98599999999999</v>
      </c>
      <c r="KJ28" s="130">
        <v>261.98599999999999</v>
      </c>
      <c r="KK28" s="130">
        <v>320.43100000000004</v>
      </c>
      <c r="KL28" s="130">
        <v>329.63100000000003</v>
      </c>
      <c r="KM28" s="130">
        <v>329.63100000000003</v>
      </c>
      <c r="KN28" s="130">
        <v>362.43099999999998</v>
      </c>
      <c r="KO28" s="130">
        <v>402.93099999999998</v>
      </c>
      <c r="KP28" s="130">
        <v>408.53100000000001</v>
      </c>
      <c r="KQ28" s="130">
        <v>400.93099999999998</v>
      </c>
      <c r="KR28" s="130">
        <v>400.93099999999998</v>
      </c>
      <c r="KS28" s="130">
        <v>337.94100000000003</v>
      </c>
      <c r="KT28" s="130">
        <v>337.94100000000003</v>
      </c>
      <c r="KU28" s="130">
        <v>385.14099999999996</v>
      </c>
      <c r="KV28" s="130">
        <v>416.74099999999999</v>
      </c>
      <c r="KW28" s="130">
        <v>215.941</v>
      </c>
      <c r="KX28" s="130">
        <v>85.841000000000008</v>
      </c>
      <c r="KY28" s="130">
        <v>85.841000000000008</v>
      </c>
      <c r="KZ28" s="130">
        <v>117.941</v>
      </c>
      <c r="LA28" s="130">
        <v>117.941</v>
      </c>
      <c r="LB28" s="130">
        <v>164.941</v>
      </c>
      <c r="LC28" s="130">
        <v>164.941</v>
      </c>
      <c r="LD28" s="130">
        <v>164.941</v>
      </c>
      <c r="LE28" s="130">
        <v>134.941</v>
      </c>
      <c r="LF28" s="130">
        <v>186.941</v>
      </c>
      <c r="LG28" s="130">
        <v>186.941</v>
      </c>
      <c r="LH28" s="130">
        <v>186.941</v>
      </c>
      <c r="LI28" s="130">
        <v>160.19800000000001</v>
      </c>
      <c r="LJ28" s="130">
        <v>160.19800000000001</v>
      </c>
      <c r="LK28" s="130">
        <v>160.19800000000001</v>
      </c>
      <c r="LL28" s="130">
        <v>234.84100000000001</v>
      </c>
      <c r="LM28" s="130">
        <v>234.84100000000001</v>
      </c>
      <c r="LN28" s="130">
        <v>214.941</v>
      </c>
      <c r="LO28" s="130">
        <v>214.941</v>
      </c>
      <c r="LP28" s="130">
        <v>214.941</v>
      </c>
      <c r="LQ28" s="130">
        <v>353.44100000000003</v>
      </c>
      <c r="LR28" s="130">
        <v>120.941</v>
      </c>
      <c r="LS28" s="130">
        <v>120.941</v>
      </c>
      <c r="LT28" s="130">
        <v>207.441</v>
      </c>
      <c r="LU28" s="130">
        <v>276.94100000000003</v>
      </c>
      <c r="LV28" s="130">
        <v>222.14099999999999</v>
      </c>
      <c r="LW28" s="130">
        <v>222.14099999999999</v>
      </c>
      <c r="LX28" s="130">
        <v>239.24100000000001</v>
      </c>
      <c r="LY28" s="130">
        <v>239.24100000000001</v>
      </c>
      <c r="LZ28" s="130">
        <v>334.34100000000001</v>
      </c>
      <c r="MA28" s="130">
        <v>334.34100000000001</v>
      </c>
      <c r="MB28" s="130">
        <v>334.34100000000001</v>
      </c>
      <c r="MC28" s="130">
        <v>334.34100000000001</v>
      </c>
      <c r="MD28" s="130">
        <v>473.44100000000003</v>
      </c>
      <c r="ME28" s="130">
        <v>511.14099999999996</v>
      </c>
      <c r="MF28" s="130">
        <v>511.14099999999996</v>
      </c>
      <c r="MG28" s="130">
        <v>511.14099999999996</v>
      </c>
      <c r="MH28" s="130">
        <v>785.2410000000001</v>
      </c>
      <c r="MI28" s="130">
        <v>785.2410000000001</v>
      </c>
      <c r="MJ28" s="130">
        <v>846.94100000000003</v>
      </c>
      <c r="MK28" s="130">
        <v>755.34100000000001</v>
      </c>
      <c r="ML28" s="130">
        <v>755.34100000000001</v>
      </c>
      <c r="MM28" s="130">
        <v>755.34100000000001</v>
      </c>
      <c r="MN28" s="130">
        <v>755.34100000000001</v>
      </c>
      <c r="MO28" s="130">
        <v>755.34100000000001</v>
      </c>
      <c r="MP28" s="130">
        <v>755.34100000000001</v>
      </c>
      <c r="MQ28" s="130">
        <v>256.17399999999998</v>
      </c>
      <c r="MR28" s="130">
        <v>256.17399999999998</v>
      </c>
      <c r="MS28" s="130">
        <v>360.54100000000005</v>
      </c>
      <c r="MT28" s="130">
        <v>382.14100000000008</v>
      </c>
      <c r="MU28" s="130">
        <v>382.14100000000008</v>
      </c>
      <c r="MV28" s="130">
        <v>382.14100000000008</v>
      </c>
      <c r="MW28" s="130">
        <v>336.14099999999996</v>
      </c>
      <c r="MX28" s="130">
        <v>430.625</v>
      </c>
      <c r="MY28" s="130">
        <v>430.625</v>
      </c>
      <c r="MZ28" s="130">
        <v>430.625</v>
      </c>
      <c r="NA28" s="130">
        <v>430.625</v>
      </c>
      <c r="NB28" s="130">
        <v>430.625</v>
      </c>
      <c r="NC28" s="130">
        <v>430.625</v>
      </c>
      <c r="ND28" s="130">
        <v>430.625</v>
      </c>
      <c r="NE28" s="130">
        <v>430.625</v>
      </c>
      <c r="NF28" s="130">
        <v>332.71100000000001</v>
      </c>
      <c r="NG28" s="130">
        <v>357.61099999999999</v>
      </c>
      <c r="NH28" s="130">
        <v>425.71100000000001</v>
      </c>
      <c r="NI28" s="130">
        <v>386.911</v>
      </c>
      <c r="NJ28" s="130">
        <v>386.911</v>
      </c>
      <c r="NK28" s="130">
        <v>369.31100000000004</v>
      </c>
      <c r="NL28" s="130">
        <v>369.31100000000004</v>
      </c>
      <c r="NM28" s="130">
        <v>395.911</v>
      </c>
      <c r="NN28" s="130">
        <v>395.911</v>
      </c>
      <c r="NO28" s="130">
        <v>395.911</v>
      </c>
      <c r="NP28" s="130">
        <v>465.71100000000001</v>
      </c>
      <c r="NQ28" s="130">
        <v>465.71100000000001</v>
      </c>
      <c r="NR28" s="130">
        <v>517.71100000000001</v>
      </c>
      <c r="NS28" s="130">
        <v>517.71100000000001</v>
      </c>
      <c r="NT28" s="130">
        <v>517.71100000000001</v>
      </c>
      <c r="NU28" s="130">
        <v>541.71100000000001</v>
      </c>
      <c r="NV28" s="130">
        <v>599.71100000000001</v>
      </c>
      <c r="NW28" s="130">
        <v>599.71100000000001</v>
      </c>
      <c r="NX28" s="130">
        <v>599.71100000000001</v>
      </c>
      <c r="NY28" s="130">
        <v>518.45100000000002</v>
      </c>
      <c r="NZ28" s="130">
        <v>575.45100000000002</v>
      </c>
      <c r="OA28" s="130">
        <v>575.45100000000002</v>
      </c>
      <c r="OB28" s="130">
        <v>575.45100000000002</v>
      </c>
      <c r="OC28" s="130">
        <v>654.351</v>
      </c>
      <c r="OD28" s="130">
        <v>654.351</v>
      </c>
      <c r="OE28" s="130">
        <v>654.351</v>
      </c>
      <c r="OF28" s="130">
        <v>654.351</v>
      </c>
      <c r="OG28" s="130">
        <v>424.45100000000002</v>
      </c>
      <c r="OH28" s="130">
        <v>424.45100000000002</v>
      </c>
      <c r="OI28" s="130">
        <v>388.25100000000003</v>
      </c>
      <c r="OJ28" s="130">
        <v>457.75100000000009</v>
      </c>
      <c r="OK28" s="130">
        <v>457.75100000000009</v>
      </c>
      <c r="OL28" s="130">
        <v>546.851</v>
      </c>
      <c r="OM28" s="130">
        <v>546.851</v>
      </c>
      <c r="ON28" s="130">
        <v>546.851</v>
      </c>
      <c r="OO28" s="130">
        <v>542.95100000000002</v>
      </c>
      <c r="OP28" s="130">
        <v>606.351</v>
      </c>
      <c r="OQ28" s="130">
        <v>606.351</v>
      </c>
      <c r="OR28" s="130">
        <v>606.351</v>
      </c>
      <c r="OS28" s="130">
        <v>757.45100000000002</v>
      </c>
      <c r="OT28" s="130">
        <v>795.45100000000002</v>
      </c>
      <c r="OU28" s="130">
        <v>795.45100000000002</v>
      </c>
      <c r="OV28" s="130">
        <v>795.45100000000002</v>
      </c>
      <c r="OW28" s="130">
        <v>922.95100000000002</v>
      </c>
      <c r="OX28" s="130">
        <v>922.95100000000002</v>
      </c>
      <c r="OY28" s="130">
        <v>357.45100000000002</v>
      </c>
      <c r="OZ28" s="130">
        <v>357.45100000000002</v>
      </c>
      <c r="PA28" s="130">
        <v>357.45100000000002</v>
      </c>
      <c r="PB28" s="130">
        <v>331.94099999999997</v>
      </c>
      <c r="PC28" s="130">
        <v>331.94099999999997</v>
      </c>
      <c r="PD28" s="130">
        <v>331.94099999999997</v>
      </c>
      <c r="PE28" s="130">
        <v>401.44099999999997</v>
      </c>
      <c r="PF28" s="130">
        <v>414.541</v>
      </c>
      <c r="PG28" s="130">
        <v>414.541</v>
      </c>
      <c r="PH28" s="130">
        <v>414.541</v>
      </c>
      <c r="PI28" s="130">
        <v>439.24099999999999</v>
      </c>
      <c r="PJ28" s="130">
        <v>480.74099999999999</v>
      </c>
      <c r="PK28" s="130">
        <v>480.74099999999999</v>
      </c>
      <c r="PL28" s="130">
        <v>480.74099999999999</v>
      </c>
      <c r="PM28" s="130">
        <v>480.74099999999999</v>
      </c>
      <c r="PN28" s="130">
        <v>502.74099999999999</v>
      </c>
      <c r="PO28" s="130">
        <v>502.74099999999999</v>
      </c>
      <c r="PP28" s="130">
        <v>502.74099999999999</v>
      </c>
      <c r="PQ28" s="130">
        <v>161.5</v>
      </c>
      <c r="PR28" s="130">
        <v>161.5</v>
      </c>
      <c r="PS28" s="130">
        <v>288.14100000000002</v>
      </c>
      <c r="PT28" s="130">
        <v>288.14100000000002</v>
      </c>
      <c r="PU28" s="130">
        <v>290.44099999999997</v>
      </c>
      <c r="PV28" s="130">
        <v>290.44099999999997</v>
      </c>
      <c r="PW28" s="130">
        <v>290.44099999999997</v>
      </c>
      <c r="PX28" s="130">
        <v>373.24099999999999</v>
      </c>
      <c r="PY28" s="130">
        <v>395.64099999999996</v>
      </c>
      <c r="PZ28" s="130">
        <v>395.64099999999996</v>
      </c>
      <c r="QA28" s="130">
        <v>395.64099999999996</v>
      </c>
      <c r="QB28" s="130">
        <v>477.74099999999993</v>
      </c>
      <c r="QC28" s="130">
        <v>276.74099999999999</v>
      </c>
      <c r="QD28" s="130">
        <v>276.74099999999999</v>
      </c>
      <c r="QE28" s="130">
        <v>284.14100000000002</v>
      </c>
      <c r="QF28" s="130">
        <v>284.14100000000002</v>
      </c>
      <c r="QG28" s="130">
        <v>284.14100000000002</v>
      </c>
      <c r="QH28" s="130">
        <v>284.14100000000002</v>
      </c>
      <c r="QI28" s="130">
        <v>408.24099999999999</v>
      </c>
      <c r="QJ28" s="130">
        <v>408.24099999999999</v>
      </c>
      <c r="QK28" s="130">
        <v>293.24099999999999</v>
      </c>
      <c r="QL28" s="130">
        <v>293.24099999999999</v>
      </c>
      <c r="QM28" s="130">
        <v>293.24099999999999</v>
      </c>
      <c r="QN28" s="130">
        <v>294.24099999999999</v>
      </c>
      <c r="QO28" s="130">
        <v>319.17399999999998</v>
      </c>
      <c r="QP28" s="130">
        <v>319.17399999999998</v>
      </c>
      <c r="QQ28" s="130">
        <v>386.74099999999999</v>
      </c>
      <c r="QR28" s="130">
        <v>386.74099999999999</v>
      </c>
      <c r="QS28" s="130">
        <v>383.04099999999994</v>
      </c>
      <c r="QT28" s="130">
        <v>406.541</v>
      </c>
      <c r="QU28" s="130">
        <v>406.541</v>
      </c>
      <c r="QV28" s="130">
        <v>474.14099999999996</v>
      </c>
      <c r="QW28" s="130">
        <v>406.541</v>
      </c>
      <c r="QX28" s="130">
        <v>406.541</v>
      </c>
      <c r="QY28" s="130">
        <v>451.34100000000001</v>
      </c>
      <c r="QZ28" s="130">
        <v>451.34100000000001</v>
      </c>
      <c r="RA28" s="130">
        <v>529.94100000000003</v>
      </c>
      <c r="RB28" s="130">
        <v>529.94100000000003</v>
      </c>
      <c r="RC28" s="130">
        <v>529.94100000000003</v>
      </c>
      <c r="RD28" s="130">
        <v>529.94100000000003</v>
      </c>
      <c r="RE28" s="130">
        <v>119.34099999999999</v>
      </c>
      <c r="RF28" s="130">
        <v>119.34099999999999</v>
      </c>
      <c r="RG28" s="130">
        <v>119.34099999999999</v>
      </c>
      <c r="RH28" s="130">
        <v>158.64100000000002</v>
      </c>
      <c r="RI28" s="130">
        <v>67.247</v>
      </c>
      <c r="RJ28" s="130">
        <v>67.247</v>
      </c>
      <c r="RK28" s="130">
        <v>155.24099999999999</v>
      </c>
      <c r="RL28" s="130">
        <v>155.24099999999999</v>
      </c>
      <c r="RM28" s="130">
        <v>132.541</v>
      </c>
      <c r="RN28" s="130">
        <v>132.541</v>
      </c>
      <c r="RO28" s="130">
        <v>132.541</v>
      </c>
      <c r="RP28" s="130">
        <v>132.541</v>
      </c>
      <c r="RQ28" s="130">
        <v>226.44099999999997</v>
      </c>
      <c r="RR28" s="130">
        <v>226.44099999999997</v>
      </c>
      <c r="RS28" s="130">
        <v>180.14100000000002</v>
      </c>
      <c r="RT28" s="130">
        <v>180.14100000000002</v>
      </c>
      <c r="RU28" s="130">
        <v>180.14100000000002</v>
      </c>
      <c r="RV28" s="130">
        <v>180.14100000000002</v>
      </c>
      <c r="RW28" s="130">
        <v>180.14100000000002</v>
      </c>
      <c r="RX28" s="130">
        <v>180.14100000000002</v>
      </c>
      <c r="RY28" s="130">
        <v>323.44100000000003</v>
      </c>
      <c r="RZ28" s="130">
        <v>323.44100000000003</v>
      </c>
      <c r="SA28" s="130">
        <v>389.24099999999999</v>
      </c>
      <c r="SB28" s="130">
        <v>410.24099999999999</v>
      </c>
      <c r="SC28" s="130">
        <v>410.24099999999999</v>
      </c>
      <c r="SD28" s="130">
        <v>410.24099999999999</v>
      </c>
      <c r="SE28" s="130">
        <v>472.24100000000004</v>
      </c>
      <c r="SF28" s="130">
        <v>472.24100000000004</v>
      </c>
      <c r="SG28" s="130">
        <v>515.94099999999992</v>
      </c>
      <c r="SH28" s="130">
        <v>515.94099999999992</v>
      </c>
      <c r="SI28" s="130">
        <v>526.04100000000005</v>
      </c>
      <c r="SJ28" s="130">
        <v>526.04100000000005</v>
      </c>
      <c r="SK28" s="130">
        <v>598.54099999999994</v>
      </c>
      <c r="SL28" s="130">
        <v>598.54099999999994</v>
      </c>
      <c r="SM28" s="130">
        <v>546.24099999999999</v>
      </c>
      <c r="SN28" s="130">
        <v>546.24099999999999</v>
      </c>
      <c r="SO28" s="130">
        <v>546.24099999999999</v>
      </c>
      <c r="SP28" s="130">
        <v>668.94100000000003</v>
      </c>
      <c r="SQ28" s="130">
        <v>668.94100000000003</v>
      </c>
      <c r="SR28" s="130">
        <v>668.94100000000003</v>
      </c>
      <c r="SS28" s="130">
        <v>472.84100000000001</v>
      </c>
      <c r="ST28" s="130">
        <v>472.84100000000001</v>
      </c>
      <c r="SU28" s="130">
        <v>542.04100000000005</v>
      </c>
      <c r="SV28" s="130">
        <v>542.04100000000005</v>
      </c>
      <c r="SW28" s="130">
        <v>542.04100000000005</v>
      </c>
      <c r="SX28" s="130">
        <v>485.24099999999999</v>
      </c>
      <c r="SY28" s="130">
        <v>485.24099999999999</v>
      </c>
      <c r="SZ28" s="130">
        <v>485.24099999999999</v>
      </c>
      <c r="TA28" s="130">
        <v>523.904</v>
      </c>
      <c r="TB28" s="130">
        <v>523.904</v>
      </c>
      <c r="TC28" s="130">
        <v>610.14100000000008</v>
      </c>
      <c r="TD28" s="130">
        <v>610.14100000000008</v>
      </c>
      <c r="TE28" s="130">
        <v>661.34100000000001</v>
      </c>
      <c r="TF28" s="130">
        <v>677.40500000000009</v>
      </c>
      <c r="TG28" s="130">
        <v>223.24099999999999</v>
      </c>
      <c r="TH28" s="130">
        <v>283.33199999999999</v>
      </c>
      <c r="TI28" s="130">
        <v>227.64100000000002</v>
      </c>
      <c r="TJ28" s="130">
        <v>275.34100000000001</v>
      </c>
      <c r="TK28" s="130">
        <v>358.94099999999997</v>
      </c>
      <c r="TL28" s="130">
        <v>331.64099999999996</v>
      </c>
      <c r="TM28" s="130">
        <v>280.041</v>
      </c>
      <c r="TN28" s="130">
        <v>399.34099999999995</v>
      </c>
      <c r="TO28" s="130">
        <v>387.14100000000002</v>
      </c>
      <c r="TP28" s="130">
        <v>522.85199999999998</v>
      </c>
      <c r="TQ28" s="130">
        <v>645.34100000000001</v>
      </c>
      <c r="TR28" s="130">
        <v>526.30600000000004</v>
      </c>
      <c r="TS28" s="130">
        <v>579.43600000000004</v>
      </c>
      <c r="TT28" s="130">
        <v>467.916</v>
      </c>
      <c r="TU28" s="130">
        <v>567.84100000000001</v>
      </c>
      <c r="TV28" s="130">
        <v>630.24099999999999</v>
      </c>
      <c r="TW28" s="130">
        <v>439.94099999999997</v>
      </c>
      <c r="TX28" s="130">
        <v>547.94100000000003</v>
      </c>
      <c r="TY28" s="130">
        <v>564.34100000000001</v>
      </c>
      <c r="TZ28" s="130">
        <v>500.39599999999996</v>
      </c>
      <c r="UA28" s="130">
        <v>507.34099999999995</v>
      </c>
      <c r="UB28" s="130">
        <v>641.60599999999999</v>
      </c>
      <c r="UC28" s="130">
        <v>676.02099999999996</v>
      </c>
      <c r="UD28" s="130">
        <v>544.55600000000004</v>
      </c>
      <c r="UE28" s="130">
        <v>637.34100000000001</v>
      </c>
      <c r="UF28" s="130">
        <v>724.66599999999994</v>
      </c>
      <c r="UG28" s="130">
        <v>542.2890000000001</v>
      </c>
      <c r="UH28" s="130">
        <v>198.74099999999999</v>
      </c>
      <c r="UI28" s="130">
        <v>231.94099999999997</v>
      </c>
      <c r="UJ28" s="130">
        <v>173.36599999999999</v>
      </c>
      <c r="UK28" s="130">
        <v>187.44099999999997</v>
      </c>
      <c r="UL28" s="130">
        <v>228.89100000000002</v>
      </c>
      <c r="UM28" s="130">
        <v>302.51099999999997</v>
      </c>
      <c r="UN28" s="130">
        <v>371.41799999999995</v>
      </c>
      <c r="UO28" s="130">
        <v>398.22099999999995</v>
      </c>
      <c r="UP28" s="130">
        <v>325.84099999999995</v>
      </c>
      <c r="UQ28" s="130">
        <v>473.24099999999999</v>
      </c>
      <c r="UR28" s="130">
        <v>157.941</v>
      </c>
      <c r="US28" s="130">
        <v>128.24099999999999</v>
      </c>
      <c r="UT28" s="130">
        <v>152.98099999999999</v>
      </c>
      <c r="UU28" s="130">
        <v>224.76100000000002</v>
      </c>
      <c r="UV28" s="130">
        <v>223.62100000000004</v>
      </c>
      <c r="UW28" s="130">
        <v>247.24099999999999</v>
      </c>
      <c r="UX28" s="130">
        <v>304.84100000000001</v>
      </c>
      <c r="UY28" s="130">
        <v>275.041</v>
      </c>
      <c r="UZ28" s="130">
        <v>344.541</v>
      </c>
      <c r="VA28" s="130">
        <v>350.64099999999996</v>
      </c>
      <c r="VB28" s="130">
        <v>386.90100000000001</v>
      </c>
      <c r="VC28" s="130">
        <v>409.92099999999994</v>
      </c>
      <c r="VD28" s="130">
        <v>220.34100000000001</v>
      </c>
      <c r="VE28" s="130">
        <v>220.34100000000001</v>
      </c>
      <c r="VF28" s="130">
        <v>196.24099999999999</v>
      </c>
      <c r="VG28" s="130">
        <v>309.65699999999998</v>
      </c>
      <c r="VH28" s="130">
        <v>369.15100000000001</v>
      </c>
      <c r="VI28" s="130">
        <v>479.88099999999997</v>
      </c>
      <c r="VJ28" s="130">
        <v>494.37099999999998</v>
      </c>
      <c r="VK28" s="130">
        <v>600.64100000000008</v>
      </c>
      <c r="VL28" s="130">
        <v>107.214</v>
      </c>
      <c r="VM28" s="130">
        <v>145.28800000000001</v>
      </c>
      <c r="VN28" s="130">
        <v>223.86700000000002</v>
      </c>
      <c r="VO28" s="130">
        <v>155.61500000000001</v>
      </c>
      <c r="VP28" s="130">
        <v>176.96199999999999</v>
      </c>
      <c r="VQ28" s="130">
        <v>245.03100000000001</v>
      </c>
      <c r="VR28" s="130">
        <v>267.12200000000001</v>
      </c>
      <c r="VS28" s="130">
        <v>168.24099999999999</v>
      </c>
      <c r="VT28" s="130">
        <v>205.95</v>
      </c>
      <c r="VU28" s="130">
        <v>203.41199999999998</v>
      </c>
      <c r="VV28" s="130">
        <v>144.42099999999999</v>
      </c>
      <c r="VW28" s="130">
        <v>146.464</v>
      </c>
      <c r="VX28" s="130">
        <v>270.84100000000001</v>
      </c>
      <c r="VY28" s="130">
        <v>391.14100000000002</v>
      </c>
      <c r="VZ28" s="130">
        <v>455.14100000000002</v>
      </c>
      <c r="WA28" s="130">
        <v>468.54200000000003</v>
      </c>
      <c r="WB28" s="130">
        <v>552.64099999999996</v>
      </c>
      <c r="WC28" s="130">
        <v>488.45</v>
      </c>
      <c r="WD28" s="130">
        <v>311.541</v>
      </c>
      <c r="WE28" s="130">
        <v>266.34100000000001</v>
      </c>
      <c r="WF28" s="130">
        <v>310.87099999999998</v>
      </c>
      <c r="WG28" s="130">
        <v>57.536000000000001</v>
      </c>
      <c r="WH28" s="130">
        <v>96.617000000000004</v>
      </c>
      <c r="WI28" s="130">
        <v>133.98699999999999</v>
      </c>
      <c r="WJ28" s="130">
        <v>93.247</v>
      </c>
      <c r="WK28" s="130">
        <v>117.941</v>
      </c>
      <c r="WL28" s="130">
        <v>166.041</v>
      </c>
      <c r="WM28" s="130">
        <v>199.74099999999999</v>
      </c>
      <c r="WN28" s="130">
        <v>134.80000000000001</v>
      </c>
      <c r="WO28" s="130">
        <v>171.03299999999999</v>
      </c>
      <c r="WP28" s="130">
        <v>9.4049999999999994</v>
      </c>
      <c r="WQ28" s="130">
        <v>86.597000000000008</v>
      </c>
      <c r="WR28" s="130">
        <v>83.16</v>
      </c>
      <c r="WS28" s="130">
        <v>11.506</v>
      </c>
      <c r="WT28" s="130">
        <v>99.75</v>
      </c>
      <c r="WU28" s="130">
        <v>134.69999999999999</v>
      </c>
      <c r="WV28" s="130">
        <v>26.914000000000001</v>
      </c>
      <c r="WW28" s="130">
        <v>35.644000000000005</v>
      </c>
      <c r="WX28" s="130">
        <v>51.600999999999992</v>
      </c>
      <c r="WY28" s="130">
        <v>85.437999999999988</v>
      </c>
      <c r="WZ28" s="130">
        <v>142.13499999999999</v>
      </c>
      <c r="XA28" s="130">
        <v>116.09499999999998</v>
      </c>
      <c r="XB28" s="130">
        <v>35.688999999999993</v>
      </c>
      <c r="XC28" s="130">
        <v>82.993999999999986</v>
      </c>
      <c r="XD28" s="130">
        <v>187.45000000000002</v>
      </c>
      <c r="XE28" s="130">
        <v>53.522000000000006</v>
      </c>
      <c r="XF28" s="130">
        <v>204.60300000000001</v>
      </c>
      <c r="XG28" s="130">
        <v>22.900000000000002</v>
      </c>
      <c r="XH28" s="130">
        <v>88.775999999999996</v>
      </c>
      <c r="XI28" s="130">
        <v>93.891000000000005</v>
      </c>
      <c r="XJ28" s="130">
        <v>124.66200000000001</v>
      </c>
      <c r="XK28" s="130">
        <v>82.471000000000004</v>
      </c>
      <c r="XL28" s="130">
        <v>6.7519999999999998</v>
      </c>
      <c r="XM28" s="130">
        <v>17.919</v>
      </c>
      <c r="XN28" s="130">
        <v>81.062999999999988</v>
      </c>
      <c r="XO28" s="130">
        <v>96.878999999999991</v>
      </c>
      <c r="XP28" s="130">
        <v>37.21</v>
      </c>
      <c r="XQ28" s="130">
        <v>178.73400000000001</v>
      </c>
      <c r="XR28" s="130">
        <v>165.89599999999999</v>
      </c>
      <c r="XS28" s="130">
        <v>176.148</v>
      </c>
      <c r="XT28" s="130">
        <v>17.927</v>
      </c>
      <c r="XU28" s="130">
        <v>62.518999999999991</v>
      </c>
      <c r="XV28" s="130">
        <v>99.239000000000004</v>
      </c>
      <c r="XW28" s="130">
        <v>121.04300000000001</v>
      </c>
      <c r="XX28" s="130">
        <v>120.941</v>
      </c>
      <c r="XY28" s="130">
        <v>172.61199999999999</v>
      </c>
      <c r="XZ28" s="130">
        <v>186.03899999999999</v>
      </c>
      <c r="YA28" s="130">
        <v>97.5</v>
      </c>
      <c r="YB28" s="130">
        <v>190.8</v>
      </c>
      <c r="YC28" s="130">
        <v>115.9</v>
      </c>
      <c r="YD28" s="130">
        <v>155.1</v>
      </c>
      <c r="YE28" s="130">
        <v>69.599999999999994</v>
      </c>
      <c r="YF28" s="130">
        <v>507.82499999999999</v>
      </c>
      <c r="YG28" s="130">
        <v>533.053</v>
      </c>
      <c r="YH28" s="130">
        <v>474.1</v>
      </c>
    </row>
    <row r="29" spans="2:658">
      <c r="B29" s="917" t="s">
        <v>35</v>
      </c>
      <c r="C29" s="918">
        <v>91.287216574999988</v>
      </c>
      <c r="D29" s="130">
        <v>125.28036134999999</v>
      </c>
      <c r="E29" s="130">
        <v>127.8</v>
      </c>
      <c r="F29" s="130">
        <v>58</v>
      </c>
      <c r="G29" s="130">
        <v>159.69999999999999</v>
      </c>
      <c r="H29" s="130">
        <v>142.1</v>
      </c>
      <c r="I29" s="130">
        <v>135.30000000000001</v>
      </c>
      <c r="J29" s="130">
        <v>116.3</v>
      </c>
      <c r="K29" s="130">
        <v>118.9</v>
      </c>
      <c r="L29" s="130">
        <v>118.8</v>
      </c>
      <c r="M29" s="130">
        <v>126.7</v>
      </c>
      <c r="N29" s="130">
        <v>121</v>
      </c>
      <c r="O29" s="130">
        <v>83.2</v>
      </c>
      <c r="P29" s="130">
        <v>88.1</v>
      </c>
      <c r="Q29" s="130">
        <v>92.5</v>
      </c>
      <c r="R29" s="130">
        <v>96.5</v>
      </c>
      <c r="S29" s="130">
        <v>58.5</v>
      </c>
      <c r="T29" s="130">
        <v>74.7</v>
      </c>
      <c r="U29" s="130">
        <v>75.400000000000006</v>
      </c>
      <c r="V29" s="130">
        <v>83.8</v>
      </c>
      <c r="W29" s="130">
        <v>87.7</v>
      </c>
      <c r="X29" s="130">
        <v>73.3</v>
      </c>
      <c r="Y29" s="130">
        <v>63.6</v>
      </c>
      <c r="Z29" s="130">
        <v>72.400000000000006</v>
      </c>
      <c r="AA29" s="130">
        <v>72.3</v>
      </c>
      <c r="AB29" s="130">
        <v>70.599999999999994</v>
      </c>
      <c r="AC29" s="130">
        <v>85.1</v>
      </c>
      <c r="AD29" s="130">
        <v>96.9</v>
      </c>
      <c r="AE29" s="130">
        <v>17.100000000000001</v>
      </c>
      <c r="AF29" s="130">
        <v>18.3</v>
      </c>
      <c r="AG29" s="130">
        <v>32.799999999999997</v>
      </c>
      <c r="AH29" s="130">
        <v>35.299999999999997</v>
      </c>
      <c r="AI29" s="130">
        <v>13.1</v>
      </c>
      <c r="AJ29" s="130">
        <v>12.4</v>
      </c>
      <c r="AK29" s="130">
        <v>14.2</v>
      </c>
      <c r="AL29" s="130">
        <v>18.899999999999999</v>
      </c>
      <c r="AM29" s="130">
        <v>14.5</v>
      </c>
      <c r="AN29" s="130">
        <v>9.5</v>
      </c>
      <c r="AO29" s="130">
        <v>9.9</v>
      </c>
      <c r="AP29" s="130">
        <v>4.0999999999999996</v>
      </c>
      <c r="AQ29" s="130">
        <v>7.8</v>
      </c>
      <c r="AR29" s="130">
        <v>12.2</v>
      </c>
      <c r="AS29" s="130">
        <v>16.100000000000001</v>
      </c>
      <c r="AT29" s="130">
        <v>27.3</v>
      </c>
      <c r="AU29" s="130">
        <v>14.3</v>
      </c>
      <c r="AV29" s="130">
        <v>18.45</v>
      </c>
      <c r="AW29" s="130">
        <v>35.119999999999997</v>
      </c>
      <c r="AX29" s="130">
        <v>19.579999999999998</v>
      </c>
      <c r="AY29" s="130">
        <v>31.5</v>
      </c>
      <c r="AZ29" s="130">
        <v>40.299999999999997</v>
      </c>
      <c r="BA29" s="130">
        <v>50.8</v>
      </c>
      <c r="BB29" s="130">
        <v>44.6</v>
      </c>
      <c r="BC29" s="130">
        <v>47.3</v>
      </c>
      <c r="BD29" s="130">
        <v>61.3</v>
      </c>
      <c r="BE29" s="130">
        <v>73</v>
      </c>
      <c r="BF29" s="130">
        <v>79.3</v>
      </c>
      <c r="BG29" s="130">
        <v>33.700000000000003</v>
      </c>
      <c r="BH29" s="130">
        <v>19.3</v>
      </c>
      <c r="BI29" s="130">
        <v>18.8</v>
      </c>
      <c r="BJ29" s="130">
        <v>18.8</v>
      </c>
      <c r="BK29" s="130">
        <v>30.1</v>
      </c>
      <c r="BL29" s="130">
        <v>49.7</v>
      </c>
      <c r="BM29" s="130">
        <v>23.3</v>
      </c>
      <c r="BN29" s="130">
        <v>20</v>
      </c>
      <c r="BO29" s="130">
        <v>17</v>
      </c>
      <c r="BP29" s="130">
        <v>14.3</v>
      </c>
      <c r="BQ29" s="130">
        <v>14.3</v>
      </c>
      <c r="BR29" s="130">
        <v>13</v>
      </c>
      <c r="BS29" s="130">
        <v>38.299999999999997</v>
      </c>
      <c r="BT29" s="130">
        <v>42.6</v>
      </c>
      <c r="BU29" s="130">
        <v>40.799999999999997</v>
      </c>
      <c r="BV29" s="130">
        <v>43.7</v>
      </c>
      <c r="BW29" s="130">
        <v>19.8</v>
      </c>
      <c r="BX29" s="130">
        <v>22.6</v>
      </c>
      <c r="BY29" s="130">
        <v>29.2</v>
      </c>
      <c r="BZ29" s="130">
        <v>14.5</v>
      </c>
      <c r="CA29" s="130">
        <v>35.1</v>
      </c>
      <c r="CB29" s="130">
        <v>12.8</v>
      </c>
      <c r="CC29" s="130">
        <v>17.100000000000001</v>
      </c>
      <c r="CD29" s="130">
        <v>26.5</v>
      </c>
      <c r="CE29" s="130">
        <v>43</v>
      </c>
      <c r="CF29" s="130">
        <v>43</v>
      </c>
      <c r="CG29" s="130">
        <v>13.9</v>
      </c>
      <c r="CH29" s="130">
        <v>25.8</v>
      </c>
      <c r="CI29" s="130">
        <v>41.9</v>
      </c>
      <c r="CJ29" s="130">
        <v>46.4</v>
      </c>
      <c r="CK29" s="130">
        <v>59.7</v>
      </c>
      <c r="CL29" s="130">
        <v>25.7</v>
      </c>
      <c r="CM29" s="130">
        <v>32.4</v>
      </c>
      <c r="CN29" s="130">
        <v>32.4</v>
      </c>
      <c r="CO29" s="130">
        <v>52.7</v>
      </c>
      <c r="CP29" s="130">
        <v>78.2</v>
      </c>
      <c r="CQ29" s="130">
        <v>14.3</v>
      </c>
      <c r="CR29" s="130">
        <v>7.8</v>
      </c>
      <c r="CS29" s="130">
        <v>15.6</v>
      </c>
      <c r="CT29" s="130">
        <v>23.5</v>
      </c>
      <c r="CU29" s="130">
        <v>61.2</v>
      </c>
      <c r="CV29" s="130">
        <v>16.7</v>
      </c>
      <c r="CW29" s="130">
        <v>52.26</v>
      </c>
      <c r="CX29" s="130">
        <v>52.26</v>
      </c>
      <c r="CY29" s="130">
        <v>50.9</v>
      </c>
      <c r="CZ29" s="130">
        <v>50.9</v>
      </c>
      <c r="DA29" s="130">
        <v>24</v>
      </c>
      <c r="DB29" s="130">
        <v>44.7</v>
      </c>
      <c r="DC29" s="130">
        <v>44.8</v>
      </c>
      <c r="DD29" s="130">
        <v>88.8</v>
      </c>
      <c r="DE29" s="130">
        <v>98.6</v>
      </c>
      <c r="DF29" s="130">
        <v>123.75</v>
      </c>
      <c r="DG29" s="130">
        <v>73.400000000000006</v>
      </c>
      <c r="DH29" s="130">
        <v>101.3</v>
      </c>
      <c r="DI29" s="130">
        <v>107</v>
      </c>
      <c r="DJ29" s="130">
        <v>102</v>
      </c>
      <c r="DK29" s="130">
        <v>124.5</v>
      </c>
      <c r="DL29" s="130">
        <v>136.5</v>
      </c>
      <c r="DM29" s="130">
        <v>136.5</v>
      </c>
      <c r="DN29" s="130">
        <v>184.9</v>
      </c>
      <c r="DO29" s="130">
        <v>170.4</v>
      </c>
      <c r="DP29" s="130">
        <v>170.4</v>
      </c>
      <c r="DQ29" s="130">
        <v>180.5</v>
      </c>
      <c r="DR29" s="130">
        <v>172.1</v>
      </c>
      <c r="DS29" s="130">
        <v>172.1</v>
      </c>
      <c r="DT29" s="130">
        <v>163.4</v>
      </c>
      <c r="DU29" s="130">
        <v>300.7</v>
      </c>
      <c r="DV29" s="130">
        <v>312.56</v>
      </c>
      <c r="DW29" s="130">
        <v>322.36</v>
      </c>
      <c r="DX29" s="130">
        <v>330.2</v>
      </c>
      <c r="DY29" s="130">
        <v>362.3</v>
      </c>
      <c r="DZ29" s="130">
        <v>332.42</v>
      </c>
      <c r="EA29" s="130">
        <v>437.2</v>
      </c>
      <c r="EB29" s="130">
        <v>444.33</v>
      </c>
      <c r="EC29" s="130">
        <v>405.07</v>
      </c>
      <c r="ED29" s="130">
        <v>384.5</v>
      </c>
      <c r="EE29" s="130">
        <v>396.28</v>
      </c>
      <c r="EF29" s="130">
        <v>257.52999999999997</v>
      </c>
      <c r="EG29" s="130">
        <v>266.44</v>
      </c>
      <c r="EH29" s="130">
        <v>277</v>
      </c>
      <c r="EI29" s="130">
        <v>243.29</v>
      </c>
      <c r="EJ29" s="130">
        <v>272.60000000000002</v>
      </c>
      <c r="EK29" s="130">
        <v>283.95999999999998</v>
      </c>
      <c r="EL29" s="130">
        <v>289.73</v>
      </c>
      <c r="EM29" s="130">
        <v>312.23</v>
      </c>
      <c r="EN29" s="130">
        <v>263.74</v>
      </c>
      <c r="EO29" s="130">
        <v>218.39</v>
      </c>
      <c r="EP29" s="130">
        <v>233.5</v>
      </c>
      <c r="EQ29" s="130">
        <v>238.7</v>
      </c>
      <c r="ER29" s="130">
        <v>238.7</v>
      </c>
      <c r="ES29" s="130">
        <v>256.05</v>
      </c>
      <c r="ET29" s="130">
        <v>262.11</v>
      </c>
      <c r="EU29" s="130">
        <v>262.11</v>
      </c>
      <c r="EV29" s="130">
        <v>266.10000000000002</v>
      </c>
      <c r="EW29" s="130">
        <v>225.22</v>
      </c>
      <c r="EX29" s="130">
        <v>231.77</v>
      </c>
      <c r="EY29" s="130">
        <v>245.15</v>
      </c>
      <c r="EZ29" s="130">
        <v>263.3</v>
      </c>
      <c r="FA29" s="130">
        <v>282.3</v>
      </c>
      <c r="FB29" s="130">
        <v>292.48</v>
      </c>
      <c r="FC29" s="130">
        <v>273.07</v>
      </c>
      <c r="FD29" s="130">
        <v>275.08999999999997</v>
      </c>
      <c r="FE29" s="130">
        <v>294.01</v>
      </c>
      <c r="FF29" s="130">
        <v>303.88</v>
      </c>
      <c r="FG29" s="130">
        <v>320.68</v>
      </c>
      <c r="FH29" s="130">
        <v>333.18</v>
      </c>
      <c r="FI29" s="130">
        <v>264.23</v>
      </c>
      <c r="FJ29" s="130">
        <v>270.79000000000002</v>
      </c>
      <c r="FK29" s="130">
        <v>270.79000000000002</v>
      </c>
      <c r="FL29" s="130">
        <v>276.89999999999998</v>
      </c>
      <c r="FM29" s="130">
        <v>301.12</v>
      </c>
      <c r="FN29" s="130">
        <v>296.10000000000002</v>
      </c>
      <c r="FO29" s="130">
        <v>305.56</v>
      </c>
      <c r="FP29" s="130">
        <v>310.7</v>
      </c>
      <c r="FQ29" s="130">
        <v>334.66</v>
      </c>
      <c r="FR29" s="130">
        <v>288.47000000000003</v>
      </c>
      <c r="FS29" s="130">
        <v>290.3</v>
      </c>
      <c r="FT29" s="130">
        <v>292.26</v>
      </c>
      <c r="FU29" s="130">
        <v>301</v>
      </c>
      <c r="FV29" s="130">
        <v>258.76</v>
      </c>
      <c r="FW29" s="130">
        <v>269.56</v>
      </c>
      <c r="FX29" s="130">
        <v>286.66000000000003</v>
      </c>
      <c r="FY29" s="130">
        <v>298.75</v>
      </c>
      <c r="FZ29" s="130">
        <v>307.49</v>
      </c>
      <c r="GA29" s="130">
        <v>271.19</v>
      </c>
      <c r="GB29" s="130">
        <v>289.83999999999997</v>
      </c>
      <c r="GC29" s="130">
        <v>303.41000000000003</v>
      </c>
      <c r="GD29" s="130">
        <v>308.04000000000002</v>
      </c>
      <c r="GE29" s="130">
        <v>343.28</v>
      </c>
      <c r="GF29" s="130">
        <v>211.13</v>
      </c>
      <c r="GG29" s="130">
        <v>253.62</v>
      </c>
      <c r="GH29" s="130">
        <v>268.56</v>
      </c>
      <c r="GI29" s="130">
        <v>301.8</v>
      </c>
      <c r="GJ29" s="130">
        <v>313</v>
      </c>
      <c r="GK29" s="130">
        <v>280.10000000000002</v>
      </c>
      <c r="GL29" s="130">
        <v>284.5</v>
      </c>
      <c r="GM29" s="130">
        <v>295.5</v>
      </c>
      <c r="GN29" s="130">
        <v>298.7</v>
      </c>
      <c r="GO29" s="130">
        <v>227.7</v>
      </c>
      <c r="GP29" s="130">
        <v>230</v>
      </c>
      <c r="GQ29" s="130">
        <v>234.5</v>
      </c>
      <c r="GR29" s="130">
        <v>213.9</v>
      </c>
      <c r="GS29" s="130">
        <v>228.79999999999998</v>
      </c>
      <c r="GT29" s="130">
        <v>236</v>
      </c>
      <c r="GU29" s="130">
        <v>246.4</v>
      </c>
      <c r="GV29" s="130">
        <v>227.3</v>
      </c>
      <c r="GW29" s="130">
        <v>238</v>
      </c>
      <c r="GX29" s="130">
        <v>261.2</v>
      </c>
      <c r="GY29" s="130">
        <v>246.5</v>
      </c>
      <c r="GZ29" s="130">
        <v>269</v>
      </c>
      <c r="HA29" s="130">
        <v>429</v>
      </c>
      <c r="HB29" s="130">
        <v>410.7</v>
      </c>
      <c r="HC29" s="130">
        <v>350</v>
      </c>
      <c r="HD29" s="130">
        <v>387.6</v>
      </c>
      <c r="HE29" s="130">
        <v>354.5</v>
      </c>
      <c r="HF29" s="130">
        <v>390.2</v>
      </c>
      <c r="HG29" s="130">
        <v>354.1</v>
      </c>
      <c r="HH29" s="130">
        <v>366.90000000000003</v>
      </c>
      <c r="HI29" s="130">
        <v>368.7</v>
      </c>
      <c r="HJ29" s="130">
        <v>276.60000000000002</v>
      </c>
      <c r="HK29" s="130">
        <v>285</v>
      </c>
      <c r="HL29" s="130">
        <v>307</v>
      </c>
      <c r="HM29" s="130">
        <v>274</v>
      </c>
      <c r="HN29" s="130">
        <v>320.5</v>
      </c>
      <c r="HO29" s="130">
        <v>322.2</v>
      </c>
      <c r="HP29" s="130">
        <v>307</v>
      </c>
      <c r="HQ29" s="130">
        <v>320.89999999999998</v>
      </c>
      <c r="HR29" s="130">
        <v>322.89999999999998</v>
      </c>
      <c r="HS29" s="130">
        <v>314.5</v>
      </c>
      <c r="HT29" s="130">
        <v>330.3</v>
      </c>
      <c r="HU29" s="130">
        <v>330.3</v>
      </c>
      <c r="HV29" s="130">
        <v>306.5</v>
      </c>
      <c r="HW29" s="130">
        <v>306.5</v>
      </c>
      <c r="HX29" s="130">
        <v>631</v>
      </c>
      <c r="HY29" s="130">
        <v>631</v>
      </c>
      <c r="HZ29" s="130">
        <v>558.79999999999995</v>
      </c>
      <c r="IA29" s="130">
        <v>546.1</v>
      </c>
      <c r="IB29" s="130">
        <v>555.4</v>
      </c>
      <c r="IC29" s="130">
        <v>555.4</v>
      </c>
      <c r="ID29" s="130">
        <v>555.4</v>
      </c>
      <c r="IE29" s="130">
        <v>536.20000000000005</v>
      </c>
      <c r="IF29" s="130">
        <v>536.20000000000005</v>
      </c>
      <c r="IG29" s="130">
        <v>595.20000000000005</v>
      </c>
      <c r="IH29" s="130">
        <v>549.6</v>
      </c>
      <c r="II29" s="130">
        <v>549.6</v>
      </c>
      <c r="IJ29" s="130">
        <v>549.6</v>
      </c>
      <c r="IK29" s="130">
        <v>400.1</v>
      </c>
      <c r="IL29" s="130">
        <v>400.1</v>
      </c>
      <c r="IM29" s="130">
        <v>400.1</v>
      </c>
      <c r="IN29" s="130">
        <v>400.1</v>
      </c>
      <c r="IO29" s="130">
        <v>400.1</v>
      </c>
      <c r="IP29" s="130">
        <v>321.10000000000002</v>
      </c>
      <c r="IQ29" s="130">
        <v>342.3</v>
      </c>
      <c r="IR29" s="130">
        <v>342.3</v>
      </c>
      <c r="IS29" s="130">
        <v>341.7</v>
      </c>
      <c r="IT29" s="130">
        <v>376.59999999999997</v>
      </c>
      <c r="IU29" s="130">
        <v>371.8</v>
      </c>
      <c r="IV29" s="130">
        <v>371.8</v>
      </c>
      <c r="IW29" s="130">
        <v>402.70000000000005</v>
      </c>
      <c r="IX29" s="130">
        <v>416.00000000000006</v>
      </c>
      <c r="IY29" s="130">
        <v>417.3</v>
      </c>
      <c r="IZ29" s="130">
        <v>379.1</v>
      </c>
      <c r="JA29" s="130">
        <v>412.1</v>
      </c>
      <c r="JB29" s="130">
        <v>412.1</v>
      </c>
      <c r="JC29" s="130">
        <v>418</v>
      </c>
      <c r="JD29" s="130">
        <v>430.1</v>
      </c>
      <c r="JE29" s="130">
        <v>430.1</v>
      </c>
      <c r="JF29" s="130">
        <v>430.1</v>
      </c>
      <c r="JG29" s="130">
        <v>424.5</v>
      </c>
      <c r="JH29" s="130">
        <v>424.5</v>
      </c>
      <c r="JI29" s="130">
        <v>424.5</v>
      </c>
      <c r="JJ29" s="130">
        <v>365.5</v>
      </c>
      <c r="JK29" s="130">
        <v>359.1</v>
      </c>
      <c r="JL29" s="130">
        <v>359.1</v>
      </c>
      <c r="JM29" s="130">
        <v>396.3</v>
      </c>
      <c r="JN29" s="130">
        <v>396.3</v>
      </c>
      <c r="JO29" s="130">
        <v>396.3</v>
      </c>
      <c r="JP29" s="130">
        <v>366.40000000000003</v>
      </c>
      <c r="JQ29" s="130">
        <v>366.40000000000003</v>
      </c>
      <c r="JR29" s="130">
        <v>366.40000000000003</v>
      </c>
      <c r="JS29" s="130">
        <v>366.40000000000003</v>
      </c>
      <c r="JT29" s="130">
        <v>385.6</v>
      </c>
      <c r="JU29" s="130">
        <v>402.65000000000003</v>
      </c>
      <c r="JV29" s="130">
        <v>402.65000000000003</v>
      </c>
      <c r="JW29" s="130">
        <v>419.20000000000005</v>
      </c>
      <c r="JX29" s="130">
        <v>419.20000000000005</v>
      </c>
      <c r="JY29" s="130">
        <v>526</v>
      </c>
      <c r="JZ29" s="130">
        <v>526</v>
      </c>
      <c r="KA29" s="130">
        <v>541.5</v>
      </c>
      <c r="KB29" s="130">
        <v>546.60000000000014</v>
      </c>
      <c r="KC29" s="130">
        <v>531.79999999999995</v>
      </c>
      <c r="KD29" s="130">
        <v>555.1</v>
      </c>
      <c r="KE29" s="130">
        <v>555.1</v>
      </c>
      <c r="KF29" s="130">
        <v>359.1</v>
      </c>
      <c r="KG29" s="130">
        <v>396.5</v>
      </c>
      <c r="KH29" s="130">
        <v>396.5</v>
      </c>
      <c r="KI29" s="130">
        <v>240</v>
      </c>
      <c r="KJ29" s="130">
        <v>240</v>
      </c>
      <c r="KK29" s="130">
        <v>264.64</v>
      </c>
      <c r="KL29" s="130">
        <v>282.60000000000002</v>
      </c>
      <c r="KM29" s="130">
        <v>282.60000000000002</v>
      </c>
      <c r="KN29" s="130">
        <v>321.73699999999997</v>
      </c>
      <c r="KO29" s="130">
        <v>339.745</v>
      </c>
      <c r="KP29" s="130">
        <v>356.76299999999998</v>
      </c>
      <c r="KQ29" s="130">
        <v>368.06299999999999</v>
      </c>
      <c r="KR29" s="130">
        <v>368.06299999999999</v>
      </c>
      <c r="KS29" s="130">
        <v>386.97110000000004</v>
      </c>
      <c r="KT29" s="130">
        <v>386.97110000000004</v>
      </c>
      <c r="KU29" s="130">
        <v>412.202</v>
      </c>
      <c r="KV29" s="130">
        <v>420.05900000000003</v>
      </c>
      <c r="KW29" s="130">
        <v>444.32178347000001</v>
      </c>
      <c r="KX29" s="130">
        <v>450.99349999999998</v>
      </c>
      <c r="KY29" s="130">
        <v>450.99349999999998</v>
      </c>
      <c r="KZ29" s="130">
        <v>492.42626822</v>
      </c>
      <c r="LA29" s="130">
        <v>492.42626822</v>
      </c>
      <c r="LB29" s="130">
        <v>456.56476287999999</v>
      </c>
      <c r="LC29" s="130">
        <v>456.56476287999999</v>
      </c>
      <c r="LD29" s="130">
        <v>456.56476287999999</v>
      </c>
      <c r="LE29" s="130">
        <v>470.1</v>
      </c>
      <c r="LF29" s="130">
        <v>454.5</v>
      </c>
      <c r="LG29" s="130">
        <v>454.5</v>
      </c>
      <c r="LH29" s="130">
        <v>454.5</v>
      </c>
      <c r="LI29" s="130">
        <v>448.5</v>
      </c>
      <c r="LJ29" s="130">
        <v>448.5</v>
      </c>
      <c r="LK29" s="130">
        <v>448.5</v>
      </c>
      <c r="LL29" s="130">
        <v>502</v>
      </c>
      <c r="LM29" s="130">
        <v>502</v>
      </c>
      <c r="LN29" s="130">
        <v>454.8</v>
      </c>
      <c r="LO29" s="130">
        <v>454.8</v>
      </c>
      <c r="LP29" s="130">
        <v>454.8</v>
      </c>
      <c r="LQ29" s="130">
        <v>425.43826623999996</v>
      </c>
      <c r="LR29" s="130">
        <v>397.49185981000005</v>
      </c>
      <c r="LS29" s="130">
        <v>397.49185981000005</v>
      </c>
      <c r="LT29" s="130">
        <v>188.18561145999999</v>
      </c>
      <c r="LU29" s="130">
        <v>188.18561145999999</v>
      </c>
      <c r="LV29" s="130">
        <v>190.23174778000001</v>
      </c>
      <c r="LW29" s="130">
        <v>190.23174778000001</v>
      </c>
      <c r="LX29" s="130">
        <v>151.43487497999999</v>
      </c>
      <c r="LY29" s="130">
        <v>151.43487497999999</v>
      </c>
      <c r="LZ29" s="130">
        <v>170.66305223000001</v>
      </c>
      <c r="MA29" s="130">
        <v>170.66305223000001</v>
      </c>
      <c r="MB29" s="130">
        <v>170.66305223000001</v>
      </c>
      <c r="MC29" s="130">
        <v>170.66305223000001</v>
      </c>
      <c r="MD29" s="130">
        <v>162.13400637999999</v>
      </c>
      <c r="ME29" s="130">
        <v>149.00526249000001</v>
      </c>
      <c r="MF29" s="130">
        <v>149.00526249000001</v>
      </c>
      <c r="MG29" s="130">
        <v>149.00526249000001</v>
      </c>
      <c r="MH29" s="130">
        <v>158.18790866000001</v>
      </c>
      <c r="MI29" s="130">
        <v>158.18790866000001</v>
      </c>
      <c r="MJ29" s="130">
        <v>182.39252210000001</v>
      </c>
      <c r="MK29" s="130">
        <v>205.59328873999999</v>
      </c>
      <c r="ML29" s="130">
        <v>205.59328873999999</v>
      </c>
      <c r="MM29" s="130">
        <v>205.59328873999999</v>
      </c>
      <c r="MN29" s="130">
        <v>205.59328873999999</v>
      </c>
      <c r="MO29" s="130">
        <v>205.59328873999999</v>
      </c>
      <c r="MP29" s="130">
        <v>205.59328873999999</v>
      </c>
      <c r="MQ29" s="130">
        <v>186</v>
      </c>
      <c r="MR29" s="130">
        <v>186</v>
      </c>
      <c r="MS29" s="130">
        <v>126.84509583000001</v>
      </c>
      <c r="MT29" s="130">
        <v>132.37355160000001</v>
      </c>
      <c r="MU29" s="130">
        <v>132.37355160000001</v>
      </c>
      <c r="MV29" s="130">
        <v>132.37355160000001</v>
      </c>
      <c r="MW29" s="130">
        <v>144.47041085000001</v>
      </c>
      <c r="MX29" s="130">
        <v>147.26238943999999</v>
      </c>
      <c r="MY29" s="130">
        <v>147.26238943999999</v>
      </c>
      <c r="MZ29" s="130">
        <v>147.26238943999999</v>
      </c>
      <c r="NA29" s="130">
        <v>147.26238943999999</v>
      </c>
      <c r="NB29" s="130">
        <v>147.26238943999999</v>
      </c>
      <c r="NC29" s="130">
        <v>147.26238943999999</v>
      </c>
      <c r="ND29" s="130">
        <v>147.26238943999999</v>
      </c>
      <c r="NE29" s="130">
        <v>147.26238943999999</v>
      </c>
      <c r="NF29" s="130">
        <v>45.769963439999998</v>
      </c>
      <c r="NG29" s="130">
        <v>62.669382490000004</v>
      </c>
      <c r="NH29" s="130">
        <v>70.736670669000006</v>
      </c>
      <c r="NI29" s="130">
        <v>86.995760680000004</v>
      </c>
      <c r="NJ29" s="130">
        <v>86.995760680000004</v>
      </c>
      <c r="NK29" s="130">
        <v>123.13312534000001</v>
      </c>
      <c r="NL29" s="130">
        <v>123.13312534000001</v>
      </c>
      <c r="NM29" s="130">
        <v>135.91076337000001</v>
      </c>
      <c r="NN29" s="130">
        <v>135.91076337000001</v>
      </c>
      <c r="NO29" s="130">
        <v>135.91076337000001</v>
      </c>
      <c r="NP29" s="130">
        <v>105.71531557</v>
      </c>
      <c r="NQ29" s="130">
        <v>105.71531557</v>
      </c>
      <c r="NR29" s="130">
        <v>119.59416557999999</v>
      </c>
      <c r="NS29" s="130">
        <v>119.59416557999999</v>
      </c>
      <c r="NT29" s="130">
        <v>119.59416557999999</v>
      </c>
      <c r="NU29" s="130">
        <v>136.87512806000001</v>
      </c>
      <c r="NV29" s="130">
        <v>147.50134556999998</v>
      </c>
      <c r="NW29" s="130">
        <v>147.50134556999998</v>
      </c>
      <c r="NX29" s="130">
        <v>147.50134556999998</v>
      </c>
      <c r="NY29" s="130">
        <v>181.50403205000001</v>
      </c>
      <c r="NZ29" s="130">
        <v>235.71346534</v>
      </c>
      <c r="OA29" s="130">
        <v>235.71346534</v>
      </c>
      <c r="OB29" s="130">
        <v>235.71346534</v>
      </c>
      <c r="OC29" s="130">
        <v>272.23809980999999</v>
      </c>
      <c r="OD29" s="130">
        <v>272.23809980999999</v>
      </c>
      <c r="OE29" s="130">
        <v>272.23809980999999</v>
      </c>
      <c r="OF29" s="130">
        <v>272.23809980999999</v>
      </c>
      <c r="OG29" s="130">
        <v>306.3</v>
      </c>
      <c r="OH29" s="130">
        <v>306.3</v>
      </c>
      <c r="OI29" s="130">
        <v>323.2</v>
      </c>
      <c r="OJ29" s="130">
        <v>323.2</v>
      </c>
      <c r="OK29" s="130">
        <v>323.2</v>
      </c>
      <c r="OL29" s="130">
        <v>323.2</v>
      </c>
      <c r="OM29" s="130">
        <v>323.2</v>
      </c>
      <c r="ON29" s="130">
        <v>323.2</v>
      </c>
      <c r="OO29" s="130">
        <v>306.16221392</v>
      </c>
      <c r="OP29" s="130">
        <v>320.10000000000002</v>
      </c>
      <c r="OQ29" s="130">
        <v>320.10000000000002</v>
      </c>
      <c r="OR29" s="130">
        <v>320.10000000000002</v>
      </c>
      <c r="OS29" s="130">
        <v>281.73220300000003</v>
      </c>
      <c r="OT29" s="130">
        <v>304.00875510999998</v>
      </c>
      <c r="OU29" s="130">
        <v>304.00875510999998</v>
      </c>
      <c r="OV29" s="130">
        <v>304.00875510999998</v>
      </c>
      <c r="OW29" s="130">
        <v>362.9</v>
      </c>
      <c r="OX29" s="130">
        <v>362.9</v>
      </c>
      <c r="OY29" s="130">
        <v>381.34091963999998</v>
      </c>
      <c r="OZ29" s="130">
        <v>381.34091963999998</v>
      </c>
      <c r="PA29" s="130">
        <v>381.34091963999998</v>
      </c>
      <c r="PB29" s="130">
        <v>264.91483040000003</v>
      </c>
      <c r="PC29" s="130">
        <v>264.91483040000003</v>
      </c>
      <c r="PD29" s="130">
        <v>264.91483040000003</v>
      </c>
      <c r="PE29" s="130">
        <v>277.70836993</v>
      </c>
      <c r="PF29" s="130">
        <v>277.70836993</v>
      </c>
      <c r="PG29" s="130">
        <v>277.70836993</v>
      </c>
      <c r="PH29" s="130">
        <v>277.70836993</v>
      </c>
      <c r="PI29" s="130">
        <v>278.62653535999999</v>
      </c>
      <c r="PJ29" s="130">
        <v>291.02631084000001</v>
      </c>
      <c r="PK29" s="130">
        <v>291.02631084000001</v>
      </c>
      <c r="PL29" s="130">
        <v>291.02631084000001</v>
      </c>
      <c r="PM29" s="130">
        <v>291.02631084000001</v>
      </c>
      <c r="PN29" s="130">
        <v>274.5</v>
      </c>
      <c r="PO29" s="130">
        <v>274.5</v>
      </c>
      <c r="PP29" s="130">
        <v>274.5</v>
      </c>
      <c r="PQ29" s="130">
        <v>287.29462961999997</v>
      </c>
      <c r="PR29" s="130">
        <v>287.29462961999997</v>
      </c>
      <c r="PS29" s="130">
        <v>354.75835912999997</v>
      </c>
      <c r="PT29" s="130">
        <v>354.75835912999997</v>
      </c>
      <c r="PU29" s="130">
        <v>367.08797082000001</v>
      </c>
      <c r="PV29" s="130">
        <v>367.08797082000001</v>
      </c>
      <c r="PW29" s="130">
        <v>367.08797082000001</v>
      </c>
      <c r="PX29" s="130">
        <v>321.49353127000001</v>
      </c>
      <c r="PY29" s="130">
        <v>324.01378118000002</v>
      </c>
      <c r="PZ29" s="130">
        <v>324.01378118000002</v>
      </c>
      <c r="QA29" s="130">
        <v>324.01378118000002</v>
      </c>
      <c r="QB29" s="130">
        <v>378.39532921999995</v>
      </c>
      <c r="QC29" s="130">
        <v>388.09642067999999</v>
      </c>
      <c r="QD29" s="130">
        <v>388.09642067999999</v>
      </c>
      <c r="QE29" s="130">
        <v>340.89102774999998</v>
      </c>
      <c r="QF29" s="130">
        <v>340.89102774999998</v>
      </c>
      <c r="QG29" s="130">
        <v>340.89102774999998</v>
      </c>
      <c r="QH29" s="130">
        <v>340.89102774999998</v>
      </c>
      <c r="QI29" s="130">
        <v>373.48325163999999</v>
      </c>
      <c r="QJ29" s="130">
        <v>373.48325163999999</v>
      </c>
      <c r="QK29" s="130">
        <v>351.31491584999998</v>
      </c>
      <c r="QL29" s="130">
        <v>351.31491584999998</v>
      </c>
      <c r="QM29" s="130">
        <v>351.31491584999998</v>
      </c>
      <c r="QN29" s="130">
        <v>379.06758251000002</v>
      </c>
      <c r="QO29" s="130">
        <v>325.88100259000004</v>
      </c>
      <c r="QP29" s="130">
        <v>325.88100259000004</v>
      </c>
      <c r="QQ29" s="130">
        <v>351.55429706000001</v>
      </c>
      <c r="QR29" s="130">
        <v>351.55429706000001</v>
      </c>
      <c r="QS29" s="130">
        <v>310.82160325000001</v>
      </c>
      <c r="QT29" s="130">
        <v>290.81497041999995</v>
      </c>
      <c r="QU29" s="130">
        <v>290.81497041999995</v>
      </c>
      <c r="QV29" s="130">
        <v>317.00225337000001</v>
      </c>
      <c r="QW29" s="130">
        <v>290.81497041999995</v>
      </c>
      <c r="QX29" s="130">
        <v>290.81497041999995</v>
      </c>
      <c r="QY29" s="130">
        <v>307.54972008999999</v>
      </c>
      <c r="QZ29" s="130">
        <v>307.54972008999999</v>
      </c>
      <c r="RA29" s="130">
        <v>305.88087111999999</v>
      </c>
      <c r="RB29" s="130">
        <v>305.88087111999999</v>
      </c>
      <c r="RC29" s="130">
        <v>305.88087111999999</v>
      </c>
      <c r="RD29" s="130">
        <v>305.88087111999999</v>
      </c>
      <c r="RE29" s="130">
        <v>378.43243309999997</v>
      </c>
      <c r="RF29" s="130">
        <v>378.43243309999997</v>
      </c>
      <c r="RG29" s="130">
        <v>378.43243309999997</v>
      </c>
      <c r="RH29" s="130">
        <v>362.59732434</v>
      </c>
      <c r="RI29" s="130">
        <v>362.59732434</v>
      </c>
      <c r="RJ29" s="130">
        <v>362.59732434</v>
      </c>
      <c r="RK29" s="130">
        <v>369.22287116999996</v>
      </c>
      <c r="RL29" s="130">
        <v>369.22287116999996</v>
      </c>
      <c r="RM29" s="130">
        <v>342.41963339</v>
      </c>
      <c r="RN29" s="130">
        <v>342.41963339</v>
      </c>
      <c r="RO29" s="130">
        <v>342.41963339</v>
      </c>
      <c r="RP29" s="130">
        <v>342.41963339</v>
      </c>
      <c r="RQ29" s="130">
        <v>332.71387659999999</v>
      </c>
      <c r="RR29" s="130">
        <v>332.71387659999999</v>
      </c>
      <c r="RS29" s="130">
        <v>309.52478329000002</v>
      </c>
      <c r="RT29" s="130">
        <v>309.52478329000002</v>
      </c>
      <c r="RU29" s="130">
        <v>309.52478329000002</v>
      </c>
      <c r="RV29" s="130">
        <v>309.52478329000002</v>
      </c>
      <c r="RW29" s="130">
        <v>309.52478329000002</v>
      </c>
      <c r="RX29" s="130">
        <v>309.52478329000002</v>
      </c>
      <c r="RY29" s="130">
        <v>309.52478329000002</v>
      </c>
      <c r="RZ29" s="130">
        <v>309.52478329000002</v>
      </c>
      <c r="SA29" s="130">
        <v>309.52478329000002</v>
      </c>
      <c r="SB29" s="130">
        <v>309.52478329000002</v>
      </c>
      <c r="SC29" s="130">
        <v>309.52478329000002</v>
      </c>
      <c r="SD29" s="130">
        <v>309.52478329000002</v>
      </c>
      <c r="SE29" s="130">
        <v>463.62017474999999</v>
      </c>
      <c r="SF29" s="130">
        <v>463.62017474999999</v>
      </c>
      <c r="SG29" s="130">
        <v>489.52774117999996</v>
      </c>
      <c r="SH29" s="130">
        <v>489.52774117999996</v>
      </c>
      <c r="SI29" s="130">
        <v>486.56957951000004</v>
      </c>
      <c r="SJ29" s="130">
        <v>486.56957951000004</v>
      </c>
      <c r="SK29" s="130">
        <v>490.86236194000003</v>
      </c>
      <c r="SL29" s="130">
        <v>490.86236194000003</v>
      </c>
      <c r="SM29" s="130">
        <v>410.85564358000005</v>
      </c>
      <c r="SN29" s="130">
        <v>410.85564358000005</v>
      </c>
      <c r="SO29" s="130">
        <v>410.85564358000005</v>
      </c>
      <c r="SP29" s="130">
        <v>410.85564358000005</v>
      </c>
      <c r="SQ29" s="130">
        <v>410.85564358000005</v>
      </c>
      <c r="SR29" s="130">
        <v>410.85564358000005</v>
      </c>
      <c r="SS29" s="130">
        <v>526.35507867000001</v>
      </c>
      <c r="ST29" s="130">
        <v>526.35507867000001</v>
      </c>
      <c r="SU29" s="130">
        <v>567.93408247000002</v>
      </c>
      <c r="SV29" s="130">
        <v>567.93408247000002</v>
      </c>
      <c r="SW29" s="130">
        <v>567.93408247000002</v>
      </c>
      <c r="SX29" s="130">
        <v>363.35338553999998</v>
      </c>
      <c r="SY29" s="130">
        <v>363.35338553999998</v>
      </c>
      <c r="SZ29" s="130">
        <v>363.35338553999998</v>
      </c>
      <c r="TA29" s="130">
        <v>430.21240491999998</v>
      </c>
      <c r="TB29" s="130">
        <v>430.21240491999998</v>
      </c>
      <c r="TC29" s="130">
        <v>421.50942791000006</v>
      </c>
      <c r="TD29" s="130">
        <v>421.50942791000006</v>
      </c>
      <c r="TE29" s="130">
        <v>448.22542913000001</v>
      </c>
      <c r="TF29" s="130">
        <v>248.63886829999998</v>
      </c>
      <c r="TG29" s="130">
        <v>336.16424166000002</v>
      </c>
      <c r="TH29" s="130">
        <v>188.4758104</v>
      </c>
      <c r="TI29" s="130">
        <v>102.37752043</v>
      </c>
      <c r="TJ29" s="130">
        <v>110.79622585</v>
      </c>
      <c r="TK29" s="130">
        <v>123.78479626000001</v>
      </c>
      <c r="TL29" s="130">
        <v>79.277038320000003</v>
      </c>
      <c r="TM29" s="130">
        <v>75.103021080000005</v>
      </c>
      <c r="TN29" s="130">
        <v>102.46762413</v>
      </c>
      <c r="TO29" s="130">
        <v>211.51506431999999</v>
      </c>
      <c r="TP29" s="130">
        <v>262.00139753000002</v>
      </c>
      <c r="TQ29" s="130">
        <v>198.85122681999999</v>
      </c>
      <c r="TR29" s="130">
        <v>211.29999999999998</v>
      </c>
      <c r="TS29" s="130">
        <v>217.27600000000001</v>
      </c>
      <c r="TT29" s="130">
        <v>217.27600000000001</v>
      </c>
      <c r="TU29" s="130">
        <v>217.5</v>
      </c>
      <c r="TV29" s="130">
        <v>251</v>
      </c>
      <c r="TW29" s="130">
        <v>247.83270673999999</v>
      </c>
      <c r="TX29" s="130">
        <v>268.22578170999998</v>
      </c>
      <c r="TY29" s="130">
        <v>282.57253012000001</v>
      </c>
      <c r="TZ29" s="130">
        <v>320.30934434</v>
      </c>
      <c r="UA29" s="130">
        <v>323.80574954999997</v>
      </c>
      <c r="UB29" s="130">
        <v>344.82084950000001</v>
      </c>
      <c r="UC29" s="130">
        <v>354.42762024000001</v>
      </c>
      <c r="UD29" s="130">
        <v>392.80401886999999</v>
      </c>
      <c r="UE29" s="130">
        <v>391.63306363999999</v>
      </c>
      <c r="UF29" s="130">
        <v>415.43269398999996</v>
      </c>
      <c r="UG29" s="130">
        <v>432.19796012</v>
      </c>
      <c r="UH29" s="130">
        <v>442.20657241999999</v>
      </c>
      <c r="UI29" s="130">
        <v>451.16210854000002</v>
      </c>
      <c r="UJ29" s="130">
        <v>278</v>
      </c>
      <c r="UK29" s="130">
        <v>317.99893666000003</v>
      </c>
      <c r="UL29" s="130">
        <v>327.36447706999996</v>
      </c>
      <c r="UM29" s="130">
        <v>309.81433002</v>
      </c>
      <c r="UN29" s="130">
        <v>166.27585363</v>
      </c>
      <c r="UO29" s="130">
        <v>166.27585363</v>
      </c>
      <c r="UP29" s="130">
        <v>166.27585363</v>
      </c>
      <c r="UQ29" s="130">
        <v>128.44836233999999</v>
      </c>
      <c r="UR29" s="130">
        <v>73.972943220000005</v>
      </c>
      <c r="US29" s="130">
        <v>62.179574500000001</v>
      </c>
      <c r="UT29" s="130">
        <v>79.535775290000004</v>
      </c>
      <c r="UU29" s="130">
        <v>149.91096812000001</v>
      </c>
      <c r="UV29" s="130">
        <v>113.53604482</v>
      </c>
      <c r="UW29" s="130">
        <v>124.09886074000001</v>
      </c>
      <c r="UX29" s="130">
        <v>58.012667360000002</v>
      </c>
      <c r="UY29" s="130">
        <v>77.644174709999987</v>
      </c>
      <c r="UZ29" s="130">
        <v>113.87383334</v>
      </c>
      <c r="VA29" s="130">
        <v>154.45485123</v>
      </c>
      <c r="VB29" s="130">
        <v>191.00176255</v>
      </c>
      <c r="VC29" s="130">
        <v>157.08850163999998</v>
      </c>
      <c r="VD29" s="130">
        <v>154.5917259</v>
      </c>
      <c r="VE29" s="130">
        <v>154.5917259</v>
      </c>
      <c r="VF29" s="130">
        <v>166.90529921999999</v>
      </c>
      <c r="VG29" s="130">
        <v>196.06094754</v>
      </c>
      <c r="VH29" s="130">
        <v>173.56973887000001</v>
      </c>
      <c r="VI29" s="130">
        <v>217.44508221000001</v>
      </c>
      <c r="VJ29" s="130">
        <v>165.52519196999998</v>
      </c>
      <c r="VK29" s="130">
        <v>183.80558529999999</v>
      </c>
      <c r="VL29" s="130">
        <v>198</v>
      </c>
      <c r="VM29" s="130">
        <v>240.15522683</v>
      </c>
      <c r="VN29" s="130">
        <v>248.47984360999999</v>
      </c>
      <c r="VO29" s="130">
        <v>161.87173121000001</v>
      </c>
      <c r="VP29" s="130">
        <v>182.29111022000001</v>
      </c>
      <c r="VQ29" s="130">
        <v>182.52515658999999</v>
      </c>
      <c r="VR29" s="130">
        <v>159.28293853</v>
      </c>
      <c r="VS29" s="130">
        <v>199.40590316999999</v>
      </c>
      <c r="VT29" s="130">
        <v>206.27585707999998</v>
      </c>
      <c r="VU29" s="130">
        <v>221.50124194</v>
      </c>
      <c r="VV29" s="130">
        <v>185.66991990000002</v>
      </c>
      <c r="VW29" s="130">
        <v>210.59533995000001</v>
      </c>
      <c r="VX29" s="130">
        <v>129.90219062</v>
      </c>
      <c r="VY29" s="130">
        <v>79.785548800000001</v>
      </c>
      <c r="VZ29" s="130">
        <v>89.276296039999991</v>
      </c>
      <c r="WA29" s="130">
        <v>93.500844150000006</v>
      </c>
      <c r="WB29" s="130">
        <v>148.2081364</v>
      </c>
      <c r="WC29" s="130">
        <v>119.01485796</v>
      </c>
      <c r="WD29" s="130">
        <v>152.24416400000001</v>
      </c>
      <c r="WE29" s="130">
        <v>182.05093837999999</v>
      </c>
      <c r="WF29" s="130">
        <v>196.46012969</v>
      </c>
      <c r="WG29" s="130">
        <v>2.9335018599999989</v>
      </c>
      <c r="WH29" s="130">
        <v>1.3883224000000001</v>
      </c>
      <c r="WI29" s="130">
        <v>1.68550779</v>
      </c>
      <c r="WJ29" s="130">
        <v>7.8763825699999996</v>
      </c>
      <c r="WK29" s="130">
        <v>4.3492338200000003</v>
      </c>
      <c r="WL29" s="130">
        <v>4.4373339100000004</v>
      </c>
      <c r="WM29" s="130">
        <v>10.79388479</v>
      </c>
      <c r="WN29" s="130">
        <v>2.3736971499999999</v>
      </c>
      <c r="WO29" s="130">
        <v>6.8854446899999999</v>
      </c>
      <c r="WP29" s="130">
        <v>40.235821809999997</v>
      </c>
      <c r="WQ29" s="130">
        <v>1.0197250099999999</v>
      </c>
      <c r="WR29" s="130">
        <v>17.644832730000001</v>
      </c>
      <c r="WS29" s="130">
        <v>5.8171660100000002</v>
      </c>
      <c r="WT29" s="130">
        <v>1.6344181</v>
      </c>
      <c r="WU29" s="130">
        <v>1.0818042999999999</v>
      </c>
      <c r="WV29" s="130">
        <v>1.0818042999999999</v>
      </c>
      <c r="WW29" s="130">
        <v>15.632699669999999</v>
      </c>
      <c r="WX29" s="130">
        <v>4.1684764300000001</v>
      </c>
      <c r="WY29" s="130">
        <v>4.1684764300000001</v>
      </c>
      <c r="WZ29" s="130">
        <v>5.9958137499999999</v>
      </c>
      <c r="XA29" s="130">
        <v>7.3926654699999998</v>
      </c>
      <c r="XB29" s="130">
        <v>2.6168810800000002</v>
      </c>
      <c r="XC29" s="130">
        <v>2.6168810800000002</v>
      </c>
      <c r="XD29" s="130">
        <v>4.0999999999999996</v>
      </c>
      <c r="XE29" s="130">
        <v>7.9</v>
      </c>
      <c r="XF29" s="130">
        <v>19.600000000000001</v>
      </c>
      <c r="XG29" s="130">
        <v>5.9</v>
      </c>
      <c r="XH29" s="130">
        <v>23</v>
      </c>
      <c r="XI29" s="130">
        <v>1.82</v>
      </c>
      <c r="XJ29" s="130">
        <v>23.6</v>
      </c>
      <c r="XK29" s="130">
        <v>33</v>
      </c>
      <c r="XL29" s="130">
        <v>6.6409216600000009</v>
      </c>
      <c r="XM29" s="130">
        <v>2.5895608399999999</v>
      </c>
      <c r="XN29" s="130">
        <v>15.61566509</v>
      </c>
      <c r="XO29" s="130">
        <v>15.61566509</v>
      </c>
      <c r="XP29" s="130">
        <v>8.3379387000000005</v>
      </c>
      <c r="XQ29" s="130">
        <v>4.5903755569999998</v>
      </c>
      <c r="XR29" s="130">
        <v>8.0462106600000016</v>
      </c>
      <c r="XS29" s="130">
        <v>17.225223339999999</v>
      </c>
      <c r="XT29" s="130">
        <v>17.225223339999999</v>
      </c>
      <c r="XU29" s="130">
        <v>10.81776007</v>
      </c>
      <c r="XV29" s="130">
        <v>13.2</v>
      </c>
      <c r="XW29" s="130">
        <v>13.2</v>
      </c>
      <c r="XX29" s="130">
        <v>13.2</v>
      </c>
      <c r="XY29" s="130">
        <v>13.2</v>
      </c>
      <c r="XZ29" s="130">
        <v>7.4</v>
      </c>
      <c r="YA29" s="130">
        <v>11</v>
      </c>
      <c r="YB29" s="130">
        <v>9.676062739999999</v>
      </c>
      <c r="YC29" s="130">
        <v>9.676062739999999</v>
      </c>
      <c r="YD29" s="130">
        <v>2.67597643</v>
      </c>
      <c r="YE29" s="130">
        <v>1.7340569800000001</v>
      </c>
      <c r="YF29" s="130">
        <v>2.3259450800000003</v>
      </c>
      <c r="YG29" s="130">
        <v>2.3259450800000003</v>
      </c>
      <c r="YH29" s="130">
        <v>4.1503635499999998</v>
      </c>
    </row>
    <row r="30" spans="2:658">
      <c r="B30" s="917" t="s">
        <v>36</v>
      </c>
      <c r="C30" s="918">
        <v>175.1</v>
      </c>
      <c r="D30" s="130">
        <v>163.9</v>
      </c>
      <c r="E30" s="130">
        <v>151.9</v>
      </c>
      <c r="F30" s="130">
        <v>27.5</v>
      </c>
      <c r="G30" s="130">
        <v>36.9</v>
      </c>
      <c r="H30" s="130">
        <v>35.5</v>
      </c>
      <c r="I30" s="130">
        <v>8.6</v>
      </c>
      <c r="J30" s="130">
        <v>46.7</v>
      </c>
      <c r="K30" s="130">
        <v>17.399999999999999</v>
      </c>
      <c r="L30" s="130">
        <v>23.9</v>
      </c>
      <c r="M30" s="130">
        <v>38.9</v>
      </c>
      <c r="N30" s="130">
        <v>41.2</v>
      </c>
      <c r="O30" s="130">
        <v>55.5</v>
      </c>
      <c r="P30" s="130">
        <v>71.599999999999994</v>
      </c>
      <c r="Q30" s="130">
        <v>73.2</v>
      </c>
      <c r="R30" s="130">
        <v>72</v>
      </c>
      <c r="S30" s="130">
        <v>76.3</v>
      </c>
      <c r="T30" s="130">
        <v>88.5</v>
      </c>
      <c r="U30" s="130">
        <v>90.6</v>
      </c>
      <c r="V30" s="130">
        <v>94.4</v>
      </c>
      <c r="W30" s="130">
        <v>62.8</v>
      </c>
      <c r="X30" s="130">
        <v>52.4</v>
      </c>
      <c r="Y30" s="130">
        <v>66.2</v>
      </c>
      <c r="Z30" s="130">
        <v>73.2</v>
      </c>
      <c r="AA30" s="130">
        <v>80.599999999999994</v>
      </c>
      <c r="AB30" s="130">
        <v>88.9</v>
      </c>
      <c r="AC30" s="130">
        <v>59.5</v>
      </c>
      <c r="AD30" s="130">
        <v>49</v>
      </c>
      <c r="AE30" s="130">
        <v>25.7</v>
      </c>
      <c r="AF30" s="130">
        <v>34.200000000000003</v>
      </c>
      <c r="AG30" s="130">
        <v>34.1</v>
      </c>
      <c r="AH30" s="130">
        <v>36.6</v>
      </c>
      <c r="AI30" s="130">
        <v>43.3</v>
      </c>
      <c r="AJ30" s="130">
        <v>35.700000000000003</v>
      </c>
      <c r="AK30" s="130">
        <v>54.9</v>
      </c>
      <c r="AL30" s="130">
        <v>33.4</v>
      </c>
      <c r="AM30" s="130">
        <v>24.6</v>
      </c>
      <c r="AN30" s="130">
        <v>16.600000000000001</v>
      </c>
      <c r="AO30" s="130">
        <v>15.5</v>
      </c>
      <c r="AP30" s="130">
        <v>21.9</v>
      </c>
      <c r="AQ30" s="130">
        <v>29</v>
      </c>
      <c r="AR30" s="130">
        <v>30.7</v>
      </c>
      <c r="AS30" s="130">
        <v>41.4</v>
      </c>
      <c r="AT30" s="130">
        <v>37.799999999999997</v>
      </c>
      <c r="AU30" s="130">
        <v>45.1</v>
      </c>
      <c r="AV30" s="130">
        <v>49.66</v>
      </c>
      <c r="AW30" s="130">
        <v>56.5</v>
      </c>
      <c r="AX30" s="130">
        <v>61.78</v>
      </c>
      <c r="AY30" s="130">
        <v>61.6</v>
      </c>
      <c r="AZ30" s="130">
        <v>31.5</v>
      </c>
      <c r="BA30" s="130">
        <v>58.6</v>
      </c>
      <c r="BB30" s="130">
        <v>58.6</v>
      </c>
      <c r="BC30" s="130">
        <v>81.599999999999994</v>
      </c>
      <c r="BD30" s="130">
        <v>74</v>
      </c>
      <c r="BE30" s="130">
        <v>29.4</v>
      </c>
      <c r="BF30" s="130">
        <v>40.4</v>
      </c>
      <c r="BG30" s="130">
        <v>29.7</v>
      </c>
      <c r="BH30" s="130">
        <v>28.2</v>
      </c>
      <c r="BI30" s="130">
        <v>29.7</v>
      </c>
      <c r="BJ30" s="130">
        <v>25</v>
      </c>
      <c r="BK30" s="130">
        <v>31.7</v>
      </c>
      <c r="BL30" s="130">
        <v>26.5</v>
      </c>
      <c r="BM30" s="130">
        <v>28.7</v>
      </c>
      <c r="BN30" s="130">
        <v>33.299999999999997</v>
      </c>
      <c r="BO30" s="130">
        <v>40.700000000000003</v>
      </c>
      <c r="BP30" s="130">
        <v>38.1</v>
      </c>
      <c r="BQ30" s="130">
        <v>35.200000000000003</v>
      </c>
      <c r="BR30" s="130">
        <v>37.200000000000003</v>
      </c>
      <c r="BS30" s="130">
        <v>11.3</v>
      </c>
      <c r="BT30" s="130">
        <v>20.6</v>
      </c>
      <c r="BU30" s="130">
        <v>27.2</v>
      </c>
      <c r="BV30" s="130">
        <v>45.4</v>
      </c>
      <c r="BW30" s="130">
        <v>44.8</v>
      </c>
      <c r="BX30" s="130">
        <v>59.5</v>
      </c>
      <c r="BY30" s="130">
        <v>70.3</v>
      </c>
      <c r="BZ30" s="130">
        <v>26.8</v>
      </c>
      <c r="CA30" s="130">
        <v>20.7</v>
      </c>
      <c r="CB30" s="130">
        <v>23.5</v>
      </c>
      <c r="CC30" s="130">
        <v>11.2</v>
      </c>
      <c r="CD30" s="130">
        <v>38.1</v>
      </c>
      <c r="CE30" s="130">
        <v>32.299999999999997</v>
      </c>
      <c r="CF30" s="130">
        <v>32.299999999999997</v>
      </c>
      <c r="CG30" s="130">
        <v>53.9</v>
      </c>
      <c r="CH30" s="130">
        <v>50.2</v>
      </c>
      <c r="CI30" s="130">
        <v>52.2</v>
      </c>
      <c r="CJ30" s="130">
        <v>60.7</v>
      </c>
      <c r="CK30" s="130">
        <v>55.2</v>
      </c>
      <c r="CL30" s="130">
        <v>42.6</v>
      </c>
      <c r="CM30" s="130">
        <v>57.7</v>
      </c>
      <c r="CN30" s="130">
        <v>57.2</v>
      </c>
      <c r="CO30" s="130">
        <v>15.1</v>
      </c>
      <c r="CP30" s="130">
        <v>43.2</v>
      </c>
      <c r="CQ30" s="130">
        <v>26.8</v>
      </c>
      <c r="CR30" s="130">
        <v>26.7</v>
      </c>
      <c r="CS30" s="130">
        <v>49.2</v>
      </c>
      <c r="CT30" s="130">
        <v>94.6</v>
      </c>
      <c r="CU30" s="130">
        <v>40.200000000000003</v>
      </c>
      <c r="CV30" s="130">
        <v>51.8</v>
      </c>
      <c r="CW30" s="130">
        <v>85.75</v>
      </c>
      <c r="CX30" s="130">
        <v>85.75</v>
      </c>
      <c r="CY30" s="130">
        <v>79.5</v>
      </c>
      <c r="CZ30" s="130">
        <v>79.5</v>
      </c>
      <c r="DA30" s="130">
        <v>0.6</v>
      </c>
      <c r="DB30" s="130">
        <v>84.9</v>
      </c>
      <c r="DC30" s="130">
        <v>100</v>
      </c>
      <c r="DD30" s="130">
        <v>100.7</v>
      </c>
      <c r="DE30" s="130">
        <v>90.3</v>
      </c>
      <c r="DF30" s="130">
        <v>97</v>
      </c>
      <c r="DG30" s="130">
        <v>112.55</v>
      </c>
      <c r="DH30" s="130">
        <v>114</v>
      </c>
      <c r="DI30" s="130">
        <v>122.5</v>
      </c>
      <c r="DJ30" s="130">
        <v>135.69999999999999</v>
      </c>
      <c r="DK30" s="130">
        <v>78.8</v>
      </c>
      <c r="DL30" s="130">
        <v>68</v>
      </c>
      <c r="DM30" s="130">
        <v>68</v>
      </c>
      <c r="DN30" s="130">
        <v>78.7</v>
      </c>
      <c r="DO30" s="130">
        <v>46.9</v>
      </c>
      <c r="DP30" s="130">
        <v>46.9</v>
      </c>
      <c r="DQ30" s="130">
        <v>58.2</v>
      </c>
      <c r="DR30" s="130">
        <v>74.56</v>
      </c>
      <c r="DS30" s="130">
        <v>74.56</v>
      </c>
      <c r="DT30" s="130">
        <v>55.52</v>
      </c>
      <c r="DU30" s="130">
        <v>54.4</v>
      </c>
      <c r="DV30" s="130">
        <v>48.64</v>
      </c>
      <c r="DW30" s="130">
        <v>59.4</v>
      </c>
      <c r="DX30" s="130">
        <v>51.98</v>
      </c>
      <c r="DY30" s="130">
        <v>56.28</v>
      </c>
      <c r="DZ30" s="130">
        <v>65.28</v>
      </c>
      <c r="EA30" s="130">
        <v>83.04</v>
      </c>
      <c r="EB30" s="130">
        <v>93.68</v>
      </c>
      <c r="EC30" s="130">
        <v>103.08</v>
      </c>
      <c r="ED30" s="130">
        <v>83.4</v>
      </c>
      <c r="EE30" s="130">
        <v>107.72</v>
      </c>
      <c r="EF30" s="130">
        <v>82.2</v>
      </c>
      <c r="EG30" s="130">
        <v>91.4</v>
      </c>
      <c r="EH30" s="130">
        <v>108.67</v>
      </c>
      <c r="EI30" s="130">
        <v>98.21</v>
      </c>
      <c r="EJ30" s="130">
        <v>107.91</v>
      </c>
      <c r="EK30" s="130">
        <v>110.21</v>
      </c>
      <c r="EL30" s="130">
        <v>151.68</v>
      </c>
      <c r="EM30" s="130">
        <v>158.76</v>
      </c>
      <c r="EN30" s="130">
        <v>127.05</v>
      </c>
      <c r="EO30" s="130">
        <v>109.06</v>
      </c>
      <c r="EP30" s="130">
        <v>115.02</v>
      </c>
      <c r="EQ30" s="130">
        <v>114.9</v>
      </c>
      <c r="ER30" s="130">
        <v>114.9</v>
      </c>
      <c r="ES30" s="130">
        <v>124.92</v>
      </c>
      <c r="ET30" s="130">
        <v>98.8</v>
      </c>
      <c r="EU30" s="130">
        <v>108.2</v>
      </c>
      <c r="EV30" s="130">
        <v>115.03</v>
      </c>
      <c r="EW30" s="130">
        <v>111.49</v>
      </c>
      <c r="EX30" s="130">
        <v>144.55000000000001</v>
      </c>
      <c r="EY30" s="130">
        <v>152.79</v>
      </c>
      <c r="EZ30" s="130">
        <v>157.19999999999999</v>
      </c>
      <c r="FA30" s="130">
        <v>160.5</v>
      </c>
      <c r="FB30" s="130">
        <v>159.13999999999999</v>
      </c>
      <c r="FC30" s="130">
        <v>219.28</v>
      </c>
      <c r="FD30" s="130">
        <v>233.37</v>
      </c>
      <c r="FE30" s="130">
        <v>238.66</v>
      </c>
      <c r="FF30" s="130">
        <v>248.14</v>
      </c>
      <c r="FG30" s="130">
        <v>265.45</v>
      </c>
      <c r="FH30" s="130">
        <v>272.35000000000002</v>
      </c>
      <c r="FI30" s="130">
        <v>281.27</v>
      </c>
      <c r="FJ30" s="130">
        <v>294.91000000000003</v>
      </c>
      <c r="FK30" s="130">
        <v>294.91000000000003</v>
      </c>
      <c r="FL30" s="130">
        <v>272.3</v>
      </c>
      <c r="FM30" s="130">
        <v>268.02</v>
      </c>
      <c r="FN30" s="130">
        <v>279.89999999999998</v>
      </c>
      <c r="FO30" s="130">
        <v>289.31</v>
      </c>
      <c r="FP30" s="130">
        <v>295.39999999999998</v>
      </c>
      <c r="FQ30" s="130">
        <v>260.49</v>
      </c>
      <c r="FR30" s="130">
        <v>270.2</v>
      </c>
      <c r="FS30" s="130">
        <v>284.25</v>
      </c>
      <c r="FT30" s="130">
        <v>282.61</v>
      </c>
      <c r="FU30" s="130">
        <v>295</v>
      </c>
      <c r="FV30" s="130">
        <v>249.44</v>
      </c>
      <c r="FW30" s="130">
        <v>253.03</v>
      </c>
      <c r="FX30" s="130">
        <v>228.28</v>
      </c>
      <c r="FY30" s="130">
        <v>239.48</v>
      </c>
      <c r="FZ30" s="130">
        <v>258.27</v>
      </c>
      <c r="GA30" s="130">
        <v>261.67</v>
      </c>
      <c r="GB30" s="130">
        <v>267.70999999999998</v>
      </c>
      <c r="GC30" s="130">
        <v>276.33</v>
      </c>
      <c r="GD30" s="130">
        <v>281.49</v>
      </c>
      <c r="GE30" s="130">
        <v>286.76</v>
      </c>
      <c r="GF30" s="130">
        <v>259.7</v>
      </c>
      <c r="GG30" s="130">
        <v>264.89999999999998</v>
      </c>
      <c r="GH30" s="130">
        <v>269.79000000000002</v>
      </c>
      <c r="GI30" s="130">
        <v>314.2</v>
      </c>
      <c r="GJ30" s="130">
        <v>286.39999999999998</v>
      </c>
      <c r="GK30" s="130">
        <v>260.39999999999998</v>
      </c>
      <c r="GL30" s="130">
        <v>281.39999999999998</v>
      </c>
      <c r="GM30" s="130">
        <v>290.7</v>
      </c>
      <c r="GN30" s="130">
        <v>266.89999999999998</v>
      </c>
      <c r="GO30" s="130">
        <v>277.39999999999998</v>
      </c>
      <c r="GP30" s="130">
        <v>272.79999999999995</v>
      </c>
      <c r="GQ30" s="130">
        <v>248.6</v>
      </c>
      <c r="GR30" s="130">
        <v>254.4</v>
      </c>
      <c r="GS30" s="130">
        <v>244.5</v>
      </c>
      <c r="GT30" s="130">
        <v>262.5</v>
      </c>
      <c r="GU30" s="130">
        <v>263.5</v>
      </c>
      <c r="GV30" s="130">
        <v>269</v>
      </c>
      <c r="GW30" s="130">
        <v>277.3</v>
      </c>
      <c r="GX30" s="130">
        <v>278.89999999999998</v>
      </c>
      <c r="GY30" s="130">
        <v>288.09999999999997</v>
      </c>
      <c r="GZ30" s="130">
        <v>303.2</v>
      </c>
      <c r="HA30" s="130">
        <v>328.4</v>
      </c>
      <c r="HB30" s="130">
        <v>346.4</v>
      </c>
      <c r="HC30" s="130">
        <v>319.7</v>
      </c>
      <c r="HD30" s="130">
        <v>319.7</v>
      </c>
      <c r="HE30" s="130">
        <v>330.8</v>
      </c>
      <c r="HF30" s="130">
        <v>331.2</v>
      </c>
      <c r="HG30" s="130">
        <v>306.89999999999998</v>
      </c>
      <c r="HH30" s="130">
        <v>301.89999999999998</v>
      </c>
      <c r="HI30" s="130">
        <v>311</v>
      </c>
      <c r="HJ30" s="130">
        <v>497.7</v>
      </c>
      <c r="HK30" s="130">
        <v>481.8</v>
      </c>
      <c r="HL30" s="130">
        <v>507.3</v>
      </c>
      <c r="HM30" s="130">
        <v>518.90000000000009</v>
      </c>
      <c r="HN30" s="130">
        <v>525.90000000000009</v>
      </c>
      <c r="HO30" s="130">
        <v>535.70000000000005</v>
      </c>
      <c r="HP30" s="130">
        <v>327.09999999999997</v>
      </c>
      <c r="HQ30" s="130">
        <v>330.09999999999997</v>
      </c>
      <c r="HR30" s="130">
        <v>349.19999999999993</v>
      </c>
      <c r="HS30" s="130">
        <v>358.19999999999993</v>
      </c>
      <c r="HT30" s="130">
        <v>348.79999999999995</v>
      </c>
      <c r="HU30" s="130">
        <v>348.79999999999995</v>
      </c>
      <c r="HV30" s="130">
        <v>366.99999999999994</v>
      </c>
      <c r="HW30" s="130">
        <v>366.99999999999994</v>
      </c>
      <c r="HX30" s="130">
        <v>391.09999999999997</v>
      </c>
      <c r="HY30" s="130">
        <v>391.09999999999997</v>
      </c>
      <c r="HZ30" s="130">
        <v>201.3</v>
      </c>
      <c r="IA30" s="130">
        <v>159.6</v>
      </c>
      <c r="IB30" s="130">
        <v>141.60000000000002</v>
      </c>
      <c r="IC30" s="130">
        <v>141.60000000000002</v>
      </c>
      <c r="ID30" s="130">
        <v>141.60000000000002</v>
      </c>
      <c r="IE30" s="130">
        <v>176.8</v>
      </c>
      <c r="IF30" s="130">
        <v>176.8</v>
      </c>
      <c r="IG30" s="130">
        <v>179.09999999999997</v>
      </c>
      <c r="IH30" s="130">
        <v>187.09999999999997</v>
      </c>
      <c r="II30" s="130">
        <v>187.09999999999997</v>
      </c>
      <c r="IJ30" s="130">
        <v>187.09999999999997</v>
      </c>
      <c r="IK30" s="130">
        <v>250.5</v>
      </c>
      <c r="IL30" s="130">
        <v>250.5</v>
      </c>
      <c r="IM30" s="130">
        <v>250.5</v>
      </c>
      <c r="IN30" s="130">
        <v>243.60000000000002</v>
      </c>
      <c r="IO30" s="130">
        <v>197.10000000000002</v>
      </c>
      <c r="IP30" s="130">
        <v>254.60000000000002</v>
      </c>
      <c r="IQ30" s="130">
        <v>242.8</v>
      </c>
      <c r="IR30" s="130">
        <v>242.8</v>
      </c>
      <c r="IS30" s="130">
        <v>322.10000000000002</v>
      </c>
      <c r="IT30" s="130">
        <v>329.8</v>
      </c>
      <c r="IU30" s="130">
        <v>308.80000000000007</v>
      </c>
      <c r="IV30" s="130">
        <v>308.80000000000007</v>
      </c>
      <c r="IW30" s="130">
        <v>328.09999999999997</v>
      </c>
      <c r="IX30" s="130">
        <v>340.5</v>
      </c>
      <c r="IY30" s="130">
        <v>351.4</v>
      </c>
      <c r="IZ30" s="130">
        <v>348.09999999999991</v>
      </c>
      <c r="JA30" s="130">
        <v>353.19999999999993</v>
      </c>
      <c r="JB30" s="130">
        <v>353.19999999999993</v>
      </c>
      <c r="JC30" s="130">
        <v>377.59999999999991</v>
      </c>
      <c r="JD30" s="130">
        <v>365.69999999999993</v>
      </c>
      <c r="JE30" s="130">
        <v>365.69999999999993</v>
      </c>
      <c r="JF30" s="130">
        <v>365.69999999999993</v>
      </c>
      <c r="JG30" s="130">
        <v>366.7</v>
      </c>
      <c r="JH30" s="130">
        <v>366.7</v>
      </c>
      <c r="JI30" s="130">
        <v>366.7</v>
      </c>
      <c r="JJ30" s="130">
        <v>345.49999999999994</v>
      </c>
      <c r="JK30" s="130">
        <v>346.19999999999993</v>
      </c>
      <c r="JL30" s="130">
        <v>380.89999999999992</v>
      </c>
      <c r="JM30" s="130">
        <v>383.99999999999994</v>
      </c>
      <c r="JN30" s="130">
        <v>383.99999999999994</v>
      </c>
      <c r="JO30" s="130">
        <v>383.99999999999994</v>
      </c>
      <c r="JP30" s="130">
        <v>333.79999999999995</v>
      </c>
      <c r="JQ30" s="130">
        <v>333.79999999999995</v>
      </c>
      <c r="JR30" s="130">
        <v>374.3</v>
      </c>
      <c r="JS30" s="130">
        <v>374.3</v>
      </c>
      <c r="JT30" s="130">
        <v>374.3</v>
      </c>
      <c r="JU30" s="130">
        <v>409.9</v>
      </c>
      <c r="JV30" s="130">
        <v>409.9</v>
      </c>
      <c r="JW30" s="130">
        <v>423.9</v>
      </c>
      <c r="JX30" s="130">
        <v>423.9</v>
      </c>
      <c r="JY30" s="130">
        <v>617</v>
      </c>
      <c r="JZ30" s="130">
        <v>617</v>
      </c>
      <c r="KA30" s="130">
        <v>1535.1</v>
      </c>
      <c r="KB30" s="130">
        <v>843.3</v>
      </c>
      <c r="KC30" s="130">
        <v>854.6</v>
      </c>
      <c r="KD30" s="130">
        <v>849.7</v>
      </c>
      <c r="KE30" s="130">
        <v>849.7</v>
      </c>
      <c r="KF30" s="130">
        <v>346.19999999999993</v>
      </c>
      <c r="KG30" s="130">
        <v>655</v>
      </c>
      <c r="KH30" s="130">
        <v>655</v>
      </c>
      <c r="KI30" s="130">
        <v>422.6</v>
      </c>
      <c r="KJ30" s="130">
        <v>422.6</v>
      </c>
      <c r="KK30" s="130">
        <v>419.40000000000003</v>
      </c>
      <c r="KL30" s="130">
        <v>428.4</v>
      </c>
      <c r="KM30" s="130">
        <v>428.4</v>
      </c>
      <c r="KN30" s="130">
        <v>436.7</v>
      </c>
      <c r="KO30" s="130">
        <v>452.1</v>
      </c>
      <c r="KP30" s="130">
        <v>457.7</v>
      </c>
      <c r="KQ30" s="130">
        <v>468.40000000000003</v>
      </c>
      <c r="KR30" s="130">
        <v>468.40000000000003</v>
      </c>
      <c r="KS30" s="130">
        <v>470</v>
      </c>
      <c r="KT30" s="130">
        <v>470</v>
      </c>
      <c r="KU30" s="130">
        <v>447.7</v>
      </c>
      <c r="KV30" s="130">
        <v>460.7</v>
      </c>
      <c r="KW30" s="130">
        <v>495</v>
      </c>
      <c r="KX30" s="130">
        <v>501.8</v>
      </c>
      <c r="KY30" s="130">
        <v>501.8</v>
      </c>
      <c r="KZ30" s="130">
        <v>541.1</v>
      </c>
      <c r="LA30" s="130">
        <v>541.1</v>
      </c>
      <c r="LB30" s="130">
        <v>554.4</v>
      </c>
      <c r="LC30" s="130">
        <v>554.4</v>
      </c>
      <c r="LD30" s="130">
        <v>554.4</v>
      </c>
      <c r="LE30" s="130">
        <v>554.19999999999993</v>
      </c>
      <c r="LF30" s="130">
        <v>569.1</v>
      </c>
      <c r="LG30" s="130">
        <v>569.1</v>
      </c>
      <c r="LH30" s="130">
        <v>569.1</v>
      </c>
      <c r="LI30" s="130">
        <v>554.1</v>
      </c>
      <c r="LJ30" s="130">
        <v>554.1</v>
      </c>
      <c r="LK30" s="130">
        <v>554.1</v>
      </c>
      <c r="LL30" s="130">
        <v>520.20000000000005</v>
      </c>
      <c r="LM30" s="130">
        <v>520.20000000000005</v>
      </c>
      <c r="LN30" s="130">
        <v>511.3</v>
      </c>
      <c r="LO30" s="130">
        <v>511.3</v>
      </c>
      <c r="LP30" s="130">
        <v>511.3</v>
      </c>
      <c r="LQ30" s="130">
        <v>559.1</v>
      </c>
      <c r="LR30" s="130">
        <v>548.70000000000005</v>
      </c>
      <c r="LS30" s="130">
        <v>548.70000000000005</v>
      </c>
      <c r="LT30" s="130">
        <v>429.29999999999995</v>
      </c>
      <c r="LU30" s="130">
        <v>436.4</v>
      </c>
      <c r="LV30" s="130">
        <v>450.2</v>
      </c>
      <c r="LW30" s="130">
        <v>450.2</v>
      </c>
      <c r="LX30" s="130">
        <v>178.89999999999998</v>
      </c>
      <c r="LY30" s="130">
        <v>178.89999999999998</v>
      </c>
      <c r="LZ30" s="130">
        <v>166.10000000000002</v>
      </c>
      <c r="MA30" s="130">
        <v>166.10000000000002</v>
      </c>
      <c r="MB30" s="130">
        <v>166.10000000000002</v>
      </c>
      <c r="MC30" s="130">
        <v>166.10000000000002</v>
      </c>
      <c r="MD30" s="130">
        <v>179.2</v>
      </c>
      <c r="ME30" s="130">
        <v>162.5</v>
      </c>
      <c r="MF30" s="130">
        <v>162.5</v>
      </c>
      <c r="MG30" s="130">
        <v>162.5</v>
      </c>
      <c r="MH30" s="130">
        <v>164.04</v>
      </c>
      <c r="MI30" s="130">
        <v>164.04</v>
      </c>
      <c r="MJ30" s="130">
        <v>161.5</v>
      </c>
      <c r="MK30" s="130">
        <v>146.20000000000002</v>
      </c>
      <c r="ML30" s="130">
        <v>146.20000000000002</v>
      </c>
      <c r="MM30" s="130">
        <v>146.20000000000002</v>
      </c>
      <c r="MN30" s="130">
        <v>146.20000000000002</v>
      </c>
      <c r="MO30" s="130">
        <v>146.20000000000002</v>
      </c>
      <c r="MP30" s="130">
        <v>146.20000000000002</v>
      </c>
      <c r="MQ30" s="130">
        <v>150.5</v>
      </c>
      <c r="MR30" s="130">
        <v>150.5</v>
      </c>
      <c r="MS30" s="130">
        <v>156.29999999999998</v>
      </c>
      <c r="MT30" s="130">
        <v>140.9</v>
      </c>
      <c r="MU30" s="130">
        <v>140.9</v>
      </c>
      <c r="MV30" s="130">
        <v>140.9</v>
      </c>
      <c r="MW30" s="130">
        <v>124.8</v>
      </c>
      <c r="MX30" s="130">
        <v>137.4</v>
      </c>
      <c r="MY30" s="130">
        <v>137.4</v>
      </c>
      <c r="MZ30" s="130">
        <v>137.4</v>
      </c>
      <c r="NA30" s="130">
        <v>137.4</v>
      </c>
      <c r="NB30" s="130">
        <v>137.4</v>
      </c>
      <c r="NC30" s="130">
        <v>137.4</v>
      </c>
      <c r="ND30" s="130">
        <v>137.4</v>
      </c>
      <c r="NE30" s="130">
        <v>137.4</v>
      </c>
      <c r="NF30" s="130">
        <v>19.2</v>
      </c>
      <c r="NG30" s="130">
        <v>43.8</v>
      </c>
      <c r="NH30" s="130">
        <v>48.7</v>
      </c>
      <c r="NI30" s="130">
        <v>53.1</v>
      </c>
      <c r="NJ30" s="130">
        <v>53.1</v>
      </c>
      <c r="NK30" s="130">
        <v>57.699999999999996</v>
      </c>
      <c r="NL30" s="130">
        <v>57.699999999999996</v>
      </c>
      <c r="NM30" s="130">
        <v>104.3</v>
      </c>
      <c r="NN30" s="130">
        <v>104.3</v>
      </c>
      <c r="NO30" s="130">
        <v>104.3</v>
      </c>
      <c r="NP30" s="130">
        <v>64.3</v>
      </c>
      <c r="NQ30" s="130">
        <v>64.3</v>
      </c>
      <c r="NR30" s="130">
        <v>84.9</v>
      </c>
      <c r="NS30" s="130">
        <v>84.9</v>
      </c>
      <c r="NT30" s="130">
        <v>84.9</v>
      </c>
      <c r="NU30" s="130">
        <v>118</v>
      </c>
      <c r="NV30" s="130">
        <v>128.80000000000001</v>
      </c>
      <c r="NW30" s="130">
        <v>128.80000000000001</v>
      </c>
      <c r="NX30" s="130">
        <v>128.80000000000001</v>
      </c>
      <c r="NY30" s="130">
        <v>129.6</v>
      </c>
      <c r="NZ30" s="130">
        <v>126.80000000000001</v>
      </c>
      <c r="OA30" s="130">
        <v>126.80000000000001</v>
      </c>
      <c r="OB30" s="130">
        <v>126.80000000000001</v>
      </c>
      <c r="OC30" s="130">
        <v>132</v>
      </c>
      <c r="OD30" s="130">
        <v>132</v>
      </c>
      <c r="OE30" s="130">
        <v>132</v>
      </c>
      <c r="OF30" s="130">
        <v>132</v>
      </c>
      <c r="OG30" s="130">
        <v>201.4</v>
      </c>
      <c r="OH30" s="130">
        <v>201.4</v>
      </c>
      <c r="OI30" s="130">
        <v>173.39999999999998</v>
      </c>
      <c r="OJ30" s="130">
        <v>193.70000000000002</v>
      </c>
      <c r="OK30" s="130">
        <v>193.70000000000002</v>
      </c>
      <c r="OL30" s="130">
        <v>188.1</v>
      </c>
      <c r="OM30" s="130">
        <v>188.1</v>
      </c>
      <c r="ON30" s="130">
        <v>188.1</v>
      </c>
      <c r="OO30" s="130">
        <v>177.79999999999998</v>
      </c>
      <c r="OP30" s="130">
        <v>191.4</v>
      </c>
      <c r="OQ30" s="130">
        <v>191.4</v>
      </c>
      <c r="OR30" s="130">
        <v>191.4</v>
      </c>
      <c r="OS30" s="130">
        <v>209.5</v>
      </c>
      <c r="OT30" s="130">
        <v>234.8</v>
      </c>
      <c r="OU30" s="130">
        <v>234.8</v>
      </c>
      <c r="OV30" s="130">
        <v>234.8</v>
      </c>
      <c r="OW30" s="130">
        <v>1309.7</v>
      </c>
      <c r="OX30" s="130">
        <v>1309.7</v>
      </c>
      <c r="OY30" s="130">
        <v>249.8</v>
      </c>
      <c r="OZ30" s="130">
        <v>249.8</v>
      </c>
      <c r="PA30" s="130">
        <v>249.8</v>
      </c>
      <c r="PB30" s="130">
        <v>229.20000000000002</v>
      </c>
      <c r="PC30" s="130">
        <v>229.20000000000002</v>
      </c>
      <c r="PD30" s="130">
        <v>229.20000000000002</v>
      </c>
      <c r="PE30" s="130">
        <v>251.6</v>
      </c>
      <c r="PF30" s="130">
        <v>257.20000000000005</v>
      </c>
      <c r="PG30" s="130">
        <v>257.20000000000005</v>
      </c>
      <c r="PH30" s="130">
        <v>257.20000000000005</v>
      </c>
      <c r="PI30" s="130">
        <v>309.2</v>
      </c>
      <c r="PJ30" s="130">
        <v>317.09999999999997</v>
      </c>
      <c r="PK30" s="130">
        <v>317.09999999999997</v>
      </c>
      <c r="PL30" s="130">
        <v>317.09999999999997</v>
      </c>
      <c r="PM30" s="130">
        <v>317.09999999999997</v>
      </c>
      <c r="PN30" s="130">
        <v>325.89999999999998</v>
      </c>
      <c r="PO30" s="130">
        <v>325.89999999999998</v>
      </c>
      <c r="PP30" s="130">
        <v>325.89999999999998</v>
      </c>
      <c r="PQ30" s="130">
        <v>353.79999999999995</v>
      </c>
      <c r="PR30" s="130">
        <v>353.79999999999995</v>
      </c>
      <c r="PS30" s="130">
        <v>392.5</v>
      </c>
      <c r="PT30" s="130">
        <v>392.5</v>
      </c>
      <c r="PU30" s="130">
        <v>452.9</v>
      </c>
      <c r="PV30" s="130">
        <v>452.9</v>
      </c>
      <c r="PW30" s="130">
        <v>452.9</v>
      </c>
      <c r="PX30" s="130">
        <v>434.2</v>
      </c>
      <c r="PY30" s="130">
        <v>448.1</v>
      </c>
      <c r="PZ30" s="130">
        <v>448.1</v>
      </c>
      <c r="QA30" s="130">
        <v>448.1</v>
      </c>
      <c r="QB30" s="130">
        <v>516.9</v>
      </c>
      <c r="QC30" s="130">
        <v>534.30000000000007</v>
      </c>
      <c r="QD30" s="130">
        <v>534.30000000000007</v>
      </c>
      <c r="QE30" s="130">
        <v>556.1</v>
      </c>
      <c r="QF30" s="130">
        <v>556.1</v>
      </c>
      <c r="QG30" s="130">
        <v>556.1</v>
      </c>
      <c r="QH30" s="130">
        <v>556.1</v>
      </c>
      <c r="QI30" s="130">
        <v>515.1</v>
      </c>
      <c r="QJ30" s="130">
        <v>515.1</v>
      </c>
      <c r="QK30" s="130">
        <v>195.1</v>
      </c>
      <c r="QL30" s="130">
        <v>195.1</v>
      </c>
      <c r="QM30" s="130">
        <v>195.1</v>
      </c>
      <c r="QN30" s="130">
        <v>168.1</v>
      </c>
      <c r="QO30" s="130">
        <v>186.20000000000002</v>
      </c>
      <c r="QP30" s="130">
        <v>186.20000000000002</v>
      </c>
      <c r="QQ30" s="130">
        <v>148.69999999999999</v>
      </c>
      <c r="QR30" s="130">
        <v>148.69999999999999</v>
      </c>
      <c r="QS30" s="130">
        <v>124.39999999999999</v>
      </c>
      <c r="QT30" s="130">
        <v>143.19999999999999</v>
      </c>
      <c r="QU30" s="130">
        <v>143.19999999999999</v>
      </c>
      <c r="QV30" s="130">
        <v>163.69999999999999</v>
      </c>
      <c r="QW30" s="130">
        <v>143.19999999999999</v>
      </c>
      <c r="QX30" s="130">
        <v>143.19999999999999</v>
      </c>
      <c r="QY30" s="130">
        <v>129</v>
      </c>
      <c r="QZ30" s="130">
        <v>129</v>
      </c>
      <c r="RA30" s="130">
        <v>122.46000000000001</v>
      </c>
      <c r="RB30" s="130">
        <v>122.46000000000001</v>
      </c>
      <c r="RC30" s="130">
        <v>122.46000000000001</v>
      </c>
      <c r="RD30" s="130">
        <v>122.46000000000001</v>
      </c>
      <c r="RE30" s="130">
        <v>127</v>
      </c>
      <c r="RF30" s="130">
        <v>127</v>
      </c>
      <c r="RG30" s="130">
        <v>127</v>
      </c>
      <c r="RH30" s="130">
        <v>123.4</v>
      </c>
      <c r="RI30" s="130">
        <v>122.28</v>
      </c>
      <c r="RJ30" s="130">
        <v>122.28</v>
      </c>
      <c r="RK30" s="130">
        <v>141.14000000000001</v>
      </c>
      <c r="RL30" s="130">
        <v>141.14000000000001</v>
      </c>
      <c r="RM30" s="130">
        <v>91.050000000000011</v>
      </c>
      <c r="RN30" s="130">
        <v>91.050000000000011</v>
      </c>
      <c r="RO30" s="130">
        <v>91.050000000000011</v>
      </c>
      <c r="RP30" s="130">
        <v>91.050000000000011</v>
      </c>
      <c r="RQ30" s="130">
        <v>148.63999999999999</v>
      </c>
      <c r="RR30" s="130">
        <v>148.63999999999999</v>
      </c>
      <c r="RS30" s="130">
        <v>146.928</v>
      </c>
      <c r="RT30" s="130">
        <v>146.928</v>
      </c>
      <c r="RU30" s="130">
        <v>146.928</v>
      </c>
      <c r="RV30" s="130">
        <v>146.928</v>
      </c>
      <c r="RW30" s="130">
        <v>146.928</v>
      </c>
      <c r="RX30" s="130">
        <v>146.928</v>
      </c>
      <c r="RY30" s="130">
        <v>213.2</v>
      </c>
      <c r="RZ30" s="130">
        <v>213.2</v>
      </c>
      <c r="SA30" s="130">
        <v>257.471</v>
      </c>
      <c r="SB30" s="130">
        <v>257.471</v>
      </c>
      <c r="SC30" s="130">
        <v>257.471</v>
      </c>
      <c r="SD30" s="130">
        <v>257.471</v>
      </c>
      <c r="SE30" s="130">
        <v>273.32300000000004</v>
      </c>
      <c r="SF30" s="130">
        <v>273.32300000000004</v>
      </c>
      <c r="SG30" s="130">
        <v>302.04700000000003</v>
      </c>
      <c r="SH30" s="130">
        <v>302.04700000000003</v>
      </c>
      <c r="SI30" s="130">
        <v>396.42</v>
      </c>
      <c r="SJ30" s="130">
        <v>396.42</v>
      </c>
      <c r="SK30" s="130">
        <v>404.19</v>
      </c>
      <c r="SL30" s="130">
        <v>404.19</v>
      </c>
      <c r="SM30" s="130">
        <v>298.24700000000001</v>
      </c>
      <c r="SN30" s="130">
        <v>298.24700000000001</v>
      </c>
      <c r="SO30" s="130">
        <v>298.24700000000001</v>
      </c>
      <c r="SP30" s="130">
        <v>323.83999999999997</v>
      </c>
      <c r="SQ30" s="130">
        <v>323.83999999999997</v>
      </c>
      <c r="SR30" s="130">
        <v>323.83999999999997</v>
      </c>
      <c r="SS30" s="130">
        <v>329.3</v>
      </c>
      <c r="ST30" s="130">
        <v>329.3</v>
      </c>
      <c r="SU30" s="130">
        <v>356.93</v>
      </c>
      <c r="SV30" s="130">
        <v>356.93</v>
      </c>
      <c r="SW30" s="130">
        <v>356.93</v>
      </c>
      <c r="SX30" s="130">
        <v>354.262</v>
      </c>
      <c r="SY30" s="130">
        <v>354.262</v>
      </c>
      <c r="SZ30" s="130">
        <v>354.262</v>
      </c>
      <c r="TA30" s="130">
        <v>378.779</v>
      </c>
      <c r="TB30" s="130">
        <v>378.779</v>
      </c>
      <c r="TC30" s="130">
        <v>402.38</v>
      </c>
      <c r="TD30" s="130">
        <v>402.38</v>
      </c>
      <c r="TE30" s="130">
        <v>425.02</v>
      </c>
      <c r="TF30" s="130">
        <v>384.64300000000003</v>
      </c>
      <c r="TG30" s="130">
        <v>382.8</v>
      </c>
      <c r="TH30" s="130">
        <v>385.7</v>
      </c>
      <c r="TI30" s="130">
        <v>408</v>
      </c>
      <c r="TJ30" s="130">
        <v>408</v>
      </c>
      <c r="TK30" s="130">
        <v>408</v>
      </c>
      <c r="TL30" s="130">
        <v>268.59499999999997</v>
      </c>
      <c r="TM30" s="130">
        <v>211.99099999999999</v>
      </c>
      <c r="TN30" s="130">
        <v>207.339</v>
      </c>
      <c r="TO30" s="130">
        <v>208.46799999999999</v>
      </c>
      <c r="TP30" s="130">
        <v>185.75200000000001</v>
      </c>
      <c r="TQ30" s="130">
        <v>168.83500000000001</v>
      </c>
      <c r="TR30" s="130">
        <v>201.828</v>
      </c>
      <c r="TS30" s="130">
        <v>201.79900000000001</v>
      </c>
      <c r="TT30" s="130">
        <v>228.77500000000001</v>
      </c>
      <c r="TU30" s="130">
        <v>216.655</v>
      </c>
      <c r="TV30" s="130">
        <v>211.26500000000001</v>
      </c>
      <c r="TW30" s="130">
        <v>242.2</v>
      </c>
      <c r="TX30" s="130">
        <v>239.4</v>
      </c>
      <c r="TY30" s="130">
        <v>238.464</v>
      </c>
      <c r="TZ30" s="130">
        <v>188.56800000000001</v>
      </c>
      <c r="UA30" s="130">
        <v>182.36799999999999</v>
      </c>
      <c r="UB30" s="130">
        <v>266.90500000000003</v>
      </c>
      <c r="UC30" s="130">
        <v>274.85700000000003</v>
      </c>
      <c r="UD30" s="130">
        <v>272.67500000000001</v>
      </c>
      <c r="UE30" s="130">
        <v>286.39999999999998</v>
      </c>
      <c r="UF30" s="130">
        <v>286.39999999999998</v>
      </c>
      <c r="UG30" s="130">
        <v>281.97300000000001</v>
      </c>
      <c r="UH30" s="130">
        <v>276.3</v>
      </c>
      <c r="UI30" s="130">
        <v>276.20499999999998</v>
      </c>
      <c r="UJ30" s="130">
        <v>232.821</v>
      </c>
      <c r="UK30" s="130">
        <v>234.95699999999999</v>
      </c>
      <c r="UL30" s="130">
        <v>37.352999999999994</v>
      </c>
      <c r="UM30" s="130">
        <v>411.298</v>
      </c>
      <c r="UN30" s="130">
        <v>397.79899999999998</v>
      </c>
      <c r="UO30" s="130">
        <v>399.548</v>
      </c>
      <c r="UP30" s="130">
        <v>293.27699999999999</v>
      </c>
      <c r="UQ30" s="130">
        <v>287.64099999999996</v>
      </c>
      <c r="UR30" s="130">
        <v>269.846</v>
      </c>
      <c r="US30" s="130">
        <v>274.92500000000001</v>
      </c>
      <c r="UT30" s="130">
        <v>287.74799999999999</v>
      </c>
      <c r="UU30" s="130">
        <v>219.32500000000002</v>
      </c>
      <c r="UV30" s="130">
        <v>154.32599999999999</v>
      </c>
      <c r="UW30" s="130">
        <v>154.32599999999999</v>
      </c>
      <c r="UX30" s="130">
        <v>172.42699999999999</v>
      </c>
      <c r="UY30" s="130">
        <v>150.274</v>
      </c>
      <c r="UZ30" s="130">
        <v>177.39699999999999</v>
      </c>
      <c r="VA30" s="130">
        <v>175.33999999999997</v>
      </c>
      <c r="VB30" s="130">
        <v>149.41499999999999</v>
      </c>
      <c r="VC30" s="130">
        <v>118.08199999999999</v>
      </c>
      <c r="VD30" s="130">
        <v>120.88</v>
      </c>
      <c r="VE30" s="130">
        <v>120.88</v>
      </c>
      <c r="VF30" s="130">
        <v>67.546000000000006</v>
      </c>
      <c r="VG30" s="130">
        <v>26.541</v>
      </c>
      <c r="VH30" s="130">
        <v>19.594999999999999</v>
      </c>
      <c r="VI30" s="130">
        <v>66.7</v>
      </c>
      <c r="VJ30" s="130">
        <v>34.865000000000002</v>
      </c>
      <c r="VK30" s="130">
        <v>43.445</v>
      </c>
      <c r="VL30" s="130">
        <v>28.357999999999997</v>
      </c>
      <c r="VM30" s="130">
        <v>40.317999999999998</v>
      </c>
      <c r="VN30" s="130">
        <v>42.143999999999998</v>
      </c>
      <c r="VO30" s="130">
        <v>47.152999999999999</v>
      </c>
      <c r="VP30" s="130">
        <v>47.152999999999999</v>
      </c>
      <c r="VQ30" s="130">
        <v>59.759</v>
      </c>
      <c r="VR30" s="130">
        <v>57.94</v>
      </c>
      <c r="VS30" s="130">
        <v>75.66</v>
      </c>
      <c r="VT30" s="130">
        <v>18.371000000000002</v>
      </c>
      <c r="VU30" s="130">
        <v>15.581</v>
      </c>
      <c r="VV30" s="130">
        <v>13.8</v>
      </c>
      <c r="VW30" s="130">
        <v>24</v>
      </c>
      <c r="VX30" s="130">
        <v>23.763999999999999</v>
      </c>
      <c r="VY30" s="130">
        <v>39.764000000000003</v>
      </c>
      <c r="VZ30" s="130">
        <v>50.307000000000002</v>
      </c>
      <c r="WA30" s="130">
        <v>45.158000000000001</v>
      </c>
      <c r="WB30" s="130">
        <v>41.749000000000002</v>
      </c>
      <c r="WC30" s="130">
        <v>39.884</v>
      </c>
      <c r="WD30" s="130">
        <v>58.710999999999999</v>
      </c>
      <c r="WE30" s="130">
        <v>68.617000000000004</v>
      </c>
      <c r="WF30" s="130">
        <v>95.347999999999999</v>
      </c>
      <c r="WG30" s="130">
        <v>0.3</v>
      </c>
      <c r="WH30" s="130">
        <v>0.3</v>
      </c>
      <c r="WI30" s="130">
        <v>2</v>
      </c>
      <c r="WJ30" s="130">
        <v>0.41499999999999998</v>
      </c>
      <c r="WK30" s="130">
        <v>0.41799999999999998</v>
      </c>
      <c r="WL30" s="130">
        <v>0.41799999999999998</v>
      </c>
      <c r="WM30" s="130">
        <v>5</v>
      </c>
      <c r="WN30" s="130">
        <v>5.4610000000000003</v>
      </c>
      <c r="WO30" s="130">
        <v>0.38300000000000001</v>
      </c>
      <c r="WP30" s="130">
        <v>1.407</v>
      </c>
      <c r="WQ30" s="130">
        <v>0.42299999999999999</v>
      </c>
      <c r="WR30" s="130">
        <v>0.82499999999999996</v>
      </c>
      <c r="WS30" s="130">
        <v>1.0623948000000001</v>
      </c>
      <c r="WT30" s="130">
        <v>1.0565844799999999</v>
      </c>
      <c r="WU30" s="130">
        <v>1.0565844799999999</v>
      </c>
      <c r="WV30" s="130">
        <v>1.0565844799999999</v>
      </c>
      <c r="WW30" s="130">
        <v>0.5</v>
      </c>
      <c r="WX30" s="130">
        <v>0.5</v>
      </c>
      <c r="WY30" s="130">
        <v>0.433</v>
      </c>
      <c r="WZ30" s="130">
        <v>0.5</v>
      </c>
      <c r="XA30" s="130">
        <v>0.5</v>
      </c>
      <c r="XB30" s="130">
        <v>6.6</v>
      </c>
      <c r="XC30" s="130">
        <v>3.2</v>
      </c>
      <c r="XD30" s="130">
        <v>0.2</v>
      </c>
      <c r="XE30" s="130">
        <v>0.44800000000000001</v>
      </c>
      <c r="XF30" s="130">
        <v>0.7</v>
      </c>
      <c r="XG30" s="130">
        <v>0.53500000000000003</v>
      </c>
      <c r="XH30" s="130">
        <v>1</v>
      </c>
      <c r="XI30" s="130">
        <v>3.3</v>
      </c>
      <c r="XJ30" s="130">
        <v>1</v>
      </c>
      <c r="XK30" s="130">
        <v>0.6</v>
      </c>
      <c r="XL30" s="130">
        <v>3.5</v>
      </c>
      <c r="XM30" s="130">
        <v>0.76800000000000002</v>
      </c>
      <c r="XN30" s="130">
        <v>0.4</v>
      </c>
      <c r="XO30" s="130">
        <v>0.4</v>
      </c>
      <c r="XP30" s="130">
        <v>3.7</v>
      </c>
      <c r="XQ30" s="130">
        <v>0.41799999999999998</v>
      </c>
      <c r="XR30" s="130">
        <v>0.6</v>
      </c>
      <c r="XS30" s="130">
        <v>0.5</v>
      </c>
      <c r="XT30" s="130">
        <v>1.774</v>
      </c>
      <c r="XU30" s="130">
        <v>0.42899999999999999</v>
      </c>
      <c r="XV30" s="130">
        <v>0.6</v>
      </c>
      <c r="XW30" s="130">
        <v>0.6</v>
      </c>
      <c r="XX30" s="130">
        <v>0.79400000000000004</v>
      </c>
      <c r="XY30" s="130">
        <v>0.69899999999999995</v>
      </c>
      <c r="XZ30" s="130">
        <v>0.9</v>
      </c>
      <c r="YA30" s="130">
        <v>1.1000000000000001</v>
      </c>
      <c r="YB30" s="130">
        <v>0.6</v>
      </c>
      <c r="YC30" s="130">
        <v>17.100000000000001</v>
      </c>
      <c r="YD30" s="130">
        <v>1.0940000000000001</v>
      </c>
      <c r="YE30" s="130">
        <v>14.4</v>
      </c>
      <c r="YF30" s="130">
        <v>0.6</v>
      </c>
      <c r="YG30" s="130">
        <v>1</v>
      </c>
      <c r="YH30" s="130">
        <v>1.5</v>
      </c>
    </row>
    <row r="31" spans="2:658">
      <c r="B31" s="917" t="s">
        <v>37</v>
      </c>
      <c r="C31" s="918">
        <v>19.899999999999999</v>
      </c>
      <c r="D31" s="130">
        <v>10.8</v>
      </c>
      <c r="E31" s="130">
        <v>11</v>
      </c>
      <c r="F31" s="130">
        <v>11</v>
      </c>
      <c r="G31" s="130">
        <v>16.5</v>
      </c>
      <c r="H31" s="130">
        <v>6.6</v>
      </c>
      <c r="I31" s="130">
        <v>5.2</v>
      </c>
      <c r="J31" s="130">
        <v>5.3</v>
      </c>
      <c r="K31" s="130">
        <v>5.3</v>
      </c>
      <c r="L31" s="130">
        <v>5.3</v>
      </c>
      <c r="M31" s="130">
        <v>3.6</v>
      </c>
      <c r="N31" s="130">
        <v>9.8000000000000007</v>
      </c>
      <c r="O31" s="130">
        <v>9.8000000000000007</v>
      </c>
      <c r="P31" s="130">
        <v>17.8</v>
      </c>
      <c r="Q31" s="130">
        <v>17.8</v>
      </c>
      <c r="R31" s="130">
        <v>6.9</v>
      </c>
      <c r="S31" s="130">
        <v>11.5</v>
      </c>
      <c r="T31" s="130">
        <v>11.5</v>
      </c>
      <c r="U31" s="130">
        <v>10</v>
      </c>
      <c r="V31" s="130">
        <v>1.8</v>
      </c>
      <c r="W31" s="130">
        <v>1.8</v>
      </c>
      <c r="X31" s="130">
        <v>0.3</v>
      </c>
      <c r="Y31" s="130">
        <v>0.2</v>
      </c>
      <c r="Z31" s="130">
        <v>1.6</v>
      </c>
      <c r="AA31" s="130">
        <v>0.1</v>
      </c>
      <c r="AB31" s="130">
        <v>5.7</v>
      </c>
      <c r="AC31" s="130">
        <v>9.1999999999999993</v>
      </c>
      <c r="AD31" s="130">
        <v>7.6</v>
      </c>
      <c r="AE31" s="130">
        <v>10.1</v>
      </c>
      <c r="AF31" s="130">
        <v>10.1</v>
      </c>
      <c r="AG31" s="130">
        <v>13</v>
      </c>
      <c r="AH31" s="130">
        <v>18.8</v>
      </c>
      <c r="AI31" s="130">
        <v>1.5</v>
      </c>
      <c r="AJ31" s="130">
        <v>1.1000000000000001</v>
      </c>
      <c r="AK31" s="130">
        <v>1.1000000000000001</v>
      </c>
      <c r="AL31" s="130">
        <v>10.1</v>
      </c>
      <c r="AM31" s="130">
        <v>9.4</v>
      </c>
      <c r="AN31" s="130">
        <v>57.6</v>
      </c>
      <c r="AO31" s="130">
        <v>56.1</v>
      </c>
      <c r="AP31" s="130">
        <v>0.7</v>
      </c>
      <c r="AQ31" s="130">
        <v>0.7</v>
      </c>
      <c r="AR31" s="130">
        <v>0.7</v>
      </c>
      <c r="AS31" s="130">
        <v>12.9</v>
      </c>
      <c r="AT31" s="130">
        <v>12.9</v>
      </c>
      <c r="AU31" s="130">
        <v>12.5</v>
      </c>
      <c r="AV31" s="130">
        <v>12.1</v>
      </c>
      <c r="AW31" s="130">
        <v>48.4</v>
      </c>
      <c r="AX31" s="130">
        <v>48.4</v>
      </c>
      <c r="AY31" s="130">
        <v>45.5</v>
      </c>
      <c r="AZ31" s="130">
        <v>7</v>
      </c>
      <c r="BA31" s="130">
        <v>9.1</v>
      </c>
      <c r="BB31" s="130">
        <v>1.2</v>
      </c>
      <c r="BC31" s="130">
        <v>4.0999999999999996</v>
      </c>
      <c r="BD31" s="130">
        <v>8.9</v>
      </c>
      <c r="BE31" s="130">
        <v>7.7</v>
      </c>
      <c r="BF31" s="130">
        <v>7.6</v>
      </c>
      <c r="BG31" s="130">
        <v>3.5</v>
      </c>
      <c r="BH31" s="130">
        <v>3.5</v>
      </c>
      <c r="BI31" s="130">
        <v>3.5</v>
      </c>
      <c r="BJ31" s="130">
        <v>4.5</v>
      </c>
      <c r="BK31" s="130">
        <v>2</v>
      </c>
      <c r="BL31" s="130">
        <v>1.8</v>
      </c>
      <c r="BM31" s="130">
        <v>1.1000000000000001</v>
      </c>
      <c r="BN31" s="130">
        <v>8.6</v>
      </c>
      <c r="BO31" s="130">
        <v>8.6</v>
      </c>
      <c r="BP31" s="130">
        <v>8.1999999999999993</v>
      </c>
      <c r="BQ31" s="130">
        <v>5</v>
      </c>
      <c r="BR31" s="130">
        <v>4.8</v>
      </c>
      <c r="BS31" s="130">
        <v>8.6</v>
      </c>
      <c r="BT31" s="130">
        <v>8.6</v>
      </c>
      <c r="BU31" s="130">
        <v>8.6</v>
      </c>
      <c r="BV31" s="130">
        <v>4.5</v>
      </c>
      <c r="BW31" s="130">
        <v>4.3</v>
      </c>
      <c r="BX31" s="130">
        <v>10.3</v>
      </c>
      <c r="BY31" s="130">
        <v>10.3</v>
      </c>
      <c r="BZ31" s="130">
        <v>9.1</v>
      </c>
      <c r="CA31" s="130">
        <v>5.7</v>
      </c>
      <c r="CB31" s="130">
        <v>5.7</v>
      </c>
      <c r="CC31" s="130">
        <v>3.5</v>
      </c>
      <c r="CD31" s="130">
        <v>2.7</v>
      </c>
      <c r="CE31" s="130">
        <v>0.8</v>
      </c>
      <c r="CF31" s="130">
        <v>0.8</v>
      </c>
      <c r="CG31" s="130">
        <v>3.3</v>
      </c>
      <c r="CH31" s="130">
        <v>3.3</v>
      </c>
      <c r="CI31" s="130">
        <v>3.3</v>
      </c>
      <c r="CJ31" s="130">
        <v>3.3</v>
      </c>
      <c r="CK31" s="130">
        <v>4.4000000000000004</v>
      </c>
      <c r="CL31" s="130">
        <v>0.38</v>
      </c>
      <c r="CM31" s="130">
        <v>1.2</v>
      </c>
      <c r="CN31" s="130">
        <v>0.3</v>
      </c>
      <c r="CO31" s="130">
        <v>5</v>
      </c>
      <c r="CP31" s="130">
        <v>1.3</v>
      </c>
      <c r="CQ31" s="130">
        <v>1.4</v>
      </c>
      <c r="CR31" s="130">
        <v>3.7</v>
      </c>
      <c r="CS31" s="130">
        <v>3.7</v>
      </c>
      <c r="CT31" s="130">
        <v>3.7</v>
      </c>
      <c r="CU31" s="130">
        <v>9.6999999999999993</v>
      </c>
      <c r="CV31" s="130">
        <v>4.3</v>
      </c>
      <c r="CW31" s="130">
        <v>9.1999999999999993</v>
      </c>
      <c r="CX31" s="130">
        <v>9.1999999999999993</v>
      </c>
      <c r="CY31" s="130">
        <v>6.9</v>
      </c>
      <c r="CZ31" s="130">
        <v>6.9</v>
      </c>
      <c r="DA31" s="130">
        <v>0.96099999999999997</v>
      </c>
      <c r="DB31" s="130">
        <v>0.8</v>
      </c>
      <c r="DC31" s="130">
        <v>5.95</v>
      </c>
      <c r="DD31" s="130">
        <v>5.9980000000000002</v>
      </c>
      <c r="DE31" s="130">
        <v>1.9</v>
      </c>
      <c r="DF31" s="130">
        <v>11.7</v>
      </c>
      <c r="DG31" s="130">
        <v>18.074000000000002</v>
      </c>
      <c r="DH31" s="130">
        <v>17.899999999999999</v>
      </c>
      <c r="DI31" s="130">
        <v>17.37</v>
      </c>
      <c r="DJ31" s="130">
        <v>12.8</v>
      </c>
      <c r="DK31" s="130">
        <v>12.8</v>
      </c>
      <c r="DL31" s="130">
        <v>17</v>
      </c>
      <c r="DM31" s="130">
        <v>17</v>
      </c>
      <c r="DN31" s="130">
        <v>14.5</v>
      </c>
      <c r="DO31" s="130">
        <v>17.100000000000001</v>
      </c>
      <c r="DP31" s="130">
        <v>17.100000000000001</v>
      </c>
      <c r="DQ31" s="130">
        <v>16.8</v>
      </c>
      <c r="DR31" s="130">
        <v>16.8</v>
      </c>
      <c r="DS31" s="130">
        <v>16.8</v>
      </c>
      <c r="DT31" s="130">
        <v>18.600000000000001</v>
      </c>
      <c r="DU31" s="130">
        <v>21.7</v>
      </c>
      <c r="DV31" s="130">
        <v>15.76</v>
      </c>
      <c r="DW31" s="130">
        <v>19.54</v>
      </c>
      <c r="DX31" s="130">
        <v>19.54</v>
      </c>
      <c r="DY31" s="130">
        <v>19.54</v>
      </c>
      <c r="DZ31" s="130">
        <v>20.5</v>
      </c>
      <c r="EA31" s="130">
        <v>20.3</v>
      </c>
      <c r="EB31" s="130">
        <v>18.28</v>
      </c>
      <c r="EC31" s="130">
        <v>18.28</v>
      </c>
      <c r="ED31" s="130">
        <v>16</v>
      </c>
      <c r="EE31" s="130">
        <v>14.8</v>
      </c>
      <c r="EF31" s="130">
        <v>10.3</v>
      </c>
      <c r="EG31" s="130">
        <v>12.9</v>
      </c>
      <c r="EH31" s="130">
        <v>12.9</v>
      </c>
      <c r="EI31" s="130">
        <v>15.5</v>
      </c>
      <c r="EJ31" s="130">
        <v>5.9</v>
      </c>
      <c r="EK31" s="130">
        <v>8.69</v>
      </c>
      <c r="EL31" s="130">
        <v>8.64</v>
      </c>
      <c r="EM31" s="130">
        <v>8.64</v>
      </c>
      <c r="EN31" s="130">
        <v>8.1999999999999993</v>
      </c>
      <c r="EO31" s="130">
        <v>37.700000000000003</v>
      </c>
      <c r="EP31" s="130">
        <v>46.73</v>
      </c>
      <c r="EQ31" s="130">
        <v>48.72</v>
      </c>
      <c r="ER31" s="130">
        <v>48.72</v>
      </c>
      <c r="ES31" s="130">
        <v>47.01</v>
      </c>
      <c r="ET31" s="130">
        <v>48.8</v>
      </c>
      <c r="EU31" s="130">
        <v>51.06</v>
      </c>
      <c r="EV31" s="130">
        <v>51.36</v>
      </c>
      <c r="EW31" s="130">
        <v>50.16</v>
      </c>
      <c r="EX31" s="130">
        <v>49.67</v>
      </c>
      <c r="EY31" s="130">
        <v>48.54</v>
      </c>
      <c r="EZ31" s="130">
        <v>26.1</v>
      </c>
      <c r="FA31" s="130">
        <v>26.1</v>
      </c>
      <c r="FB31" s="130">
        <v>66.92</v>
      </c>
      <c r="FC31" s="130">
        <v>69</v>
      </c>
      <c r="FD31" s="130">
        <v>73.290000000000006</v>
      </c>
      <c r="FE31" s="130">
        <v>63.23</v>
      </c>
      <c r="FF31" s="130">
        <v>63.3</v>
      </c>
      <c r="FG31" s="130">
        <v>66.319999999999993</v>
      </c>
      <c r="FH31" s="130">
        <v>66.95</v>
      </c>
      <c r="FI31" s="130">
        <v>67.709999999999994</v>
      </c>
      <c r="FJ31" s="130">
        <v>66.7</v>
      </c>
      <c r="FK31" s="130">
        <v>66.7</v>
      </c>
      <c r="FL31" s="130">
        <v>69.2</v>
      </c>
      <c r="FM31" s="130">
        <v>73.099999999999994</v>
      </c>
      <c r="FN31" s="130">
        <v>77.5</v>
      </c>
      <c r="FO31" s="130">
        <v>77.8</v>
      </c>
      <c r="FP31" s="130">
        <v>77.75</v>
      </c>
      <c r="FQ31" s="130">
        <v>85.24</v>
      </c>
      <c r="FR31" s="130">
        <v>86.65</v>
      </c>
      <c r="FS31" s="130">
        <v>92.7</v>
      </c>
      <c r="FT31" s="130">
        <v>92.1</v>
      </c>
      <c r="FU31" s="130">
        <v>91.03</v>
      </c>
      <c r="FV31" s="130">
        <v>106.7</v>
      </c>
      <c r="FW31" s="130">
        <v>103.1</v>
      </c>
      <c r="FX31" s="130">
        <v>106.55</v>
      </c>
      <c r="FY31" s="130">
        <v>106.63</v>
      </c>
      <c r="FZ31" s="130">
        <v>114.34</v>
      </c>
      <c r="GA31" s="130">
        <v>118.34</v>
      </c>
      <c r="GB31" s="130">
        <v>133.30000000000001</v>
      </c>
      <c r="GC31" s="130">
        <v>9.8000000000000007</v>
      </c>
      <c r="GD31" s="130">
        <v>18.84</v>
      </c>
      <c r="GE31" s="130">
        <v>21.41</v>
      </c>
      <c r="GF31" s="130">
        <v>23.23</v>
      </c>
      <c r="GG31" s="130">
        <v>23.32</v>
      </c>
      <c r="GH31" s="130">
        <v>23.32</v>
      </c>
      <c r="GI31" s="130">
        <v>21.279</v>
      </c>
      <c r="GJ31" s="130">
        <v>30</v>
      </c>
      <c r="GK31" s="130">
        <v>30</v>
      </c>
      <c r="GL31" s="130">
        <v>30</v>
      </c>
      <c r="GM31" s="130">
        <v>30</v>
      </c>
      <c r="GN31" s="130">
        <v>40</v>
      </c>
      <c r="GO31" s="130">
        <v>40</v>
      </c>
      <c r="GP31" s="130">
        <v>40</v>
      </c>
      <c r="GQ31" s="130">
        <v>38</v>
      </c>
      <c r="GR31" s="130">
        <v>35.299999999999997</v>
      </c>
      <c r="GS31" s="130">
        <v>35.299999999999997</v>
      </c>
      <c r="GT31" s="130">
        <v>35.299999999999997</v>
      </c>
      <c r="GU31" s="130">
        <v>35</v>
      </c>
      <c r="GV31" s="130">
        <v>35</v>
      </c>
      <c r="GW31" s="130">
        <v>35</v>
      </c>
      <c r="GX31" s="130">
        <v>27.15</v>
      </c>
      <c r="GY31" s="130">
        <v>27.15</v>
      </c>
      <c r="GZ31" s="130">
        <v>27.15</v>
      </c>
      <c r="HA31" s="130">
        <v>30.1</v>
      </c>
      <c r="HB31" s="130">
        <v>30.1</v>
      </c>
      <c r="HC31" s="130">
        <v>30.1</v>
      </c>
      <c r="HD31" s="130">
        <v>31.1</v>
      </c>
      <c r="HE31" s="130">
        <v>31.1</v>
      </c>
      <c r="HF31" s="130">
        <v>39.200000000000003</v>
      </c>
      <c r="HG31" s="130"/>
      <c r="HH31" s="130"/>
      <c r="HI31" s="130"/>
      <c r="HJ31" s="130"/>
      <c r="HK31" s="130"/>
      <c r="HL31" s="130">
        <v>10.7</v>
      </c>
      <c r="HM31" s="130">
        <v>10</v>
      </c>
      <c r="HN31" s="130">
        <v>10</v>
      </c>
      <c r="HO31" s="130">
        <v>12.9</v>
      </c>
      <c r="HP31" s="130">
        <v>24.8</v>
      </c>
      <c r="HQ31" s="130">
        <v>30</v>
      </c>
      <c r="HR31" s="130">
        <v>49</v>
      </c>
      <c r="HS31" s="130">
        <v>49</v>
      </c>
      <c r="HT31" s="130">
        <v>36.6</v>
      </c>
      <c r="HU31" s="130">
        <v>36.6</v>
      </c>
      <c r="HV31" s="130">
        <v>1.2949999999999999</v>
      </c>
      <c r="HW31" s="130">
        <v>1.2949999999999999</v>
      </c>
      <c r="HX31" s="130">
        <v>7.3970000000000002</v>
      </c>
      <c r="HY31" s="130">
        <v>7.3970000000000002</v>
      </c>
      <c r="HZ31" s="130">
        <v>4.9260000000000002</v>
      </c>
      <c r="IA31" s="130">
        <v>4.6070000000000002</v>
      </c>
      <c r="IB31" s="130">
        <v>10.785</v>
      </c>
      <c r="IC31" s="130">
        <v>10.785</v>
      </c>
      <c r="ID31" s="130">
        <v>10.785</v>
      </c>
      <c r="IE31" s="130">
        <v>10</v>
      </c>
      <c r="IF31" s="130">
        <v>10</v>
      </c>
      <c r="IG31" s="130">
        <v>21.2</v>
      </c>
      <c r="IH31" s="130">
        <v>21</v>
      </c>
      <c r="II31" s="130">
        <v>21</v>
      </c>
      <c r="IJ31" s="130">
        <v>21</v>
      </c>
      <c r="IK31" s="130">
        <v>15</v>
      </c>
      <c r="IL31" s="130">
        <v>15</v>
      </c>
      <c r="IM31" s="130">
        <v>15</v>
      </c>
      <c r="IN31" s="130">
        <v>16</v>
      </c>
      <c r="IO31" s="130">
        <v>14.9</v>
      </c>
      <c r="IP31" s="130">
        <v>14.9</v>
      </c>
      <c r="IQ31" s="130">
        <v>14.9</v>
      </c>
      <c r="IR31" s="130">
        <v>14.9</v>
      </c>
      <c r="IS31" s="130">
        <v>13.6</v>
      </c>
      <c r="IT31" s="130">
        <v>12.5</v>
      </c>
      <c r="IU31" s="130">
        <v>12.7</v>
      </c>
      <c r="IV31" s="130">
        <v>12.7</v>
      </c>
      <c r="IW31" s="130">
        <v>11.2</v>
      </c>
      <c r="IX31" s="130">
        <v>11.2</v>
      </c>
      <c r="IY31" s="130">
        <v>11.2</v>
      </c>
      <c r="IZ31" s="130">
        <v>7.9</v>
      </c>
      <c r="JA31" s="130">
        <v>10</v>
      </c>
      <c r="JB31" s="130">
        <v>10</v>
      </c>
      <c r="JC31" s="130">
        <v>16.399999999999999</v>
      </c>
      <c r="JD31" s="130">
        <v>16.399999999999999</v>
      </c>
      <c r="JE31" s="130">
        <v>16.399999999999999</v>
      </c>
      <c r="JF31" s="130">
        <v>16.399999999999999</v>
      </c>
      <c r="JG31" s="130">
        <v>18</v>
      </c>
      <c r="JH31" s="130">
        <v>18</v>
      </c>
      <c r="JI31" s="130">
        <v>18</v>
      </c>
      <c r="JJ31" s="130">
        <v>18</v>
      </c>
      <c r="JK31" s="130">
        <v>17</v>
      </c>
      <c r="JL31" s="130">
        <v>17</v>
      </c>
      <c r="JM31" s="130">
        <v>22.5</v>
      </c>
      <c r="JN31" s="130">
        <v>22.5</v>
      </c>
      <c r="JO31" s="130">
        <v>22.5</v>
      </c>
      <c r="JP31" s="130">
        <v>18.399999999999999</v>
      </c>
      <c r="JQ31" s="130">
        <v>18.399999999999999</v>
      </c>
      <c r="JR31" s="130">
        <v>25.2</v>
      </c>
      <c r="JS31" s="130">
        <v>25.2</v>
      </c>
      <c r="JT31" s="130">
        <v>33.799999999999997</v>
      </c>
      <c r="JU31" s="130">
        <v>33.799999999999997</v>
      </c>
      <c r="JV31" s="130">
        <v>33.799999999999997</v>
      </c>
      <c r="JW31" s="130">
        <v>42.3</v>
      </c>
      <c r="JX31" s="130">
        <v>42.3</v>
      </c>
      <c r="JY31" s="130">
        <v>39.9</v>
      </c>
      <c r="JZ31" s="130">
        <v>39.9</v>
      </c>
      <c r="KA31" s="130">
        <v>61.9</v>
      </c>
      <c r="KB31" s="130">
        <v>69</v>
      </c>
      <c r="KC31" s="130">
        <v>69</v>
      </c>
      <c r="KD31" s="130">
        <v>70.5</v>
      </c>
      <c r="KE31" s="130">
        <v>70.5</v>
      </c>
      <c r="KF31" s="130">
        <v>17</v>
      </c>
      <c r="KG31" s="130">
        <v>78</v>
      </c>
      <c r="KH31" s="130">
        <v>78</v>
      </c>
      <c r="KI31" s="130">
        <v>75</v>
      </c>
      <c r="KJ31" s="130">
        <v>75</v>
      </c>
      <c r="KK31" s="130">
        <v>79</v>
      </c>
      <c r="KL31" s="130">
        <v>79</v>
      </c>
      <c r="KM31" s="130">
        <v>79</v>
      </c>
      <c r="KN31" s="130">
        <v>76</v>
      </c>
      <c r="KO31" s="130">
        <v>79.7</v>
      </c>
      <c r="KP31" s="130">
        <v>79.7</v>
      </c>
      <c r="KQ31" s="130">
        <v>79.7</v>
      </c>
      <c r="KR31" s="130">
        <v>79.7</v>
      </c>
      <c r="KS31" s="130">
        <v>70</v>
      </c>
      <c r="KT31" s="130">
        <v>70</v>
      </c>
      <c r="KU31" s="130">
        <v>77.099999999999994</v>
      </c>
      <c r="KV31" s="130">
        <v>65</v>
      </c>
      <c r="KW31" s="130">
        <v>65</v>
      </c>
      <c r="KX31" s="130">
        <v>61.796999999999997</v>
      </c>
      <c r="KY31" s="130">
        <v>61.796999999999997</v>
      </c>
      <c r="KZ31" s="130">
        <v>66.7</v>
      </c>
      <c r="LA31" s="130">
        <v>66.7</v>
      </c>
      <c r="LB31" s="130">
        <v>66.7</v>
      </c>
      <c r="LC31" s="130">
        <v>66.7</v>
      </c>
      <c r="LD31" s="130">
        <v>66.7</v>
      </c>
      <c r="LE31" s="130">
        <v>68.89</v>
      </c>
      <c r="LF31" s="130">
        <v>68.89</v>
      </c>
      <c r="LG31" s="130">
        <v>68.89</v>
      </c>
      <c r="LH31" s="130">
        <v>68.89</v>
      </c>
      <c r="LI31" s="130">
        <v>63.545000000000002</v>
      </c>
      <c r="LJ31" s="130">
        <v>63.545000000000002</v>
      </c>
      <c r="LK31" s="130">
        <v>63.545000000000002</v>
      </c>
      <c r="LL31" s="130">
        <v>73</v>
      </c>
      <c r="LM31" s="130">
        <v>73</v>
      </c>
      <c r="LN31" s="130">
        <v>71.900000000000006</v>
      </c>
      <c r="LO31" s="130">
        <v>71.900000000000006</v>
      </c>
      <c r="LP31" s="130">
        <v>71.900000000000006</v>
      </c>
      <c r="LQ31" s="130">
        <v>14</v>
      </c>
      <c r="LR31" s="130">
        <v>13.462</v>
      </c>
      <c r="LS31" s="130">
        <v>13.462</v>
      </c>
      <c r="LT31" s="130">
        <v>11.163</v>
      </c>
      <c r="LU31" s="130">
        <v>11.2</v>
      </c>
      <c r="LV31" s="130">
        <v>11.2</v>
      </c>
      <c r="LW31" s="130">
        <v>11.2</v>
      </c>
      <c r="LX31" s="130">
        <v>11.074999999999999</v>
      </c>
      <c r="LY31" s="130">
        <v>11.074999999999999</v>
      </c>
      <c r="LZ31" s="130">
        <v>14.34</v>
      </c>
      <c r="MA31" s="130">
        <v>14.34</v>
      </c>
      <c r="MB31" s="130">
        <v>14.34</v>
      </c>
      <c r="MC31" s="130">
        <v>14.34</v>
      </c>
      <c r="MD31" s="130">
        <v>17.25</v>
      </c>
      <c r="ME31" s="130">
        <v>17.25</v>
      </c>
      <c r="MF31" s="130">
        <v>17.25</v>
      </c>
      <c r="MG31" s="130">
        <v>17.25</v>
      </c>
      <c r="MH31" s="130">
        <v>109.791</v>
      </c>
      <c r="MI31" s="130">
        <v>109.791</v>
      </c>
      <c r="MJ31" s="130">
        <v>116.95</v>
      </c>
      <c r="MK31" s="130">
        <v>114</v>
      </c>
      <c r="ML31" s="130">
        <v>114</v>
      </c>
      <c r="MM31" s="130">
        <v>114</v>
      </c>
      <c r="MN31" s="130">
        <v>114</v>
      </c>
      <c r="MO31" s="130">
        <v>114</v>
      </c>
      <c r="MP31" s="130">
        <v>114</v>
      </c>
      <c r="MQ31" s="130">
        <v>120.85</v>
      </c>
      <c r="MR31" s="130">
        <v>120.85</v>
      </c>
      <c r="MS31" s="130">
        <v>130.5</v>
      </c>
      <c r="MT31" s="130">
        <v>130.68700000000001</v>
      </c>
      <c r="MU31" s="130">
        <v>130.68700000000001</v>
      </c>
      <c r="MV31" s="130">
        <v>130.68700000000001</v>
      </c>
      <c r="MW31" s="130">
        <v>123</v>
      </c>
      <c r="MX31" s="130">
        <v>127</v>
      </c>
      <c r="MY31" s="130">
        <v>127</v>
      </c>
      <c r="MZ31" s="130">
        <v>127</v>
      </c>
      <c r="NA31" s="130">
        <v>127</v>
      </c>
      <c r="NB31" s="130">
        <v>127</v>
      </c>
      <c r="NC31" s="130">
        <v>127</v>
      </c>
      <c r="ND31" s="130">
        <v>127</v>
      </c>
      <c r="NE31" s="130">
        <v>127</v>
      </c>
      <c r="NF31" s="130">
        <v>142.69999999999999</v>
      </c>
      <c r="NG31" s="130">
        <v>142.69999999999999</v>
      </c>
      <c r="NH31" s="130">
        <v>149.89999999999998</v>
      </c>
      <c r="NI31" s="130">
        <v>149.89999999999998</v>
      </c>
      <c r="NJ31" s="130">
        <v>149.89999999999998</v>
      </c>
      <c r="NK31" s="130">
        <v>149.89999999999998</v>
      </c>
      <c r="NL31" s="130">
        <v>149.89999999999998</v>
      </c>
      <c r="NM31" s="130">
        <v>131.20000000000002</v>
      </c>
      <c r="NN31" s="130">
        <v>131.20000000000002</v>
      </c>
      <c r="NO31" s="130">
        <v>131.20000000000002</v>
      </c>
      <c r="NP31" s="130">
        <v>133.661</v>
      </c>
      <c r="NQ31" s="130">
        <v>133.661</v>
      </c>
      <c r="NR31" s="130">
        <v>141.64099999999999</v>
      </c>
      <c r="NS31" s="130">
        <v>141.64099999999999</v>
      </c>
      <c r="NT31" s="130">
        <v>141.64099999999999</v>
      </c>
      <c r="NU31" s="130">
        <v>142</v>
      </c>
      <c r="NV31" s="130">
        <v>118.2</v>
      </c>
      <c r="NW31" s="130">
        <v>118.2</v>
      </c>
      <c r="NX31" s="130">
        <v>118.2</v>
      </c>
      <c r="NY31" s="130">
        <v>137.4</v>
      </c>
      <c r="NZ31" s="130">
        <v>141.70000000000002</v>
      </c>
      <c r="OA31" s="130">
        <v>141.70000000000002</v>
      </c>
      <c r="OB31" s="130">
        <v>141.70000000000002</v>
      </c>
      <c r="OC31" s="130">
        <v>154.9</v>
      </c>
      <c r="OD31" s="130">
        <v>154.9</v>
      </c>
      <c r="OE31" s="130">
        <v>154.9</v>
      </c>
      <c r="OF31" s="130">
        <v>154.9</v>
      </c>
      <c r="OG31" s="130">
        <v>171.3</v>
      </c>
      <c r="OH31" s="130">
        <v>171.3</v>
      </c>
      <c r="OI31" s="130">
        <v>167.2</v>
      </c>
      <c r="OJ31" s="130">
        <v>167.9</v>
      </c>
      <c r="OK31" s="130">
        <v>167.9</v>
      </c>
      <c r="OL31" s="130">
        <v>167.9</v>
      </c>
      <c r="OM31" s="130">
        <v>167.9</v>
      </c>
      <c r="ON31" s="130">
        <v>167.9</v>
      </c>
      <c r="OO31" s="130">
        <v>24.5</v>
      </c>
      <c r="OP31" s="130">
        <v>29.8</v>
      </c>
      <c r="OQ31" s="130">
        <v>29.8</v>
      </c>
      <c r="OR31" s="130">
        <v>29.8</v>
      </c>
      <c r="OS31" s="130">
        <v>15</v>
      </c>
      <c r="OT31" s="130">
        <v>15.5</v>
      </c>
      <c r="OU31" s="130">
        <v>15.5</v>
      </c>
      <c r="OV31" s="130">
        <v>15.5</v>
      </c>
      <c r="OW31" s="130">
        <v>32</v>
      </c>
      <c r="OX31" s="130">
        <v>32</v>
      </c>
      <c r="OY31" s="130">
        <v>22.942</v>
      </c>
      <c r="OZ31" s="130">
        <v>22.942</v>
      </c>
      <c r="PA31" s="130">
        <v>22.942</v>
      </c>
      <c r="PB31" s="130">
        <v>32.799999999999997</v>
      </c>
      <c r="PC31" s="130">
        <v>32.799999999999997</v>
      </c>
      <c r="PD31" s="130">
        <v>32.799999999999997</v>
      </c>
      <c r="PE31" s="130">
        <v>32.5</v>
      </c>
      <c r="PF31" s="130">
        <v>32.5</v>
      </c>
      <c r="PG31" s="130">
        <v>32.5</v>
      </c>
      <c r="PH31" s="130">
        <v>32.5</v>
      </c>
      <c r="PI31" s="130">
        <v>36.5</v>
      </c>
      <c r="PJ31" s="130">
        <v>36.5</v>
      </c>
      <c r="PK31" s="130">
        <v>36.5</v>
      </c>
      <c r="PL31" s="130">
        <v>36.5</v>
      </c>
      <c r="PM31" s="130">
        <v>36.5</v>
      </c>
      <c r="PN31" s="130">
        <v>31</v>
      </c>
      <c r="PO31" s="130">
        <v>31</v>
      </c>
      <c r="PP31" s="130">
        <v>31</v>
      </c>
      <c r="PQ31" s="130">
        <v>30.4</v>
      </c>
      <c r="PR31" s="130">
        <v>30.4</v>
      </c>
      <c r="PS31" s="130">
        <v>30.2</v>
      </c>
      <c r="PT31" s="130">
        <v>30.2</v>
      </c>
      <c r="PU31" s="130">
        <v>53.449999999999996</v>
      </c>
      <c r="PV31" s="130">
        <v>53.449999999999996</v>
      </c>
      <c r="PW31" s="130">
        <v>53.449999999999996</v>
      </c>
      <c r="PX31" s="130">
        <v>62.3</v>
      </c>
      <c r="PY31" s="130">
        <v>62.2</v>
      </c>
      <c r="PZ31" s="130">
        <v>62.2</v>
      </c>
      <c r="QA31" s="130">
        <v>62.2</v>
      </c>
      <c r="QB31" s="130">
        <v>77</v>
      </c>
      <c r="QC31" s="130">
        <v>81</v>
      </c>
      <c r="QD31" s="130">
        <v>81</v>
      </c>
      <c r="QE31" s="130">
        <v>79</v>
      </c>
      <c r="QF31" s="130">
        <v>79</v>
      </c>
      <c r="QG31" s="130">
        <v>79</v>
      </c>
      <c r="QH31" s="130">
        <v>79</v>
      </c>
      <c r="QI31" s="130">
        <v>77.599999999999994</v>
      </c>
      <c r="QJ31" s="130">
        <v>77.599999999999994</v>
      </c>
      <c r="QK31" s="130">
        <v>77.7</v>
      </c>
      <c r="QL31" s="130">
        <v>77.7</v>
      </c>
      <c r="QM31" s="130">
        <v>77.7</v>
      </c>
      <c r="QN31" s="130">
        <v>77.400000000000006</v>
      </c>
      <c r="QO31" s="130">
        <v>77.41</v>
      </c>
      <c r="QP31" s="130">
        <v>77.41</v>
      </c>
      <c r="QQ31" s="130">
        <v>79.95</v>
      </c>
      <c r="QR31" s="130">
        <v>79.95</v>
      </c>
      <c r="QS31" s="130">
        <v>67.897999999999996</v>
      </c>
      <c r="QT31" s="130">
        <v>67.897999999999996</v>
      </c>
      <c r="QU31" s="130">
        <v>67.897999999999996</v>
      </c>
      <c r="QV31" s="130">
        <v>72.2</v>
      </c>
      <c r="QW31" s="130">
        <v>67.897999999999996</v>
      </c>
      <c r="QX31" s="130">
        <v>67.897999999999996</v>
      </c>
      <c r="QY31" s="130">
        <v>65.933000000000007</v>
      </c>
      <c r="QZ31" s="130">
        <v>65.933000000000007</v>
      </c>
      <c r="RA31" s="130">
        <v>78.7</v>
      </c>
      <c r="RB31" s="130">
        <v>78.7</v>
      </c>
      <c r="RC31" s="130">
        <v>78.7</v>
      </c>
      <c r="RD31" s="130">
        <v>78.7</v>
      </c>
      <c r="RE31" s="130">
        <v>76</v>
      </c>
      <c r="RF31" s="130">
        <v>76</v>
      </c>
      <c r="RG31" s="130">
        <v>76</v>
      </c>
      <c r="RH31" s="130">
        <v>78.150000000000006</v>
      </c>
      <c r="RI31" s="130">
        <v>64.599999999999994</v>
      </c>
      <c r="RJ31" s="130">
        <v>64.599999999999994</v>
      </c>
      <c r="RK31" s="130">
        <v>69.900000000000006</v>
      </c>
      <c r="RL31" s="130">
        <v>69.900000000000006</v>
      </c>
      <c r="RM31" s="130">
        <v>70.3</v>
      </c>
      <c r="RN31" s="130">
        <v>70.3</v>
      </c>
      <c r="RO31" s="130">
        <v>70.3</v>
      </c>
      <c r="RP31" s="130">
        <v>70.3</v>
      </c>
      <c r="RQ31" s="130">
        <v>78.7</v>
      </c>
      <c r="RR31" s="130">
        <v>78.7</v>
      </c>
      <c r="RS31" s="130">
        <v>77</v>
      </c>
      <c r="RT31" s="130">
        <v>77</v>
      </c>
      <c r="RU31" s="130">
        <v>77</v>
      </c>
      <c r="RV31" s="130">
        <v>77</v>
      </c>
      <c r="RW31" s="130">
        <v>77</v>
      </c>
      <c r="RX31" s="130">
        <v>77</v>
      </c>
      <c r="RY31" s="130">
        <v>84.85</v>
      </c>
      <c r="RZ31" s="130">
        <v>84.85</v>
      </c>
      <c r="SA31" s="130">
        <v>108.83</v>
      </c>
      <c r="SB31" s="130">
        <v>114.16</v>
      </c>
      <c r="SC31" s="130">
        <v>114.16</v>
      </c>
      <c r="SD31" s="130">
        <v>114.16</v>
      </c>
      <c r="SE31" s="130">
        <v>115.8</v>
      </c>
      <c r="SF31" s="130">
        <v>115.8</v>
      </c>
      <c r="SG31" s="130">
        <v>115.5</v>
      </c>
      <c r="SH31" s="130">
        <v>115.5</v>
      </c>
      <c r="SI31" s="130">
        <v>115.2</v>
      </c>
      <c r="SJ31" s="130">
        <v>115.2</v>
      </c>
      <c r="SK31" s="130">
        <v>117.979</v>
      </c>
      <c r="SL31" s="130">
        <v>117.979</v>
      </c>
      <c r="SM31" s="130">
        <v>117.854</v>
      </c>
      <c r="SN31" s="130">
        <v>117.854</v>
      </c>
      <c r="SO31" s="130">
        <v>117.854</v>
      </c>
      <c r="SP31" s="130">
        <v>106.727</v>
      </c>
      <c r="SQ31" s="130">
        <v>106.727</v>
      </c>
      <c r="SR31" s="130">
        <v>106.727</v>
      </c>
      <c r="SS31" s="130">
        <v>139.33500000000001</v>
      </c>
      <c r="ST31" s="130">
        <v>139.33500000000001</v>
      </c>
      <c r="SU31" s="130">
        <v>147.15</v>
      </c>
      <c r="SV31" s="130">
        <v>147.15</v>
      </c>
      <c r="SW31" s="130">
        <v>147.15</v>
      </c>
      <c r="SX31" s="130">
        <v>159.76599999999999</v>
      </c>
      <c r="SY31" s="130">
        <v>159.76599999999999</v>
      </c>
      <c r="SZ31" s="130">
        <v>159.76599999999999</v>
      </c>
      <c r="TA31" s="130">
        <v>200.93</v>
      </c>
      <c r="TB31" s="130">
        <v>200.93</v>
      </c>
      <c r="TC31" s="130">
        <v>206.8</v>
      </c>
      <c r="TD31" s="130">
        <v>206.8</v>
      </c>
      <c r="TE31" s="130">
        <v>217</v>
      </c>
      <c r="TF31" s="130">
        <v>233.15</v>
      </c>
      <c r="TG31" s="130">
        <v>218.917</v>
      </c>
      <c r="TH31" s="130">
        <v>204.095</v>
      </c>
      <c r="TI31" s="130">
        <v>205.3</v>
      </c>
      <c r="TJ31" s="130">
        <v>188.06</v>
      </c>
      <c r="TK31" s="130">
        <v>188.81299999999999</v>
      </c>
      <c r="TL31" s="130">
        <v>190.8</v>
      </c>
      <c r="TM31" s="130">
        <v>193.7</v>
      </c>
      <c r="TN31" s="130">
        <v>195.6</v>
      </c>
      <c r="TO31" s="130">
        <v>206.86</v>
      </c>
      <c r="TP31" s="130">
        <v>186.52500000000001</v>
      </c>
      <c r="TQ31" s="130">
        <v>192.11500000000001</v>
      </c>
      <c r="TR31" s="130">
        <v>208.24199999999999</v>
      </c>
      <c r="TS31" s="130">
        <v>209.67699999999999</v>
      </c>
      <c r="TT31" s="130">
        <v>207.7</v>
      </c>
      <c r="TU31" s="130">
        <v>25.2</v>
      </c>
      <c r="TV31" s="130">
        <v>25.2</v>
      </c>
      <c r="TW31" s="130">
        <v>23</v>
      </c>
      <c r="TX31" s="130">
        <v>30.774999999999999</v>
      </c>
      <c r="TY31" s="130">
        <v>30.774999999999999</v>
      </c>
      <c r="TZ31" s="130">
        <v>41.484999999999999</v>
      </c>
      <c r="UA31" s="130">
        <v>43.45</v>
      </c>
      <c r="UB31" s="130">
        <v>35.265999999999998</v>
      </c>
      <c r="UC31" s="130">
        <v>35.26</v>
      </c>
      <c r="UD31" s="130">
        <v>35.183999999999997</v>
      </c>
      <c r="UE31" s="130">
        <v>36.799999999999997</v>
      </c>
      <c r="UF31" s="130">
        <v>41.8</v>
      </c>
      <c r="UG31" s="130">
        <v>29.844999999999999</v>
      </c>
      <c r="UH31" s="130">
        <v>50.756</v>
      </c>
      <c r="UI31" s="130">
        <v>50.796999999999997</v>
      </c>
      <c r="UJ31" s="130">
        <v>37.35</v>
      </c>
      <c r="UK31" s="130">
        <v>38.299999999999997</v>
      </c>
      <c r="UL31" s="130">
        <v>42.8</v>
      </c>
      <c r="UM31" s="130">
        <v>41</v>
      </c>
      <c r="UN31" s="130">
        <v>45.730000000000004</v>
      </c>
      <c r="UO31" s="130">
        <v>43.88</v>
      </c>
      <c r="UP31" s="130">
        <v>44.5</v>
      </c>
      <c r="UQ31" s="130">
        <v>42</v>
      </c>
      <c r="UR31" s="130">
        <v>46.2</v>
      </c>
      <c r="US31" s="130">
        <v>46.2</v>
      </c>
      <c r="UT31" s="130">
        <v>46.36</v>
      </c>
      <c r="UU31" s="130">
        <v>43.14</v>
      </c>
      <c r="UV31" s="130">
        <v>48.868000000000002</v>
      </c>
      <c r="UW31" s="130">
        <v>48.86</v>
      </c>
      <c r="UX31" s="130">
        <v>53.8</v>
      </c>
      <c r="UY31" s="130">
        <v>70.44</v>
      </c>
      <c r="UZ31" s="130">
        <v>70.12</v>
      </c>
      <c r="VA31" s="130">
        <v>75.8</v>
      </c>
      <c r="VB31" s="130">
        <v>77.180000000000007</v>
      </c>
      <c r="VC31" s="130">
        <v>69.95</v>
      </c>
      <c r="VD31" s="130">
        <v>75.912999999999997</v>
      </c>
      <c r="VE31" s="130">
        <v>75.912999999999997</v>
      </c>
      <c r="VF31" s="130">
        <v>26.241</v>
      </c>
      <c r="VG31" s="130">
        <v>27.268000000000001</v>
      </c>
      <c r="VH31" s="130">
        <v>22.59</v>
      </c>
      <c r="VI31" s="130">
        <v>23.39</v>
      </c>
      <c r="VJ31" s="130">
        <v>3.3</v>
      </c>
      <c r="VK31" s="130">
        <v>6.73</v>
      </c>
      <c r="VL31" s="130">
        <v>36.145000000000003</v>
      </c>
      <c r="VM31" s="130">
        <v>35.31</v>
      </c>
      <c r="VN31" s="130">
        <v>45.29</v>
      </c>
      <c r="VO31" s="130">
        <v>50.372999999999998</v>
      </c>
      <c r="VP31" s="130">
        <v>49.618000000000002</v>
      </c>
      <c r="VQ31" s="130">
        <v>51.2</v>
      </c>
      <c r="VR31" s="130">
        <v>21.66</v>
      </c>
      <c r="VS31" s="130">
        <v>19.3</v>
      </c>
      <c r="VT31" s="130">
        <v>19.065000000000001</v>
      </c>
      <c r="VU31" s="130">
        <v>17.57</v>
      </c>
      <c r="VV31" s="130">
        <v>18.329999999999998</v>
      </c>
      <c r="VW31" s="130">
        <v>18.2</v>
      </c>
      <c r="VX31" s="130">
        <v>18.3</v>
      </c>
      <c r="VY31" s="130">
        <v>21.56</v>
      </c>
      <c r="VZ31" s="130">
        <v>21.56</v>
      </c>
      <c r="WA31" s="130">
        <v>18.251999999999999</v>
      </c>
      <c r="WB31" s="130">
        <v>17</v>
      </c>
      <c r="WC31" s="130">
        <v>8.7029999999999994</v>
      </c>
      <c r="WD31" s="130">
        <v>11.01</v>
      </c>
      <c r="WE31" s="130">
        <v>5.89</v>
      </c>
      <c r="WF31" s="130">
        <v>5.875</v>
      </c>
      <c r="WG31" s="130">
        <v>3.2</v>
      </c>
      <c r="WH31" s="130">
        <v>1.71</v>
      </c>
      <c r="WI31" s="130">
        <v>12.05</v>
      </c>
      <c r="WJ31" s="130">
        <v>11.337</v>
      </c>
      <c r="WK31" s="130">
        <v>11.6</v>
      </c>
      <c r="WL31" s="130">
        <v>65.010000000000005</v>
      </c>
      <c r="WM31" s="130">
        <v>48.510000000000005</v>
      </c>
      <c r="WN31" s="130">
        <v>52.01</v>
      </c>
      <c r="WO31" s="130">
        <v>54.4</v>
      </c>
      <c r="WP31" s="130">
        <v>48.211999999999996</v>
      </c>
      <c r="WQ31" s="130">
        <v>50.744999999999997</v>
      </c>
      <c r="WR31" s="130">
        <v>84.1</v>
      </c>
      <c r="WS31" s="130">
        <v>93.84</v>
      </c>
      <c r="WT31" s="130">
        <v>91.977999999999994</v>
      </c>
      <c r="WU31" s="130">
        <v>91.977999999999994</v>
      </c>
      <c r="WV31" s="130">
        <v>86.492000000000004</v>
      </c>
      <c r="WW31" s="130">
        <v>86.492000000000004</v>
      </c>
      <c r="WX31" s="130">
        <v>80.944999999999993</v>
      </c>
      <c r="WY31" s="130">
        <v>80.929000000000002</v>
      </c>
      <c r="WZ31" s="130">
        <v>83.86999999999999</v>
      </c>
      <c r="XA31" s="130">
        <v>78.73</v>
      </c>
      <c r="XB31" s="130">
        <v>78.575000000000003</v>
      </c>
      <c r="XC31" s="130">
        <v>82.5</v>
      </c>
      <c r="XD31" s="130">
        <v>89.93</v>
      </c>
      <c r="XE31" s="130">
        <v>100.65300000000001</v>
      </c>
      <c r="XF31" s="130">
        <v>97.087999999999994</v>
      </c>
      <c r="XG31" s="130">
        <v>111.08</v>
      </c>
      <c r="XH31" s="130">
        <v>114.7</v>
      </c>
      <c r="XI31" s="130">
        <v>72.17</v>
      </c>
      <c r="XJ31" s="130">
        <v>72.789000000000001</v>
      </c>
      <c r="XK31" s="130">
        <v>102.15</v>
      </c>
      <c r="XL31" s="130">
        <v>89.5</v>
      </c>
      <c r="XM31" s="130">
        <v>89.98</v>
      </c>
      <c r="XN31" s="130">
        <v>92.662999999999997</v>
      </c>
      <c r="XO31" s="130">
        <v>92.6</v>
      </c>
      <c r="XP31" s="130">
        <v>58.472999999999999</v>
      </c>
      <c r="XQ31" s="130">
        <v>77.171999999999997</v>
      </c>
      <c r="XR31" s="130">
        <v>75.778000000000006</v>
      </c>
      <c r="XS31" s="130">
        <v>90.903999999999996</v>
      </c>
      <c r="XT31" s="130">
        <v>94.486999999999995</v>
      </c>
      <c r="XU31" s="130">
        <v>84.786000000000001</v>
      </c>
      <c r="XV31" s="130">
        <v>84.724999999999994</v>
      </c>
      <c r="XW31" s="130">
        <v>91.694999999999993</v>
      </c>
      <c r="XX31" s="130">
        <v>107.152</v>
      </c>
      <c r="XY31" s="130">
        <v>107.70399999999999</v>
      </c>
      <c r="XZ31" s="130">
        <v>107.578</v>
      </c>
      <c r="YA31" s="130">
        <v>107.4</v>
      </c>
      <c r="YB31" s="130">
        <v>110.1</v>
      </c>
      <c r="YC31" s="130">
        <v>34.700000000000003</v>
      </c>
      <c r="YD31" s="130">
        <v>54.8</v>
      </c>
      <c r="YE31" s="130">
        <v>53.4</v>
      </c>
      <c r="YF31" s="130">
        <v>66.897000000000006</v>
      </c>
      <c r="YG31" s="130">
        <v>62.570999999999998</v>
      </c>
      <c r="YH31" s="130">
        <v>73.260999999999996</v>
      </c>
    </row>
    <row r="32" spans="2:658">
      <c r="B32" s="917" t="s">
        <v>38</v>
      </c>
      <c r="C32" s="918">
        <v>70.099999999999994</v>
      </c>
      <c r="D32" s="130">
        <v>50.6</v>
      </c>
      <c r="E32" s="130">
        <v>50.6</v>
      </c>
      <c r="F32" s="130">
        <v>50.6</v>
      </c>
      <c r="G32" s="130">
        <v>50.6</v>
      </c>
      <c r="H32" s="130">
        <v>49.3</v>
      </c>
      <c r="I32" s="130">
        <v>49.3</v>
      </c>
      <c r="J32" s="130">
        <v>49.3</v>
      </c>
      <c r="K32" s="130">
        <v>49.3</v>
      </c>
      <c r="L32" s="130">
        <v>49.3</v>
      </c>
      <c r="M32" s="130">
        <v>49.8</v>
      </c>
      <c r="N32" s="130">
        <v>49.8</v>
      </c>
      <c r="O32" s="130">
        <v>45.3</v>
      </c>
      <c r="P32" s="130">
        <v>45.3</v>
      </c>
      <c r="Q32" s="130">
        <v>46.4</v>
      </c>
      <c r="R32" s="130">
        <v>45.9</v>
      </c>
      <c r="S32" s="130">
        <v>45.1</v>
      </c>
      <c r="T32" s="130">
        <v>46.9</v>
      </c>
      <c r="U32" s="130">
        <v>46.9</v>
      </c>
      <c r="V32" s="130">
        <v>46.8</v>
      </c>
      <c r="W32" s="130">
        <v>47.8</v>
      </c>
      <c r="X32" s="130">
        <v>47.8</v>
      </c>
      <c r="Y32" s="130">
        <v>45.6</v>
      </c>
      <c r="Z32" s="130">
        <v>45.5</v>
      </c>
      <c r="AA32" s="130">
        <v>41.6</v>
      </c>
      <c r="AB32" s="130">
        <v>40.700000000000003</v>
      </c>
      <c r="AC32" s="130">
        <v>42.6</v>
      </c>
      <c r="AD32" s="130">
        <v>68.900000000000006</v>
      </c>
      <c r="AE32" s="130">
        <v>67.900000000000006</v>
      </c>
      <c r="AF32" s="130">
        <v>67.8</v>
      </c>
      <c r="AG32" s="130">
        <v>67.400000000000006</v>
      </c>
      <c r="AH32" s="130">
        <v>68.599999999999994</v>
      </c>
      <c r="AI32" s="130">
        <v>68</v>
      </c>
      <c r="AJ32" s="130">
        <v>67.400000000000006</v>
      </c>
      <c r="AK32" s="130">
        <v>68.8</v>
      </c>
      <c r="AL32" s="130">
        <v>68.8</v>
      </c>
      <c r="AM32" s="130">
        <v>68.900000000000006</v>
      </c>
      <c r="AN32" s="130">
        <v>68.900000000000006</v>
      </c>
      <c r="AO32" s="130">
        <v>68.8</v>
      </c>
      <c r="AP32" s="130">
        <v>66.8</v>
      </c>
      <c r="AQ32" s="130">
        <v>66.3</v>
      </c>
      <c r="AR32" s="130">
        <v>67.3</v>
      </c>
      <c r="AS32" s="130">
        <v>67.5</v>
      </c>
      <c r="AT32" s="130">
        <v>66.5</v>
      </c>
      <c r="AU32" s="130">
        <v>66.5</v>
      </c>
      <c r="AV32" s="130">
        <v>65.03</v>
      </c>
      <c r="AW32" s="130">
        <v>68</v>
      </c>
      <c r="AX32" s="130">
        <v>61.78</v>
      </c>
      <c r="AY32" s="130">
        <v>62.3</v>
      </c>
      <c r="AZ32" s="130">
        <v>62.3</v>
      </c>
      <c r="BA32" s="130">
        <v>62.4</v>
      </c>
      <c r="BB32" s="130">
        <v>62.2</v>
      </c>
      <c r="BC32" s="130">
        <v>62.1</v>
      </c>
      <c r="BD32" s="130">
        <v>62.4</v>
      </c>
      <c r="BE32" s="130">
        <v>62.4</v>
      </c>
      <c r="BF32" s="130">
        <v>62.6</v>
      </c>
      <c r="BG32" s="130">
        <v>62.9</v>
      </c>
      <c r="BH32" s="130">
        <v>62.8</v>
      </c>
      <c r="BI32" s="130">
        <v>49.9</v>
      </c>
      <c r="BJ32" s="130">
        <v>51</v>
      </c>
      <c r="BK32" s="130">
        <v>13</v>
      </c>
      <c r="BL32" s="130">
        <v>12.4</v>
      </c>
      <c r="BM32" s="130">
        <v>13.3</v>
      </c>
      <c r="BN32" s="130">
        <v>14.3</v>
      </c>
      <c r="BO32" s="130">
        <v>14.3</v>
      </c>
      <c r="BP32" s="130">
        <v>14.3</v>
      </c>
      <c r="BQ32" s="130">
        <v>14.3</v>
      </c>
      <c r="BR32" s="130">
        <v>14.3</v>
      </c>
      <c r="BS32" s="130">
        <v>14.3</v>
      </c>
      <c r="BT32" s="130">
        <v>14.3</v>
      </c>
      <c r="BU32" s="130">
        <v>15</v>
      </c>
      <c r="BV32" s="130">
        <v>12.4</v>
      </c>
      <c r="BW32" s="130">
        <v>12.4</v>
      </c>
      <c r="BX32" s="130">
        <v>14.3</v>
      </c>
      <c r="BY32" s="130">
        <v>14.3</v>
      </c>
      <c r="BZ32" s="130">
        <v>16</v>
      </c>
      <c r="CA32" s="130">
        <v>16</v>
      </c>
      <c r="CB32" s="130">
        <v>17.100000000000001</v>
      </c>
      <c r="CC32" s="130">
        <v>17.100000000000001</v>
      </c>
      <c r="CD32" s="130">
        <v>17.899999999999999</v>
      </c>
      <c r="CE32" s="130">
        <v>20.2</v>
      </c>
      <c r="CF32" s="130">
        <v>20.2</v>
      </c>
      <c r="CG32" s="130">
        <v>20.2</v>
      </c>
      <c r="CH32" s="130">
        <v>21.1</v>
      </c>
      <c r="CI32" s="130">
        <v>21.1</v>
      </c>
      <c r="CJ32" s="130">
        <v>22.7</v>
      </c>
      <c r="CK32" s="130">
        <v>22.7</v>
      </c>
      <c r="CL32" s="130">
        <v>22.8</v>
      </c>
      <c r="CM32" s="130">
        <v>22.8</v>
      </c>
      <c r="CN32" s="130">
        <v>22.8</v>
      </c>
      <c r="CO32" s="130">
        <v>22.8</v>
      </c>
      <c r="CP32" s="130">
        <v>22.3</v>
      </c>
      <c r="CQ32" s="130">
        <v>23.4</v>
      </c>
      <c r="CR32" s="130">
        <v>23.6</v>
      </c>
      <c r="CS32" s="130">
        <v>23.6</v>
      </c>
      <c r="CT32" s="130">
        <v>23.6</v>
      </c>
      <c r="CU32" s="130">
        <v>25.5</v>
      </c>
      <c r="CV32" s="130">
        <v>25.2</v>
      </c>
      <c r="CW32" s="130">
        <v>26.5</v>
      </c>
      <c r="CX32" s="130">
        <v>26.5</v>
      </c>
      <c r="CY32" s="130">
        <v>28.4</v>
      </c>
      <c r="CZ32" s="130">
        <v>28.4</v>
      </c>
      <c r="DA32" s="130">
        <v>28.4</v>
      </c>
      <c r="DB32" s="130">
        <v>88.6</v>
      </c>
      <c r="DC32" s="130">
        <v>88.6</v>
      </c>
      <c r="DD32" s="130">
        <v>88.6</v>
      </c>
      <c r="DE32" s="130">
        <v>87.7</v>
      </c>
      <c r="DF32" s="130">
        <v>87.7</v>
      </c>
      <c r="DG32" s="130">
        <v>88.8</v>
      </c>
      <c r="DH32" s="130">
        <v>88</v>
      </c>
      <c r="DI32" s="130">
        <v>88</v>
      </c>
      <c r="DJ32" s="130">
        <v>84.8</v>
      </c>
      <c r="DK32" s="130">
        <v>29.6</v>
      </c>
      <c r="DL32" s="130">
        <v>29.6</v>
      </c>
      <c r="DM32" s="130">
        <v>29.6</v>
      </c>
      <c r="DN32" s="130">
        <v>31.2</v>
      </c>
      <c r="DO32" s="130">
        <v>30.5</v>
      </c>
      <c r="DP32" s="130">
        <v>30.5</v>
      </c>
      <c r="DQ32" s="130">
        <v>30.5</v>
      </c>
      <c r="DR32" s="130">
        <v>30.5</v>
      </c>
      <c r="DS32" s="130">
        <v>30.5</v>
      </c>
      <c r="DT32" s="130">
        <v>31.2</v>
      </c>
      <c r="DU32" s="130">
        <v>31.2</v>
      </c>
      <c r="DV32" s="130">
        <v>31.2</v>
      </c>
      <c r="DW32" s="130">
        <v>32.4</v>
      </c>
      <c r="DX32" s="130">
        <v>32.4</v>
      </c>
      <c r="DY32" s="130">
        <v>32.4</v>
      </c>
      <c r="DZ32" s="130">
        <v>35.6</v>
      </c>
      <c r="EA32" s="130">
        <v>35.6</v>
      </c>
      <c r="EB32" s="130">
        <v>35.6</v>
      </c>
      <c r="EC32" s="130">
        <v>35.6</v>
      </c>
      <c r="ED32" s="130">
        <v>36.200000000000003</v>
      </c>
      <c r="EE32" s="130">
        <v>36.200000000000003</v>
      </c>
      <c r="EF32" s="130">
        <v>36.200000000000003</v>
      </c>
      <c r="EG32" s="130">
        <v>37.1</v>
      </c>
      <c r="EH32" s="130">
        <v>38.200000000000003</v>
      </c>
      <c r="EI32" s="130">
        <v>37.9</v>
      </c>
      <c r="EJ32" s="130">
        <v>38.479999999999997</v>
      </c>
      <c r="EK32" s="130">
        <v>38.9</v>
      </c>
      <c r="EL32" s="130">
        <v>38.9</v>
      </c>
      <c r="EM32" s="130">
        <v>38.9</v>
      </c>
      <c r="EN32" s="130">
        <v>39.799999999999997</v>
      </c>
      <c r="EO32" s="130">
        <v>41.35</v>
      </c>
      <c r="EP32" s="130">
        <v>41.35</v>
      </c>
      <c r="EQ32" s="130">
        <v>41.7</v>
      </c>
      <c r="ER32" s="130">
        <v>41.7</v>
      </c>
      <c r="ES32" s="130">
        <v>41.7</v>
      </c>
      <c r="ET32" s="130">
        <v>42.7</v>
      </c>
      <c r="EU32" s="130">
        <v>42.7</v>
      </c>
      <c r="EV32" s="130">
        <v>42.7</v>
      </c>
      <c r="EW32" s="130">
        <v>42.2</v>
      </c>
      <c r="EX32" s="130">
        <v>43.1</v>
      </c>
      <c r="EY32" s="130">
        <v>43.9</v>
      </c>
      <c r="EZ32" s="130">
        <v>44.6</v>
      </c>
      <c r="FA32" s="130">
        <v>46.9</v>
      </c>
      <c r="FB32" s="130">
        <v>46.9</v>
      </c>
      <c r="FC32" s="130">
        <v>46.9</v>
      </c>
      <c r="FD32" s="130">
        <v>46.9</v>
      </c>
      <c r="FE32" s="130">
        <v>48.6</v>
      </c>
      <c r="FF32" s="130">
        <f>3+45.5</f>
        <v>48.5</v>
      </c>
      <c r="FG32" s="130">
        <f>3.3+45.5</f>
        <v>48.8</v>
      </c>
      <c r="FH32" s="130">
        <v>48.8</v>
      </c>
      <c r="FI32" s="130">
        <v>48.8</v>
      </c>
      <c r="FJ32" s="130">
        <v>48.9</v>
      </c>
      <c r="FK32" s="130">
        <v>48.9</v>
      </c>
      <c r="FL32" s="130">
        <v>69.319999999999993</v>
      </c>
      <c r="FM32" s="130">
        <v>48.2</v>
      </c>
      <c r="FN32" s="130">
        <v>48.2</v>
      </c>
      <c r="FO32" s="130">
        <f>2.7+45.5</f>
        <v>48.2</v>
      </c>
      <c r="FP32" s="130">
        <f>2.7+45.5</f>
        <v>48.2</v>
      </c>
      <c r="FQ32" s="130">
        <f>2.45+45.5</f>
        <v>47.95</v>
      </c>
      <c r="FR32" s="130">
        <v>47.95</v>
      </c>
      <c r="FS32" s="130">
        <v>47.95</v>
      </c>
      <c r="FT32" s="130">
        <f>2.45+45.5</f>
        <v>47.95</v>
      </c>
      <c r="FU32" s="130">
        <f>5+45.5</f>
        <v>50.5</v>
      </c>
      <c r="FV32" s="130">
        <f>5.7+45.5</f>
        <v>51.2</v>
      </c>
      <c r="FW32" s="130">
        <f>5.79+45.5</f>
        <v>51.29</v>
      </c>
      <c r="FX32" s="130">
        <f>5.79+45.5</f>
        <v>51.29</v>
      </c>
      <c r="FY32" s="130">
        <f>5.79+45.5</f>
        <v>51.29</v>
      </c>
      <c r="FZ32" s="130">
        <f>9.45+45.5</f>
        <v>54.95</v>
      </c>
      <c r="GA32" s="130">
        <f>8.45+45.5</f>
        <v>53.95</v>
      </c>
      <c r="GB32" s="130">
        <v>8.4</v>
      </c>
      <c r="GC32" s="130">
        <v>8.5500000000000007</v>
      </c>
      <c r="GD32" s="130">
        <v>8.5500000000000007</v>
      </c>
      <c r="GE32" s="130">
        <v>8.6</v>
      </c>
      <c r="GF32" s="130">
        <v>10.1</v>
      </c>
      <c r="GG32" s="130">
        <v>10.6</v>
      </c>
      <c r="GH32" s="130">
        <v>10.6</v>
      </c>
      <c r="GI32" s="130">
        <v>14.7</v>
      </c>
      <c r="GJ32" s="130">
        <v>13</v>
      </c>
      <c r="GK32" s="130">
        <v>13</v>
      </c>
      <c r="GL32" s="130">
        <v>12.5</v>
      </c>
      <c r="GM32" s="130">
        <v>12.5</v>
      </c>
      <c r="GN32" s="130">
        <v>12</v>
      </c>
      <c r="GO32" s="130">
        <v>12</v>
      </c>
      <c r="GP32" s="130">
        <v>12</v>
      </c>
      <c r="GQ32" s="130">
        <v>9.8000000000000007</v>
      </c>
      <c r="GR32" s="130">
        <v>8.1</v>
      </c>
      <c r="GS32" s="130">
        <v>7.8</v>
      </c>
      <c r="GT32" s="130">
        <v>8.5</v>
      </c>
      <c r="GU32" s="130">
        <v>5.5</v>
      </c>
      <c r="GV32" s="130">
        <v>6.3</v>
      </c>
      <c r="GW32" s="130">
        <v>6.5</v>
      </c>
      <c r="GX32" s="130">
        <v>5.5</v>
      </c>
      <c r="GY32" s="130">
        <v>5.5</v>
      </c>
      <c r="GZ32" s="130">
        <v>6.3</v>
      </c>
      <c r="HA32" s="130">
        <v>7.6</v>
      </c>
      <c r="HB32" s="130">
        <v>9.5</v>
      </c>
      <c r="HC32" s="130">
        <v>10</v>
      </c>
      <c r="HD32" s="130">
        <v>10</v>
      </c>
      <c r="HE32" s="130">
        <v>9.1</v>
      </c>
      <c r="HF32" s="130">
        <v>9.9</v>
      </c>
      <c r="HG32" s="130">
        <v>8.9</v>
      </c>
      <c r="HH32" s="130">
        <v>9.6</v>
      </c>
      <c r="HI32" s="130">
        <v>12.5</v>
      </c>
      <c r="HJ32" s="130">
        <v>12.5</v>
      </c>
      <c r="HK32" s="130">
        <v>16.399999999999999</v>
      </c>
      <c r="HL32" s="130">
        <v>16.350000000000001</v>
      </c>
      <c r="HM32" s="130">
        <v>15.7</v>
      </c>
      <c r="HN32" s="130">
        <v>15.5</v>
      </c>
      <c r="HO32" s="130">
        <v>101.2</v>
      </c>
      <c r="HP32" s="130">
        <v>102.4</v>
      </c>
      <c r="HQ32" s="130">
        <v>100.5</v>
      </c>
      <c r="HR32" s="130">
        <v>100.7</v>
      </c>
      <c r="HS32" s="130">
        <v>100.7</v>
      </c>
      <c r="HT32" s="130">
        <v>101.6</v>
      </c>
      <c r="HU32" s="130">
        <v>101.6</v>
      </c>
      <c r="HV32" s="130">
        <v>86.5</v>
      </c>
      <c r="HW32" s="130">
        <v>86.5</v>
      </c>
      <c r="HX32" s="130">
        <v>86.5</v>
      </c>
      <c r="HY32" s="130">
        <v>86.5</v>
      </c>
      <c r="HZ32" s="130">
        <v>86.5</v>
      </c>
      <c r="IA32" s="130">
        <v>86.5</v>
      </c>
      <c r="IB32" s="130">
        <v>86.5</v>
      </c>
      <c r="IC32" s="130">
        <v>86.5</v>
      </c>
      <c r="ID32" s="130">
        <v>86.5</v>
      </c>
      <c r="IE32" s="130">
        <v>89.8</v>
      </c>
      <c r="IF32" s="130">
        <v>89.8</v>
      </c>
      <c r="IG32" s="130">
        <v>91.2</v>
      </c>
      <c r="IH32" s="130">
        <v>92.2</v>
      </c>
      <c r="II32" s="130">
        <v>92.2</v>
      </c>
      <c r="IJ32" s="130">
        <v>92.2</v>
      </c>
      <c r="IK32" s="130">
        <v>85.649999999999991</v>
      </c>
      <c r="IL32" s="130">
        <v>85.649999999999991</v>
      </c>
      <c r="IM32" s="130">
        <v>85.649999999999991</v>
      </c>
      <c r="IN32" s="130">
        <v>87.149999999999991</v>
      </c>
      <c r="IO32" s="130">
        <v>87.149999999999991</v>
      </c>
      <c r="IP32" s="130">
        <v>78.26100000000001</v>
      </c>
      <c r="IQ32" s="130">
        <v>78.94</v>
      </c>
      <c r="IR32" s="130">
        <v>78.94</v>
      </c>
      <c r="IS32" s="130">
        <v>80.5</v>
      </c>
      <c r="IT32" s="130">
        <v>80.8</v>
      </c>
      <c r="IU32" s="130">
        <v>80.8</v>
      </c>
      <c r="IV32" s="130">
        <v>80.8</v>
      </c>
      <c r="IW32" s="130">
        <v>80.5</v>
      </c>
      <c r="IX32" s="130">
        <v>80.5</v>
      </c>
      <c r="IY32" s="130">
        <v>80.5</v>
      </c>
      <c r="IZ32" s="130">
        <v>82.6</v>
      </c>
      <c r="JA32" s="130">
        <v>83.4</v>
      </c>
      <c r="JB32" s="130">
        <v>83.4</v>
      </c>
      <c r="JC32" s="130">
        <v>83.4</v>
      </c>
      <c r="JD32" s="130">
        <v>83.4</v>
      </c>
      <c r="JE32" s="130">
        <v>83.4</v>
      </c>
      <c r="JF32" s="130">
        <v>83.4</v>
      </c>
      <c r="JG32" s="130">
        <v>78.7</v>
      </c>
      <c r="JH32" s="130">
        <v>78.7</v>
      </c>
      <c r="JI32" s="130">
        <v>78.7</v>
      </c>
      <c r="JJ32" s="130">
        <v>82.1</v>
      </c>
      <c r="JK32" s="130">
        <v>82</v>
      </c>
      <c r="JL32" s="130">
        <v>83.1</v>
      </c>
      <c r="JM32" s="130">
        <v>81.599999999999994</v>
      </c>
      <c r="JN32" s="130">
        <v>81.599999999999994</v>
      </c>
      <c r="JO32" s="130">
        <v>81.599999999999994</v>
      </c>
      <c r="JP32" s="130">
        <v>79.5</v>
      </c>
      <c r="JQ32" s="130">
        <v>79.5</v>
      </c>
      <c r="JR32" s="130">
        <v>80.5</v>
      </c>
      <c r="JS32" s="130">
        <v>80.5</v>
      </c>
      <c r="JT32" s="130">
        <v>109.5</v>
      </c>
      <c r="JU32" s="130">
        <v>109.5</v>
      </c>
      <c r="JV32" s="130">
        <v>109.5</v>
      </c>
      <c r="JW32" s="130">
        <v>109.5</v>
      </c>
      <c r="JX32" s="130">
        <v>109.5</v>
      </c>
      <c r="JY32" s="130">
        <v>109.5</v>
      </c>
      <c r="JZ32" s="130">
        <v>109.5</v>
      </c>
      <c r="KA32" s="130">
        <v>116.2</v>
      </c>
      <c r="KB32" s="130">
        <v>118.9</v>
      </c>
      <c r="KC32" s="130">
        <v>116</v>
      </c>
      <c r="KD32" s="130">
        <v>82.763000000000005</v>
      </c>
      <c r="KE32" s="130">
        <v>82.763000000000005</v>
      </c>
      <c r="KF32" s="130">
        <v>82</v>
      </c>
      <c r="KG32" s="130">
        <v>84.2</v>
      </c>
      <c r="KH32" s="130">
        <v>84.2</v>
      </c>
      <c r="KI32" s="130">
        <v>82</v>
      </c>
      <c r="KJ32" s="130">
        <v>82</v>
      </c>
      <c r="KK32" s="130">
        <v>82</v>
      </c>
      <c r="KL32" s="130">
        <v>82</v>
      </c>
      <c r="KM32" s="130">
        <v>82</v>
      </c>
      <c r="KN32" s="130">
        <v>69.7</v>
      </c>
      <c r="KO32" s="130">
        <v>77</v>
      </c>
      <c r="KP32" s="130">
        <v>77</v>
      </c>
      <c r="KQ32" s="130">
        <v>77</v>
      </c>
      <c r="KR32" s="130">
        <v>77</v>
      </c>
      <c r="KS32" s="130">
        <v>72.8</v>
      </c>
      <c r="KT32" s="130">
        <v>72.8</v>
      </c>
      <c r="KU32" s="130">
        <v>74.2</v>
      </c>
      <c r="KV32" s="130">
        <v>71.7</v>
      </c>
      <c r="KW32" s="130">
        <v>71.7</v>
      </c>
      <c r="KX32" s="130">
        <v>71.7</v>
      </c>
      <c r="KY32" s="130">
        <v>71.7</v>
      </c>
      <c r="KZ32" s="130">
        <v>67.150000000000006</v>
      </c>
      <c r="LA32" s="130">
        <v>67.150000000000006</v>
      </c>
      <c r="LB32" s="130">
        <v>68.5</v>
      </c>
      <c r="LC32" s="130">
        <v>68.5</v>
      </c>
      <c r="LD32" s="130">
        <v>68.5</v>
      </c>
      <c r="LE32" s="130">
        <v>67.3</v>
      </c>
      <c r="LF32" s="130">
        <v>67.7</v>
      </c>
      <c r="LG32" s="130">
        <v>67.7</v>
      </c>
      <c r="LH32" s="130">
        <v>67.7</v>
      </c>
      <c r="LI32" s="130">
        <v>66.099999999999994</v>
      </c>
      <c r="LJ32" s="130">
        <v>66.099999999999994</v>
      </c>
      <c r="LK32" s="130">
        <v>66.099999999999994</v>
      </c>
      <c r="LL32" s="130">
        <v>67.125</v>
      </c>
      <c r="LM32" s="130">
        <v>67.125</v>
      </c>
      <c r="LN32" s="130">
        <v>67.19</v>
      </c>
      <c r="LO32" s="130">
        <v>67.19</v>
      </c>
      <c r="LP32" s="130">
        <v>67.19</v>
      </c>
      <c r="LQ32" s="130">
        <v>67.081000000000003</v>
      </c>
      <c r="LR32" s="130">
        <v>66.034999999999997</v>
      </c>
      <c r="LS32" s="130">
        <v>66.034999999999997</v>
      </c>
      <c r="LT32" s="130">
        <v>68</v>
      </c>
      <c r="LU32" s="130">
        <v>68</v>
      </c>
      <c r="LV32" s="130">
        <v>67.5</v>
      </c>
      <c r="LW32" s="130">
        <v>67.5</v>
      </c>
      <c r="LX32" s="130">
        <v>66.3</v>
      </c>
      <c r="LY32" s="130">
        <v>66.3</v>
      </c>
      <c r="LZ32" s="130">
        <v>67.5</v>
      </c>
      <c r="MA32" s="130">
        <v>67.5</v>
      </c>
      <c r="MB32" s="130">
        <v>67.5</v>
      </c>
      <c r="MC32" s="130">
        <v>67.5</v>
      </c>
      <c r="MD32" s="130">
        <v>111.73399999999999</v>
      </c>
      <c r="ME32" s="130">
        <v>113.1</v>
      </c>
      <c r="MF32" s="130">
        <v>113.1</v>
      </c>
      <c r="MG32" s="130">
        <v>113.1</v>
      </c>
      <c r="MH32" s="130">
        <v>123.10299999999999</v>
      </c>
      <c r="MI32" s="130">
        <v>123.10299999999999</v>
      </c>
      <c r="MJ32" s="130">
        <v>124</v>
      </c>
      <c r="MK32" s="130">
        <v>124.64700000000001</v>
      </c>
      <c r="ML32" s="130">
        <v>124.64700000000001</v>
      </c>
      <c r="MM32" s="130">
        <v>124.64700000000001</v>
      </c>
      <c r="MN32" s="130">
        <v>124.64700000000001</v>
      </c>
      <c r="MO32" s="130">
        <v>124.64700000000001</v>
      </c>
      <c r="MP32" s="130">
        <v>124.64700000000001</v>
      </c>
      <c r="MQ32" s="130">
        <v>109.69</v>
      </c>
      <c r="MR32" s="130">
        <v>109.69</v>
      </c>
      <c r="MS32" s="130">
        <v>108.8</v>
      </c>
      <c r="MT32" s="130">
        <v>108.89999999999999</v>
      </c>
      <c r="MU32" s="130">
        <v>108.89999999999999</v>
      </c>
      <c r="MV32" s="130">
        <v>108.89999999999999</v>
      </c>
      <c r="MW32" s="130">
        <v>107.9</v>
      </c>
      <c r="MX32" s="130">
        <v>110</v>
      </c>
      <c r="MY32" s="130">
        <v>110</v>
      </c>
      <c r="MZ32" s="130">
        <v>110</v>
      </c>
      <c r="NA32" s="130">
        <v>110</v>
      </c>
      <c r="NB32" s="130">
        <v>110</v>
      </c>
      <c r="NC32" s="130">
        <v>110</v>
      </c>
      <c r="ND32" s="130">
        <v>110</v>
      </c>
      <c r="NE32" s="130">
        <v>110</v>
      </c>
      <c r="NF32" s="130">
        <v>104.5</v>
      </c>
      <c r="NG32" s="130">
        <v>105.4</v>
      </c>
      <c r="NH32" s="130">
        <v>106.4</v>
      </c>
      <c r="NI32" s="130">
        <v>108.5</v>
      </c>
      <c r="NJ32" s="130">
        <v>108.5</v>
      </c>
      <c r="NK32" s="130">
        <v>87.1</v>
      </c>
      <c r="NL32" s="130">
        <v>87.1</v>
      </c>
      <c r="NM32" s="130">
        <v>106.9</v>
      </c>
      <c r="NN32" s="130">
        <v>106.9</v>
      </c>
      <c r="NO32" s="130">
        <v>106.9</v>
      </c>
      <c r="NP32" s="130">
        <v>102.3</v>
      </c>
      <c r="NQ32" s="130">
        <v>102.3</v>
      </c>
      <c r="NR32" s="130">
        <v>103</v>
      </c>
      <c r="NS32" s="130">
        <v>103</v>
      </c>
      <c r="NT32" s="130">
        <v>103</v>
      </c>
      <c r="NU32" s="130">
        <v>102.7</v>
      </c>
      <c r="NV32" s="130">
        <v>101.7</v>
      </c>
      <c r="NW32" s="130">
        <v>101.7</v>
      </c>
      <c r="NX32" s="130">
        <v>101.7</v>
      </c>
      <c r="NY32" s="130">
        <v>97.199999999999989</v>
      </c>
      <c r="NZ32" s="130">
        <v>98.199999999999989</v>
      </c>
      <c r="OA32" s="130">
        <v>98.199999999999989</v>
      </c>
      <c r="OB32" s="130">
        <v>98.199999999999989</v>
      </c>
      <c r="OC32" s="130">
        <v>100.5</v>
      </c>
      <c r="OD32" s="130">
        <v>100.5</v>
      </c>
      <c r="OE32" s="130">
        <v>100.5</v>
      </c>
      <c r="OF32" s="130">
        <v>100.5</v>
      </c>
      <c r="OG32" s="130">
        <v>101.1</v>
      </c>
      <c r="OH32" s="130">
        <v>101.1</v>
      </c>
      <c r="OI32" s="130">
        <v>95.3</v>
      </c>
      <c r="OJ32" s="130">
        <v>95.3</v>
      </c>
      <c r="OK32" s="130">
        <v>95.3</v>
      </c>
      <c r="OL32" s="130">
        <v>96.5</v>
      </c>
      <c r="OM32" s="130">
        <v>96.5</v>
      </c>
      <c r="ON32" s="130">
        <v>96.5</v>
      </c>
      <c r="OO32" s="130">
        <v>93.3</v>
      </c>
      <c r="OP32" s="130">
        <v>93.3</v>
      </c>
      <c r="OQ32" s="130">
        <v>93.3</v>
      </c>
      <c r="OR32" s="130">
        <v>93.3</v>
      </c>
      <c r="OS32" s="130">
        <v>92.3</v>
      </c>
      <c r="OT32" s="130">
        <v>93.2</v>
      </c>
      <c r="OU32" s="130">
        <v>93.2</v>
      </c>
      <c r="OV32" s="130">
        <v>93.2</v>
      </c>
      <c r="OW32" s="130">
        <v>97.3</v>
      </c>
      <c r="OX32" s="130">
        <v>97.3</v>
      </c>
      <c r="OY32" s="130">
        <v>67.328000000000003</v>
      </c>
      <c r="OZ32" s="130">
        <v>67.328000000000003</v>
      </c>
      <c r="PA32" s="130">
        <v>67.328000000000003</v>
      </c>
      <c r="PB32" s="130">
        <v>65.400000000000006</v>
      </c>
      <c r="PC32" s="130">
        <v>65.400000000000006</v>
      </c>
      <c r="PD32" s="130">
        <v>65.400000000000006</v>
      </c>
      <c r="PE32" s="130">
        <v>68.2</v>
      </c>
      <c r="PF32" s="130">
        <v>68.2</v>
      </c>
      <c r="PG32" s="130">
        <v>68.2</v>
      </c>
      <c r="PH32" s="130">
        <v>68.2</v>
      </c>
      <c r="PI32" s="130">
        <v>65</v>
      </c>
      <c r="PJ32" s="130">
        <v>66.8</v>
      </c>
      <c r="PK32" s="130">
        <v>66.8</v>
      </c>
      <c r="PL32" s="130">
        <v>66.8</v>
      </c>
      <c r="PM32" s="130">
        <v>66.8</v>
      </c>
      <c r="PN32" s="130">
        <v>64.599999999999994</v>
      </c>
      <c r="PO32" s="130">
        <v>64.599999999999994</v>
      </c>
      <c r="PP32" s="130">
        <v>64.599999999999994</v>
      </c>
      <c r="PQ32" s="130">
        <v>13.4</v>
      </c>
      <c r="PR32" s="130">
        <v>13.4</v>
      </c>
      <c r="PS32" s="130">
        <v>66.900000000000006</v>
      </c>
      <c r="PT32" s="130">
        <v>66.900000000000006</v>
      </c>
      <c r="PU32" s="130">
        <v>62.6</v>
      </c>
      <c r="PV32" s="130">
        <v>62.6</v>
      </c>
      <c r="PW32" s="130">
        <v>62.6</v>
      </c>
      <c r="PX32" s="130">
        <v>64.2</v>
      </c>
      <c r="PY32" s="130">
        <v>65.8</v>
      </c>
      <c r="PZ32" s="130">
        <v>65.8</v>
      </c>
      <c r="QA32" s="130">
        <v>65.8</v>
      </c>
      <c r="QB32" s="130">
        <v>61.7</v>
      </c>
      <c r="QC32" s="130">
        <v>62.1</v>
      </c>
      <c r="QD32" s="130">
        <v>62.1</v>
      </c>
      <c r="QE32" s="130">
        <v>61.5</v>
      </c>
      <c r="QF32" s="130">
        <v>61.5</v>
      </c>
      <c r="QG32" s="130">
        <v>61.5</v>
      </c>
      <c r="QH32" s="130">
        <v>61.5</v>
      </c>
      <c r="QI32" s="130">
        <v>59.7</v>
      </c>
      <c r="QJ32" s="130">
        <v>59.7</v>
      </c>
      <c r="QK32" s="130">
        <v>55</v>
      </c>
      <c r="QL32" s="130">
        <v>55</v>
      </c>
      <c r="QM32" s="130">
        <v>55</v>
      </c>
      <c r="QN32" s="130">
        <v>52.4</v>
      </c>
      <c r="QO32" s="130">
        <v>52.5</v>
      </c>
      <c r="QP32" s="130">
        <v>52.5</v>
      </c>
      <c r="QQ32" s="130">
        <v>53.2</v>
      </c>
      <c r="QR32" s="130">
        <v>53.2</v>
      </c>
      <c r="QS32" s="130">
        <v>52.8</v>
      </c>
      <c r="QT32" s="130">
        <v>73.8</v>
      </c>
      <c r="QU32" s="130">
        <v>73.8</v>
      </c>
      <c r="QV32" s="130">
        <v>73.8</v>
      </c>
      <c r="QW32" s="130">
        <v>73.8</v>
      </c>
      <c r="QX32" s="130">
        <v>73.8</v>
      </c>
      <c r="QY32" s="130">
        <v>72.319999999999993</v>
      </c>
      <c r="QZ32" s="130">
        <v>72.319999999999993</v>
      </c>
      <c r="RA32" s="130">
        <v>72.599999999999994</v>
      </c>
      <c r="RB32" s="130">
        <v>72.599999999999994</v>
      </c>
      <c r="RC32" s="130">
        <v>72.599999999999994</v>
      </c>
      <c r="RD32" s="130">
        <v>72.599999999999994</v>
      </c>
      <c r="RE32" s="130">
        <v>56.5</v>
      </c>
      <c r="RF32" s="130">
        <v>56.5</v>
      </c>
      <c r="RG32" s="130">
        <v>56.5</v>
      </c>
      <c r="RH32" s="130">
        <v>53.9</v>
      </c>
      <c r="RI32" s="130">
        <v>52.6</v>
      </c>
      <c r="RJ32" s="130">
        <v>52.6</v>
      </c>
      <c r="RK32" s="130">
        <v>53.8</v>
      </c>
      <c r="RL32" s="130">
        <v>53.8</v>
      </c>
      <c r="RM32" s="130">
        <v>52.6</v>
      </c>
      <c r="RN32" s="130">
        <v>52.6</v>
      </c>
      <c r="RO32" s="130">
        <v>52.6</v>
      </c>
      <c r="RP32" s="130">
        <v>52.6</v>
      </c>
      <c r="RQ32" s="130">
        <v>54.4</v>
      </c>
      <c r="RR32" s="130">
        <v>54.4</v>
      </c>
      <c r="RS32" s="130">
        <v>53.6</v>
      </c>
      <c r="RT32" s="130">
        <v>53.6</v>
      </c>
      <c r="RU32" s="130">
        <v>53.6</v>
      </c>
      <c r="RV32" s="130">
        <v>53.6</v>
      </c>
      <c r="RW32" s="130">
        <v>53.6</v>
      </c>
      <c r="RX32" s="130">
        <v>53.6</v>
      </c>
      <c r="RY32" s="130">
        <v>51.72</v>
      </c>
      <c r="RZ32" s="130">
        <v>51.72</v>
      </c>
      <c r="SA32" s="130">
        <v>53.1</v>
      </c>
      <c r="SB32" s="130">
        <v>51.82</v>
      </c>
      <c r="SC32" s="130">
        <v>51.82</v>
      </c>
      <c r="SD32" s="130">
        <v>51.82</v>
      </c>
      <c r="SE32" s="130">
        <v>52.56</v>
      </c>
      <c r="SF32" s="130">
        <v>52.56</v>
      </c>
      <c r="SG32" s="130">
        <v>53.2</v>
      </c>
      <c r="SH32" s="130">
        <v>53.2</v>
      </c>
      <c r="SI32" s="130">
        <v>53.5</v>
      </c>
      <c r="SJ32" s="130">
        <v>53.5</v>
      </c>
      <c r="SK32" s="130">
        <v>53</v>
      </c>
      <c r="SL32" s="130">
        <v>53</v>
      </c>
      <c r="SM32" s="130">
        <v>51.5</v>
      </c>
      <c r="SN32" s="130">
        <v>51.5</v>
      </c>
      <c r="SO32" s="130">
        <v>51.5</v>
      </c>
      <c r="SP32" s="130">
        <v>54</v>
      </c>
      <c r="SQ32" s="130">
        <v>54</v>
      </c>
      <c r="SR32" s="130">
        <v>54</v>
      </c>
      <c r="SS32" s="130">
        <v>53.832000000000001</v>
      </c>
      <c r="ST32" s="130">
        <v>53.832000000000001</v>
      </c>
      <c r="SU32" s="130">
        <v>54.1</v>
      </c>
      <c r="SV32" s="130">
        <v>54.1</v>
      </c>
      <c r="SW32" s="130">
        <v>54.1</v>
      </c>
      <c r="SX32" s="130">
        <v>53.6</v>
      </c>
      <c r="SY32" s="130">
        <v>53.6</v>
      </c>
      <c r="SZ32" s="130">
        <v>53.6</v>
      </c>
      <c r="TA32" s="130">
        <v>64.599999999999994</v>
      </c>
      <c r="TB32" s="130">
        <v>64.599999999999994</v>
      </c>
      <c r="TC32" s="130">
        <v>66.900000000000006</v>
      </c>
      <c r="TD32" s="130">
        <v>66.900000000000006</v>
      </c>
      <c r="TE32" s="130">
        <v>66.5</v>
      </c>
      <c r="TF32" s="130">
        <v>61.4</v>
      </c>
      <c r="TG32" s="130">
        <v>53.400000000000006</v>
      </c>
      <c r="TH32" s="130">
        <v>52.6</v>
      </c>
      <c r="TI32" s="130">
        <v>53.2</v>
      </c>
      <c r="TJ32" s="130">
        <v>53.95</v>
      </c>
      <c r="TK32" s="130">
        <v>54.59</v>
      </c>
      <c r="TL32" s="130">
        <v>52.3</v>
      </c>
      <c r="TM32" s="130">
        <v>52.9</v>
      </c>
      <c r="TN32" s="130">
        <v>53.9</v>
      </c>
      <c r="TO32" s="130">
        <v>51.5</v>
      </c>
      <c r="TP32" s="130">
        <v>52.7</v>
      </c>
      <c r="TQ32" s="130">
        <v>53.3</v>
      </c>
      <c r="TR32" s="130">
        <v>52.1</v>
      </c>
      <c r="TS32" s="130">
        <v>53.4</v>
      </c>
      <c r="TT32" s="130">
        <v>51.69</v>
      </c>
      <c r="TU32" s="130">
        <v>51.69</v>
      </c>
      <c r="TV32" s="130">
        <v>52.133000000000003</v>
      </c>
      <c r="TW32" s="130">
        <v>53.2</v>
      </c>
      <c r="TX32" s="130">
        <v>53.4</v>
      </c>
      <c r="TY32" s="130">
        <v>53.4</v>
      </c>
      <c r="TZ32" s="130">
        <v>52.7</v>
      </c>
      <c r="UA32" s="130">
        <v>68.034999999999997</v>
      </c>
      <c r="UB32" s="130">
        <v>69.449999999999989</v>
      </c>
      <c r="UC32" s="130">
        <v>69.22</v>
      </c>
      <c r="UD32" s="130">
        <v>71.3</v>
      </c>
      <c r="UE32" s="130">
        <v>68.8</v>
      </c>
      <c r="UF32" s="130">
        <v>68.599999999999994</v>
      </c>
      <c r="UG32" s="130">
        <v>68.844999999999999</v>
      </c>
      <c r="UH32" s="130">
        <v>52.5</v>
      </c>
      <c r="UI32" s="130">
        <v>53.1</v>
      </c>
      <c r="UJ32" s="130">
        <v>52.505000000000003</v>
      </c>
      <c r="UK32" s="130">
        <v>51.9</v>
      </c>
      <c r="UL32" s="130">
        <v>53</v>
      </c>
      <c r="UM32" s="130">
        <v>54.75</v>
      </c>
      <c r="UN32" s="130">
        <v>52.8</v>
      </c>
      <c r="UO32" s="130">
        <v>53.066000000000003</v>
      </c>
      <c r="UP32" s="130">
        <v>56.8</v>
      </c>
      <c r="UQ32" s="130">
        <v>56.8</v>
      </c>
      <c r="UR32" s="130">
        <v>53.6</v>
      </c>
      <c r="US32" s="130">
        <v>53.6</v>
      </c>
      <c r="UT32" s="130">
        <v>53.728000000000002</v>
      </c>
      <c r="UU32" s="130">
        <v>52.8</v>
      </c>
      <c r="UV32" s="130">
        <v>52.1</v>
      </c>
      <c r="UW32" s="130">
        <v>52.1</v>
      </c>
      <c r="UX32" s="130">
        <v>52.2</v>
      </c>
      <c r="UY32" s="130">
        <v>52.7</v>
      </c>
      <c r="UZ32" s="130">
        <v>53.6</v>
      </c>
      <c r="VA32" s="130">
        <v>53.37</v>
      </c>
      <c r="VB32" s="130">
        <v>52.2</v>
      </c>
      <c r="VC32" s="130">
        <v>52.01</v>
      </c>
      <c r="VD32" s="130">
        <v>52.03</v>
      </c>
      <c r="VE32" s="130">
        <v>52.03</v>
      </c>
      <c r="VF32" s="130">
        <v>52.1</v>
      </c>
      <c r="VG32" s="130">
        <v>53.99</v>
      </c>
      <c r="VH32" s="130">
        <v>54.5</v>
      </c>
      <c r="VI32" s="130">
        <v>55.78</v>
      </c>
      <c r="VJ32" s="130">
        <v>53.41</v>
      </c>
      <c r="VK32" s="130">
        <v>55.8</v>
      </c>
      <c r="VL32" s="130">
        <v>51.920999999999999</v>
      </c>
      <c r="VM32" s="130">
        <v>51.960999999999999</v>
      </c>
      <c r="VN32" s="130">
        <v>52.136000000000003</v>
      </c>
      <c r="VO32" s="130">
        <v>53.79</v>
      </c>
      <c r="VP32" s="130">
        <v>53.820999999999998</v>
      </c>
      <c r="VQ32" s="130">
        <v>53.2</v>
      </c>
      <c r="VR32" s="130">
        <v>54.545000000000002</v>
      </c>
      <c r="VS32" s="130">
        <v>54.8</v>
      </c>
      <c r="VT32" s="130">
        <v>52.02</v>
      </c>
      <c r="VU32" s="130">
        <v>52.23</v>
      </c>
      <c r="VV32" s="130">
        <v>51.5</v>
      </c>
      <c r="VW32" s="130">
        <v>51.5</v>
      </c>
      <c r="VX32" s="130">
        <v>52.5</v>
      </c>
      <c r="VY32" s="130">
        <v>54</v>
      </c>
      <c r="VZ32" s="130">
        <v>56.9</v>
      </c>
      <c r="WA32" s="130">
        <v>54.77</v>
      </c>
      <c r="WB32" s="130">
        <v>54.94</v>
      </c>
      <c r="WC32" s="130">
        <v>53.99</v>
      </c>
      <c r="WD32" s="130">
        <v>52.84</v>
      </c>
      <c r="WE32" s="130">
        <v>52.395000000000003</v>
      </c>
      <c r="WF32" s="130">
        <v>52.37</v>
      </c>
      <c r="WG32" s="130">
        <v>52.622999999999998</v>
      </c>
      <c r="WH32" s="130">
        <v>55.734999999999999</v>
      </c>
      <c r="WI32" s="130">
        <v>58.4</v>
      </c>
      <c r="WJ32" s="130">
        <v>51.851999999999997</v>
      </c>
      <c r="WK32" s="130">
        <v>53.613</v>
      </c>
      <c r="WL32" s="130">
        <v>54.3</v>
      </c>
      <c r="WM32" s="130">
        <v>54.12</v>
      </c>
      <c r="WN32" s="130">
        <v>53.6</v>
      </c>
      <c r="WO32" s="130">
        <v>56.8</v>
      </c>
      <c r="WP32" s="130">
        <v>52.493000000000002</v>
      </c>
      <c r="WQ32" s="130">
        <v>54.5</v>
      </c>
      <c r="WR32" s="130">
        <v>52.4</v>
      </c>
      <c r="WS32" s="130">
        <v>53.75</v>
      </c>
      <c r="WT32" s="130">
        <v>55.55</v>
      </c>
      <c r="WU32" s="130">
        <v>55.634999999999998</v>
      </c>
      <c r="WV32" s="130">
        <v>55.134999999999998</v>
      </c>
      <c r="WW32" s="130">
        <v>55.075000000000003</v>
      </c>
      <c r="WX32" s="130">
        <v>54.2</v>
      </c>
      <c r="WY32" s="130">
        <v>52.5</v>
      </c>
      <c r="WZ32" s="130">
        <v>52.917000000000002</v>
      </c>
      <c r="XA32" s="130">
        <v>51.74</v>
      </c>
      <c r="XB32" s="130">
        <v>53.116999999999997</v>
      </c>
      <c r="XC32" s="130">
        <v>54.29</v>
      </c>
      <c r="XD32" s="130">
        <v>55.39</v>
      </c>
      <c r="XE32" s="130">
        <v>53.012999999999998</v>
      </c>
      <c r="XF32" s="130">
        <v>53.716999999999999</v>
      </c>
      <c r="XG32" s="130">
        <v>53.341000000000001</v>
      </c>
      <c r="XH32" s="130">
        <v>53.441000000000003</v>
      </c>
      <c r="XI32" s="130">
        <v>55.86</v>
      </c>
      <c r="XJ32" s="130">
        <v>56.040999999999997</v>
      </c>
      <c r="XK32" s="130">
        <v>53.9</v>
      </c>
      <c r="XL32" s="130">
        <v>53.417000000000002</v>
      </c>
      <c r="XM32" s="130">
        <v>53.898000000000003</v>
      </c>
      <c r="XN32" s="130">
        <v>53.664000000000001</v>
      </c>
      <c r="XO32" s="130">
        <v>54</v>
      </c>
      <c r="XP32" s="130">
        <v>55.850999999999999</v>
      </c>
      <c r="XQ32" s="130">
        <v>54.164999999999999</v>
      </c>
      <c r="XR32" s="130">
        <v>52.222999999999999</v>
      </c>
      <c r="XS32" s="130">
        <v>52.545000000000002</v>
      </c>
      <c r="XT32" s="130">
        <v>52.642000000000003</v>
      </c>
      <c r="XU32" s="130">
        <v>53.865000000000002</v>
      </c>
      <c r="XV32" s="130">
        <v>53.892000000000003</v>
      </c>
      <c r="XW32" s="130">
        <v>55.081000000000003</v>
      </c>
      <c r="XX32" s="130">
        <v>51.771999999999998</v>
      </c>
      <c r="XY32" s="130">
        <v>52.124000000000002</v>
      </c>
      <c r="XZ32" s="130">
        <v>55.128</v>
      </c>
      <c r="YA32" s="130">
        <v>51.728000000000002</v>
      </c>
      <c r="YB32" s="130">
        <v>53.328000000000003</v>
      </c>
      <c r="YC32" s="130">
        <v>53.728000000000002</v>
      </c>
      <c r="YD32" s="130">
        <v>51.628</v>
      </c>
      <c r="YE32" s="130">
        <v>51.5</v>
      </c>
      <c r="YF32" s="130">
        <v>52.762</v>
      </c>
      <c r="YG32" s="130">
        <v>52.235999999999997</v>
      </c>
      <c r="YH32" s="130">
        <v>52.664999999999999</v>
      </c>
    </row>
    <row r="33" spans="2:658">
      <c r="B33" s="917" t="s">
        <v>39</v>
      </c>
      <c r="C33" s="918">
        <v>25.3</v>
      </c>
      <c r="D33" s="130">
        <v>25.3</v>
      </c>
      <c r="E33" s="130">
        <v>15.2</v>
      </c>
      <c r="F33" s="130">
        <v>15.2</v>
      </c>
      <c r="G33" s="130">
        <v>15.2</v>
      </c>
      <c r="H33" s="130">
        <v>8.9</v>
      </c>
      <c r="I33" s="130">
        <v>6.8</v>
      </c>
      <c r="J33" s="130">
        <v>8.3000000000000007</v>
      </c>
      <c r="K33" s="130">
        <v>8.8000000000000007</v>
      </c>
      <c r="L33" s="130">
        <v>8.6</v>
      </c>
      <c r="M33" s="130">
        <v>8.4</v>
      </c>
      <c r="N33" s="130">
        <v>54</v>
      </c>
      <c r="O33" s="130">
        <v>13.6</v>
      </c>
      <c r="P33" s="130">
        <v>12.4</v>
      </c>
      <c r="Q33" s="130">
        <v>12.5</v>
      </c>
      <c r="R33" s="130">
        <v>6.5</v>
      </c>
      <c r="S33" s="130">
        <v>12.2</v>
      </c>
      <c r="T33" s="130">
        <v>9.5</v>
      </c>
      <c r="U33" s="130">
        <v>6.7</v>
      </c>
      <c r="V33" s="130">
        <v>13.8</v>
      </c>
      <c r="W33" s="130">
        <v>13.8</v>
      </c>
      <c r="X33" s="130">
        <v>50.6</v>
      </c>
      <c r="Y33" s="130">
        <v>42.8</v>
      </c>
      <c r="Z33" s="130">
        <v>8.4</v>
      </c>
      <c r="AA33" s="130">
        <v>6.3</v>
      </c>
      <c r="AB33" s="130">
        <v>23.6</v>
      </c>
      <c r="AC33" s="130">
        <v>19.5</v>
      </c>
      <c r="AD33" s="130">
        <v>10.199999999999999</v>
      </c>
      <c r="AE33" s="130">
        <v>10.199999999999999</v>
      </c>
      <c r="AF33" s="130">
        <v>14.2</v>
      </c>
      <c r="AG33" s="130">
        <v>14.6</v>
      </c>
      <c r="AH33" s="130">
        <v>56.1</v>
      </c>
      <c r="AI33" s="130">
        <v>32.799999999999997</v>
      </c>
      <c r="AJ33" s="130">
        <v>18</v>
      </c>
      <c r="AK33" s="130">
        <v>18</v>
      </c>
      <c r="AL33" s="130">
        <v>17.899999999999999</v>
      </c>
      <c r="AM33" s="130">
        <v>50.8</v>
      </c>
      <c r="AN33" s="130">
        <v>5.3</v>
      </c>
      <c r="AO33" s="130">
        <v>5.3</v>
      </c>
      <c r="AP33" s="130">
        <v>5.3</v>
      </c>
      <c r="AQ33" s="130">
        <v>4.0999999999999996</v>
      </c>
      <c r="AR33" s="130">
        <v>5.3</v>
      </c>
      <c r="AS33" s="130">
        <v>21.6</v>
      </c>
      <c r="AT33" s="130">
        <v>7.5</v>
      </c>
      <c r="AU33" s="130">
        <v>10.199999999999999</v>
      </c>
      <c r="AV33" s="130">
        <v>4.7</v>
      </c>
      <c r="AW33" s="130">
        <v>31</v>
      </c>
      <c r="AX33" s="130">
        <v>6.9</v>
      </c>
      <c r="AY33" s="130">
        <v>2</v>
      </c>
      <c r="AZ33" s="130">
        <v>1.9</v>
      </c>
      <c r="BA33" s="130">
        <v>2</v>
      </c>
      <c r="BB33" s="130">
        <v>24.5</v>
      </c>
      <c r="BC33" s="130">
        <v>23.8</v>
      </c>
      <c r="BD33" s="130">
        <v>23.1</v>
      </c>
      <c r="BE33" s="130">
        <v>20.7</v>
      </c>
      <c r="BF33" s="130">
        <v>65.400000000000006</v>
      </c>
      <c r="BG33" s="130">
        <v>6.7</v>
      </c>
      <c r="BH33" s="130">
        <v>4.0999999999999996</v>
      </c>
      <c r="BI33" s="130">
        <v>4.0999999999999996</v>
      </c>
      <c r="BJ33" s="130">
        <v>2.2999999999999998</v>
      </c>
      <c r="BK33" s="130">
        <v>0.8</v>
      </c>
      <c r="BL33" s="130">
        <v>0.8</v>
      </c>
      <c r="BM33" s="130">
        <v>4.3</v>
      </c>
      <c r="BN33" s="130">
        <v>4.0999999999999996</v>
      </c>
      <c r="BO33" s="130">
        <v>4.0999999999999996</v>
      </c>
      <c r="BP33" s="130">
        <v>5.7</v>
      </c>
      <c r="BQ33" s="130">
        <v>0.4</v>
      </c>
      <c r="BR33" s="130">
        <v>0.2</v>
      </c>
      <c r="BS33" s="130">
        <v>0.2</v>
      </c>
      <c r="BT33" s="130">
        <v>0.2</v>
      </c>
      <c r="BU33" s="130">
        <v>6.5</v>
      </c>
      <c r="BV33" s="130">
        <v>8.6999999999999993</v>
      </c>
      <c r="BW33" s="130">
        <v>16.600000000000001</v>
      </c>
      <c r="BX33" s="130">
        <v>16.5</v>
      </c>
      <c r="BY33" s="130">
        <v>16.600000000000001</v>
      </c>
      <c r="BZ33" s="130">
        <v>4.8</v>
      </c>
      <c r="CA33" s="130">
        <v>4.8</v>
      </c>
      <c r="CB33" s="130">
        <v>231.3</v>
      </c>
      <c r="CC33" s="130">
        <v>230.4</v>
      </c>
      <c r="CD33" s="130">
        <v>165</v>
      </c>
      <c r="CE33" s="130">
        <v>158.5</v>
      </c>
      <c r="CF33" s="130">
        <v>158.5</v>
      </c>
      <c r="CG33" s="130">
        <v>52.8</v>
      </c>
      <c r="CH33" s="130">
        <v>185.3</v>
      </c>
      <c r="CI33" s="130">
        <v>185.23</v>
      </c>
      <c r="CJ33" s="130">
        <v>177.6</v>
      </c>
      <c r="CK33" s="130">
        <v>207.45</v>
      </c>
      <c r="CL33" s="130">
        <v>190</v>
      </c>
      <c r="CM33" s="130">
        <v>183.3</v>
      </c>
      <c r="CN33" s="130">
        <v>182.7</v>
      </c>
      <c r="CO33" s="130">
        <v>182.7</v>
      </c>
      <c r="CP33" s="130">
        <v>185.4</v>
      </c>
      <c r="CQ33" s="130">
        <v>185.5</v>
      </c>
      <c r="CR33" s="130">
        <v>185.5</v>
      </c>
      <c r="CS33" s="130">
        <v>185.1</v>
      </c>
      <c r="CT33" s="130">
        <v>185.1</v>
      </c>
      <c r="CU33" s="130">
        <v>183.8</v>
      </c>
      <c r="CV33" s="130">
        <v>164.1</v>
      </c>
      <c r="CW33" s="130">
        <v>182.4</v>
      </c>
      <c r="CX33" s="130">
        <v>182.4</v>
      </c>
      <c r="CY33" s="130">
        <v>179</v>
      </c>
      <c r="CZ33" s="130">
        <v>179</v>
      </c>
      <c r="DA33" s="130">
        <v>179</v>
      </c>
      <c r="DB33" s="130">
        <v>192</v>
      </c>
      <c r="DC33" s="130">
        <v>187</v>
      </c>
      <c r="DD33" s="130">
        <v>187.3</v>
      </c>
      <c r="DE33" s="130">
        <v>146.5</v>
      </c>
      <c r="DF33" s="130">
        <v>159</v>
      </c>
      <c r="DG33" s="130">
        <v>159.30000000000001</v>
      </c>
      <c r="DH33" s="130">
        <v>153.4</v>
      </c>
      <c r="DI33" s="130">
        <v>153.5</v>
      </c>
      <c r="DJ33" s="130">
        <v>106.8</v>
      </c>
      <c r="DK33" s="130">
        <v>102.9</v>
      </c>
      <c r="DL33" s="130">
        <v>169.42</v>
      </c>
      <c r="DM33" s="130">
        <v>169.42</v>
      </c>
      <c r="DN33" s="130">
        <v>169.42</v>
      </c>
      <c r="DO33" s="130">
        <v>176.6</v>
      </c>
      <c r="DP33" s="130">
        <v>176.6</v>
      </c>
      <c r="DQ33" s="130">
        <v>194.7</v>
      </c>
      <c r="DR33" s="130">
        <v>190.5</v>
      </c>
      <c r="DS33" s="130">
        <v>190.5</v>
      </c>
      <c r="DT33" s="130">
        <v>183.42</v>
      </c>
      <c r="DU33" s="130">
        <v>183.42</v>
      </c>
      <c r="DV33" s="130">
        <v>411.55</v>
      </c>
      <c r="DW33" s="130">
        <v>410.81</v>
      </c>
      <c r="DX33" s="130">
        <f>410.53+459.4</f>
        <v>869.93</v>
      </c>
      <c r="DY33" s="130">
        <f>410.53+459.4</f>
        <v>869.93</v>
      </c>
      <c r="DZ33" s="130">
        <v>819.48</v>
      </c>
      <c r="EA33" s="130">
        <v>871.12</v>
      </c>
      <c r="EB33" s="130">
        <v>870</v>
      </c>
      <c r="EC33" s="130">
        <v>870.61</v>
      </c>
      <c r="ED33" s="130">
        <v>846.41</v>
      </c>
      <c r="EE33" s="130">
        <v>845.36</v>
      </c>
      <c r="EF33" s="130">
        <v>845.36</v>
      </c>
      <c r="EG33" s="130">
        <v>845.36</v>
      </c>
      <c r="EH33" s="130">
        <v>842.7</v>
      </c>
      <c r="EI33" s="130">
        <v>764.53</v>
      </c>
      <c r="EJ33" s="130">
        <v>763.36</v>
      </c>
      <c r="EK33" s="130">
        <v>763.56</v>
      </c>
      <c r="EL33" s="130">
        <v>762.54</v>
      </c>
      <c r="EM33" s="130">
        <v>763.44</v>
      </c>
      <c r="EN33" s="130">
        <v>741.67</v>
      </c>
      <c r="EO33" s="130">
        <v>740.69</v>
      </c>
      <c r="EP33" s="130">
        <v>739.9</v>
      </c>
      <c r="EQ33" s="130">
        <v>703.29</v>
      </c>
      <c r="ER33" s="130">
        <v>703.29</v>
      </c>
      <c r="ES33" s="130">
        <v>651.46</v>
      </c>
      <c r="ET33" s="130">
        <v>648.1</v>
      </c>
      <c r="EU33" s="130">
        <v>655.29999999999995</v>
      </c>
      <c r="EV33" s="130">
        <v>655.29999999999995</v>
      </c>
      <c r="EW33" s="130">
        <v>654.54999999999995</v>
      </c>
      <c r="EX33" s="130">
        <v>653.39</v>
      </c>
      <c r="EY33" s="130">
        <v>650.82000000000005</v>
      </c>
      <c r="EZ33" s="130">
        <v>650.19000000000005</v>
      </c>
      <c r="FA33" s="130">
        <v>649.1</v>
      </c>
      <c r="FB33" s="130">
        <v>613.95000000000005</v>
      </c>
      <c r="FC33" s="130">
        <v>623.35</v>
      </c>
      <c r="FD33" s="130">
        <v>625.94000000000005</v>
      </c>
      <c r="FE33" s="130">
        <v>619.74</v>
      </c>
      <c r="FF33" s="130">
        <v>619.74</v>
      </c>
      <c r="FG33" s="130">
        <v>596.20000000000005</v>
      </c>
      <c r="FH33" s="130">
        <v>596.20000000000005</v>
      </c>
      <c r="FI33" s="130">
        <v>595.84</v>
      </c>
      <c r="FJ33" s="130">
        <v>595.88</v>
      </c>
      <c r="FK33" s="130">
        <v>595.88</v>
      </c>
      <c r="FL33" s="130">
        <v>551.9</v>
      </c>
      <c r="FM33" s="130">
        <v>551.9</v>
      </c>
      <c r="FN33" s="130">
        <v>552.55999999999995</v>
      </c>
      <c r="FO33" s="130">
        <v>548.20000000000005</v>
      </c>
      <c r="FP33" s="130">
        <v>548.20000000000005</v>
      </c>
      <c r="FQ33" s="130">
        <v>510.73</v>
      </c>
      <c r="FR33" s="130">
        <v>510.73</v>
      </c>
      <c r="FS33" s="130">
        <v>510.73</v>
      </c>
      <c r="FT33" s="130">
        <v>502.23</v>
      </c>
      <c r="FU33" s="130">
        <v>501.02</v>
      </c>
      <c r="FV33" s="130">
        <v>470.3</v>
      </c>
      <c r="FW33" s="130">
        <v>466.07</v>
      </c>
      <c r="FX33" s="130">
        <v>465.38</v>
      </c>
      <c r="FY33" s="130">
        <v>465.54</v>
      </c>
      <c r="FZ33" s="130">
        <v>462.8</v>
      </c>
      <c r="GA33" s="130">
        <v>411.07</v>
      </c>
      <c r="GB33" s="130">
        <v>410.99</v>
      </c>
      <c r="GC33" s="130">
        <v>411.43</v>
      </c>
      <c r="GD33" s="130">
        <v>408.12</v>
      </c>
      <c r="GE33" s="130">
        <v>408.39</v>
      </c>
      <c r="GF33" s="130">
        <v>347.52</v>
      </c>
      <c r="GG33" s="130">
        <v>347.85</v>
      </c>
      <c r="GH33" s="130">
        <v>348.03</v>
      </c>
      <c r="GI33" s="130">
        <v>614.5</v>
      </c>
      <c r="GJ33" s="130">
        <v>602</v>
      </c>
      <c r="GK33" s="130">
        <v>602</v>
      </c>
      <c r="GL33" s="130">
        <v>602</v>
      </c>
      <c r="GM33" s="130">
        <v>614.29999999999995</v>
      </c>
      <c r="GN33" s="130">
        <v>589.70000000000005</v>
      </c>
      <c r="GO33" s="130">
        <v>589.70000000000005</v>
      </c>
      <c r="GP33" s="130">
        <v>589.70000000000005</v>
      </c>
      <c r="GQ33" s="130">
        <v>583</v>
      </c>
      <c r="GR33" s="130">
        <v>580.9</v>
      </c>
      <c r="GS33" s="130">
        <v>564</v>
      </c>
      <c r="GT33" s="130">
        <v>550.79999999999995</v>
      </c>
      <c r="GU33" s="130">
        <v>517.5</v>
      </c>
      <c r="GV33" s="130">
        <v>510.5</v>
      </c>
      <c r="GW33" s="130">
        <v>510.5</v>
      </c>
      <c r="GX33" s="130">
        <v>510.7</v>
      </c>
      <c r="GY33" s="130">
        <v>509</v>
      </c>
      <c r="GZ33" s="130">
        <v>509</v>
      </c>
      <c r="HA33" s="130">
        <v>483.5</v>
      </c>
      <c r="HB33" s="130">
        <v>481.5</v>
      </c>
      <c r="HC33" s="130">
        <v>438.7</v>
      </c>
      <c r="HD33" s="130">
        <v>438.7</v>
      </c>
      <c r="HE33" s="130">
        <v>477.4</v>
      </c>
      <c r="HF33" s="130">
        <v>469.5</v>
      </c>
      <c r="HG33" s="130">
        <v>458</v>
      </c>
      <c r="HH33" s="130">
        <v>458</v>
      </c>
      <c r="HI33" s="130">
        <v>453</v>
      </c>
      <c r="HJ33" s="130"/>
      <c r="HK33" s="130"/>
      <c r="HL33" s="130"/>
      <c r="HM33" s="130"/>
      <c r="HN33" s="130"/>
      <c r="HO33" s="130">
        <v>0</v>
      </c>
      <c r="HP33" s="130">
        <v>0</v>
      </c>
      <c r="HQ33" s="130">
        <v>0</v>
      </c>
      <c r="HR33" s="130">
        <v>0</v>
      </c>
      <c r="HS33" s="130">
        <v>0</v>
      </c>
      <c r="HT33" s="130">
        <v>0</v>
      </c>
      <c r="HU33" s="130">
        <v>0</v>
      </c>
      <c r="HV33" s="130">
        <v>0</v>
      </c>
      <c r="HW33" s="130">
        <v>0</v>
      </c>
      <c r="HX33" s="130">
        <v>0</v>
      </c>
      <c r="HY33" s="130">
        <v>0</v>
      </c>
      <c r="HZ33" s="130">
        <v>0</v>
      </c>
      <c r="IA33" s="130">
        <v>0</v>
      </c>
      <c r="IB33" s="130">
        <v>0</v>
      </c>
      <c r="IC33" s="130">
        <v>0</v>
      </c>
      <c r="ID33" s="130">
        <v>0</v>
      </c>
      <c r="IE33" s="130">
        <v>0</v>
      </c>
      <c r="IF33" s="130">
        <v>0</v>
      </c>
      <c r="IG33" s="130">
        <v>0</v>
      </c>
      <c r="IH33" s="130">
        <v>0</v>
      </c>
      <c r="II33" s="130">
        <v>0</v>
      </c>
      <c r="IJ33" s="130">
        <v>0</v>
      </c>
      <c r="IK33" s="130">
        <v>0</v>
      </c>
      <c r="IL33" s="130">
        <v>0</v>
      </c>
      <c r="IM33" s="130">
        <v>0</v>
      </c>
      <c r="IN33" s="130">
        <v>0</v>
      </c>
      <c r="IO33" s="130">
        <v>0</v>
      </c>
      <c r="IP33" s="130">
        <v>0</v>
      </c>
      <c r="IQ33" s="130">
        <v>0</v>
      </c>
      <c r="IR33" s="130">
        <v>0</v>
      </c>
      <c r="IS33" s="130">
        <v>0</v>
      </c>
      <c r="IT33" s="130">
        <v>0</v>
      </c>
      <c r="IU33" s="130">
        <v>0</v>
      </c>
      <c r="IV33" s="130">
        <v>0</v>
      </c>
      <c r="IW33" s="130">
        <v>0</v>
      </c>
      <c r="IX33" s="130">
        <v>0</v>
      </c>
      <c r="IY33" s="130">
        <v>0</v>
      </c>
      <c r="IZ33" s="130">
        <v>0</v>
      </c>
      <c r="JA33" s="130">
        <v>0</v>
      </c>
      <c r="JB33" s="130">
        <v>0</v>
      </c>
      <c r="JC33" s="130">
        <v>0</v>
      </c>
      <c r="JD33" s="130">
        <v>0</v>
      </c>
      <c r="JE33" s="130">
        <v>0</v>
      </c>
      <c r="JF33" s="130">
        <v>0</v>
      </c>
      <c r="JG33" s="130">
        <v>0</v>
      </c>
      <c r="JH33" s="130">
        <v>0</v>
      </c>
      <c r="JI33" s="130">
        <v>0</v>
      </c>
      <c r="JJ33" s="130">
        <v>0</v>
      </c>
      <c r="JK33" s="130">
        <v>0</v>
      </c>
      <c r="JL33" s="130">
        <v>0</v>
      </c>
      <c r="JM33" s="130">
        <v>1.7</v>
      </c>
      <c r="JN33" s="130">
        <v>1.7</v>
      </c>
      <c r="JO33" s="130">
        <v>1.7</v>
      </c>
      <c r="JP33" s="130">
        <v>0</v>
      </c>
      <c r="JQ33" s="130">
        <v>0</v>
      </c>
      <c r="JR33" s="130">
        <v>3.8</v>
      </c>
      <c r="JS33" s="130">
        <v>3.8</v>
      </c>
      <c r="JT33" s="130">
        <v>3.5</v>
      </c>
      <c r="JU33" s="130">
        <v>3.5</v>
      </c>
      <c r="JV33" s="130">
        <v>3.5</v>
      </c>
      <c r="JW33" s="130">
        <v>0</v>
      </c>
      <c r="JX33" s="130">
        <v>0</v>
      </c>
      <c r="JY33" s="130">
        <v>0</v>
      </c>
      <c r="JZ33" s="130">
        <v>0</v>
      </c>
      <c r="KA33" s="130">
        <v>0.27200000000000002</v>
      </c>
      <c r="KB33" s="130">
        <v>0.27200000000000002</v>
      </c>
      <c r="KC33" s="130">
        <v>3.2</v>
      </c>
      <c r="KD33" s="130">
        <v>3.2</v>
      </c>
      <c r="KE33" s="130">
        <v>3.2</v>
      </c>
      <c r="KF33" s="130">
        <v>0</v>
      </c>
      <c r="KG33" s="130">
        <v>21</v>
      </c>
      <c r="KH33" s="130">
        <v>21</v>
      </c>
      <c r="KI33" s="130">
        <v>22.5</v>
      </c>
      <c r="KJ33" s="130">
        <v>22.5</v>
      </c>
      <c r="KK33" s="130">
        <v>3</v>
      </c>
      <c r="KL33" s="130">
        <v>3</v>
      </c>
      <c r="KM33" s="130">
        <v>3</v>
      </c>
      <c r="KN33" s="130">
        <v>0</v>
      </c>
      <c r="KO33" s="130">
        <v>0</v>
      </c>
      <c r="KP33" s="130">
        <v>0</v>
      </c>
      <c r="KQ33" s="130">
        <v>0</v>
      </c>
      <c r="KR33" s="130">
        <v>0</v>
      </c>
      <c r="KS33" s="130">
        <v>0</v>
      </c>
      <c r="KT33" s="130">
        <v>0</v>
      </c>
      <c r="KU33" s="130">
        <v>0</v>
      </c>
      <c r="KV33" s="130">
        <v>0</v>
      </c>
      <c r="KW33" s="130">
        <v>0</v>
      </c>
      <c r="KX33" s="130">
        <v>1.7</v>
      </c>
      <c r="KY33" s="130">
        <v>1.7</v>
      </c>
      <c r="KZ33" s="130">
        <v>0</v>
      </c>
      <c r="LA33" s="130">
        <v>0</v>
      </c>
      <c r="LB33" s="130">
        <v>0</v>
      </c>
      <c r="LC33" s="130">
        <v>0</v>
      </c>
      <c r="LD33" s="130">
        <v>0</v>
      </c>
      <c r="LE33" s="130">
        <v>34.299999999999997</v>
      </c>
      <c r="LF33" s="130">
        <v>34.299999999999997</v>
      </c>
      <c r="LG33" s="130">
        <v>34.299999999999997</v>
      </c>
      <c r="LH33" s="130">
        <v>34.299999999999997</v>
      </c>
      <c r="LI33" s="130">
        <v>33.6</v>
      </c>
      <c r="LJ33" s="130">
        <v>33.6</v>
      </c>
      <c r="LK33" s="130">
        <v>33.6</v>
      </c>
      <c r="LL33" s="130">
        <v>33.4</v>
      </c>
      <c r="LM33" s="130">
        <v>33.4</v>
      </c>
      <c r="LN33" s="130">
        <v>38.299999999999997</v>
      </c>
      <c r="LO33" s="130">
        <v>38.299999999999997</v>
      </c>
      <c r="LP33" s="130">
        <v>38.299999999999997</v>
      </c>
      <c r="LQ33" s="130">
        <v>38.299999999999997</v>
      </c>
      <c r="LR33" s="130">
        <v>38.299999999999997</v>
      </c>
      <c r="LS33" s="130">
        <v>38.299999999999997</v>
      </c>
      <c r="LT33" s="130">
        <v>38.299999999999997</v>
      </c>
      <c r="LU33" s="130">
        <v>39.1</v>
      </c>
      <c r="LV33" s="130">
        <v>8.8000000000000007</v>
      </c>
      <c r="LW33" s="130">
        <v>8.8000000000000007</v>
      </c>
      <c r="LX33" s="130">
        <v>9</v>
      </c>
      <c r="LY33" s="130">
        <v>9</v>
      </c>
      <c r="LZ33" s="130">
        <v>12</v>
      </c>
      <c r="MA33" s="130">
        <v>12</v>
      </c>
      <c r="MB33" s="130">
        <v>12</v>
      </c>
      <c r="MC33" s="130">
        <v>12</v>
      </c>
      <c r="MD33" s="130">
        <v>0.8</v>
      </c>
      <c r="ME33" s="130">
        <v>0.8</v>
      </c>
      <c r="MF33" s="130">
        <v>0.8</v>
      </c>
      <c r="MG33" s="130">
        <v>0.8</v>
      </c>
      <c r="MH33" s="130">
        <v>9.8000000000000007</v>
      </c>
      <c r="MI33" s="130">
        <v>9.8000000000000007</v>
      </c>
      <c r="MJ33" s="130">
        <v>9.6999999999999993</v>
      </c>
      <c r="MK33" s="130">
        <v>9.6999999999999993</v>
      </c>
      <c r="ML33" s="130">
        <v>9.6999999999999993</v>
      </c>
      <c r="MM33" s="130">
        <v>9.6999999999999993</v>
      </c>
      <c r="MN33" s="130">
        <v>9.6999999999999993</v>
      </c>
      <c r="MO33" s="130">
        <v>9.6999999999999993</v>
      </c>
      <c r="MP33" s="130">
        <v>9.6999999999999993</v>
      </c>
      <c r="MQ33" s="130">
        <v>4.1999999999999993</v>
      </c>
      <c r="MR33" s="130">
        <v>4.1999999999999993</v>
      </c>
      <c r="MS33" s="130">
        <v>3.3</v>
      </c>
      <c r="MT33" s="130">
        <v>3.3</v>
      </c>
      <c r="MU33" s="130">
        <v>3.3</v>
      </c>
      <c r="MV33" s="130">
        <v>3.3</v>
      </c>
      <c r="MW33" s="130">
        <v>4.8</v>
      </c>
      <c r="MX33" s="130">
        <v>4.8</v>
      </c>
      <c r="MY33" s="130">
        <v>4.8</v>
      </c>
      <c r="MZ33" s="130">
        <v>4.8</v>
      </c>
      <c r="NA33" s="130">
        <v>4.8</v>
      </c>
      <c r="NB33" s="130">
        <v>4.8</v>
      </c>
      <c r="NC33" s="130">
        <v>4.8</v>
      </c>
      <c r="ND33" s="130">
        <v>4.8</v>
      </c>
      <c r="NE33" s="130">
        <v>4.8</v>
      </c>
      <c r="NF33" s="130">
        <v>0.6</v>
      </c>
      <c r="NG33" s="130">
        <v>0.6</v>
      </c>
      <c r="NH33" s="130">
        <v>0.6</v>
      </c>
      <c r="NI33" s="130">
        <v>0.6</v>
      </c>
      <c r="NJ33" s="130">
        <v>0.6</v>
      </c>
      <c r="NK33" s="130">
        <v>15</v>
      </c>
      <c r="NL33" s="130">
        <v>15</v>
      </c>
      <c r="NM33" s="130">
        <v>1.5</v>
      </c>
      <c r="NN33" s="130">
        <v>1.5</v>
      </c>
      <c r="NO33" s="130">
        <v>1.5</v>
      </c>
      <c r="NP33" s="130">
        <v>0.8</v>
      </c>
      <c r="NQ33" s="130">
        <v>0.8</v>
      </c>
      <c r="NR33" s="130">
        <v>0.8</v>
      </c>
      <c r="NS33" s="130">
        <v>0.8</v>
      </c>
      <c r="NT33" s="130">
        <v>0.8</v>
      </c>
      <c r="NU33" s="130">
        <v>2.2999999999999998</v>
      </c>
      <c r="NV33" s="130">
        <v>1.9</v>
      </c>
      <c r="NW33" s="130">
        <v>1.9</v>
      </c>
      <c r="NX33" s="130">
        <v>1.9</v>
      </c>
      <c r="NY33" s="130">
        <v>1.9</v>
      </c>
      <c r="NZ33" s="130">
        <v>0.9</v>
      </c>
      <c r="OA33" s="130">
        <v>0.9</v>
      </c>
      <c r="OB33" s="130">
        <v>0.9</v>
      </c>
      <c r="OC33" s="130">
        <v>0.9</v>
      </c>
      <c r="OD33" s="130">
        <v>0.9</v>
      </c>
      <c r="OE33" s="130">
        <v>0.9</v>
      </c>
      <c r="OF33" s="130">
        <v>0.9</v>
      </c>
      <c r="OG33" s="130">
        <v>1.6</v>
      </c>
      <c r="OH33" s="130">
        <v>1.6</v>
      </c>
      <c r="OI33" s="130">
        <v>1</v>
      </c>
      <c r="OJ33" s="130">
        <v>1</v>
      </c>
      <c r="OK33" s="130">
        <v>1</v>
      </c>
      <c r="OL33" s="130">
        <v>1</v>
      </c>
      <c r="OM33" s="130">
        <v>1</v>
      </c>
      <c r="ON33" s="130">
        <v>1</v>
      </c>
      <c r="OO33" s="130">
        <v>1</v>
      </c>
      <c r="OP33" s="130">
        <v>1</v>
      </c>
      <c r="OQ33" s="130">
        <v>1</v>
      </c>
      <c r="OR33" s="130">
        <v>1</v>
      </c>
      <c r="OS33" s="130">
        <v>0.6</v>
      </c>
      <c r="OT33" s="130">
        <v>0.6</v>
      </c>
      <c r="OU33" s="130">
        <v>0.6</v>
      </c>
      <c r="OV33" s="130">
        <v>0.6</v>
      </c>
      <c r="OW33" s="130">
        <v>0.6</v>
      </c>
      <c r="OX33" s="130">
        <v>0.6</v>
      </c>
      <c r="OY33" s="130">
        <v>3</v>
      </c>
      <c r="OZ33" s="130">
        <v>3</v>
      </c>
      <c r="PA33" s="130">
        <v>3</v>
      </c>
      <c r="PB33" s="130">
        <v>6.8</v>
      </c>
      <c r="PC33" s="130">
        <v>6.8</v>
      </c>
      <c r="PD33" s="130">
        <v>6.8</v>
      </c>
      <c r="PE33" s="130">
        <v>6.8999999999999995</v>
      </c>
      <c r="PF33" s="130">
        <v>6.8999999999999995</v>
      </c>
      <c r="PG33" s="130">
        <v>6.8999999999999995</v>
      </c>
      <c r="PH33" s="130">
        <v>6.8999999999999995</v>
      </c>
      <c r="PI33" s="130">
        <v>3.1</v>
      </c>
      <c r="PJ33" s="130">
        <v>3.1</v>
      </c>
      <c r="PK33" s="130">
        <v>3.1</v>
      </c>
      <c r="PL33" s="130">
        <v>3.1</v>
      </c>
      <c r="PM33" s="130">
        <v>3.1</v>
      </c>
      <c r="PN33" s="130">
        <v>2.4</v>
      </c>
      <c r="PO33" s="130">
        <v>2.4</v>
      </c>
      <c r="PP33" s="130">
        <v>2.4</v>
      </c>
      <c r="PQ33" s="130">
        <v>2.4</v>
      </c>
      <c r="PR33" s="130">
        <v>2.4</v>
      </c>
      <c r="PS33" s="130">
        <v>2.4</v>
      </c>
      <c r="PT33" s="130">
        <v>2.4</v>
      </c>
      <c r="PU33" s="130">
        <v>1</v>
      </c>
      <c r="PV33" s="130">
        <v>1</v>
      </c>
      <c r="PW33" s="130">
        <v>1</v>
      </c>
      <c r="PX33" s="130">
        <v>1.8</v>
      </c>
      <c r="PY33" s="130">
        <v>1.8</v>
      </c>
      <c r="PZ33" s="130">
        <v>1.8</v>
      </c>
      <c r="QA33" s="130">
        <v>1.8</v>
      </c>
      <c r="QB33" s="130">
        <v>0.7</v>
      </c>
      <c r="QC33" s="130">
        <v>0.7</v>
      </c>
      <c r="QD33" s="130">
        <v>0.7</v>
      </c>
      <c r="QE33" s="130">
        <v>18</v>
      </c>
      <c r="QF33" s="130">
        <v>18</v>
      </c>
      <c r="QG33" s="130">
        <v>18</v>
      </c>
      <c r="QH33" s="130">
        <v>18</v>
      </c>
      <c r="QI33" s="130">
        <v>4.4000000000000004</v>
      </c>
      <c r="QJ33" s="130">
        <v>4.4000000000000004</v>
      </c>
      <c r="QK33" s="130">
        <v>4.4000000000000004</v>
      </c>
      <c r="QL33" s="130">
        <v>4.4000000000000004</v>
      </c>
      <c r="QM33" s="130">
        <v>4.4000000000000004</v>
      </c>
      <c r="QN33" s="130">
        <v>3.9</v>
      </c>
      <c r="QO33" s="130">
        <v>1</v>
      </c>
      <c r="QP33" s="130">
        <v>1</v>
      </c>
      <c r="QQ33" s="130">
        <v>1</v>
      </c>
      <c r="QR33" s="130">
        <v>1</v>
      </c>
      <c r="QS33" s="130">
        <v>0.9</v>
      </c>
      <c r="QT33" s="130">
        <v>0.9</v>
      </c>
      <c r="QU33" s="130">
        <v>0.9</v>
      </c>
      <c r="QV33" s="130">
        <v>0.9</v>
      </c>
      <c r="QW33" s="130">
        <v>0.9</v>
      </c>
      <c r="QX33" s="130">
        <v>0.9</v>
      </c>
      <c r="QY33" s="130">
        <v>1</v>
      </c>
      <c r="QZ33" s="130">
        <v>1</v>
      </c>
      <c r="RA33" s="130">
        <v>1</v>
      </c>
      <c r="RB33" s="130">
        <v>1</v>
      </c>
      <c r="RC33" s="130">
        <v>1</v>
      </c>
      <c r="RD33" s="130">
        <v>1</v>
      </c>
      <c r="RE33" s="130">
        <v>0</v>
      </c>
      <c r="RF33" s="130">
        <v>0</v>
      </c>
      <c r="RG33" s="130">
        <v>0</v>
      </c>
      <c r="RH33" s="130">
        <v>1.5</v>
      </c>
      <c r="RI33" s="130">
        <v>0.8</v>
      </c>
      <c r="RJ33" s="130">
        <v>0.8</v>
      </c>
      <c r="RK33" s="130">
        <v>0.8</v>
      </c>
      <c r="RL33" s="130">
        <v>0.8</v>
      </c>
      <c r="RM33" s="130">
        <v>0.8</v>
      </c>
      <c r="RN33" s="130">
        <v>0.8</v>
      </c>
      <c r="RO33" s="130">
        <v>0.8</v>
      </c>
      <c r="RP33" s="130">
        <v>0.8</v>
      </c>
      <c r="RQ33" s="130">
        <v>0.8</v>
      </c>
      <c r="RR33" s="130">
        <v>0.8</v>
      </c>
      <c r="RS33" s="130">
        <v>2.3901747599999998</v>
      </c>
      <c r="RT33" s="130">
        <v>2.3901747599999998</v>
      </c>
      <c r="RU33" s="130">
        <v>2.3901747599999998</v>
      </c>
      <c r="RV33" s="130">
        <v>2.3901747599999998</v>
      </c>
      <c r="RW33" s="130">
        <v>2.3901747599999998</v>
      </c>
      <c r="RX33" s="130">
        <v>2.3901747599999998</v>
      </c>
      <c r="RY33" s="130">
        <v>1.6901747600000001</v>
      </c>
      <c r="RZ33" s="130">
        <v>1.6901747600000001</v>
      </c>
      <c r="SA33" s="130">
        <v>1.6901747600000001</v>
      </c>
      <c r="SB33" s="130">
        <v>1.6901747600000001</v>
      </c>
      <c r="SC33" s="130">
        <v>1.6901747600000001</v>
      </c>
      <c r="SD33" s="130">
        <v>1.6901747600000001</v>
      </c>
      <c r="SE33" s="130">
        <v>0.6</v>
      </c>
      <c r="SF33" s="130">
        <v>0.6</v>
      </c>
      <c r="SG33" s="130">
        <v>0.4</v>
      </c>
      <c r="SH33" s="130">
        <v>0.4</v>
      </c>
      <c r="SI33" s="130">
        <v>2.4</v>
      </c>
      <c r="SJ33" s="130">
        <v>2.4</v>
      </c>
      <c r="SK33" s="130">
        <v>2</v>
      </c>
      <c r="SL33" s="130">
        <v>2</v>
      </c>
      <c r="SM33" s="130">
        <v>8.6</v>
      </c>
      <c r="SN33" s="130">
        <v>8.6</v>
      </c>
      <c r="SO33" s="130">
        <v>8.6</v>
      </c>
      <c r="SP33" s="130">
        <v>0.7</v>
      </c>
      <c r="SQ33" s="130">
        <v>0.7</v>
      </c>
      <c r="SR33" s="130">
        <v>0.7</v>
      </c>
      <c r="SS33" s="130">
        <v>0.4</v>
      </c>
      <c r="ST33" s="130">
        <v>0.4</v>
      </c>
      <c r="SU33" s="130">
        <v>0.4</v>
      </c>
      <c r="SV33" s="130">
        <v>0.4</v>
      </c>
      <c r="SW33" s="130">
        <v>0.4</v>
      </c>
      <c r="SX33" s="130">
        <v>1</v>
      </c>
      <c r="SY33" s="130">
        <v>1</v>
      </c>
      <c r="SZ33" s="130">
        <v>1</v>
      </c>
      <c r="TA33" s="130">
        <v>1</v>
      </c>
      <c r="TB33" s="130">
        <v>1</v>
      </c>
      <c r="TC33" s="130">
        <v>1</v>
      </c>
      <c r="TD33" s="130">
        <v>1</v>
      </c>
      <c r="TE33" s="130">
        <v>27.5</v>
      </c>
      <c r="TF33" s="130">
        <v>1.7</v>
      </c>
      <c r="TG33" s="130">
        <v>2.2999999999999998</v>
      </c>
      <c r="TH33" s="130">
        <v>1.2</v>
      </c>
      <c r="TI33" s="130">
        <v>1.2</v>
      </c>
      <c r="TJ33" s="130">
        <v>1.2</v>
      </c>
      <c r="TK33" s="130">
        <v>1.2</v>
      </c>
      <c r="TL33" s="130">
        <v>1</v>
      </c>
      <c r="TM33" s="130">
        <v>1</v>
      </c>
      <c r="TN33" s="130">
        <v>1</v>
      </c>
      <c r="TO33" s="130">
        <v>0.9</v>
      </c>
      <c r="TP33" s="130">
        <v>1</v>
      </c>
      <c r="TQ33" s="130">
        <v>1.8</v>
      </c>
      <c r="TR33" s="130">
        <v>4.0999999999999996</v>
      </c>
      <c r="TS33" s="130">
        <v>4.0999999999999996</v>
      </c>
      <c r="TT33" s="130">
        <v>2.1</v>
      </c>
      <c r="TU33" s="130">
        <v>2.1</v>
      </c>
      <c r="TV33" s="130">
        <v>1.6</v>
      </c>
      <c r="TW33" s="130">
        <v>1</v>
      </c>
      <c r="TX33" s="130">
        <v>1</v>
      </c>
      <c r="TY33" s="130">
        <v>1</v>
      </c>
      <c r="TZ33" s="130">
        <v>1.9</v>
      </c>
      <c r="UA33" s="130">
        <v>3.4</v>
      </c>
      <c r="UB33" s="130">
        <v>3.2</v>
      </c>
      <c r="UC33" s="130">
        <v>3.2</v>
      </c>
      <c r="UD33" s="130">
        <v>3.2</v>
      </c>
      <c r="UE33" s="130">
        <v>2.5</v>
      </c>
      <c r="UF33" s="130">
        <v>2.5</v>
      </c>
      <c r="UG33" s="130">
        <v>1.4550000000000001</v>
      </c>
      <c r="UH33" s="130">
        <v>1</v>
      </c>
      <c r="UI33" s="130">
        <v>1</v>
      </c>
      <c r="UJ33" s="130">
        <v>3</v>
      </c>
      <c r="UK33" s="130">
        <v>3</v>
      </c>
      <c r="UL33" s="130">
        <v>3</v>
      </c>
      <c r="UM33" s="130">
        <v>2.7</v>
      </c>
      <c r="UN33" s="130">
        <v>1.8</v>
      </c>
      <c r="UO33" s="130">
        <v>1.8</v>
      </c>
      <c r="UP33" s="130">
        <v>1.2</v>
      </c>
      <c r="UQ33" s="130">
        <v>1.2</v>
      </c>
      <c r="UR33" s="130">
        <v>1.163</v>
      </c>
      <c r="US33" s="130">
        <v>1.163</v>
      </c>
      <c r="UT33" s="130">
        <v>1.163</v>
      </c>
      <c r="UU33" s="130">
        <v>1</v>
      </c>
      <c r="UV33" s="130">
        <v>1</v>
      </c>
      <c r="UW33" s="130">
        <v>1</v>
      </c>
      <c r="UX33" s="130">
        <v>4.7</v>
      </c>
      <c r="UY33" s="130">
        <v>4.0999999999999996</v>
      </c>
      <c r="UZ33" s="130">
        <v>4.0999999999999996</v>
      </c>
      <c r="VA33" s="130">
        <v>8.1</v>
      </c>
      <c r="VB33" s="130">
        <v>1.2000000000000002</v>
      </c>
      <c r="VC33" s="130">
        <v>1.2000000000000002</v>
      </c>
      <c r="VD33" s="130">
        <v>1.1000000000000001</v>
      </c>
      <c r="VE33" s="130">
        <v>1.1000000000000001</v>
      </c>
      <c r="VF33" s="130">
        <v>4</v>
      </c>
      <c r="VG33" s="130">
        <v>3</v>
      </c>
      <c r="VH33" s="130">
        <v>3.1</v>
      </c>
      <c r="VI33" s="130">
        <v>3.4</v>
      </c>
      <c r="VJ33" s="130">
        <v>3.4</v>
      </c>
      <c r="VK33" s="130">
        <v>2.5</v>
      </c>
      <c r="VL33" s="130">
        <v>3.5</v>
      </c>
      <c r="VM33" s="130">
        <v>3.1</v>
      </c>
      <c r="VN33" s="130">
        <v>3.1</v>
      </c>
      <c r="VO33" s="130">
        <v>2.6999999999999997</v>
      </c>
      <c r="VP33" s="130">
        <v>5.4</v>
      </c>
      <c r="VQ33" s="130">
        <v>7.6</v>
      </c>
      <c r="VR33" s="130">
        <v>7.9399999999999995</v>
      </c>
      <c r="VS33" s="130">
        <v>37</v>
      </c>
      <c r="VT33" s="130">
        <v>7.8</v>
      </c>
      <c r="VU33" s="130">
        <v>7.8</v>
      </c>
      <c r="VV33" s="130">
        <v>2.7</v>
      </c>
      <c r="VW33" s="130">
        <v>2.7</v>
      </c>
      <c r="VX33" s="130">
        <v>2.8</v>
      </c>
      <c r="VY33" s="130">
        <v>2.8</v>
      </c>
      <c r="VZ33" s="130">
        <v>4.9000000000000004</v>
      </c>
      <c r="WA33" s="130">
        <v>5.3000000000000007</v>
      </c>
      <c r="WB33" s="130">
        <v>5.4</v>
      </c>
      <c r="WC33" s="130">
        <v>3.1</v>
      </c>
      <c r="WD33" s="130">
        <v>3.1</v>
      </c>
      <c r="WE33" s="130">
        <v>1.4</v>
      </c>
      <c r="WF33" s="130">
        <v>1.8</v>
      </c>
      <c r="WG33" s="130">
        <v>2</v>
      </c>
      <c r="WH33" s="130">
        <v>2</v>
      </c>
      <c r="WI33" s="130">
        <v>2</v>
      </c>
      <c r="WJ33" s="130">
        <v>0.128</v>
      </c>
      <c r="WK33" s="130">
        <v>0.128</v>
      </c>
      <c r="WL33" s="130">
        <v>0.128</v>
      </c>
      <c r="WM33" s="130">
        <v>0.4</v>
      </c>
      <c r="WN33" s="130">
        <v>0.4</v>
      </c>
      <c r="WO33" s="130">
        <v>0.4</v>
      </c>
      <c r="WP33" s="130">
        <v>2.2000000000000002</v>
      </c>
      <c r="WQ33" s="130">
        <v>3.161</v>
      </c>
      <c r="WR33" s="130">
        <v>8.8000000000000007</v>
      </c>
      <c r="WS33" s="130">
        <v>7.6046891299999997</v>
      </c>
      <c r="WT33" s="130">
        <v>7.6046891299999997</v>
      </c>
      <c r="WU33" s="130">
        <v>7.6046891299999997</v>
      </c>
      <c r="WV33" s="130">
        <v>7.6046891299999997</v>
      </c>
      <c r="WW33" s="130">
        <v>5.6046891299999997</v>
      </c>
      <c r="WX33" s="130">
        <v>5.5</v>
      </c>
      <c r="WY33" s="130">
        <v>1.9710000000000001</v>
      </c>
      <c r="WZ33" s="130">
        <v>1.9710000000000001</v>
      </c>
      <c r="XA33" s="130">
        <v>1.9710000000000001</v>
      </c>
      <c r="XB33" s="130">
        <v>9</v>
      </c>
      <c r="XC33" s="130">
        <v>9</v>
      </c>
      <c r="XD33" s="130">
        <v>9.6999999999999993</v>
      </c>
      <c r="XE33" s="130">
        <v>9.6839999999999993</v>
      </c>
      <c r="XF33" s="130">
        <v>8.6999999999999993</v>
      </c>
      <c r="XG33" s="130">
        <v>7.375</v>
      </c>
      <c r="XH33" s="130">
        <v>7.375</v>
      </c>
      <c r="XI33" s="130">
        <v>7.2</v>
      </c>
      <c r="XJ33" s="130">
        <v>7.2</v>
      </c>
      <c r="XK33" s="130">
        <v>3.5</v>
      </c>
      <c r="XL33" s="130">
        <v>6.9</v>
      </c>
      <c r="XM33" s="130">
        <v>7.5</v>
      </c>
      <c r="XN33" s="130">
        <v>7.1</v>
      </c>
      <c r="XO33" s="130">
        <v>7.1</v>
      </c>
      <c r="XP33" s="130">
        <v>6</v>
      </c>
      <c r="XQ33" s="130">
        <v>0.25</v>
      </c>
      <c r="XR33" s="130">
        <v>10.923999999999999</v>
      </c>
      <c r="XS33" s="130">
        <v>12</v>
      </c>
      <c r="XT33" s="130">
        <v>10.5</v>
      </c>
      <c r="XU33" s="130">
        <v>10.5</v>
      </c>
      <c r="XV33" s="130">
        <v>10.5</v>
      </c>
      <c r="XW33" s="130">
        <v>10.5</v>
      </c>
      <c r="XX33" s="130">
        <v>10.693999999999999</v>
      </c>
      <c r="XY33" s="130">
        <v>15.176</v>
      </c>
      <c r="XZ33" s="130">
        <v>15.6</v>
      </c>
      <c r="YA33" s="130">
        <v>14.56</v>
      </c>
      <c r="YB33" s="130">
        <v>14.56</v>
      </c>
      <c r="YC33" s="130">
        <v>12.7</v>
      </c>
      <c r="YD33" s="130">
        <v>39.376000000000005</v>
      </c>
      <c r="YE33" s="130">
        <v>38.75</v>
      </c>
      <c r="YF33" s="130">
        <v>38.75</v>
      </c>
      <c r="YG33" s="130">
        <v>42.6</v>
      </c>
      <c r="YH33" s="130">
        <v>11.6</v>
      </c>
    </row>
    <row r="34" spans="2:658">
      <c r="B34" s="917" t="s">
        <v>40</v>
      </c>
      <c r="C34" s="918">
        <v>0.6</v>
      </c>
      <c r="D34" s="130">
        <v>0.2</v>
      </c>
      <c r="E34" s="130">
        <v>0.2</v>
      </c>
      <c r="F34" s="130">
        <v>0.7</v>
      </c>
      <c r="G34" s="130">
        <v>9.3000000000000007</v>
      </c>
      <c r="H34" s="130">
        <v>1.5</v>
      </c>
      <c r="I34" s="130">
        <v>1.3</v>
      </c>
      <c r="J34" s="130">
        <v>1.2</v>
      </c>
      <c r="K34" s="130">
        <v>0.4</v>
      </c>
      <c r="L34" s="130">
        <v>0.4</v>
      </c>
      <c r="M34" s="130">
        <v>0.4</v>
      </c>
      <c r="N34" s="130">
        <v>46.2</v>
      </c>
      <c r="O34" s="130">
        <v>0.7</v>
      </c>
      <c r="P34" s="130">
        <v>0.3</v>
      </c>
      <c r="Q34" s="130">
        <v>4.3</v>
      </c>
      <c r="R34" s="130">
        <v>3.7</v>
      </c>
      <c r="S34" s="130">
        <v>0.5</v>
      </c>
      <c r="T34" s="130">
        <v>0.5</v>
      </c>
      <c r="U34" s="130">
        <v>1.2</v>
      </c>
      <c r="V34" s="130">
        <v>1.1000000000000001</v>
      </c>
      <c r="W34" s="130">
        <v>1.1000000000000001</v>
      </c>
      <c r="X34" s="130">
        <v>0.1</v>
      </c>
      <c r="Y34" s="130">
        <v>0.9</v>
      </c>
      <c r="Z34" s="130">
        <v>0.9</v>
      </c>
      <c r="AA34" s="130">
        <v>0.9</v>
      </c>
      <c r="AB34" s="130">
        <v>6.6</v>
      </c>
      <c r="AC34" s="130">
        <v>9.1</v>
      </c>
      <c r="AD34" s="130">
        <v>9.1</v>
      </c>
      <c r="AE34" s="130">
        <v>5.3</v>
      </c>
      <c r="AF34" s="130">
        <v>5.3</v>
      </c>
      <c r="AG34" s="130">
        <v>5.3</v>
      </c>
      <c r="AH34" s="130">
        <v>5.3</v>
      </c>
      <c r="AI34" s="130">
        <v>4</v>
      </c>
      <c r="AJ34" s="130">
        <v>7.4</v>
      </c>
      <c r="AK34" s="130">
        <v>6.8</v>
      </c>
      <c r="AL34" s="130">
        <v>6.8</v>
      </c>
      <c r="AM34" s="130">
        <v>6.8</v>
      </c>
      <c r="AN34" s="130">
        <v>7.8</v>
      </c>
      <c r="AO34" s="130">
        <v>9.3000000000000007</v>
      </c>
      <c r="AP34" s="130">
        <v>9.9</v>
      </c>
      <c r="AQ34" s="130">
        <v>7.5</v>
      </c>
      <c r="AR34" s="130">
        <v>6.2</v>
      </c>
      <c r="AS34" s="130">
        <v>13.8</v>
      </c>
      <c r="AT34" s="130">
        <v>17.3</v>
      </c>
      <c r="AU34" s="130">
        <v>0.4</v>
      </c>
      <c r="AV34" s="130">
        <v>1.69</v>
      </c>
      <c r="AW34" s="130">
        <v>5.85</v>
      </c>
      <c r="AX34" s="130">
        <v>2.2000000000000002</v>
      </c>
      <c r="AY34" s="130">
        <v>2.1</v>
      </c>
      <c r="AZ34" s="130">
        <v>0.4</v>
      </c>
      <c r="BA34" s="130">
        <v>0.4</v>
      </c>
      <c r="BB34" s="130">
        <v>0.4</v>
      </c>
      <c r="BC34" s="130">
        <v>13.6</v>
      </c>
      <c r="BD34" s="130">
        <v>6.6</v>
      </c>
      <c r="BE34" s="130">
        <v>6.2</v>
      </c>
      <c r="BF34" s="130">
        <v>6.2</v>
      </c>
      <c r="BG34" s="130">
        <v>1.2</v>
      </c>
      <c r="BH34" s="130">
        <v>1.2</v>
      </c>
      <c r="BI34" s="130">
        <v>1.2</v>
      </c>
      <c r="BJ34" s="130">
        <v>2</v>
      </c>
      <c r="BK34" s="130">
        <v>1.5</v>
      </c>
      <c r="BL34" s="130">
        <v>0.1</v>
      </c>
      <c r="BM34" s="130">
        <v>0.2</v>
      </c>
      <c r="BN34" s="130">
        <v>0.2</v>
      </c>
      <c r="BO34" s="130">
        <v>9.3000000000000007</v>
      </c>
      <c r="BP34" s="130">
        <v>6.7</v>
      </c>
      <c r="BQ34" s="130">
        <v>2.1</v>
      </c>
      <c r="BR34" s="130">
        <v>1.5</v>
      </c>
      <c r="BS34" s="130">
        <v>1.4</v>
      </c>
      <c r="BT34" s="130">
        <v>2.1</v>
      </c>
      <c r="BU34" s="130">
        <v>2.1</v>
      </c>
      <c r="BV34" s="130">
        <v>2.1</v>
      </c>
      <c r="BW34" s="130">
        <v>1.1000000000000001</v>
      </c>
      <c r="BX34" s="130">
        <v>4.2</v>
      </c>
      <c r="BY34" s="130">
        <v>4.2</v>
      </c>
      <c r="BZ34" s="130">
        <v>2.9</v>
      </c>
      <c r="CA34" s="130">
        <v>2.9</v>
      </c>
      <c r="CB34" s="130">
        <v>0.1</v>
      </c>
      <c r="CC34" s="130">
        <v>0.1</v>
      </c>
      <c r="CD34" s="130">
        <v>4.5</v>
      </c>
      <c r="CE34" s="130">
        <v>0.01</v>
      </c>
      <c r="CF34" s="130">
        <v>0.01</v>
      </c>
      <c r="CG34" s="130">
        <v>0.7</v>
      </c>
      <c r="CH34" s="130">
        <v>0.3</v>
      </c>
      <c r="CI34" s="130">
        <v>0.2</v>
      </c>
      <c r="CJ34" s="130">
        <v>0.3</v>
      </c>
      <c r="CK34" s="130">
        <v>5.8</v>
      </c>
      <c r="CL34" s="130">
        <v>0.2</v>
      </c>
      <c r="CM34" s="130">
        <v>1.1000000000000001</v>
      </c>
      <c r="CN34" s="130">
        <v>2</v>
      </c>
      <c r="CO34" s="130">
        <v>1.7</v>
      </c>
      <c r="CP34" s="130">
        <v>1.7</v>
      </c>
      <c r="CQ34" s="130">
        <v>2.2999999999999998</v>
      </c>
      <c r="CR34" s="130">
        <v>2.2999999999999998</v>
      </c>
      <c r="CS34" s="130">
        <v>4.7</v>
      </c>
      <c r="CT34" s="130">
        <v>4.7</v>
      </c>
      <c r="CU34" s="130">
        <v>15</v>
      </c>
      <c r="CV34" s="130">
        <v>15</v>
      </c>
      <c r="CW34" s="130">
        <v>3.2</v>
      </c>
      <c r="CX34" s="130">
        <v>3.2</v>
      </c>
      <c r="CY34" s="130">
        <v>0.1</v>
      </c>
      <c r="CZ34" s="130">
        <v>0.1</v>
      </c>
      <c r="DA34" s="130">
        <v>1.5</v>
      </c>
      <c r="DB34" s="130">
        <v>1.5</v>
      </c>
      <c r="DC34" s="130">
        <v>0.5</v>
      </c>
      <c r="DD34" s="130">
        <v>0.5</v>
      </c>
      <c r="DE34" s="130">
        <v>0.3</v>
      </c>
      <c r="DF34" s="130">
        <v>8.56</v>
      </c>
      <c r="DG34" s="130">
        <v>8.5</v>
      </c>
      <c r="DH34" s="130">
        <v>8.3000000000000007</v>
      </c>
      <c r="DI34" s="130">
        <v>4.2</v>
      </c>
      <c r="DJ34" s="130">
        <v>10.3</v>
      </c>
      <c r="DK34" s="130">
        <v>10.6</v>
      </c>
      <c r="DL34" s="130">
        <v>10.6</v>
      </c>
      <c r="DM34" s="130">
        <v>10.6</v>
      </c>
      <c r="DN34" s="130">
        <v>22.5</v>
      </c>
      <c r="DO34" s="130">
        <v>2.5</v>
      </c>
      <c r="DP34" s="130">
        <v>2.5</v>
      </c>
      <c r="DQ34" s="130">
        <v>11</v>
      </c>
      <c r="DR34" s="130">
        <v>6.2</v>
      </c>
      <c r="DS34" s="130">
        <v>6.2</v>
      </c>
      <c r="DT34" s="130">
        <v>8.1999999999999993</v>
      </c>
      <c r="DU34" s="130">
        <v>0.5</v>
      </c>
      <c r="DV34" s="130">
        <v>4.5</v>
      </c>
      <c r="DW34" s="130">
        <v>4.5</v>
      </c>
      <c r="DX34" s="130">
        <v>10.6</v>
      </c>
      <c r="DY34" s="130">
        <v>10.6</v>
      </c>
      <c r="DZ34" s="130">
        <v>14.5</v>
      </c>
      <c r="EA34" s="130">
        <v>14.3</v>
      </c>
      <c r="EB34" s="130">
        <v>14.3</v>
      </c>
      <c r="EC34" s="130">
        <v>14.3</v>
      </c>
      <c r="ED34" s="130">
        <v>14.3</v>
      </c>
      <c r="EE34" s="130">
        <v>4.4000000000000004</v>
      </c>
      <c r="EF34" s="130">
        <v>2.5</v>
      </c>
      <c r="EG34" s="130">
        <v>3.65</v>
      </c>
      <c r="EH34" s="130">
        <v>6.4</v>
      </c>
      <c r="EI34" s="130">
        <v>2.2999999999999998</v>
      </c>
      <c r="EJ34" s="130">
        <v>2.2000000000000002</v>
      </c>
      <c r="EK34" s="130">
        <v>2.2000000000000002</v>
      </c>
      <c r="EL34" s="130">
        <v>2.2000000000000002</v>
      </c>
      <c r="EM34" s="130">
        <v>2.2000000000000002</v>
      </c>
      <c r="EN34" s="130">
        <v>14.3</v>
      </c>
      <c r="EO34" s="130">
        <v>14.4</v>
      </c>
      <c r="EP34" s="130">
        <v>14.3</v>
      </c>
      <c r="EQ34" s="130">
        <v>1.64</v>
      </c>
      <c r="ER34" s="130">
        <v>1.64</v>
      </c>
      <c r="ES34" s="130">
        <v>6.8</v>
      </c>
      <c r="ET34" s="130">
        <v>6.29</v>
      </c>
      <c r="EU34" s="130">
        <v>6.29</v>
      </c>
      <c r="EV34" s="130">
        <v>6.29</v>
      </c>
      <c r="EW34" s="130">
        <v>21.3</v>
      </c>
      <c r="EX34" s="130">
        <v>71.7</v>
      </c>
      <c r="EY34" s="130">
        <v>71.7</v>
      </c>
      <c r="EZ34" s="130">
        <v>69.2</v>
      </c>
      <c r="FA34" s="130">
        <v>69.900000000000006</v>
      </c>
      <c r="FB34" s="130">
        <v>72.400000000000006</v>
      </c>
      <c r="FC34" s="130">
        <v>100</v>
      </c>
      <c r="FD34" s="130">
        <v>100.9</v>
      </c>
      <c r="FE34" s="130">
        <v>100.7</v>
      </c>
      <c r="FF34" s="130">
        <v>100.7</v>
      </c>
      <c r="FG34" s="130">
        <v>119.5</v>
      </c>
      <c r="FH34" s="130">
        <v>100.6</v>
      </c>
      <c r="FI34" s="130">
        <v>102.5</v>
      </c>
      <c r="FJ34" s="130">
        <v>102.7</v>
      </c>
      <c r="FK34" s="130">
        <v>102.7</v>
      </c>
      <c r="FL34" s="130">
        <v>101.2</v>
      </c>
      <c r="FM34" s="130">
        <v>101.8</v>
      </c>
      <c r="FN34" s="130">
        <v>100.9</v>
      </c>
      <c r="FO34" s="130">
        <v>100.9</v>
      </c>
      <c r="FP34" s="130">
        <v>0.4</v>
      </c>
      <c r="FQ34" s="130">
        <v>0.2</v>
      </c>
      <c r="FR34" s="130">
        <v>0.2</v>
      </c>
      <c r="FS34" s="130">
        <v>7</v>
      </c>
      <c r="FT34" s="130">
        <v>7</v>
      </c>
      <c r="FU34" s="130">
        <v>5.2</v>
      </c>
      <c r="FV34" s="130">
        <v>10.1</v>
      </c>
      <c r="FW34" s="130">
        <v>10.1</v>
      </c>
      <c r="FX34" s="130">
        <v>10.1</v>
      </c>
      <c r="FY34" s="130">
        <v>9.5</v>
      </c>
      <c r="FZ34" s="130">
        <v>10.1</v>
      </c>
      <c r="GA34" s="130">
        <v>2.6</v>
      </c>
      <c r="GB34" s="130">
        <v>2.6</v>
      </c>
      <c r="GC34" s="130">
        <v>10.7</v>
      </c>
      <c r="GD34" s="130">
        <v>10.7</v>
      </c>
      <c r="GE34" s="130">
        <v>14.4</v>
      </c>
      <c r="GF34" s="130">
        <v>0.8</v>
      </c>
      <c r="GG34" s="130">
        <v>1.6</v>
      </c>
      <c r="GH34" s="130">
        <v>1.65</v>
      </c>
      <c r="GI34" s="130">
        <v>4.6719999999999997</v>
      </c>
      <c r="GJ34" s="130">
        <v>6</v>
      </c>
      <c r="GK34" s="130">
        <v>6</v>
      </c>
      <c r="GL34" s="130">
        <v>6</v>
      </c>
      <c r="GM34" s="130">
        <v>12</v>
      </c>
      <c r="GN34" s="130">
        <v>3.8</v>
      </c>
      <c r="GO34" s="130">
        <v>3.8</v>
      </c>
      <c r="GP34" s="130">
        <v>3.3</v>
      </c>
      <c r="GQ34" s="130"/>
      <c r="GR34" s="130"/>
      <c r="GS34" s="130"/>
      <c r="GT34" s="130"/>
      <c r="GU34" s="130"/>
      <c r="GV34" s="130"/>
      <c r="GW34" s="130"/>
      <c r="GX34" s="130">
        <v>3.7</v>
      </c>
      <c r="GY34" s="130">
        <v>12.4</v>
      </c>
      <c r="GZ34" s="130">
        <v>12.3</v>
      </c>
      <c r="HA34" s="130">
        <v>17</v>
      </c>
      <c r="HB34" s="130">
        <v>7.8</v>
      </c>
      <c r="HC34" s="130">
        <v>6.1</v>
      </c>
      <c r="HD34" s="130">
        <v>6.1</v>
      </c>
      <c r="HE34" s="130"/>
      <c r="HF34" s="130"/>
      <c r="HG34" s="130">
        <v>5</v>
      </c>
      <c r="HH34" s="130">
        <v>5</v>
      </c>
      <c r="HI34" s="130">
        <v>6.7</v>
      </c>
      <c r="HJ34" s="130">
        <v>9.1999999999999993</v>
      </c>
      <c r="HK34" s="130"/>
      <c r="HL34" s="130"/>
      <c r="HM34" s="130">
        <v>6</v>
      </c>
      <c r="HN34" s="130">
        <v>3.65</v>
      </c>
      <c r="HO34" s="130">
        <v>3.3</v>
      </c>
      <c r="HP34" s="130">
        <v>8.4</v>
      </c>
      <c r="HQ34" s="130">
        <v>2.4</v>
      </c>
      <c r="HR34" s="130">
        <v>2.4</v>
      </c>
      <c r="HS34" s="130">
        <v>5.5</v>
      </c>
      <c r="HT34" s="130">
        <v>5.7</v>
      </c>
      <c r="HU34" s="130">
        <v>5.7</v>
      </c>
      <c r="HV34" s="130">
        <v>3.8</v>
      </c>
      <c r="HW34" s="130">
        <v>3.8</v>
      </c>
      <c r="HX34" s="130">
        <v>4</v>
      </c>
      <c r="HY34" s="130">
        <v>4</v>
      </c>
      <c r="HZ34" s="130">
        <v>12</v>
      </c>
      <c r="IA34" s="130">
        <v>8</v>
      </c>
      <c r="IB34" s="130">
        <v>8.5</v>
      </c>
      <c r="IC34" s="130">
        <v>8.5</v>
      </c>
      <c r="ID34" s="130">
        <v>8.5</v>
      </c>
      <c r="IE34" s="130">
        <v>5.5</v>
      </c>
      <c r="IF34" s="130">
        <v>5.5</v>
      </c>
      <c r="IG34" s="130">
        <v>4.3</v>
      </c>
      <c r="IH34" s="130">
        <v>4.3</v>
      </c>
      <c r="II34" s="130">
        <v>4.3</v>
      </c>
      <c r="IJ34" s="130">
        <v>4.3</v>
      </c>
      <c r="IK34" s="130">
        <v>15</v>
      </c>
      <c r="IL34" s="130">
        <v>15</v>
      </c>
      <c r="IM34" s="130">
        <v>15</v>
      </c>
      <c r="IN34" s="130">
        <v>24.8</v>
      </c>
      <c r="IO34" s="130">
        <v>3.3</v>
      </c>
      <c r="IP34" s="130">
        <v>4.2</v>
      </c>
      <c r="IQ34" s="130">
        <v>4.2</v>
      </c>
      <c r="IR34" s="130">
        <v>4.2</v>
      </c>
      <c r="IS34" s="130">
        <v>5.7</v>
      </c>
      <c r="IT34" s="130">
        <v>7.1</v>
      </c>
      <c r="IU34" s="130">
        <v>7</v>
      </c>
      <c r="IV34" s="130">
        <v>7</v>
      </c>
      <c r="IW34" s="130">
        <v>4.2</v>
      </c>
      <c r="IX34" s="130">
        <v>4.2</v>
      </c>
      <c r="IY34" s="130">
        <v>5.3</v>
      </c>
      <c r="IZ34" s="130">
        <v>8.4</v>
      </c>
      <c r="JA34" s="130">
        <v>3.5</v>
      </c>
      <c r="JB34" s="130">
        <v>3.5</v>
      </c>
      <c r="JC34" s="130">
        <v>3.2</v>
      </c>
      <c r="JD34" s="130">
        <v>3.2</v>
      </c>
      <c r="JE34" s="130">
        <v>3.2</v>
      </c>
      <c r="JF34" s="130">
        <v>3.2</v>
      </c>
      <c r="JG34" s="130">
        <v>9.0999999999999998E-2</v>
      </c>
      <c r="JH34" s="130">
        <v>9.0999999999999998E-2</v>
      </c>
      <c r="JI34" s="130">
        <v>9.0999999999999998E-2</v>
      </c>
      <c r="JJ34" s="130">
        <v>7.3</v>
      </c>
      <c r="JK34" s="130">
        <v>14.5</v>
      </c>
      <c r="JL34" s="130">
        <v>14.4</v>
      </c>
      <c r="JM34" s="130">
        <v>7.3</v>
      </c>
      <c r="JN34" s="130">
        <v>7.3</v>
      </c>
      <c r="JO34" s="130">
        <v>7.3</v>
      </c>
      <c r="JP34" s="130">
        <v>9.4</v>
      </c>
      <c r="JQ34" s="130">
        <v>9.4</v>
      </c>
      <c r="JR34" s="130">
        <v>10.199999999999999</v>
      </c>
      <c r="JS34" s="130">
        <v>10.199999999999999</v>
      </c>
      <c r="JT34" s="130">
        <v>8.4</v>
      </c>
      <c r="JU34" s="130">
        <v>8.4</v>
      </c>
      <c r="JV34" s="130">
        <v>8.4</v>
      </c>
      <c r="JW34" s="130">
        <v>2</v>
      </c>
      <c r="JX34" s="130">
        <v>2</v>
      </c>
      <c r="JY34" s="130">
        <v>20.2</v>
      </c>
      <c r="JZ34" s="130">
        <v>20.2</v>
      </c>
      <c r="KA34" s="130">
        <v>20.3</v>
      </c>
      <c r="KB34" s="130">
        <v>2.9</v>
      </c>
      <c r="KC34" s="130">
        <v>3.5</v>
      </c>
      <c r="KD34" s="130">
        <v>3.3</v>
      </c>
      <c r="KE34" s="130">
        <v>3.3</v>
      </c>
      <c r="KF34" s="130">
        <v>14.5</v>
      </c>
      <c r="KG34" s="130">
        <v>29</v>
      </c>
      <c r="KH34" s="130">
        <v>29</v>
      </c>
      <c r="KI34" s="130">
        <v>9</v>
      </c>
      <c r="KJ34" s="130">
        <v>9</v>
      </c>
      <c r="KK34" s="130">
        <v>8.9</v>
      </c>
      <c r="KL34" s="130">
        <v>7</v>
      </c>
      <c r="KM34" s="130">
        <v>7</v>
      </c>
      <c r="KN34" s="130">
        <v>6</v>
      </c>
      <c r="KO34" s="130">
        <v>4</v>
      </c>
      <c r="KP34" s="130">
        <v>4</v>
      </c>
      <c r="KQ34" s="130">
        <v>12</v>
      </c>
      <c r="KR34" s="130">
        <v>12</v>
      </c>
      <c r="KS34" s="130">
        <v>0.9</v>
      </c>
      <c r="KT34" s="130">
        <v>0.9</v>
      </c>
      <c r="KU34" s="130">
        <v>9.1999999999999993</v>
      </c>
      <c r="KV34" s="130">
        <v>3.7</v>
      </c>
      <c r="KW34" s="130">
        <v>15.395</v>
      </c>
      <c r="KX34" s="130">
        <v>19</v>
      </c>
      <c r="KY34" s="130">
        <v>19</v>
      </c>
      <c r="KZ34" s="130">
        <v>0.39500000000000002</v>
      </c>
      <c r="LA34" s="130">
        <v>0.39500000000000002</v>
      </c>
      <c r="LB34" s="130">
        <v>0.39500000000000002</v>
      </c>
      <c r="LC34" s="130">
        <v>0.39500000000000002</v>
      </c>
      <c r="LD34" s="130">
        <v>0.39500000000000002</v>
      </c>
      <c r="LE34" s="130">
        <v>0.15</v>
      </c>
      <c r="LF34" s="130">
        <v>1.19</v>
      </c>
      <c r="LG34" s="130">
        <v>1.19</v>
      </c>
      <c r="LH34" s="130">
        <v>1.19</v>
      </c>
      <c r="LI34" s="130">
        <v>1.88</v>
      </c>
      <c r="LJ34" s="130">
        <v>1.88</v>
      </c>
      <c r="LK34" s="130">
        <v>1.88</v>
      </c>
      <c r="LL34" s="130">
        <v>1.52</v>
      </c>
      <c r="LM34" s="130">
        <v>1.52</v>
      </c>
      <c r="LN34" s="130">
        <v>0.88</v>
      </c>
      <c r="LO34" s="130">
        <v>0.88</v>
      </c>
      <c r="LP34" s="130">
        <v>0.88</v>
      </c>
      <c r="LQ34" s="130">
        <v>1.6919999999999999</v>
      </c>
      <c r="LR34" s="130">
        <v>0.48599999999999999</v>
      </c>
      <c r="LS34" s="130">
        <v>0.48599999999999999</v>
      </c>
      <c r="LT34" s="130">
        <v>0.40799999999999997</v>
      </c>
      <c r="LU34" s="130">
        <v>12.343</v>
      </c>
      <c r="LV34" s="130">
        <v>5.9010000000000007</v>
      </c>
      <c r="LW34" s="130">
        <v>5.9010000000000007</v>
      </c>
      <c r="LX34" s="130">
        <v>10.95</v>
      </c>
      <c r="LY34" s="130">
        <v>10.95</v>
      </c>
      <c r="LZ34" s="130">
        <v>9.5</v>
      </c>
      <c r="MA34" s="130">
        <v>9.5</v>
      </c>
      <c r="MB34" s="130">
        <v>9.5</v>
      </c>
      <c r="MC34" s="130">
        <v>9.5</v>
      </c>
      <c r="MD34" s="130">
        <v>6.4</v>
      </c>
      <c r="ME34" s="130">
        <v>5.5469999999999997</v>
      </c>
      <c r="MF34" s="130">
        <v>5.5469999999999997</v>
      </c>
      <c r="MG34" s="130">
        <v>5.5469999999999997</v>
      </c>
      <c r="MH34" s="130">
        <v>3.55</v>
      </c>
      <c r="MI34" s="130">
        <v>3.55</v>
      </c>
      <c r="MJ34" s="130">
        <v>3.5</v>
      </c>
      <c r="MK34" s="130">
        <v>5.0999999999999996</v>
      </c>
      <c r="ML34" s="130">
        <v>5.0999999999999996</v>
      </c>
      <c r="MM34" s="130">
        <v>5.0999999999999996</v>
      </c>
      <c r="MN34" s="130">
        <v>5.0999999999999996</v>
      </c>
      <c r="MO34" s="130">
        <v>5.0999999999999996</v>
      </c>
      <c r="MP34" s="130">
        <v>5.0999999999999996</v>
      </c>
      <c r="MQ34" s="130">
        <v>17.135000000000002</v>
      </c>
      <c r="MR34" s="130">
        <v>17.135000000000002</v>
      </c>
      <c r="MS34" s="130">
        <v>10</v>
      </c>
      <c r="MT34" s="130">
        <v>9.6999999999999993</v>
      </c>
      <c r="MU34" s="130">
        <v>9.6999999999999993</v>
      </c>
      <c r="MV34" s="130">
        <v>9.6999999999999993</v>
      </c>
      <c r="MW34" s="130">
        <v>6.45</v>
      </c>
      <c r="MX34" s="130">
        <v>6.45</v>
      </c>
      <c r="MY34" s="130">
        <v>6.45</v>
      </c>
      <c r="MZ34" s="130">
        <v>6.45</v>
      </c>
      <c r="NA34" s="130">
        <v>6.45</v>
      </c>
      <c r="NB34" s="130">
        <v>6.45</v>
      </c>
      <c r="NC34" s="130">
        <v>6.45</v>
      </c>
      <c r="ND34" s="130">
        <v>6.45</v>
      </c>
      <c r="NE34" s="130">
        <v>6.45</v>
      </c>
      <c r="NF34" s="130">
        <v>23.4</v>
      </c>
      <c r="NG34" s="130">
        <v>0.7</v>
      </c>
      <c r="NH34" s="130">
        <v>0.2</v>
      </c>
      <c r="NI34" s="130">
        <v>0.2</v>
      </c>
      <c r="NJ34" s="130">
        <v>0.2</v>
      </c>
      <c r="NK34" s="130">
        <v>17.5</v>
      </c>
      <c r="NL34" s="130">
        <v>17.5</v>
      </c>
      <c r="NM34" s="130">
        <v>9.5</v>
      </c>
      <c r="NN34" s="130">
        <v>9.5</v>
      </c>
      <c r="NO34" s="130">
        <v>9.5</v>
      </c>
      <c r="NP34" s="130">
        <v>25.9</v>
      </c>
      <c r="NQ34" s="130">
        <v>25.9</v>
      </c>
      <c r="NR34" s="130">
        <v>24</v>
      </c>
      <c r="NS34" s="130">
        <v>24</v>
      </c>
      <c r="NT34" s="130">
        <v>24</v>
      </c>
      <c r="NU34" s="130">
        <v>22</v>
      </c>
      <c r="NV34" s="130">
        <v>15</v>
      </c>
      <c r="NW34" s="130">
        <v>15</v>
      </c>
      <c r="NX34" s="130">
        <v>15</v>
      </c>
      <c r="NY34" s="130">
        <v>12.5</v>
      </c>
      <c r="NZ34" s="130">
        <v>12.45</v>
      </c>
      <c r="OA34" s="130">
        <v>12.45</v>
      </c>
      <c r="OB34" s="130">
        <v>12.45</v>
      </c>
      <c r="OC34" s="130">
        <v>22.9</v>
      </c>
      <c r="OD34" s="130">
        <v>22.9</v>
      </c>
      <c r="OE34" s="130">
        <v>22.9</v>
      </c>
      <c r="OF34" s="130">
        <v>22.9</v>
      </c>
      <c r="OG34" s="130">
        <v>46.6</v>
      </c>
      <c r="OH34" s="130">
        <v>46.6</v>
      </c>
      <c r="OI34" s="130">
        <v>48</v>
      </c>
      <c r="OJ34" s="130">
        <v>48.3</v>
      </c>
      <c r="OK34" s="130">
        <v>48.3</v>
      </c>
      <c r="OL34" s="130">
        <v>48.2</v>
      </c>
      <c r="OM34" s="130">
        <v>48.2</v>
      </c>
      <c r="ON34" s="130">
        <v>48.2</v>
      </c>
      <c r="OO34" s="130">
        <v>34.5</v>
      </c>
      <c r="OP34" s="130">
        <v>26.2</v>
      </c>
      <c r="OQ34" s="130">
        <v>26.2</v>
      </c>
      <c r="OR34" s="130">
        <v>26.2</v>
      </c>
      <c r="OS34" s="130">
        <v>23</v>
      </c>
      <c r="OT34" s="130">
        <v>23</v>
      </c>
      <c r="OU34" s="130">
        <v>23</v>
      </c>
      <c r="OV34" s="130">
        <v>23</v>
      </c>
      <c r="OW34" s="130">
        <v>31</v>
      </c>
      <c r="OX34" s="130">
        <v>31</v>
      </c>
      <c r="OY34" s="130">
        <v>12.593999999999999</v>
      </c>
      <c r="OZ34" s="130">
        <v>12.593999999999999</v>
      </c>
      <c r="PA34" s="130">
        <v>12.593999999999999</v>
      </c>
      <c r="PB34" s="130">
        <v>5.75</v>
      </c>
      <c r="PC34" s="130">
        <v>5.75</v>
      </c>
      <c r="PD34" s="130">
        <v>5.75</v>
      </c>
      <c r="PE34" s="130">
        <v>5.5</v>
      </c>
      <c r="PF34" s="130">
        <v>4.8</v>
      </c>
      <c r="PG34" s="130">
        <v>4.8</v>
      </c>
      <c r="PH34" s="130">
        <v>4.8</v>
      </c>
      <c r="PI34" s="130">
        <v>9.9499999999999993</v>
      </c>
      <c r="PJ34" s="130">
        <v>9.9499999999999993</v>
      </c>
      <c r="PK34" s="130">
        <v>9.9499999999999993</v>
      </c>
      <c r="PL34" s="130">
        <v>9.9499999999999993</v>
      </c>
      <c r="PM34" s="130">
        <v>9.9499999999999993</v>
      </c>
      <c r="PN34" s="130">
        <v>0.2</v>
      </c>
      <c r="PO34" s="130">
        <v>0.2</v>
      </c>
      <c r="PP34" s="130">
        <v>0.2</v>
      </c>
      <c r="PQ34" s="130">
        <v>15</v>
      </c>
      <c r="PR34" s="130">
        <v>15</v>
      </c>
      <c r="PS34" s="130">
        <v>14.5</v>
      </c>
      <c r="PT34" s="130">
        <v>14.5</v>
      </c>
      <c r="PU34" s="130">
        <v>12.4</v>
      </c>
      <c r="PV34" s="130">
        <v>12.4</v>
      </c>
      <c r="PW34" s="130">
        <v>12.4</v>
      </c>
      <c r="PX34" s="130">
        <v>9.1</v>
      </c>
      <c r="PY34" s="130">
        <v>9.5500000000000007</v>
      </c>
      <c r="PZ34" s="130">
        <v>9.5500000000000007</v>
      </c>
      <c r="QA34" s="130">
        <v>9.5500000000000007</v>
      </c>
      <c r="QB34" s="130">
        <v>7.13</v>
      </c>
      <c r="QC34" s="130">
        <v>7.13</v>
      </c>
      <c r="QD34" s="130">
        <v>7.13</v>
      </c>
      <c r="QE34" s="130">
        <v>4.7</v>
      </c>
      <c r="QF34" s="130">
        <v>4.7</v>
      </c>
      <c r="QG34" s="130">
        <v>4.7</v>
      </c>
      <c r="QH34" s="130">
        <v>4.7</v>
      </c>
      <c r="QI34" s="130">
        <v>1.7</v>
      </c>
      <c r="QJ34" s="130">
        <v>1.7</v>
      </c>
      <c r="QK34" s="130">
        <v>1.19</v>
      </c>
      <c r="QL34" s="130">
        <v>1.19</v>
      </c>
      <c r="QM34" s="130">
        <v>1.19</v>
      </c>
      <c r="QN34" s="130">
        <v>5.3</v>
      </c>
      <c r="QO34" s="130">
        <v>8.7650000000000006</v>
      </c>
      <c r="QP34" s="130">
        <v>8.7650000000000006</v>
      </c>
      <c r="QQ34" s="130">
        <v>8.6050000000000004</v>
      </c>
      <c r="QR34" s="130">
        <v>8.6050000000000004</v>
      </c>
      <c r="QS34" s="130">
        <v>6.9</v>
      </c>
      <c r="QT34" s="130">
        <v>6.7</v>
      </c>
      <c r="QU34" s="130">
        <v>6.7</v>
      </c>
      <c r="QV34" s="130">
        <v>6.3</v>
      </c>
      <c r="QW34" s="130">
        <v>6.7</v>
      </c>
      <c r="QX34" s="130">
        <v>6.7</v>
      </c>
      <c r="QY34" s="130">
        <v>0.51</v>
      </c>
      <c r="QZ34" s="130">
        <v>0.51</v>
      </c>
      <c r="RA34" s="130">
        <v>0.4</v>
      </c>
      <c r="RB34" s="130">
        <v>0.4</v>
      </c>
      <c r="RC34" s="130">
        <v>0.4</v>
      </c>
      <c r="RD34" s="130">
        <v>0.4</v>
      </c>
      <c r="RE34" s="130">
        <v>9.9350000000000005</v>
      </c>
      <c r="RF34" s="130">
        <v>9.9350000000000005</v>
      </c>
      <c r="RG34" s="130">
        <v>9.9350000000000005</v>
      </c>
      <c r="RH34" s="130">
        <v>6.085</v>
      </c>
      <c r="RI34" s="130">
        <v>6.085</v>
      </c>
      <c r="RJ34" s="130">
        <v>6.085</v>
      </c>
      <c r="RK34" s="130">
        <v>9.8000000000000007</v>
      </c>
      <c r="RL34" s="130">
        <v>9.8000000000000007</v>
      </c>
      <c r="RM34" s="130">
        <v>7.9</v>
      </c>
      <c r="RN34" s="130">
        <v>7.9</v>
      </c>
      <c r="RO34" s="130">
        <v>7.9</v>
      </c>
      <c r="RP34" s="130">
        <v>7.9</v>
      </c>
      <c r="RQ34" s="130">
        <v>5.8</v>
      </c>
      <c r="RR34" s="130">
        <v>5.8</v>
      </c>
      <c r="RS34" s="130">
        <v>3</v>
      </c>
      <c r="RT34" s="130">
        <v>3</v>
      </c>
      <c r="RU34" s="130">
        <v>3</v>
      </c>
      <c r="RV34" s="130">
        <v>3</v>
      </c>
      <c r="RW34" s="130">
        <v>3</v>
      </c>
      <c r="RX34" s="130">
        <v>3</v>
      </c>
      <c r="RY34" s="130">
        <v>0.5</v>
      </c>
      <c r="RZ34" s="130">
        <v>0.5</v>
      </c>
      <c r="SA34" s="130">
        <v>6.87</v>
      </c>
      <c r="SB34" s="130">
        <v>0</v>
      </c>
      <c r="SC34" s="130">
        <v>0</v>
      </c>
      <c r="SD34" s="130">
        <v>0</v>
      </c>
      <c r="SE34" s="130">
        <v>6.8</v>
      </c>
      <c r="SF34" s="130">
        <v>6.8</v>
      </c>
      <c r="SG34" s="130">
        <v>6.6</v>
      </c>
      <c r="SH34" s="130">
        <v>6.6</v>
      </c>
      <c r="SI34" s="130">
        <v>4.4000000000000004</v>
      </c>
      <c r="SJ34" s="130">
        <v>4.4000000000000004</v>
      </c>
      <c r="SK34" s="130">
        <v>103.5</v>
      </c>
      <c r="SL34" s="130">
        <v>103.5</v>
      </c>
      <c r="SM34" s="130">
        <v>2.8000000000000003</v>
      </c>
      <c r="SN34" s="130">
        <v>2.8000000000000003</v>
      </c>
      <c r="SO34" s="130">
        <v>2.8000000000000003</v>
      </c>
      <c r="SP34" s="130">
        <v>3.0550000000000002</v>
      </c>
      <c r="SQ34" s="130">
        <v>3.0550000000000002</v>
      </c>
      <c r="SR34" s="130">
        <v>3.0550000000000002</v>
      </c>
      <c r="SS34" s="130">
        <v>1.488</v>
      </c>
      <c r="ST34" s="130">
        <v>1.488</v>
      </c>
      <c r="SU34" s="130">
        <v>1.3</v>
      </c>
      <c r="SV34" s="130">
        <v>1.3</v>
      </c>
      <c r="SW34" s="130">
        <v>1.3</v>
      </c>
      <c r="SX34" s="130">
        <v>35.93</v>
      </c>
      <c r="SY34" s="130">
        <v>35.93</v>
      </c>
      <c r="SZ34" s="130">
        <v>35.93</v>
      </c>
      <c r="TA34" s="130">
        <v>38.5</v>
      </c>
      <c r="TB34" s="130">
        <v>38.5</v>
      </c>
      <c r="TC34" s="130">
        <v>28.7</v>
      </c>
      <c r="TD34" s="130">
        <v>28.7</v>
      </c>
      <c r="TE34" s="130">
        <v>30.3</v>
      </c>
      <c r="TF34" s="130">
        <v>0.46099999999999997</v>
      </c>
      <c r="TG34" s="130">
        <v>5.0449999999999999</v>
      </c>
      <c r="TH34" s="130">
        <v>11.5</v>
      </c>
      <c r="TI34" s="130">
        <v>39.35</v>
      </c>
      <c r="TJ34" s="130">
        <v>8.64</v>
      </c>
      <c r="TK34" s="130">
        <v>8.9039999999999999</v>
      </c>
      <c r="TL34" s="130">
        <v>1</v>
      </c>
      <c r="TM34" s="130">
        <v>8</v>
      </c>
      <c r="TN34" s="130">
        <v>10.1</v>
      </c>
      <c r="TO34" s="130">
        <v>24.1</v>
      </c>
      <c r="TP34" s="130">
        <v>3.6120000000000001</v>
      </c>
      <c r="TQ34" s="130">
        <v>2.7549999999999999</v>
      </c>
      <c r="TR34" s="130">
        <v>4.6130000000000004</v>
      </c>
      <c r="TS34" s="130">
        <v>10.645</v>
      </c>
      <c r="TT34" s="130">
        <v>16.913</v>
      </c>
      <c r="TU34" s="130">
        <v>16.393000000000001</v>
      </c>
      <c r="TV34" s="130">
        <v>14.735000000000001</v>
      </c>
      <c r="TW34" s="130">
        <v>12.4</v>
      </c>
      <c r="TX34" s="130">
        <v>12.05</v>
      </c>
      <c r="TY34" s="130">
        <v>13.05</v>
      </c>
      <c r="TZ34" s="130">
        <v>18.614999999999998</v>
      </c>
      <c r="UA34" s="130">
        <v>13.9</v>
      </c>
      <c r="UB34" s="130">
        <v>13.815</v>
      </c>
      <c r="UC34" s="130">
        <v>13.822999999999999</v>
      </c>
      <c r="UD34" s="130">
        <v>12.077</v>
      </c>
      <c r="UE34" s="130">
        <v>3.9000000000000004</v>
      </c>
      <c r="UF34" s="130">
        <v>6.2</v>
      </c>
      <c r="UG34" s="130">
        <v>4.4449999999999994</v>
      </c>
      <c r="UH34" s="130">
        <v>4.1449999999999996</v>
      </c>
      <c r="UI34" s="130">
        <v>4</v>
      </c>
      <c r="UJ34" s="130">
        <v>12.450000000000001</v>
      </c>
      <c r="UK34" s="130">
        <v>12.451000000000001</v>
      </c>
      <c r="UL34" s="130">
        <v>12.46</v>
      </c>
      <c r="UM34" s="130">
        <v>15.87</v>
      </c>
      <c r="UN34" s="130">
        <v>5.0650000000000004</v>
      </c>
      <c r="UO34" s="130">
        <v>9.26</v>
      </c>
      <c r="UP34" s="130">
        <v>2.16</v>
      </c>
      <c r="UQ34" s="130">
        <v>1.3599999999999999</v>
      </c>
      <c r="UR34" s="130">
        <v>2.46</v>
      </c>
      <c r="US34" s="130">
        <v>2.3600000000000003</v>
      </c>
      <c r="UT34" s="130">
        <v>1.2</v>
      </c>
      <c r="UU34" s="130">
        <v>11.6</v>
      </c>
      <c r="UV34" s="130">
        <v>0.45400000000000001</v>
      </c>
      <c r="UW34" s="130">
        <v>0.4</v>
      </c>
      <c r="UX34" s="130">
        <v>1.35</v>
      </c>
      <c r="UY34" s="130">
        <v>6.42</v>
      </c>
      <c r="UZ34" s="130">
        <v>8.61</v>
      </c>
      <c r="VA34" s="130">
        <v>0.2</v>
      </c>
      <c r="VB34" s="130">
        <v>2.3000000000000003</v>
      </c>
      <c r="VC34" s="130">
        <v>5.65</v>
      </c>
      <c r="VD34" s="130">
        <v>5.5420000000000007</v>
      </c>
      <c r="VE34" s="130">
        <v>5.5420000000000007</v>
      </c>
      <c r="VF34" s="130">
        <v>19.600000000000001</v>
      </c>
      <c r="VG34" s="130">
        <v>9.65</v>
      </c>
      <c r="VH34" s="130">
        <v>0.3</v>
      </c>
      <c r="VI34" s="130">
        <v>0.111</v>
      </c>
      <c r="VJ34" s="130">
        <v>0.39200000000000002</v>
      </c>
      <c r="VK34" s="130">
        <v>16.5</v>
      </c>
      <c r="VL34" s="130">
        <v>2.0950000000000002</v>
      </c>
      <c r="VM34" s="130">
        <v>3.64</v>
      </c>
      <c r="VN34" s="130">
        <v>3.42</v>
      </c>
      <c r="VO34" s="130">
        <v>13.2</v>
      </c>
      <c r="VP34" s="130">
        <v>13.4</v>
      </c>
      <c r="VQ34" s="130">
        <v>0.1</v>
      </c>
      <c r="VR34" s="130">
        <v>0.67600000000000005</v>
      </c>
      <c r="VS34" s="130">
        <v>8</v>
      </c>
      <c r="VT34" s="130">
        <v>9.7449999999999992</v>
      </c>
      <c r="VU34" s="130">
        <v>9.4450000000000003</v>
      </c>
      <c r="VV34" s="130">
        <v>0.93300000000000005</v>
      </c>
      <c r="VW34" s="130">
        <v>0.2</v>
      </c>
      <c r="VX34" s="130">
        <v>1.4</v>
      </c>
      <c r="VY34" s="130">
        <v>5.0550000000000006</v>
      </c>
      <c r="VZ34" s="130">
        <v>17.872</v>
      </c>
      <c r="WA34" s="130">
        <v>1.9750000000000001</v>
      </c>
      <c r="WB34" s="130">
        <v>8.0170000000000012</v>
      </c>
      <c r="WC34" s="130">
        <v>5.766</v>
      </c>
      <c r="WD34" s="130">
        <v>6.5100000000000007</v>
      </c>
      <c r="WE34" s="130">
        <v>14.879999999999999</v>
      </c>
      <c r="WF34" s="130">
        <v>14.809999999999999</v>
      </c>
      <c r="WG34" s="130">
        <v>0.4</v>
      </c>
      <c r="WH34" s="130">
        <v>0.33700000000000002</v>
      </c>
      <c r="WI34" s="130">
        <v>0.35</v>
      </c>
      <c r="WJ34" s="130">
        <v>15.571</v>
      </c>
      <c r="WK34" s="130">
        <v>11.233000000000001</v>
      </c>
      <c r="WL34" s="130">
        <v>13</v>
      </c>
      <c r="WM34" s="130">
        <v>0.2</v>
      </c>
      <c r="WN34" s="130">
        <v>5.17</v>
      </c>
      <c r="WO34" s="130">
        <v>16.635000000000002</v>
      </c>
      <c r="WP34" s="130">
        <v>24.4</v>
      </c>
      <c r="WQ34" s="130">
        <v>21.97</v>
      </c>
      <c r="WR34" s="130">
        <v>11.7</v>
      </c>
      <c r="WS34" s="130">
        <v>0.27</v>
      </c>
      <c r="WT34" s="130">
        <v>2.25</v>
      </c>
      <c r="WU34" s="130">
        <v>8.0500000000000007</v>
      </c>
      <c r="WV34" s="130">
        <v>26.19</v>
      </c>
      <c r="WW34" s="130">
        <v>7.8900000000000006</v>
      </c>
      <c r="WX34" s="130">
        <v>11.440000000000001</v>
      </c>
      <c r="WY34" s="130">
        <v>15.555000000000001</v>
      </c>
      <c r="WZ34" s="130">
        <v>21.625</v>
      </c>
      <c r="XA34" s="130">
        <v>9.0400000000000009</v>
      </c>
      <c r="XB34" s="130">
        <v>8.8049999999999997</v>
      </c>
      <c r="XC34" s="130">
        <v>8.5370000000000008</v>
      </c>
      <c r="XD34" s="130">
        <v>8.25</v>
      </c>
      <c r="XE34" s="130">
        <v>8.8609999999999989</v>
      </c>
      <c r="XF34" s="130">
        <v>1.413</v>
      </c>
      <c r="XG34" s="130">
        <v>0.42</v>
      </c>
      <c r="XH34" s="130">
        <v>0.38100000000000001</v>
      </c>
      <c r="XI34" s="130">
        <v>99.924999999999997</v>
      </c>
      <c r="XJ34" s="130">
        <v>98.75</v>
      </c>
      <c r="XK34" s="130">
        <v>31</v>
      </c>
      <c r="XL34" s="130">
        <v>20.64</v>
      </c>
      <c r="XM34" s="130">
        <v>5.5970000000000004</v>
      </c>
      <c r="XN34" s="130">
        <v>4.8500000000000005</v>
      </c>
      <c r="XO34" s="130">
        <v>4.7709999999999999</v>
      </c>
      <c r="XP34" s="130">
        <v>2.21</v>
      </c>
      <c r="XQ34" s="130">
        <v>2.12</v>
      </c>
      <c r="XR34" s="130">
        <v>4.1520000000000001</v>
      </c>
      <c r="XS34" s="130">
        <v>31.735000000000003</v>
      </c>
      <c r="XT34" s="130">
        <v>24.858000000000001</v>
      </c>
      <c r="XU34" s="130">
        <v>24.826999999999998</v>
      </c>
      <c r="XV34" s="130">
        <v>24.864999999999998</v>
      </c>
      <c r="XW34" s="130">
        <v>24.861000000000001</v>
      </c>
      <c r="XX34" s="130">
        <v>24.5</v>
      </c>
      <c r="XY34" s="130">
        <v>15.446</v>
      </c>
      <c r="XZ34" s="130">
        <v>13.654999999999999</v>
      </c>
      <c r="YA34" s="130">
        <v>2.7549999999999999</v>
      </c>
      <c r="YB34" s="130">
        <v>2.7549999999999999</v>
      </c>
      <c r="YC34" s="130">
        <v>2.7549999999999999</v>
      </c>
      <c r="YD34" s="130">
        <v>29.255000000000003</v>
      </c>
      <c r="YE34" s="130">
        <v>34.755000000000003</v>
      </c>
      <c r="YF34" s="130">
        <v>38.885000000000005</v>
      </c>
      <c r="YG34" s="130">
        <v>41.640999999999998</v>
      </c>
      <c r="YH34" s="130">
        <v>51.4</v>
      </c>
    </row>
    <row r="35" spans="2:658">
      <c r="B35" s="917" t="s">
        <v>57</v>
      </c>
      <c r="C35" s="918">
        <v>50</v>
      </c>
      <c r="D35" s="130">
        <v>3.4</v>
      </c>
      <c r="E35" s="130">
        <v>17.600000000000001</v>
      </c>
      <c r="F35" s="130">
        <v>11.7</v>
      </c>
      <c r="G35" s="130">
        <v>17.899999999999999</v>
      </c>
      <c r="H35" s="130">
        <v>27</v>
      </c>
      <c r="I35" s="130">
        <v>6.6</v>
      </c>
      <c r="J35" s="130">
        <v>18.8</v>
      </c>
      <c r="K35" s="130">
        <v>18.8</v>
      </c>
      <c r="L35" s="130">
        <v>11.4</v>
      </c>
      <c r="M35" s="130">
        <v>9.5</v>
      </c>
      <c r="N35" s="130">
        <v>8.9</v>
      </c>
      <c r="O35" s="130">
        <v>6.9</v>
      </c>
      <c r="P35" s="130">
        <v>11.5</v>
      </c>
      <c r="Q35" s="130">
        <v>28.1</v>
      </c>
      <c r="R35" s="130">
        <v>34.5</v>
      </c>
      <c r="S35" s="130">
        <v>7.2</v>
      </c>
      <c r="T35" s="130">
        <v>13</v>
      </c>
      <c r="U35" s="130">
        <v>15.1</v>
      </c>
      <c r="V35" s="130">
        <v>33.9</v>
      </c>
      <c r="W35" s="130">
        <v>13.7</v>
      </c>
      <c r="X35" s="130">
        <v>3</v>
      </c>
      <c r="Y35" s="130">
        <v>10.9</v>
      </c>
      <c r="Z35" s="130">
        <v>22.9</v>
      </c>
      <c r="AA35" s="130">
        <v>47.4</v>
      </c>
      <c r="AB35" s="130">
        <v>46.8</v>
      </c>
      <c r="AC35" s="130">
        <v>78.7</v>
      </c>
      <c r="AD35" s="130">
        <v>31.7</v>
      </c>
      <c r="AE35" s="130">
        <v>10.5</v>
      </c>
      <c r="AF35" s="130">
        <v>17.8</v>
      </c>
      <c r="AG35" s="130">
        <v>26.6</v>
      </c>
      <c r="AH35" s="130">
        <v>26.2</v>
      </c>
      <c r="AI35" s="130">
        <v>8.5</v>
      </c>
      <c r="AJ35" s="130">
        <v>16.399999999999999</v>
      </c>
      <c r="AK35" s="130">
        <v>23</v>
      </c>
      <c r="AL35" s="130">
        <v>25.3</v>
      </c>
      <c r="AM35" s="130">
        <v>61</v>
      </c>
      <c r="AN35" s="130">
        <v>2.6</v>
      </c>
      <c r="AO35" s="130">
        <v>0.5</v>
      </c>
      <c r="AP35" s="130">
        <v>9.3000000000000007</v>
      </c>
      <c r="AQ35" s="130">
        <v>5.4</v>
      </c>
      <c r="AR35" s="130">
        <v>10.1</v>
      </c>
      <c r="AS35" s="130">
        <v>6.5</v>
      </c>
      <c r="AT35" s="130">
        <v>16.399999999999999</v>
      </c>
      <c r="AU35" s="130">
        <v>2.6</v>
      </c>
      <c r="AV35" s="130">
        <v>12.7</v>
      </c>
      <c r="AW35" s="130">
        <v>6.9</v>
      </c>
      <c r="AX35" s="130">
        <v>5.2</v>
      </c>
      <c r="AY35" s="130">
        <v>23.1</v>
      </c>
      <c r="AZ35" s="130">
        <v>6.7</v>
      </c>
      <c r="BA35" s="130">
        <v>2</v>
      </c>
      <c r="BB35" s="130">
        <v>9</v>
      </c>
      <c r="BC35" s="130">
        <v>6.9</v>
      </c>
      <c r="BD35" s="130">
        <v>2.7</v>
      </c>
      <c r="BE35" s="130">
        <v>13.3</v>
      </c>
      <c r="BF35" s="130">
        <v>8.5</v>
      </c>
      <c r="BG35" s="130">
        <v>2.2999999999999998</v>
      </c>
      <c r="BH35" s="130">
        <v>2.8</v>
      </c>
      <c r="BI35" s="130">
        <v>13</v>
      </c>
      <c r="BJ35" s="130">
        <v>12.9</v>
      </c>
      <c r="BK35" s="130">
        <v>1.7</v>
      </c>
      <c r="BL35" s="130">
        <v>3.1</v>
      </c>
      <c r="BM35" s="130">
        <v>4.5</v>
      </c>
      <c r="BN35" s="130">
        <v>9.1999999999999993</v>
      </c>
      <c r="BO35" s="130">
        <v>26</v>
      </c>
      <c r="BP35" s="130">
        <v>26</v>
      </c>
      <c r="BQ35" s="130">
        <v>7.1</v>
      </c>
      <c r="BR35" s="130">
        <v>5</v>
      </c>
      <c r="BS35" s="130">
        <v>17.399999999999999</v>
      </c>
      <c r="BT35" s="130">
        <v>8.8000000000000007</v>
      </c>
      <c r="BU35" s="130">
        <v>5</v>
      </c>
      <c r="BV35" s="130">
        <v>6.1</v>
      </c>
      <c r="BW35" s="130">
        <v>9.9</v>
      </c>
      <c r="BX35" s="130">
        <v>7.5</v>
      </c>
      <c r="BY35" s="130">
        <v>2.6</v>
      </c>
      <c r="BZ35" s="130">
        <v>2</v>
      </c>
      <c r="CA35" s="130">
        <v>2.5</v>
      </c>
      <c r="CB35" s="130">
        <v>1.6</v>
      </c>
      <c r="CC35" s="130">
        <v>6.5</v>
      </c>
      <c r="CD35" s="130">
        <v>11.7</v>
      </c>
      <c r="CE35" s="130">
        <v>3.7</v>
      </c>
      <c r="CF35" s="130">
        <v>3.7</v>
      </c>
      <c r="CG35" s="130">
        <v>3.7</v>
      </c>
      <c r="CH35" s="130">
        <v>11.3</v>
      </c>
      <c r="CI35" s="130">
        <v>8.1</v>
      </c>
      <c r="CJ35" s="130">
        <v>14</v>
      </c>
      <c r="CK35" s="130">
        <v>31.6</v>
      </c>
      <c r="CL35" s="130">
        <v>19</v>
      </c>
      <c r="CM35" s="130">
        <v>28.2</v>
      </c>
      <c r="CN35" s="130">
        <v>29.4</v>
      </c>
      <c r="CO35" s="130">
        <v>40.200000000000003</v>
      </c>
      <c r="CP35" s="130">
        <v>22.7</v>
      </c>
      <c r="CQ35" s="130">
        <v>7</v>
      </c>
      <c r="CR35" s="130">
        <v>14.6</v>
      </c>
      <c r="CS35" s="130">
        <v>20</v>
      </c>
      <c r="CT35" s="130">
        <v>24.8</v>
      </c>
      <c r="CU35" s="130">
        <v>9.6999999999999993</v>
      </c>
      <c r="CV35" s="130">
        <v>6.3</v>
      </c>
      <c r="CW35" s="130">
        <v>31.8</v>
      </c>
      <c r="CX35" s="130">
        <v>31.8</v>
      </c>
      <c r="CY35" s="130">
        <v>14</v>
      </c>
      <c r="CZ35" s="130">
        <v>14</v>
      </c>
      <c r="DA35" s="130">
        <v>20.6</v>
      </c>
      <c r="DB35" s="130">
        <v>21.8</v>
      </c>
      <c r="DC35" s="130">
        <v>17.8</v>
      </c>
      <c r="DD35" s="130">
        <v>18.5</v>
      </c>
      <c r="DE35" s="130">
        <v>2</v>
      </c>
      <c r="DF35" s="130">
        <v>20</v>
      </c>
      <c r="DG35" s="130">
        <v>31.6</v>
      </c>
      <c r="DH35" s="130">
        <v>21.9</v>
      </c>
      <c r="DI35" s="130">
        <v>42.9</v>
      </c>
      <c r="DJ35" s="130">
        <v>3.3</v>
      </c>
      <c r="DK35" s="130">
        <v>16.3</v>
      </c>
      <c r="DL35" s="130">
        <v>30.1</v>
      </c>
      <c r="DM35" s="130">
        <v>30.1</v>
      </c>
      <c r="DN35" s="130">
        <v>38.700000000000003</v>
      </c>
      <c r="DO35" s="130">
        <v>31</v>
      </c>
      <c r="DP35" s="130">
        <v>31</v>
      </c>
      <c r="DQ35" s="130">
        <v>49.3</v>
      </c>
      <c r="DR35" s="130">
        <v>11.7</v>
      </c>
      <c r="DS35" s="130">
        <v>11.7</v>
      </c>
      <c r="DT35" s="130">
        <v>16.2</v>
      </c>
      <c r="DU35" s="130">
        <v>21</v>
      </c>
      <c r="DV35" s="130">
        <v>19.8</v>
      </c>
      <c r="DW35" s="130">
        <v>2.4</v>
      </c>
      <c r="DX35" s="130">
        <v>8.5</v>
      </c>
      <c r="DY35" s="130">
        <v>4.37</v>
      </c>
      <c r="DZ35" s="130">
        <v>2.5</v>
      </c>
      <c r="EA35" s="130">
        <v>15.4</v>
      </c>
      <c r="EB35" s="130">
        <v>0.8</v>
      </c>
      <c r="EC35" s="130">
        <v>6.55</v>
      </c>
      <c r="ED35" s="130">
        <v>3.36</v>
      </c>
      <c r="EE35" s="130">
        <v>18.3</v>
      </c>
      <c r="EF35" s="130">
        <v>28.2</v>
      </c>
      <c r="EG35" s="130">
        <v>57.5</v>
      </c>
      <c r="EH35" s="130">
        <v>91.7</v>
      </c>
      <c r="EI35" s="130">
        <v>9.8000000000000007</v>
      </c>
      <c r="EJ35" s="130">
        <v>19.399999999999999</v>
      </c>
      <c r="EK35" s="130">
        <v>24.7</v>
      </c>
      <c r="EL35" s="130">
        <v>32.200000000000003</v>
      </c>
      <c r="EM35" s="130">
        <v>48.9</v>
      </c>
      <c r="EN35" s="130">
        <v>0.8</v>
      </c>
      <c r="EO35" s="130">
        <v>6.8</v>
      </c>
      <c r="EP35" s="130">
        <v>37.28</v>
      </c>
      <c r="EQ35" s="130">
        <v>10</v>
      </c>
      <c r="ER35" s="130">
        <v>10</v>
      </c>
      <c r="ES35" s="130">
        <v>17.600000000000001</v>
      </c>
      <c r="ET35" s="130">
        <v>7.4</v>
      </c>
      <c r="EU35" s="130">
        <v>39.46</v>
      </c>
      <c r="EV35" s="130">
        <v>41.6</v>
      </c>
      <c r="EW35" s="130">
        <v>29.4</v>
      </c>
      <c r="EX35" s="130">
        <v>10.6</v>
      </c>
      <c r="EY35" s="130">
        <v>16.899999999999999</v>
      </c>
      <c r="EZ35" s="130">
        <v>25.3</v>
      </c>
      <c r="FA35" s="130">
        <v>38.700000000000003</v>
      </c>
      <c r="FB35" s="130">
        <v>10.1</v>
      </c>
      <c r="FC35" s="130">
        <v>25</v>
      </c>
      <c r="FD35" s="130">
        <v>28.9</v>
      </c>
      <c r="FE35" s="130">
        <v>29.9</v>
      </c>
      <c r="FF35" s="130">
        <v>37.200000000000003</v>
      </c>
      <c r="FG35" s="130">
        <v>12.5</v>
      </c>
      <c r="FH35" s="130">
        <v>18.8</v>
      </c>
      <c r="FI35" s="130">
        <v>25.5</v>
      </c>
      <c r="FJ35" s="130">
        <v>37.799999999999997</v>
      </c>
      <c r="FK35" s="130">
        <v>37.799999999999997</v>
      </c>
      <c r="FL35" s="130">
        <v>9.3000000000000007</v>
      </c>
      <c r="FM35" s="130">
        <v>22.1</v>
      </c>
      <c r="FN35" s="130">
        <v>33.4</v>
      </c>
      <c r="FO35" s="130">
        <v>54.7</v>
      </c>
      <c r="FP35" s="130">
        <v>42.7</v>
      </c>
      <c r="FQ35" s="130">
        <v>8.9</v>
      </c>
      <c r="FR35" s="130">
        <v>19.7</v>
      </c>
      <c r="FS35" s="130">
        <v>26.5</v>
      </c>
      <c r="FT35" s="130">
        <v>28.4</v>
      </c>
      <c r="FU35" s="130">
        <v>33</v>
      </c>
      <c r="FV35" s="130">
        <v>7.5</v>
      </c>
      <c r="FW35" s="130">
        <v>19.39</v>
      </c>
      <c r="FX35" s="130">
        <v>5.6</v>
      </c>
      <c r="FY35" s="130">
        <v>7.9</v>
      </c>
      <c r="FZ35" s="130">
        <v>22</v>
      </c>
      <c r="GA35" s="130">
        <v>1</v>
      </c>
      <c r="GB35" s="130">
        <v>16.2</v>
      </c>
      <c r="GC35" s="130">
        <v>22.8</v>
      </c>
      <c r="GD35" s="130">
        <v>22.7</v>
      </c>
      <c r="GE35" s="130">
        <v>37.9</v>
      </c>
      <c r="GF35" s="130">
        <v>2</v>
      </c>
      <c r="GG35" s="130">
        <v>34.6</v>
      </c>
      <c r="GH35" s="130">
        <v>43.16</v>
      </c>
      <c r="GI35" s="130">
        <v>30</v>
      </c>
      <c r="GJ35" s="130">
        <v>2</v>
      </c>
      <c r="GK35" s="130">
        <v>21.2</v>
      </c>
      <c r="GL35" s="130">
        <v>19.5</v>
      </c>
      <c r="GM35" s="130">
        <v>25</v>
      </c>
      <c r="GN35" s="130"/>
      <c r="GO35" s="130"/>
      <c r="GP35" s="130">
        <v>11</v>
      </c>
      <c r="GQ35" s="130"/>
      <c r="GR35" s="130"/>
      <c r="GS35" s="130"/>
      <c r="GT35" s="130">
        <v>17</v>
      </c>
      <c r="GU35" s="130">
        <v>11.1</v>
      </c>
      <c r="GV35" s="130"/>
      <c r="GW35" s="130"/>
      <c r="GX35" s="130"/>
      <c r="GY35" s="130">
        <v>6.2</v>
      </c>
      <c r="GZ35" s="130">
        <v>17</v>
      </c>
      <c r="HA35" s="130"/>
      <c r="HB35" s="130"/>
      <c r="HC35" s="130">
        <v>6</v>
      </c>
      <c r="HD35" s="130">
        <v>6</v>
      </c>
      <c r="HE35" s="130">
        <v>13.4</v>
      </c>
      <c r="HF35" s="130">
        <v>13.2</v>
      </c>
      <c r="HG35" s="130"/>
      <c r="HH35" s="130"/>
      <c r="HI35" s="130"/>
      <c r="HJ35" s="130"/>
      <c r="HK35" s="130"/>
      <c r="HL35" s="130"/>
      <c r="HM35" s="130"/>
      <c r="HN35" s="130"/>
      <c r="HO35" s="130">
        <v>15.4</v>
      </c>
      <c r="HP35" s="130">
        <v>17.245999999999999</v>
      </c>
      <c r="HQ35" s="130">
        <v>18.829999999999998</v>
      </c>
      <c r="HR35" s="130">
        <v>13.6</v>
      </c>
      <c r="HS35" s="130">
        <v>21.4</v>
      </c>
      <c r="HT35" s="130">
        <v>27.8</v>
      </c>
      <c r="HU35" s="130">
        <v>27.8</v>
      </c>
      <c r="HV35" s="130">
        <v>11.657</v>
      </c>
      <c r="HW35" s="130">
        <v>11.657</v>
      </c>
      <c r="HX35" s="130">
        <v>17</v>
      </c>
      <c r="HY35" s="130">
        <v>17</v>
      </c>
      <c r="HZ35" s="130">
        <v>3.6669999999999998</v>
      </c>
      <c r="IA35" s="130">
        <v>9.6999999999999993</v>
      </c>
      <c r="IB35" s="130">
        <v>11.2</v>
      </c>
      <c r="IC35" s="130">
        <v>11.2</v>
      </c>
      <c r="ID35" s="130">
        <v>11.2</v>
      </c>
      <c r="IE35" s="130">
        <v>1.994</v>
      </c>
      <c r="IF35" s="130">
        <v>1.994</v>
      </c>
      <c r="IG35" s="130">
        <v>7.9249999999999998</v>
      </c>
      <c r="IH35" s="130">
        <v>14.8</v>
      </c>
      <c r="II35" s="130">
        <v>14.8</v>
      </c>
      <c r="IJ35" s="130">
        <v>14.8</v>
      </c>
      <c r="IK35" s="130">
        <v>7.5</v>
      </c>
      <c r="IL35" s="130">
        <v>7.5</v>
      </c>
      <c r="IM35" s="130">
        <v>7.5</v>
      </c>
      <c r="IN35" s="130">
        <v>30.6</v>
      </c>
      <c r="IO35" s="130">
        <v>30.6</v>
      </c>
      <c r="IP35" s="130">
        <v>16.420999999999999</v>
      </c>
      <c r="IQ35" s="130">
        <v>31.7</v>
      </c>
      <c r="IR35" s="130">
        <v>31.7</v>
      </c>
      <c r="IS35" s="130">
        <v>13.5</v>
      </c>
      <c r="IT35" s="130">
        <v>0.44900000000000001</v>
      </c>
      <c r="IU35" s="130">
        <v>21.869</v>
      </c>
      <c r="IV35" s="130">
        <v>21.869</v>
      </c>
      <c r="IW35" s="130">
        <v>5.2510000000000003</v>
      </c>
      <c r="IX35" s="130">
        <v>30.434000000000001</v>
      </c>
      <c r="IY35" s="130">
        <v>31.1</v>
      </c>
      <c r="IZ35" s="130">
        <v>2.6880000000000002</v>
      </c>
      <c r="JA35" s="130">
        <v>6.6449999999999996</v>
      </c>
      <c r="JB35" s="130">
        <v>6.6449999999999996</v>
      </c>
      <c r="JC35" s="130">
        <v>0.28100000000000003</v>
      </c>
      <c r="JD35" s="130">
        <v>9.9</v>
      </c>
      <c r="JE35" s="130">
        <v>9.9</v>
      </c>
      <c r="JF35" s="130">
        <v>9.9</v>
      </c>
      <c r="JG35" s="130">
        <v>2.1999999999999999E-2</v>
      </c>
      <c r="JH35" s="130">
        <v>2.1999999999999999E-2</v>
      </c>
      <c r="JI35" s="130">
        <v>2.1999999999999999E-2</v>
      </c>
      <c r="JJ35" s="130">
        <v>6.1849999999999996</v>
      </c>
      <c r="JK35" s="130">
        <v>14.1</v>
      </c>
      <c r="JL35" s="130">
        <v>11.9</v>
      </c>
      <c r="JM35" s="130">
        <v>13.063000000000001</v>
      </c>
      <c r="JN35" s="130">
        <v>13.063000000000001</v>
      </c>
      <c r="JO35" s="130">
        <v>13.063000000000001</v>
      </c>
      <c r="JP35" s="130">
        <v>6.7549999999999999</v>
      </c>
      <c r="JQ35" s="130">
        <v>6.7549999999999999</v>
      </c>
      <c r="JR35" s="130">
        <v>30.080999999999996</v>
      </c>
      <c r="JS35" s="130">
        <v>30.080999999999996</v>
      </c>
      <c r="JT35" s="130">
        <v>26.6</v>
      </c>
      <c r="JU35" s="130">
        <v>26.6</v>
      </c>
      <c r="JV35" s="130">
        <v>26.6</v>
      </c>
      <c r="JW35" s="130">
        <v>36.658000000000001</v>
      </c>
      <c r="JX35" s="130">
        <v>36.658000000000001</v>
      </c>
      <c r="JY35" s="130">
        <v>30.387999999999998</v>
      </c>
      <c r="JZ35" s="130">
        <v>30.387999999999998</v>
      </c>
      <c r="KA35" s="130">
        <v>35.299999999999997</v>
      </c>
      <c r="KB35" s="130">
        <v>17.53</v>
      </c>
      <c r="KC35" s="130">
        <v>1.319</v>
      </c>
      <c r="KD35" s="130">
        <v>15.696999999999999</v>
      </c>
      <c r="KE35" s="130">
        <v>15.696999999999999</v>
      </c>
      <c r="KF35" s="130">
        <v>14.1</v>
      </c>
      <c r="KG35" s="130">
        <v>50.466000000000001</v>
      </c>
      <c r="KH35" s="130">
        <v>50.466000000000001</v>
      </c>
      <c r="KI35" s="130">
        <v>1.089</v>
      </c>
      <c r="KJ35" s="130">
        <v>1.089</v>
      </c>
      <c r="KK35" s="130">
        <v>10.6</v>
      </c>
      <c r="KL35" s="130">
        <v>22.077000000000002</v>
      </c>
      <c r="KM35" s="130">
        <v>22.077000000000002</v>
      </c>
      <c r="KN35" s="130">
        <v>0</v>
      </c>
      <c r="KO35" s="130">
        <v>0</v>
      </c>
      <c r="KP35" s="130">
        <v>20.6</v>
      </c>
      <c r="KQ35" s="130">
        <v>24.5</v>
      </c>
      <c r="KR35" s="130">
        <v>24.5</v>
      </c>
      <c r="KS35" s="130">
        <v>24.5</v>
      </c>
      <c r="KT35" s="130">
        <v>24.5</v>
      </c>
      <c r="KU35" s="130">
        <v>25.1</v>
      </c>
      <c r="KV35" s="130">
        <v>23.2</v>
      </c>
      <c r="KW35" s="130">
        <v>7</v>
      </c>
      <c r="KX35" s="130">
        <v>19.98</v>
      </c>
      <c r="KY35" s="130">
        <v>19.98</v>
      </c>
      <c r="KZ35" s="130">
        <v>9.6959999999999997</v>
      </c>
      <c r="LA35" s="130">
        <v>9.6959999999999997</v>
      </c>
      <c r="LB35" s="130">
        <v>24.761000000000003</v>
      </c>
      <c r="LC35" s="130">
        <v>24.761000000000003</v>
      </c>
      <c r="LD35" s="130">
        <v>24.761000000000003</v>
      </c>
      <c r="LE35" s="130">
        <v>20.2</v>
      </c>
      <c r="LF35" s="130">
        <v>20.8</v>
      </c>
      <c r="LG35" s="130">
        <v>20.8</v>
      </c>
      <c r="LH35" s="130">
        <v>20.8</v>
      </c>
      <c r="LI35" s="130">
        <v>1.17</v>
      </c>
      <c r="LJ35" s="130">
        <v>1.17</v>
      </c>
      <c r="LK35" s="130">
        <v>1.17</v>
      </c>
      <c r="LL35" s="130">
        <v>19.3</v>
      </c>
      <c r="LM35" s="130">
        <v>19.3</v>
      </c>
      <c r="LN35" s="130">
        <v>18.22</v>
      </c>
      <c r="LO35" s="130">
        <v>18.22</v>
      </c>
      <c r="LP35" s="130">
        <v>18.22</v>
      </c>
      <c r="LQ35" s="130">
        <v>19</v>
      </c>
      <c r="LR35" s="130">
        <v>3.12</v>
      </c>
      <c r="LS35" s="130">
        <v>3.12</v>
      </c>
      <c r="LT35" s="130">
        <v>16.771000000000001</v>
      </c>
      <c r="LU35" s="130">
        <v>18.739000000000001</v>
      </c>
      <c r="LV35" s="130">
        <v>12.608000000000001</v>
      </c>
      <c r="LW35" s="130">
        <v>12.608000000000001</v>
      </c>
      <c r="LX35" s="130">
        <v>24.5</v>
      </c>
      <c r="LY35" s="130">
        <v>24.5</v>
      </c>
      <c r="LZ35" s="130">
        <v>27.4</v>
      </c>
      <c r="MA35" s="130">
        <v>27.4</v>
      </c>
      <c r="MB35" s="130">
        <v>27.4</v>
      </c>
      <c r="MC35" s="130">
        <v>27.4</v>
      </c>
      <c r="MD35" s="130">
        <v>12.9</v>
      </c>
      <c r="ME35" s="130">
        <v>14.152000000000001</v>
      </c>
      <c r="MF35" s="130">
        <v>14.152000000000001</v>
      </c>
      <c r="MG35" s="130">
        <v>14.152000000000001</v>
      </c>
      <c r="MH35" s="130">
        <v>3.383</v>
      </c>
      <c r="MI35" s="130">
        <v>3.383</v>
      </c>
      <c r="MJ35" s="130">
        <v>11.8</v>
      </c>
      <c r="MK35" s="130">
        <v>11.955</v>
      </c>
      <c r="ML35" s="130">
        <v>11.955</v>
      </c>
      <c r="MM35" s="130">
        <v>11.955</v>
      </c>
      <c r="MN35" s="130">
        <v>11.955</v>
      </c>
      <c r="MO35" s="130">
        <v>11.955</v>
      </c>
      <c r="MP35" s="130">
        <v>11.955</v>
      </c>
      <c r="MQ35" s="130">
        <v>10</v>
      </c>
      <c r="MR35" s="130">
        <v>10</v>
      </c>
      <c r="MS35" s="130">
        <v>3.5</v>
      </c>
      <c r="MT35" s="130">
        <v>3.5</v>
      </c>
      <c r="MU35" s="130">
        <v>3.5</v>
      </c>
      <c r="MV35" s="130">
        <v>3.5</v>
      </c>
      <c r="MW35" s="130">
        <v>5.0999999999999996</v>
      </c>
      <c r="MX35" s="130">
        <v>15.5</v>
      </c>
      <c r="MY35" s="130">
        <v>15.5</v>
      </c>
      <c r="MZ35" s="130">
        <v>15.5</v>
      </c>
      <c r="NA35" s="130">
        <v>15.5</v>
      </c>
      <c r="NB35" s="130">
        <v>15.5</v>
      </c>
      <c r="NC35" s="130">
        <v>15.5</v>
      </c>
      <c r="ND35" s="130">
        <v>15.5</v>
      </c>
      <c r="NE35" s="130">
        <v>15.5</v>
      </c>
      <c r="NF35" s="130">
        <v>2.2000000000000002</v>
      </c>
      <c r="NG35" s="130">
        <v>2.2000000000000002</v>
      </c>
      <c r="NH35" s="130">
        <v>15.1</v>
      </c>
      <c r="NI35" s="130">
        <v>19.600000000000001</v>
      </c>
      <c r="NJ35" s="130">
        <v>19.600000000000001</v>
      </c>
      <c r="NK35" s="130">
        <v>6.1</v>
      </c>
      <c r="NL35" s="130">
        <v>6.1</v>
      </c>
      <c r="NM35" s="130">
        <v>16.100000000000001</v>
      </c>
      <c r="NN35" s="130">
        <v>16.100000000000001</v>
      </c>
      <c r="NO35" s="130">
        <v>16.100000000000001</v>
      </c>
      <c r="NP35" s="130">
        <v>10.7</v>
      </c>
      <c r="NQ35" s="130">
        <v>10.7</v>
      </c>
      <c r="NR35" s="130">
        <v>26.2</v>
      </c>
      <c r="NS35" s="130">
        <v>26.2</v>
      </c>
      <c r="NT35" s="130">
        <v>26.2</v>
      </c>
      <c r="NU35" s="130">
        <v>14.262</v>
      </c>
      <c r="NV35" s="130">
        <v>22.5</v>
      </c>
      <c r="NW35" s="130">
        <v>22.5</v>
      </c>
      <c r="NX35" s="130">
        <v>22.5</v>
      </c>
      <c r="NY35" s="130">
        <v>5</v>
      </c>
      <c r="NZ35" s="130">
        <v>8.6229999999999993</v>
      </c>
      <c r="OA35" s="130">
        <v>8.6229999999999993</v>
      </c>
      <c r="OB35" s="130">
        <v>8.6229999999999993</v>
      </c>
      <c r="OC35" s="130">
        <v>37.835000000000001</v>
      </c>
      <c r="OD35" s="130">
        <v>37.835000000000001</v>
      </c>
      <c r="OE35" s="130">
        <v>37.835000000000001</v>
      </c>
      <c r="OF35" s="130">
        <v>37.835000000000001</v>
      </c>
      <c r="OG35" s="130">
        <v>40.700000000000003</v>
      </c>
      <c r="OH35" s="130">
        <v>40.700000000000003</v>
      </c>
      <c r="OI35" s="130">
        <v>2.2999999999999998</v>
      </c>
      <c r="OJ35" s="130">
        <v>3.2</v>
      </c>
      <c r="OK35" s="130">
        <v>3.2</v>
      </c>
      <c r="OL35" s="130">
        <v>19.899999999999999</v>
      </c>
      <c r="OM35" s="130">
        <v>19.899999999999999</v>
      </c>
      <c r="ON35" s="130">
        <v>19.899999999999999</v>
      </c>
      <c r="OO35" s="130">
        <v>13</v>
      </c>
      <c r="OP35" s="130">
        <v>25.4</v>
      </c>
      <c r="OQ35" s="130">
        <v>25.4</v>
      </c>
      <c r="OR35" s="130">
        <v>25.4</v>
      </c>
      <c r="OS35" s="130">
        <v>6.7</v>
      </c>
      <c r="OT35" s="130">
        <v>7.2230000000000008</v>
      </c>
      <c r="OU35" s="130">
        <v>7.2230000000000008</v>
      </c>
      <c r="OV35" s="130">
        <v>7.2230000000000008</v>
      </c>
      <c r="OW35" s="130">
        <v>29.4</v>
      </c>
      <c r="OX35" s="130">
        <v>29.4</v>
      </c>
      <c r="OY35" s="130">
        <v>2.387</v>
      </c>
      <c r="OZ35" s="130">
        <v>2.387</v>
      </c>
      <c r="PA35" s="130">
        <v>2.387</v>
      </c>
      <c r="PB35" s="130">
        <v>0</v>
      </c>
      <c r="PC35" s="130">
        <v>0</v>
      </c>
      <c r="PD35" s="130">
        <v>0</v>
      </c>
      <c r="PE35" s="130">
        <v>28.6</v>
      </c>
      <c r="PF35" s="130">
        <v>27.900000000000002</v>
      </c>
      <c r="PG35" s="130">
        <v>27.900000000000002</v>
      </c>
      <c r="PH35" s="130">
        <v>27.900000000000002</v>
      </c>
      <c r="PI35" s="130">
        <v>28.1</v>
      </c>
      <c r="PJ35" s="130">
        <v>40.200000000000003</v>
      </c>
      <c r="PK35" s="130">
        <v>40.200000000000003</v>
      </c>
      <c r="PL35" s="130">
        <v>40.200000000000003</v>
      </c>
      <c r="PM35" s="130">
        <v>40.200000000000003</v>
      </c>
      <c r="PN35" s="130">
        <v>4.7439999999999998</v>
      </c>
      <c r="PO35" s="130">
        <v>4.7439999999999998</v>
      </c>
      <c r="PP35" s="130">
        <v>4.7439999999999998</v>
      </c>
      <c r="PQ35" s="130">
        <v>3.1</v>
      </c>
      <c r="PR35" s="130">
        <v>3.1</v>
      </c>
      <c r="PS35" s="130">
        <v>10.3</v>
      </c>
      <c r="PT35" s="130">
        <v>10.3</v>
      </c>
      <c r="PU35" s="130">
        <v>1.88</v>
      </c>
      <c r="PV35" s="130">
        <v>1.88</v>
      </c>
      <c r="PW35" s="130">
        <v>1.88</v>
      </c>
      <c r="PX35" s="130">
        <v>2.7</v>
      </c>
      <c r="PY35" s="130">
        <v>8.6999999999999993</v>
      </c>
      <c r="PZ35" s="130">
        <v>8.6999999999999993</v>
      </c>
      <c r="QA35" s="130">
        <v>8.6999999999999993</v>
      </c>
      <c r="QB35" s="130">
        <v>4.2759999999999998</v>
      </c>
      <c r="QC35" s="130">
        <v>3.4</v>
      </c>
      <c r="QD35" s="130">
        <v>3.4</v>
      </c>
      <c r="QE35" s="130">
        <v>9.9</v>
      </c>
      <c r="QF35" s="130">
        <v>9.9</v>
      </c>
      <c r="QG35" s="130">
        <v>9.9</v>
      </c>
      <c r="QH35" s="130">
        <v>9.9</v>
      </c>
      <c r="QI35" s="130">
        <v>27.9</v>
      </c>
      <c r="QJ35" s="130">
        <v>27.9</v>
      </c>
      <c r="QK35" s="130">
        <v>1.8</v>
      </c>
      <c r="QL35" s="130">
        <v>1.8</v>
      </c>
      <c r="QM35" s="130">
        <v>1.8</v>
      </c>
      <c r="QN35" s="130">
        <v>8.6</v>
      </c>
      <c r="QO35" s="130">
        <v>2.3410000000000002</v>
      </c>
      <c r="QP35" s="130">
        <v>2.3410000000000002</v>
      </c>
      <c r="QQ35" s="130">
        <v>10</v>
      </c>
      <c r="QR35" s="130">
        <v>10</v>
      </c>
      <c r="QS35" s="130">
        <v>0.55300000000000005</v>
      </c>
      <c r="QT35" s="130">
        <v>2.7</v>
      </c>
      <c r="QU35" s="130">
        <v>2.7</v>
      </c>
      <c r="QV35" s="130">
        <v>23.7</v>
      </c>
      <c r="QW35" s="130">
        <v>2.7</v>
      </c>
      <c r="QX35" s="130">
        <v>2.7</v>
      </c>
      <c r="QY35" s="130">
        <v>6.1</v>
      </c>
      <c r="QZ35" s="130">
        <v>6.1</v>
      </c>
      <c r="RA35" s="130">
        <v>9</v>
      </c>
      <c r="RB35" s="130">
        <v>9</v>
      </c>
      <c r="RC35" s="130">
        <v>9</v>
      </c>
      <c r="RD35" s="130">
        <v>9</v>
      </c>
      <c r="RE35" s="130">
        <v>7.1050000000000004</v>
      </c>
      <c r="RF35" s="130">
        <v>7.1050000000000004</v>
      </c>
      <c r="RG35" s="130">
        <v>7.1050000000000004</v>
      </c>
      <c r="RH35" s="130">
        <v>5.5</v>
      </c>
      <c r="RI35" s="130">
        <v>5.5</v>
      </c>
      <c r="RJ35" s="130">
        <v>5.5</v>
      </c>
      <c r="RK35" s="130">
        <v>20.727</v>
      </c>
      <c r="RL35" s="130">
        <v>20.727</v>
      </c>
      <c r="RM35" s="130">
        <v>1.8</v>
      </c>
      <c r="RN35" s="130">
        <v>1.8</v>
      </c>
      <c r="RO35" s="130">
        <v>1.8</v>
      </c>
      <c r="RP35" s="130">
        <v>1.8</v>
      </c>
      <c r="RQ35" s="130">
        <v>10.1</v>
      </c>
      <c r="RR35" s="130">
        <v>10.1</v>
      </c>
      <c r="RS35" s="130">
        <v>19.7</v>
      </c>
      <c r="RT35" s="130">
        <v>19.7</v>
      </c>
      <c r="RU35" s="130">
        <v>19.7</v>
      </c>
      <c r="RV35" s="130">
        <v>19.7</v>
      </c>
      <c r="RW35" s="130">
        <v>19.7</v>
      </c>
      <c r="RX35" s="130">
        <v>19.7</v>
      </c>
      <c r="RY35" s="130">
        <v>17</v>
      </c>
      <c r="RZ35" s="130">
        <v>17</v>
      </c>
      <c r="SA35" s="130">
        <v>0</v>
      </c>
      <c r="SB35" s="130">
        <v>13.41</v>
      </c>
      <c r="SC35" s="130">
        <v>13.41</v>
      </c>
      <c r="SD35" s="130">
        <v>13.41</v>
      </c>
      <c r="SE35" s="130">
        <v>15.100000000000001</v>
      </c>
      <c r="SF35" s="130">
        <v>15.100000000000001</v>
      </c>
      <c r="SG35" s="130">
        <v>29.5</v>
      </c>
      <c r="SH35" s="130">
        <v>29.5</v>
      </c>
      <c r="SI35" s="130">
        <v>9.75</v>
      </c>
      <c r="SJ35" s="130">
        <v>9.75</v>
      </c>
      <c r="SK35" s="130">
        <v>30.5</v>
      </c>
      <c r="SL35" s="130">
        <v>30.5</v>
      </c>
      <c r="SM35" s="130">
        <v>27.1</v>
      </c>
      <c r="SN35" s="130">
        <v>27.1</v>
      </c>
      <c r="SO35" s="130">
        <v>27.1</v>
      </c>
      <c r="SP35" s="130">
        <v>39.300000000000004</v>
      </c>
      <c r="SQ35" s="130">
        <v>39.300000000000004</v>
      </c>
      <c r="SR35" s="130">
        <v>39.300000000000004</v>
      </c>
      <c r="SS35" s="130">
        <v>25.2</v>
      </c>
      <c r="ST35" s="130">
        <v>25.2</v>
      </c>
      <c r="SU35" s="130">
        <v>39.9</v>
      </c>
      <c r="SV35" s="130">
        <v>39.9</v>
      </c>
      <c r="SW35" s="130">
        <v>39.9</v>
      </c>
      <c r="SX35" s="130">
        <v>11.5</v>
      </c>
      <c r="SY35" s="130">
        <v>11.5</v>
      </c>
      <c r="SZ35" s="130">
        <v>11.5</v>
      </c>
      <c r="TA35" s="130">
        <v>5.4399999999999995</v>
      </c>
      <c r="TB35" s="130">
        <v>5.4399999999999995</v>
      </c>
      <c r="TC35" s="130">
        <v>24.4</v>
      </c>
      <c r="TD35" s="130">
        <v>24.4</v>
      </c>
      <c r="TE35" s="130">
        <v>50.5</v>
      </c>
      <c r="TF35" s="130">
        <v>19.100000000000001</v>
      </c>
      <c r="TG35" s="130">
        <v>4.5</v>
      </c>
      <c r="TH35" s="130">
        <v>10.656000000000001</v>
      </c>
      <c r="TI35" s="130">
        <v>0.98099999999999998</v>
      </c>
      <c r="TJ35" s="130">
        <v>2.5</v>
      </c>
      <c r="TK35" s="130">
        <v>13.355</v>
      </c>
      <c r="TL35" s="130">
        <v>14.8</v>
      </c>
      <c r="TM35" s="130">
        <v>2.6</v>
      </c>
      <c r="TN35" s="130">
        <v>13.5</v>
      </c>
      <c r="TO35" s="130">
        <v>9.4</v>
      </c>
      <c r="TP35" s="130">
        <v>4.4539999999999997</v>
      </c>
      <c r="TQ35" s="130">
        <v>20.9</v>
      </c>
      <c r="TR35" s="130">
        <v>5.1999999999999993</v>
      </c>
      <c r="TS35" s="130">
        <v>1.8</v>
      </c>
      <c r="TT35" s="130">
        <v>0.20399999999999999</v>
      </c>
      <c r="TU35" s="130">
        <v>16.100000000000001</v>
      </c>
      <c r="TV35" s="130">
        <v>6.9</v>
      </c>
      <c r="TW35" s="130">
        <v>4.5</v>
      </c>
      <c r="TX35" s="130">
        <v>20.100000000000001</v>
      </c>
      <c r="TY35" s="130">
        <v>26.200000000000003</v>
      </c>
      <c r="TZ35" s="130">
        <v>26.1</v>
      </c>
      <c r="UA35" s="130">
        <v>0.68300000000000005</v>
      </c>
      <c r="UB35" s="130">
        <v>14.5</v>
      </c>
      <c r="UC35" s="130">
        <v>16.399999999999999</v>
      </c>
      <c r="UD35" s="130">
        <v>2.2999999999999998</v>
      </c>
      <c r="UE35" s="130">
        <v>20.8</v>
      </c>
      <c r="UF35" s="130">
        <v>5.3</v>
      </c>
      <c r="UG35" s="130">
        <v>21</v>
      </c>
      <c r="UH35" s="130">
        <v>1.7</v>
      </c>
      <c r="UI35" s="130">
        <v>5.8999999999999995</v>
      </c>
      <c r="UJ35" s="130">
        <v>1.05</v>
      </c>
      <c r="UK35" s="130">
        <v>8.6999999999999993</v>
      </c>
      <c r="UL35" s="130">
        <v>12.3</v>
      </c>
      <c r="UM35" s="130">
        <v>7.5</v>
      </c>
      <c r="UN35" s="130">
        <v>37.270000000000003</v>
      </c>
      <c r="UO35" s="130">
        <v>37.799999999999997</v>
      </c>
      <c r="UP35" s="130">
        <v>12.2</v>
      </c>
      <c r="UQ35" s="130">
        <v>21.9</v>
      </c>
      <c r="UR35" s="130">
        <v>21.6</v>
      </c>
      <c r="US35" s="130">
        <v>13.8</v>
      </c>
      <c r="UT35" s="130">
        <v>5.3</v>
      </c>
      <c r="UU35" s="130">
        <v>4.2</v>
      </c>
      <c r="UV35" s="130">
        <v>14.5</v>
      </c>
      <c r="UW35" s="130">
        <v>22.2</v>
      </c>
      <c r="UX35" s="130">
        <v>34.299999999999997</v>
      </c>
      <c r="UY35" s="130">
        <v>11.191000000000001</v>
      </c>
      <c r="UZ35" s="130">
        <v>38.700000000000003</v>
      </c>
      <c r="VA35" s="130">
        <v>41.2</v>
      </c>
      <c r="VB35" s="130">
        <v>33.049999999999997</v>
      </c>
      <c r="VC35" s="130">
        <v>3</v>
      </c>
      <c r="VD35" s="130">
        <v>36.5</v>
      </c>
      <c r="VE35" s="130">
        <v>36.5</v>
      </c>
      <c r="VF35" s="130">
        <v>22.6</v>
      </c>
      <c r="VG35" s="130">
        <v>37.4</v>
      </c>
      <c r="VH35" s="130">
        <v>6.4470000000000001</v>
      </c>
      <c r="VI35" s="130">
        <v>26.8</v>
      </c>
      <c r="VJ35" s="130">
        <v>19.454999999999998</v>
      </c>
      <c r="VK35" s="130">
        <v>50.6</v>
      </c>
      <c r="VL35" s="130">
        <v>0.55100000000000005</v>
      </c>
      <c r="VM35" s="130">
        <v>23.9</v>
      </c>
      <c r="VN35" s="130">
        <v>28.1</v>
      </c>
      <c r="VO35" s="130">
        <v>2.2430000000000003</v>
      </c>
      <c r="VP35" s="130">
        <v>9.6</v>
      </c>
      <c r="VQ35" s="130">
        <v>26</v>
      </c>
      <c r="VR35" s="130">
        <v>14.192</v>
      </c>
      <c r="VS35" s="130">
        <v>36.200000000000003</v>
      </c>
      <c r="VT35" s="130">
        <v>51.580000000000005</v>
      </c>
      <c r="VU35" s="130">
        <v>0.82199999999999995</v>
      </c>
      <c r="VV35" s="130">
        <v>12.1</v>
      </c>
      <c r="VW35" s="130">
        <v>9.6</v>
      </c>
      <c r="VX35" s="130">
        <v>1.2</v>
      </c>
      <c r="VY35" s="130">
        <v>14.305</v>
      </c>
      <c r="VZ35" s="130">
        <v>49.712000000000003</v>
      </c>
      <c r="WA35" s="130">
        <v>50.305</v>
      </c>
      <c r="WB35" s="130">
        <v>46.599000000000004</v>
      </c>
      <c r="WC35" s="130">
        <v>49.726999999999997</v>
      </c>
      <c r="WD35" s="130">
        <v>15.799999999999999</v>
      </c>
      <c r="WE35" s="130">
        <v>30.200000000000003</v>
      </c>
      <c r="WF35" s="130">
        <v>34.5</v>
      </c>
      <c r="WG35" s="130">
        <v>17.3</v>
      </c>
      <c r="WH35" s="130">
        <v>49.004999999999995</v>
      </c>
      <c r="WI35" s="130">
        <v>53.8</v>
      </c>
      <c r="WJ35" s="130">
        <v>57.9</v>
      </c>
      <c r="WK35" s="130">
        <v>69.3</v>
      </c>
      <c r="WL35" s="130">
        <v>39.5</v>
      </c>
      <c r="WM35" s="130">
        <v>0.2</v>
      </c>
      <c r="WN35" s="130">
        <v>5.5209999999999999</v>
      </c>
      <c r="WO35" s="130">
        <v>46.6</v>
      </c>
      <c r="WP35" s="130">
        <v>19.989999999999998</v>
      </c>
      <c r="WQ35" s="130">
        <v>57.5</v>
      </c>
      <c r="WR35" s="130">
        <v>66.099999999999994</v>
      </c>
      <c r="WS35" s="130">
        <v>129.69999999999999</v>
      </c>
      <c r="WT35" s="130">
        <v>155.27000000000001</v>
      </c>
      <c r="WU35" s="130">
        <v>113.5</v>
      </c>
      <c r="WV35" s="130">
        <v>67.064999999999998</v>
      </c>
      <c r="WW35" s="130">
        <v>80.099999999999994</v>
      </c>
      <c r="WX35" s="130">
        <v>71.87</v>
      </c>
      <c r="WY35" s="130">
        <v>81.445999999999998</v>
      </c>
      <c r="WZ35" s="130">
        <v>43.3</v>
      </c>
      <c r="XA35" s="130">
        <v>62.5</v>
      </c>
      <c r="XB35" s="130">
        <v>54.7</v>
      </c>
      <c r="XC35" s="130">
        <v>66.8</v>
      </c>
      <c r="XD35" s="130">
        <v>119.3</v>
      </c>
      <c r="XE35" s="130">
        <v>155.80000000000001</v>
      </c>
      <c r="XF35" s="130">
        <v>152.73599999999999</v>
      </c>
      <c r="XG35" s="130">
        <v>104.8</v>
      </c>
      <c r="XH35" s="130">
        <v>79.2</v>
      </c>
      <c r="XI35" s="130">
        <v>69.099999999999994</v>
      </c>
      <c r="XJ35" s="130">
        <v>74</v>
      </c>
      <c r="XK35" s="130">
        <v>90.8</v>
      </c>
      <c r="XL35" s="130">
        <v>74.8</v>
      </c>
      <c r="XM35" s="130">
        <v>133.072</v>
      </c>
      <c r="XN35" s="130">
        <v>146</v>
      </c>
      <c r="XO35" s="130">
        <v>164.8</v>
      </c>
      <c r="XP35" s="130">
        <v>129.96100000000001</v>
      </c>
      <c r="XQ35" s="130">
        <v>89.03</v>
      </c>
      <c r="XR35" s="130">
        <v>80.7</v>
      </c>
      <c r="XS35" s="130">
        <v>105.65899999999999</v>
      </c>
      <c r="XT35" s="130">
        <v>64.052000000000007</v>
      </c>
      <c r="XU35" s="130">
        <v>79.060999999999993</v>
      </c>
      <c r="XV35" s="130">
        <v>94.4</v>
      </c>
      <c r="XW35" s="130">
        <v>97.875</v>
      </c>
      <c r="XX35" s="130">
        <v>112.539</v>
      </c>
      <c r="XY35" s="130">
        <v>125.55200000000001</v>
      </c>
      <c r="XZ35" s="130">
        <v>24.027999999999999</v>
      </c>
      <c r="YA35" s="130">
        <v>44.5</v>
      </c>
      <c r="YB35" s="130">
        <v>71</v>
      </c>
      <c r="YC35" s="130">
        <v>74.400000000000006</v>
      </c>
      <c r="YD35" s="130">
        <v>123.1</v>
      </c>
      <c r="YE35" s="130">
        <v>29</v>
      </c>
      <c r="YF35" s="130">
        <v>74.477999999999994</v>
      </c>
      <c r="YG35" s="130">
        <v>53.9</v>
      </c>
      <c r="YH35" s="130">
        <v>56.5</v>
      </c>
    </row>
    <row r="36" spans="2:658">
      <c r="B36" s="917" t="s">
        <v>41</v>
      </c>
      <c r="C36" s="918">
        <v>67.312830237389605</v>
      </c>
      <c r="D36" s="130">
        <v>66.882557440406998</v>
      </c>
      <c r="E36" s="130">
        <v>66.863833405912587</v>
      </c>
      <c r="F36" s="130">
        <v>66.902134014268398</v>
      </c>
      <c r="G36" s="130">
        <v>66.945409583704986</v>
      </c>
      <c r="H36" s="130">
        <v>66.836888034685202</v>
      </c>
      <c r="I36" s="130">
        <v>53.9904090569677</v>
      </c>
      <c r="J36" s="130">
        <v>53.522912788691897</v>
      </c>
      <c r="K36" s="130">
        <v>54.819243666312907</v>
      </c>
      <c r="L36" s="130">
        <v>55.0190754947687</v>
      </c>
      <c r="M36" s="130">
        <v>55.009501091805305</v>
      </c>
      <c r="N36" s="130">
        <v>55.363859855764709</v>
      </c>
      <c r="O36" s="130">
        <v>54.971355472325797</v>
      </c>
      <c r="P36" s="130">
        <v>54.754270820822995</v>
      </c>
      <c r="Q36" s="130">
        <v>54.650818785738707</v>
      </c>
      <c r="R36" s="130">
        <v>29.7</v>
      </c>
      <c r="S36" s="130">
        <v>29.7</v>
      </c>
      <c r="T36" s="130">
        <v>29.7</v>
      </c>
      <c r="U36" s="130">
        <v>29.7</v>
      </c>
      <c r="V36" s="130">
        <v>29.7</v>
      </c>
      <c r="W36" s="130">
        <v>29.7</v>
      </c>
      <c r="X36" s="130">
        <v>29.7</v>
      </c>
      <c r="Y36" s="130">
        <v>29.7</v>
      </c>
      <c r="Z36" s="130">
        <v>29.7</v>
      </c>
      <c r="AA36" s="130">
        <v>29.7</v>
      </c>
      <c r="AB36" s="130">
        <v>29.7</v>
      </c>
      <c r="AC36" s="130">
        <v>29.7</v>
      </c>
      <c r="AD36" s="130">
        <v>0.2</v>
      </c>
      <c r="AE36" s="130">
        <v>0.2</v>
      </c>
      <c r="AF36" s="130">
        <v>0.2</v>
      </c>
      <c r="AG36" s="130">
        <v>0.2</v>
      </c>
      <c r="AH36" s="130">
        <v>0.2</v>
      </c>
      <c r="AI36" s="130">
        <v>0.2</v>
      </c>
      <c r="AJ36" s="130">
        <v>0.2</v>
      </c>
      <c r="AK36" s="130">
        <v>0.2</v>
      </c>
      <c r="AL36" s="130">
        <v>0.2</v>
      </c>
      <c r="AM36" s="130">
        <v>0.2</v>
      </c>
      <c r="AN36" s="130">
        <v>0.2</v>
      </c>
      <c r="AO36" s="130">
        <v>0.2</v>
      </c>
      <c r="AP36" s="130">
        <v>0.2</v>
      </c>
      <c r="AQ36" s="130">
        <v>0.2</v>
      </c>
      <c r="AR36" s="130">
        <v>0.2</v>
      </c>
      <c r="AS36" s="130">
        <v>0.2</v>
      </c>
      <c r="AT36" s="130">
        <v>0.2</v>
      </c>
      <c r="AU36" s="130">
        <v>0.2</v>
      </c>
      <c r="AV36" s="130">
        <v>0.2</v>
      </c>
      <c r="AW36" s="130">
        <v>0.2</v>
      </c>
      <c r="AX36" s="130">
        <v>0.2</v>
      </c>
      <c r="AY36" s="130">
        <v>0.2</v>
      </c>
      <c r="AZ36" s="130">
        <v>0.2</v>
      </c>
      <c r="BA36" s="130">
        <v>0.2</v>
      </c>
      <c r="BB36" s="130">
        <v>0.2</v>
      </c>
      <c r="BC36" s="130">
        <v>0.2</v>
      </c>
      <c r="BD36" s="130">
        <v>0.2</v>
      </c>
      <c r="BE36" s="130">
        <v>0.2</v>
      </c>
      <c r="BF36" s="130">
        <v>0.2</v>
      </c>
      <c r="BG36" s="130">
        <v>0.2</v>
      </c>
      <c r="BH36" s="130">
        <v>0.2</v>
      </c>
      <c r="BI36" s="130">
        <v>0.2</v>
      </c>
      <c r="BJ36" s="130">
        <v>0.2</v>
      </c>
      <c r="BK36" s="130">
        <v>0.2</v>
      </c>
      <c r="BL36" s="130">
        <v>0.2</v>
      </c>
      <c r="BM36" s="130">
        <v>0.2</v>
      </c>
      <c r="BN36" s="130">
        <v>0.2</v>
      </c>
      <c r="BO36" s="130">
        <v>0.2</v>
      </c>
      <c r="BP36" s="130">
        <v>0.2</v>
      </c>
      <c r="BQ36" s="130">
        <v>0.2</v>
      </c>
      <c r="BR36" s="130">
        <v>0.2</v>
      </c>
      <c r="BS36" s="130">
        <v>0.2</v>
      </c>
      <c r="BT36" s="130">
        <v>0.2</v>
      </c>
      <c r="BU36" s="130">
        <v>0.2</v>
      </c>
      <c r="BV36" s="130">
        <v>0.2</v>
      </c>
      <c r="BW36" s="130">
        <v>0.2</v>
      </c>
      <c r="BX36" s="130">
        <v>0.2</v>
      </c>
      <c r="BY36" s="130">
        <v>0.2</v>
      </c>
      <c r="BZ36" s="130">
        <v>0.2</v>
      </c>
      <c r="CA36" s="130">
        <v>0.2</v>
      </c>
      <c r="CB36" s="130">
        <v>0.2</v>
      </c>
      <c r="CC36" s="130">
        <v>0.2</v>
      </c>
      <c r="CD36" s="130">
        <v>0.2</v>
      </c>
      <c r="CE36" s="130">
        <v>0.2</v>
      </c>
      <c r="CF36" s="130">
        <v>0.2</v>
      </c>
      <c r="CG36" s="130">
        <v>0.2</v>
      </c>
      <c r="CH36" s="130">
        <v>0.2</v>
      </c>
      <c r="CI36" s="130">
        <v>0.2</v>
      </c>
      <c r="CJ36" s="130">
        <v>0.2</v>
      </c>
      <c r="CK36" s="130">
        <v>0.2</v>
      </c>
      <c r="CL36" s="130">
        <v>0.3</v>
      </c>
      <c r="CM36" s="130">
        <v>0.3</v>
      </c>
      <c r="CN36" s="130">
        <v>0.3</v>
      </c>
      <c r="CO36" s="130">
        <v>0.3</v>
      </c>
      <c r="CP36" s="130">
        <v>0.3</v>
      </c>
      <c r="CQ36" s="130">
        <v>0.3</v>
      </c>
      <c r="CR36" s="130">
        <v>0.3</v>
      </c>
      <c r="CS36" s="130">
        <v>0.3</v>
      </c>
      <c r="CT36" s="130">
        <v>0.3</v>
      </c>
      <c r="CU36" s="130">
        <v>0.3</v>
      </c>
      <c r="CV36" s="130">
        <v>0.3</v>
      </c>
      <c r="CW36" s="130">
        <v>0.3</v>
      </c>
      <c r="CX36" s="130">
        <v>0.3</v>
      </c>
      <c r="CY36" s="130">
        <v>0.3</v>
      </c>
      <c r="CZ36" s="130">
        <v>0.3</v>
      </c>
      <c r="DA36" s="130">
        <v>0.3</v>
      </c>
      <c r="DB36" s="130">
        <v>0.3</v>
      </c>
      <c r="DC36" s="130">
        <v>0.3</v>
      </c>
      <c r="DD36" s="130">
        <v>0.3</v>
      </c>
      <c r="DE36" s="130">
        <v>0.3</v>
      </c>
      <c r="DF36" s="130">
        <v>0.3</v>
      </c>
      <c r="DG36" s="130">
        <v>0.3</v>
      </c>
      <c r="DH36" s="130">
        <v>0.3</v>
      </c>
      <c r="DI36" s="130">
        <v>0.3</v>
      </c>
      <c r="DJ36" s="130">
        <v>0.3</v>
      </c>
      <c r="DK36" s="130">
        <v>0.3</v>
      </c>
      <c r="DL36" s="130">
        <v>0.3</v>
      </c>
      <c r="DM36" s="130">
        <v>0.3</v>
      </c>
      <c r="DN36" s="130">
        <v>0.3</v>
      </c>
      <c r="DO36" s="130">
        <v>0.3</v>
      </c>
      <c r="DP36" s="130">
        <v>0.3</v>
      </c>
      <c r="DQ36" s="130">
        <v>0.3</v>
      </c>
      <c r="DR36" s="130">
        <v>0.3</v>
      </c>
      <c r="DS36" s="130">
        <v>0.3</v>
      </c>
      <c r="DT36" s="130">
        <v>0.3</v>
      </c>
      <c r="DU36" s="130">
        <v>0.3</v>
      </c>
      <c r="DV36" s="130">
        <v>0.3</v>
      </c>
      <c r="DW36" s="130">
        <v>0.3</v>
      </c>
      <c r="DX36" s="130">
        <v>0.3</v>
      </c>
      <c r="DY36" s="130">
        <v>0.3</v>
      </c>
      <c r="DZ36" s="130">
        <v>0.3</v>
      </c>
      <c r="EA36" s="130">
        <v>0.3</v>
      </c>
      <c r="EB36" s="130">
        <v>0.3</v>
      </c>
      <c r="EC36" s="130">
        <v>0.3</v>
      </c>
      <c r="ED36" s="130">
        <v>0.26200000000000001</v>
      </c>
      <c r="EE36" s="130">
        <v>0.26200000000000001</v>
      </c>
      <c r="EF36" s="130">
        <v>0.26200000000000001</v>
      </c>
      <c r="EG36" s="130">
        <v>0.26200000000000001</v>
      </c>
      <c r="EH36" s="130">
        <v>0.26200000000000001</v>
      </c>
      <c r="EI36" s="130">
        <v>0.26200000000000001</v>
      </c>
      <c r="EJ36" s="130">
        <v>0.26200000000000001</v>
      </c>
      <c r="EK36" s="130">
        <v>0.26200000000000001</v>
      </c>
      <c r="EL36" s="130">
        <v>0.26200000000000001</v>
      </c>
      <c r="EM36" s="130">
        <v>0.26200000000000001</v>
      </c>
      <c r="EN36" s="130">
        <v>0.26200000000000001</v>
      </c>
      <c r="EO36" s="130">
        <v>0.26200000000000001</v>
      </c>
      <c r="EP36" s="130">
        <v>0.26200000000000001</v>
      </c>
      <c r="EQ36" s="130">
        <v>0.26200000000000001</v>
      </c>
      <c r="ER36" s="130">
        <v>0.26200000000000001</v>
      </c>
      <c r="ES36" s="130">
        <v>0.26200000000000001</v>
      </c>
      <c r="ET36" s="130">
        <v>0.26200000000000001</v>
      </c>
      <c r="EU36" s="130">
        <v>0.26200000000000001</v>
      </c>
      <c r="EV36" s="130">
        <v>0.26200000000000001</v>
      </c>
      <c r="EW36" s="130">
        <v>0.26200000000000001</v>
      </c>
      <c r="EX36" s="130">
        <v>0.26200000000000001</v>
      </c>
      <c r="EY36" s="130">
        <v>0.26200000000000001</v>
      </c>
      <c r="EZ36" s="130">
        <v>0.26200000000000001</v>
      </c>
      <c r="FA36" s="130">
        <v>0.26200000000000001</v>
      </c>
      <c r="FB36" s="130">
        <v>0.26200000000000001</v>
      </c>
      <c r="FC36" s="130">
        <v>0.26200000000000001</v>
      </c>
      <c r="FD36" s="130">
        <v>0.26200000000000001</v>
      </c>
      <c r="FE36" s="130">
        <v>0.26200000000000001</v>
      </c>
      <c r="FF36" s="130">
        <v>0.26200000000000001</v>
      </c>
      <c r="FG36" s="130">
        <v>0.26200000000000001</v>
      </c>
      <c r="FH36" s="130">
        <v>0.26200000000000001</v>
      </c>
      <c r="FI36" s="130">
        <v>0.26200000000000001</v>
      </c>
      <c r="FJ36" s="130">
        <v>0.26200000000000001</v>
      </c>
      <c r="FK36" s="130">
        <v>0.26200000000000001</v>
      </c>
      <c r="FL36" s="130">
        <v>0.26200000000000001</v>
      </c>
      <c r="FM36" s="130">
        <v>0.26200000000000001</v>
      </c>
      <c r="FN36" s="130">
        <v>0.26200000000000001</v>
      </c>
      <c r="FO36" s="130">
        <v>0.26200000000000001</v>
      </c>
      <c r="FP36" s="130">
        <v>0.26200000000000001</v>
      </c>
      <c r="FQ36" s="130">
        <v>0.26200000000000001</v>
      </c>
      <c r="FR36" s="130">
        <v>0.26200000000000001</v>
      </c>
      <c r="FS36" s="130">
        <v>0.26200000000000001</v>
      </c>
      <c r="FT36" s="130">
        <v>0.26200000000000001</v>
      </c>
      <c r="FU36" s="130">
        <v>0.26200000000000001</v>
      </c>
      <c r="FV36" s="130">
        <v>0.26200000000000001</v>
      </c>
      <c r="FW36" s="130">
        <v>0.26200000000000001</v>
      </c>
      <c r="FX36" s="130">
        <v>0.26200000000000001</v>
      </c>
      <c r="FY36" s="130">
        <v>0.26200000000000001</v>
      </c>
      <c r="FZ36" s="130">
        <v>0.26200000000000001</v>
      </c>
      <c r="GA36" s="130">
        <v>0.26200000000000001</v>
      </c>
      <c r="GB36" s="130">
        <v>0.26200000000000001</v>
      </c>
      <c r="GC36" s="130">
        <v>0.26200000000000001</v>
      </c>
      <c r="GD36" s="130">
        <v>0.26200000000000001</v>
      </c>
      <c r="GE36" s="130">
        <v>0.26200000000000001</v>
      </c>
      <c r="GF36" s="130">
        <v>0.26200000000000001</v>
      </c>
      <c r="GG36" s="130">
        <v>0.26200000000000001</v>
      </c>
      <c r="GH36" s="130">
        <v>0.26200000000000001</v>
      </c>
      <c r="GI36" s="130">
        <v>0.26200000000000001</v>
      </c>
      <c r="GJ36" s="130">
        <v>0.26200000000000001</v>
      </c>
      <c r="GK36" s="130">
        <v>0.26200000000000001</v>
      </c>
      <c r="GL36" s="130">
        <v>0.26200000000000001</v>
      </c>
      <c r="GM36" s="130">
        <v>0.26200000000000001</v>
      </c>
      <c r="GN36" s="130">
        <v>0.26200000000000001</v>
      </c>
      <c r="GO36" s="130">
        <v>0.26200000000000001</v>
      </c>
      <c r="GP36" s="130">
        <v>0.26200000000000001</v>
      </c>
      <c r="GQ36" s="130">
        <v>0.26200000000000001</v>
      </c>
      <c r="GR36" s="130">
        <v>0.26200000000000001</v>
      </c>
      <c r="GS36" s="130">
        <v>0.26200000000000001</v>
      </c>
      <c r="GT36" s="130">
        <v>0.26200000000000001</v>
      </c>
      <c r="GU36" s="130">
        <v>0.26200000000000001</v>
      </c>
      <c r="GV36" s="130">
        <v>0.26200000000000001</v>
      </c>
      <c r="GW36" s="130">
        <v>0.26200000000000001</v>
      </c>
      <c r="GX36" s="130">
        <v>0.26200000000000001</v>
      </c>
      <c r="GY36" s="130">
        <v>0.26200000000000001</v>
      </c>
      <c r="GZ36" s="130">
        <v>0.26200000000000001</v>
      </c>
      <c r="HA36" s="130">
        <v>0.26200000000000001</v>
      </c>
      <c r="HB36" s="130">
        <v>0.26200000000000001</v>
      </c>
      <c r="HC36" s="130">
        <v>0.26200000000000001</v>
      </c>
      <c r="HD36" s="130">
        <v>0.26200000000000001</v>
      </c>
      <c r="HE36" s="130">
        <v>0.26200000000000001</v>
      </c>
      <c r="HF36" s="130">
        <v>0.26200000000000001</v>
      </c>
      <c r="HG36" s="130">
        <v>0.26200000000000001</v>
      </c>
      <c r="HH36" s="130">
        <v>0.26200000000000001</v>
      </c>
      <c r="HI36" s="130">
        <v>0.26200000000000001</v>
      </c>
      <c r="HJ36" s="130">
        <v>0.26200000000000001</v>
      </c>
      <c r="HK36" s="130">
        <v>0.26200000000000001</v>
      </c>
      <c r="HL36" s="130">
        <v>0.26200000000000001</v>
      </c>
      <c r="HM36" s="130">
        <v>0.26200000000000001</v>
      </c>
      <c r="HN36" s="130">
        <v>0.26200000000000001</v>
      </c>
      <c r="HO36" s="130">
        <v>8.4319853178073991</v>
      </c>
      <c r="HP36" s="130">
        <v>8.4319853178073991</v>
      </c>
      <c r="HQ36" s="130">
        <v>8.4319853178073991</v>
      </c>
      <c r="HR36" s="130">
        <v>8.4319853178073991</v>
      </c>
      <c r="HS36" s="130">
        <v>8.4319853178073991</v>
      </c>
      <c r="HT36" s="130">
        <v>8.4319853178073991</v>
      </c>
      <c r="HU36" s="130">
        <v>8.4319853178073991</v>
      </c>
      <c r="HV36" s="130">
        <v>8.4319853178073991</v>
      </c>
      <c r="HW36" s="130">
        <v>8.4319853178073991</v>
      </c>
      <c r="HX36" s="130">
        <v>8.4319853178073991</v>
      </c>
      <c r="HY36" s="130">
        <v>8.4319853178073991</v>
      </c>
      <c r="HZ36" s="130">
        <v>8.4319853178073991</v>
      </c>
      <c r="IA36" s="130">
        <v>8.4319853178073991</v>
      </c>
      <c r="IB36" s="130">
        <v>8.4319853178073991</v>
      </c>
      <c r="IC36" s="130">
        <v>8.4319853178073991</v>
      </c>
      <c r="ID36" s="130">
        <v>8.4319853178073991</v>
      </c>
      <c r="IE36" s="130">
        <v>8.4319853178073991</v>
      </c>
      <c r="IF36" s="130">
        <v>8.4319853178073991</v>
      </c>
      <c r="IG36" s="130">
        <v>8.4319853178073991</v>
      </c>
      <c r="IH36" s="130">
        <v>8.4319853178073991</v>
      </c>
      <c r="II36" s="130">
        <v>8.4319853178073991</v>
      </c>
      <c r="IJ36" s="130">
        <v>8.4319853178073991</v>
      </c>
      <c r="IK36" s="130">
        <v>8.4319853178073991</v>
      </c>
      <c r="IL36" s="130">
        <v>8.4319853178073991</v>
      </c>
      <c r="IM36" s="130">
        <v>8.4319853178073991</v>
      </c>
      <c r="IN36" s="130">
        <v>8.4319853178073991</v>
      </c>
      <c r="IO36" s="130">
        <v>8.4319853178073991</v>
      </c>
      <c r="IP36" s="130">
        <v>8.4319853178073991</v>
      </c>
      <c r="IQ36" s="130">
        <v>8.4319853178073991</v>
      </c>
      <c r="IR36" s="130">
        <v>8.4319853178073991</v>
      </c>
      <c r="IS36" s="130">
        <v>8.4319853178073991</v>
      </c>
      <c r="IT36" s="130">
        <v>8.4319853178073991</v>
      </c>
      <c r="IU36" s="130">
        <v>8.4319853178073991</v>
      </c>
      <c r="IV36" s="130">
        <v>8.4319853178073991</v>
      </c>
      <c r="IW36" s="130">
        <v>8.4319853178073991</v>
      </c>
      <c r="IX36" s="130">
        <v>8.4319853178073991</v>
      </c>
      <c r="IY36" s="130">
        <v>8.4319853178073991</v>
      </c>
      <c r="IZ36" s="130">
        <v>8.4319853178073991</v>
      </c>
      <c r="JA36" s="130">
        <v>8.4319853178073991</v>
      </c>
      <c r="JB36" s="130">
        <v>8.4319853178073991</v>
      </c>
      <c r="JC36" s="130">
        <v>8.4319853178073991</v>
      </c>
      <c r="JD36" s="130">
        <v>8.4319853178073991</v>
      </c>
      <c r="JE36" s="130">
        <v>8.4319853178073991</v>
      </c>
      <c r="JF36" s="130">
        <v>8.4319853178073991</v>
      </c>
      <c r="JG36" s="130">
        <v>8.4319853178073991</v>
      </c>
      <c r="JH36" s="130">
        <v>8.4319853178073991</v>
      </c>
      <c r="JI36" s="130">
        <v>8.4319853178073991</v>
      </c>
      <c r="JJ36" s="130">
        <v>8.4319853178073991</v>
      </c>
      <c r="JK36" s="130">
        <v>8.4319853178073991</v>
      </c>
      <c r="JL36" s="130">
        <v>8.4319853178073991</v>
      </c>
      <c r="JM36" s="130">
        <v>8.4319853178073991</v>
      </c>
      <c r="JN36" s="130">
        <v>8.4319853178073991</v>
      </c>
      <c r="JO36" s="130">
        <v>8.4319853178073991</v>
      </c>
      <c r="JP36" s="130">
        <v>8.4319853178073991</v>
      </c>
      <c r="JQ36" s="130">
        <v>8.4319853178073991</v>
      </c>
      <c r="JR36" s="130">
        <v>8.4319853178073991</v>
      </c>
      <c r="JS36" s="130">
        <v>8.4319853178073991</v>
      </c>
      <c r="JT36" s="130">
        <v>8.4319853178073991</v>
      </c>
      <c r="JU36" s="130">
        <v>8.4319853178073991</v>
      </c>
      <c r="JV36" s="130">
        <v>8.4319853178073991</v>
      </c>
      <c r="JW36" s="130">
        <v>8.4319853178073991</v>
      </c>
      <c r="JX36" s="130">
        <v>8.4319853178073991</v>
      </c>
      <c r="JY36" s="130">
        <v>8.4319853178073991</v>
      </c>
      <c r="JZ36" s="130">
        <v>8.4319853178073991</v>
      </c>
      <c r="KA36" s="130">
        <v>65.210999999999999</v>
      </c>
      <c r="KB36" s="130">
        <v>65.210999999999999</v>
      </c>
      <c r="KC36" s="130">
        <v>65.210999999999999</v>
      </c>
      <c r="KD36" s="130">
        <v>65.210999999999999</v>
      </c>
      <c r="KE36" s="130">
        <v>65.210999999999999</v>
      </c>
      <c r="KF36" s="130">
        <v>8.4319853178073991</v>
      </c>
      <c r="KG36" s="130">
        <v>40.375999999999998</v>
      </c>
      <c r="KH36" s="130">
        <v>40.375999999999998</v>
      </c>
      <c r="KI36" s="130">
        <v>40.375999999999998</v>
      </c>
      <c r="KJ36" s="130">
        <v>40.375999999999998</v>
      </c>
      <c r="KK36" s="130">
        <v>40.375999999999998</v>
      </c>
      <c r="KL36" s="130">
        <v>40.375999999999998</v>
      </c>
      <c r="KM36" s="130">
        <v>40.375999999999998</v>
      </c>
      <c r="KN36" s="130">
        <v>40.375999999999998</v>
      </c>
      <c r="KO36" s="130">
        <v>40.375999999999998</v>
      </c>
      <c r="KP36" s="130">
        <v>40.375999999999998</v>
      </c>
      <c r="KQ36" s="130">
        <v>40.375999999999998</v>
      </c>
      <c r="KR36" s="130">
        <v>40.375999999999998</v>
      </c>
      <c r="KS36" s="130">
        <v>40.375999999999998</v>
      </c>
      <c r="KT36" s="130">
        <v>40.375999999999998</v>
      </c>
      <c r="KU36" s="130">
        <v>40.375999999999998</v>
      </c>
      <c r="KV36" s="130"/>
      <c r="KW36" s="130"/>
      <c r="KX36" s="130"/>
      <c r="KY36" s="130"/>
      <c r="KZ36" s="130">
        <v>46.37</v>
      </c>
      <c r="LA36" s="130">
        <v>46.37</v>
      </c>
      <c r="LB36" s="130">
        <v>46.37</v>
      </c>
      <c r="LC36" s="130">
        <v>46.37</v>
      </c>
      <c r="LD36" s="130">
        <v>46.37</v>
      </c>
      <c r="LE36" s="130">
        <v>46.37</v>
      </c>
      <c r="LF36" s="130">
        <v>46.37</v>
      </c>
      <c r="LG36" s="130">
        <v>46.37</v>
      </c>
      <c r="LH36" s="130">
        <v>46.37</v>
      </c>
      <c r="LI36" s="130">
        <v>46.37</v>
      </c>
      <c r="LJ36" s="130">
        <v>46.37</v>
      </c>
      <c r="LK36" s="130">
        <v>46.37</v>
      </c>
      <c r="LL36" s="130">
        <v>46.37</v>
      </c>
      <c r="LM36" s="130">
        <v>46.37</v>
      </c>
      <c r="LN36" s="130">
        <v>46.37</v>
      </c>
      <c r="LO36" s="130">
        <v>46.37</v>
      </c>
      <c r="LP36" s="130">
        <v>46.37</v>
      </c>
      <c r="LQ36" s="130">
        <v>46.37</v>
      </c>
      <c r="LR36" s="130">
        <v>46.37</v>
      </c>
      <c r="LS36" s="130">
        <v>46.37</v>
      </c>
      <c r="LT36" s="130">
        <v>46.37</v>
      </c>
      <c r="LU36" s="130">
        <v>46.37</v>
      </c>
      <c r="LV36" s="130">
        <v>46.37</v>
      </c>
      <c r="LW36" s="130">
        <v>46.37</v>
      </c>
      <c r="LX36" s="130">
        <v>18.335000000000001</v>
      </c>
      <c r="LY36" s="130">
        <v>18.335000000000001</v>
      </c>
      <c r="LZ36" s="130">
        <v>18.335000000000001</v>
      </c>
      <c r="MA36" s="130">
        <v>18.335000000000001</v>
      </c>
      <c r="MB36" s="130">
        <v>18.335000000000001</v>
      </c>
      <c r="MC36" s="130">
        <v>18.335000000000001</v>
      </c>
      <c r="MD36" s="130">
        <v>18.335000000000001</v>
      </c>
      <c r="ME36" s="130">
        <v>18.335000000000001</v>
      </c>
      <c r="MF36" s="130">
        <v>18.335000000000001</v>
      </c>
      <c r="MG36" s="130">
        <v>18.335000000000001</v>
      </c>
      <c r="MH36" s="130">
        <v>18.335000000000001</v>
      </c>
      <c r="MI36" s="130">
        <v>18.335000000000001</v>
      </c>
      <c r="MJ36" s="130">
        <v>18.335000000000001</v>
      </c>
      <c r="MK36" s="130">
        <v>18.335000000000001</v>
      </c>
      <c r="ML36" s="130">
        <v>18.335000000000001</v>
      </c>
      <c r="MM36" s="130">
        <v>18.335000000000001</v>
      </c>
      <c r="MN36" s="130">
        <v>18.335000000000001</v>
      </c>
      <c r="MO36" s="130">
        <v>18.335000000000001</v>
      </c>
      <c r="MP36" s="130">
        <v>18.335000000000001</v>
      </c>
      <c r="MQ36" s="130">
        <v>18.335000000000001</v>
      </c>
      <c r="MR36" s="130">
        <v>18.335000000000001</v>
      </c>
      <c r="MS36" s="130">
        <v>0.92400000000000004</v>
      </c>
      <c r="MT36" s="130">
        <v>0.92400000000000004</v>
      </c>
      <c r="MU36" s="130">
        <v>0.92400000000000004</v>
      </c>
      <c r="MV36" s="130">
        <v>0.92400000000000004</v>
      </c>
      <c r="MW36" s="130">
        <v>0.92400000000000004</v>
      </c>
      <c r="MX36" s="130">
        <v>0.92400000000000004</v>
      </c>
      <c r="MY36" s="130">
        <v>0.92400000000000004</v>
      </c>
      <c r="MZ36" s="130">
        <v>0.92400000000000004</v>
      </c>
      <c r="NA36" s="130">
        <v>0.92400000000000004</v>
      </c>
      <c r="NB36" s="130">
        <v>0.92400000000000004</v>
      </c>
      <c r="NC36" s="130">
        <v>0.92400000000000004</v>
      </c>
      <c r="ND36" s="130">
        <v>0.92400000000000004</v>
      </c>
      <c r="NE36" s="130">
        <v>0.92400000000000004</v>
      </c>
      <c r="NF36" s="130">
        <v>0.92400000000000004</v>
      </c>
      <c r="NG36" s="130">
        <v>0.92400000000000004</v>
      </c>
      <c r="NH36" s="130">
        <v>0.92400000000000004</v>
      </c>
      <c r="NI36" s="130">
        <v>0.92400000000000004</v>
      </c>
      <c r="NJ36" s="130">
        <v>0.92400000000000004</v>
      </c>
      <c r="NK36" s="130">
        <v>0.92400000000000004</v>
      </c>
      <c r="NL36" s="130">
        <v>0.92400000000000004</v>
      </c>
      <c r="NM36" s="130">
        <v>4.585</v>
      </c>
      <c r="NN36" s="130">
        <v>4.585</v>
      </c>
      <c r="NO36" s="130">
        <v>4.585</v>
      </c>
      <c r="NP36" s="130">
        <v>4.585</v>
      </c>
      <c r="NQ36" s="130">
        <v>4.585</v>
      </c>
      <c r="NR36" s="130">
        <v>4.585</v>
      </c>
      <c r="NS36" s="130">
        <v>4.585</v>
      </c>
      <c r="NT36" s="130">
        <v>4.585</v>
      </c>
      <c r="NU36" s="130">
        <v>4.2</v>
      </c>
      <c r="NV36" s="130">
        <v>4.2</v>
      </c>
      <c r="NW36" s="130">
        <v>4.2</v>
      </c>
      <c r="NX36" s="130">
        <v>4.2</v>
      </c>
      <c r="NY36" s="130">
        <v>4.2</v>
      </c>
      <c r="NZ36" s="130">
        <v>4.2</v>
      </c>
      <c r="OA36" s="130">
        <v>4.2</v>
      </c>
      <c r="OB36" s="130">
        <v>4.2</v>
      </c>
      <c r="OC36" s="130">
        <v>4.2</v>
      </c>
      <c r="OD36" s="130">
        <v>4.2</v>
      </c>
      <c r="OE36" s="130">
        <v>4.2</v>
      </c>
      <c r="OF36" s="130">
        <v>4.2</v>
      </c>
      <c r="OG36" s="130">
        <v>31.324999999999999</v>
      </c>
      <c r="OH36" s="130">
        <v>31.324999999999999</v>
      </c>
      <c r="OI36" s="130">
        <v>31.324999999999999</v>
      </c>
      <c r="OJ36" s="130">
        <v>31.324999999999999</v>
      </c>
      <c r="OK36" s="130">
        <v>31.324999999999999</v>
      </c>
      <c r="OL36" s="130">
        <v>31.324999999999999</v>
      </c>
      <c r="OM36" s="130">
        <v>31.324999999999999</v>
      </c>
      <c r="ON36" s="130">
        <v>31.324999999999999</v>
      </c>
      <c r="OO36" s="130">
        <v>31.324999999999999</v>
      </c>
      <c r="OP36" s="130">
        <v>31.324999999999999</v>
      </c>
      <c r="OQ36" s="130">
        <v>31.324999999999999</v>
      </c>
      <c r="OR36" s="130">
        <v>31.324999999999999</v>
      </c>
      <c r="OS36" s="130">
        <v>31.324999999999999</v>
      </c>
      <c r="OT36" s="130">
        <v>31.324999999999999</v>
      </c>
      <c r="OU36" s="130">
        <v>31.324999999999999</v>
      </c>
      <c r="OV36" s="130">
        <v>31.324999999999999</v>
      </c>
      <c r="OW36" s="130">
        <v>31.324999999999999</v>
      </c>
      <c r="OX36" s="130">
        <v>31.324999999999999</v>
      </c>
      <c r="OY36" s="130">
        <v>31.324999999999999</v>
      </c>
      <c r="OZ36" s="130">
        <v>31.324999999999999</v>
      </c>
      <c r="PA36" s="130">
        <v>31.324999999999999</v>
      </c>
      <c r="PB36" s="130">
        <v>23.317</v>
      </c>
      <c r="PC36" s="130">
        <v>23.317</v>
      </c>
      <c r="PD36" s="130">
        <v>23.317</v>
      </c>
      <c r="PE36" s="130">
        <v>23.317</v>
      </c>
      <c r="PF36" s="130">
        <v>23.317</v>
      </c>
      <c r="PG36" s="130">
        <v>23.317</v>
      </c>
      <c r="PH36" s="130">
        <v>23.317</v>
      </c>
      <c r="PI36" s="130">
        <v>24.7</v>
      </c>
      <c r="PJ36" s="130">
        <v>24.7</v>
      </c>
      <c r="PK36" s="130">
        <v>24.7</v>
      </c>
      <c r="PL36" s="130">
        <v>24.7</v>
      </c>
      <c r="PM36" s="130">
        <v>24.7</v>
      </c>
      <c r="PN36" s="130">
        <v>24.7</v>
      </c>
      <c r="PO36" s="130">
        <v>24.7</v>
      </c>
      <c r="PP36" s="130">
        <v>24.7</v>
      </c>
      <c r="PQ36" s="130">
        <v>24.7</v>
      </c>
      <c r="PR36" s="130">
        <v>24.7</v>
      </c>
      <c r="PS36" s="130">
        <v>24.7</v>
      </c>
      <c r="PT36" s="130">
        <v>24.7</v>
      </c>
      <c r="PU36" s="130">
        <v>8.6630000000000003</v>
      </c>
      <c r="PV36" s="130">
        <v>8.6630000000000003</v>
      </c>
      <c r="PW36" s="130">
        <v>8.6630000000000003</v>
      </c>
      <c r="PX36" s="130">
        <v>7.9569999999999999</v>
      </c>
      <c r="PY36" s="130">
        <v>7.9569999999999999</v>
      </c>
      <c r="PZ36" s="130">
        <v>7.9569999999999999</v>
      </c>
      <c r="QA36" s="130">
        <v>7.9569999999999999</v>
      </c>
      <c r="QB36" s="130">
        <v>7.9569999999999999</v>
      </c>
      <c r="QC36" s="130">
        <v>7.9569999999999999</v>
      </c>
      <c r="QD36" s="130">
        <v>7.9569999999999999</v>
      </c>
      <c r="QE36" s="130">
        <v>7.9569999999999999</v>
      </c>
      <c r="QF36" s="130">
        <v>7.9569999999999999</v>
      </c>
      <c r="QG36" s="130">
        <v>7.9569999999999999</v>
      </c>
      <c r="QH36" s="130">
        <v>7.9569999999999999</v>
      </c>
      <c r="QI36" s="130">
        <v>7.9569999999999999</v>
      </c>
      <c r="QJ36" s="130">
        <v>7.9569999999999999</v>
      </c>
      <c r="QK36" s="130">
        <v>7.9569999999999999</v>
      </c>
      <c r="QL36" s="130">
        <v>7.9569999999999999</v>
      </c>
      <c r="QM36" s="130">
        <v>7.9569999999999999</v>
      </c>
      <c r="QN36" s="130">
        <v>2.952</v>
      </c>
      <c r="QO36" s="130">
        <v>2.952</v>
      </c>
      <c r="QP36" s="130">
        <v>2.952</v>
      </c>
      <c r="QQ36" s="130">
        <v>2.952</v>
      </c>
      <c r="QR36" s="130">
        <v>2.952</v>
      </c>
      <c r="QS36" s="130">
        <v>2.952</v>
      </c>
      <c r="QT36" s="130">
        <v>2.952</v>
      </c>
      <c r="QU36" s="130">
        <v>2.952</v>
      </c>
      <c r="QV36" s="130">
        <v>3.1030000000000002</v>
      </c>
      <c r="QW36" s="130">
        <v>2.952</v>
      </c>
      <c r="QX36" s="130">
        <v>2.952</v>
      </c>
      <c r="QY36" s="130">
        <v>3.1030000000000002</v>
      </c>
      <c r="QZ36" s="130">
        <v>3.1030000000000002</v>
      </c>
      <c r="RA36" s="130">
        <v>3.1030000000000002</v>
      </c>
      <c r="RB36" s="130">
        <v>3.1030000000000002</v>
      </c>
      <c r="RC36" s="130">
        <v>3.1030000000000002</v>
      </c>
      <c r="RD36" s="130">
        <v>3.1030000000000002</v>
      </c>
      <c r="RE36" s="130">
        <v>3.1030000000000002</v>
      </c>
      <c r="RF36" s="130">
        <v>3.1030000000000002</v>
      </c>
      <c r="RG36" s="130">
        <v>3.1030000000000002</v>
      </c>
      <c r="RH36" s="130">
        <v>3.1030000000000002</v>
      </c>
      <c r="RI36" s="130">
        <v>3.1030000000000002</v>
      </c>
      <c r="RJ36" s="130">
        <v>3.1030000000000002</v>
      </c>
      <c r="RK36" s="130">
        <v>3.9369999999999998</v>
      </c>
      <c r="RL36" s="130">
        <v>3.9369999999999998</v>
      </c>
      <c r="RM36" s="130">
        <v>3.9369999999999998</v>
      </c>
      <c r="RN36" s="130">
        <v>3.9369999999999998</v>
      </c>
      <c r="RO36" s="130">
        <v>3.9369999999999998</v>
      </c>
      <c r="RP36" s="130">
        <v>3.9369999999999998</v>
      </c>
      <c r="RQ36" s="130">
        <v>3.9369999999999998</v>
      </c>
      <c r="RR36" s="130">
        <v>3.9369999999999998</v>
      </c>
      <c r="RS36" s="130">
        <v>3.9369999999999998</v>
      </c>
      <c r="RT36" s="130">
        <v>3.9369999999999998</v>
      </c>
      <c r="RU36" s="130">
        <v>3.9369999999999998</v>
      </c>
      <c r="RV36" s="130">
        <v>3.9369999999999998</v>
      </c>
      <c r="RW36" s="130">
        <v>3.9369999999999998</v>
      </c>
      <c r="RX36" s="130">
        <v>3.9369999999999998</v>
      </c>
      <c r="RY36" s="130">
        <v>3.9369999999999998</v>
      </c>
      <c r="RZ36" s="130">
        <v>3.9369999999999998</v>
      </c>
      <c r="SA36" s="130">
        <v>2.0830000000000002</v>
      </c>
      <c r="SB36" s="130">
        <v>2.0830000000000002</v>
      </c>
      <c r="SC36" s="130">
        <v>2.0830000000000002</v>
      </c>
      <c r="SD36" s="130">
        <v>2.0830000000000002</v>
      </c>
      <c r="SE36" s="130">
        <v>2.02</v>
      </c>
      <c r="SF36" s="130">
        <v>2.02</v>
      </c>
      <c r="SG36" s="130">
        <v>2.02</v>
      </c>
      <c r="SH36" s="130">
        <v>2.02</v>
      </c>
      <c r="SI36" s="130">
        <v>2.02</v>
      </c>
      <c r="SJ36" s="130">
        <v>2.02</v>
      </c>
      <c r="SK36" s="130">
        <v>2.02</v>
      </c>
      <c r="SL36" s="130">
        <v>2.02</v>
      </c>
      <c r="SM36" s="130">
        <v>2.02</v>
      </c>
      <c r="SN36" s="130">
        <v>2.02</v>
      </c>
      <c r="SO36" s="130">
        <v>2.02</v>
      </c>
      <c r="SP36" s="130">
        <v>2.02</v>
      </c>
      <c r="SQ36" s="130">
        <v>2.02</v>
      </c>
      <c r="SR36" s="130">
        <v>2.02</v>
      </c>
      <c r="SS36" s="130">
        <v>2.02</v>
      </c>
      <c r="ST36" s="130">
        <v>2.02</v>
      </c>
      <c r="SU36" s="130">
        <v>2.02</v>
      </c>
      <c r="SV36" s="130">
        <v>2.02</v>
      </c>
      <c r="SW36" s="130">
        <v>2.02</v>
      </c>
      <c r="SX36" s="130">
        <v>2.02</v>
      </c>
      <c r="SY36" s="130">
        <v>2.02</v>
      </c>
      <c r="SZ36" s="130">
        <v>2.02</v>
      </c>
      <c r="TA36" s="130">
        <v>2.528</v>
      </c>
      <c r="TB36" s="130">
        <v>2.528</v>
      </c>
      <c r="TC36" s="130">
        <v>2.528</v>
      </c>
      <c r="TD36" s="130">
        <v>2.528</v>
      </c>
      <c r="TE36" s="130">
        <v>2.528</v>
      </c>
      <c r="TF36" s="130">
        <v>2.528</v>
      </c>
      <c r="TG36" s="130">
        <v>2.528</v>
      </c>
      <c r="TH36" s="130">
        <v>1.0649999999999999</v>
      </c>
      <c r="TI36" s="130">
        <v>1.0649999999999999</v>
      </c>
      <c r="TJ36" s="130">
        <v>1.0649999999999999</v>
      </c>
      <c r="TK36" s="130">
        <v>1.0649999999999999</v>
      </c>
      <c r="TL36" s="130">
        <v>1.0649999999999999</v>
      </c>
      <c r="TM36" s="130">
        <v>1.0649999999999999</v>
      </c>
      <c r="TN36" s="130">
        <v>1.0649999999999999</v>
      </c>
      <c r="TO36" s="130">
        <v>68.807000000000002</v>
      </c>
      <c r="TP36" s="130">
        <v>68.807000000000002</v>
      </c>
      <c r="TQ36" s="130">
        <v>68.807000000000002</v>
      </c>
      <c r="TR36" s="130">
        <v>68.807000000000002</v>
      </c>
      <c r="TS36" s="130">
        <v>68.807000000000002</v>
      </c>
      <c r="TT36" s="130">
        <v>68.807000000000002</v>
      </c>
      <c r="TU36" s="130">
        <v>68.807000000000002</v>
      </c>
      <c r="TV36" s="130">
        <v>68.807000000000002</v>
      </c>
      <c r="TW36" s="130">
        <v>68.807000000000002</v>
      </c>
      <c r="TX36" s="130">
        <v>68.807000000000002</v>
      </c>
      <c r="TY36" s="130">
        <v>68.807000000000002</v>
      </c>
      <c r="TZ36" s="130">
        <v>0</v>
      </c>
      <c r="UA36" s="130">
        <v>0.45</v>
      </c>
      <c r="UB36" s="130">
        <v>0.45</v>
      </c>
      <c r="UC36" s="130">
        <v>0.45</v>
      </c>
      <c r="UD36" s="130">
        <v>0.45</v>
      </c>
      <c r="UE36" s="130">
        <v>0.45</v>
      </c>
      <c r="UF36" s="130">
        <v>0.45</v>
      </c>
      <c r="UG36" s="130">
        <v>0.45</v>
      </c>
      <c r="UH36" s="130">
        <v>0.45</v>
      </c>
      <c r="UI36" s="130">
        <v>0.45</v>
      </c>
      <c r="UJ36" s="130">
        <v>0.1</v>
      </c>
      <c r="UK36" s="130">
        <v>0.1</v>
      </c>
      <c r="UL36" s="130">
        <v>0.1</v>
      </c>
      <c r="UM36" s="130">
        <v>0.1</v>
      </c>
      <c r="UN36" s="130">
        <v>0.1</v>
      </c>
      <c r="UO36" s="130">
        <v>0.1</v>
      </c>
      <c r="UP36" s="130">
        <v>0.1</v>
      </c>
      <c r="UQ36" s="130">
        <v>0.1</v>
      </c>
      <c r="UR36" s="130">
        <v>0.1</v>
      </c>
      <c r="US36" s="130">
        <v>0.1</v>
      </c>
      <c r="UT36" s="130">
        <v>0.106</v>
      </c>
      <c r="UU36" s="130">
        <v>0.106</v>
      </c>
      <c r="UV36" s="130">
        <v>0.1</v>
      </c>
      <c r="UW36" s="130">
        <v>0.1</v>
      </c>
      <c r="UX36" s="130">
        <v>0.1</v>
      </c>
      <c r="UY36" s="130">
        <v>0.1</v>
      </c>
      <c r="UZ36" s="130">
        <v>0.1</v>
      </c>
      <c r="VA36" s="130">
        <v>0.1</v>
      </c>
      <c r="VB36" s="130">
        <v>0.1</v>
      </c>
      <c r="VC36" s="130">
        <v>0.1</v>
      </c>
      <c r="VD36" s="130">
        <v>0.1</v>
      </c>
      <c r="VE36" s="130">
        <v>0.1</v>
      </c>
      <c r="VF36" s="130">
        <v>0</v>
      </c>
      <c r="VG36" s="130">
        <v>0</v>
      </c>
      <c r="VH36" s="130">
        <v>0</v>
      </c>
      <c r="VI36" s="130">
        <v>0</v>
      </c>
      <c r="VJ36" s="130">
        <v>0</v>
      </c>
      <c r="VK36" s="130">
        <v>0</v>
      </c>
      <c r="VL36" s="130">
        <v>0</v>
      </c>
      <c r="VM36" s="130">
        <v>0</v>
      </c>
      <c r="VN36" s="130">
        <v>0</v>
      </c>
      <c r="VO36" s="130">
        <v>0</v>
      </c>
      <c r="VP36" s="130">
        <v>0</v>
      </c>
      <c r="VQ36" s="130">
        <v>0</v>
      </c>
      <c r="VR36" s="130">
        <v>0</v>
      </c>
      <c r="VS36" s="130">
        <v>0</v>
      </c>
      <c r="VT36" s="130">
        <v>0</v>
      </c>
      <c r="VU36" s="130">
        <v>0</v>
      </c>
      <c r="VV36" s="130">
        <v>0</v>
      </c>
      <c r="VW36" s="130">
        <v>0</v>
      </c>
      <c r="VX36" s="130">
        <v>0</v>
      </c>
      <c r="VY36" s="130">
        <v>0</v>
      </c>
      <c r="VZ36" s="130">
        <v>0</v>
      </c>
      <c r="WA36" s="130">
        <v>0</v>
      </c>
      <c r="WB36" s="130">
        <v>0</v>
      </c>
      <c r="WC36" s="130">
        <v>0</v>
      </c>
      <c r="WD36" s="130">
        <v>0</v>
      </c>
      <c r="WE36" s="130">
        <v>0</v>
      </c>
      <c r="WF36" s="130">
        <v>0</v>
      </c>
      <c r="WG36" s="130">
        <v>0</v>
      </c>
      <c r="WH36" s="130">
        <v>0</v>
      </c>
      <c r="WI36" s="130">
        <v>0</v>
      </c>
      <c r="WJ36" s="130">
        <v>0</v>
      </c>
      <c r="WK36" s="130">
        <v>0</v>
      </c>
      <c r="WL36" s="130">
        <v>0</v>
      </c>
      <c r="WM36" s="130">
        <v>0</v>
      </c>
      <c r="WN36" s="130">
        <v>0</v>
      </c>
      <c r="WO36" s="130">
        <v>0</v>
      </c>
      <c r="WP36" s="130">
        <v>0</v>
      </c>
      <c r="WQ36" s="130">
        <v>0</v>
      </c>
      <c r="WR36" s="130">
        <v>0</v>
      </c>
      <c r="WS36" s="130">
        <v>0</v>
      </c>
      <c r="WT36" s="130">
        <v>0</v>
      </c>
      <c r="WU36" s="130">
        <v>0</v>
      </c>
      <c r="WV36" s="130">
        <v>0</v>
      </c>
      <c r="WW36" s="130">
        <v>0</v>
      </c>
      <c r="WX36" s="130">
        <v>0</v>
      </c>
      <c r="WY36" s="130">
        <v>0</v>
      </c>
      <c r="WZ36" s="130">
        <v>0</v>
      </c>
      <c r="XA36" s="130">
        <v>0</v>
      </c>
      <c r="XB36" s="130">
        <v>0</v>
      </c>
      <c r="XC36" s="130">
        <v>0</v>
      </c>
      <c r="XD36" s="130">
        <v>0</v>
      </c>
      <c r="XE36" s="130">
        <v>0</v>
      </c>
      <c r="XF36" s="130">
        <v>0</v>
      </c>
      <c r="XG36" s="130">
        <v>0</v>
      </c>
      <c r="XH36" s="130">
        <v>0</v>
      </c>
      <c r="XI36" s="130">
        <v>0</v>
      </c>
      <c r="XJ36" s="130">
        <v>0</v>
      </c>
      <c r="XK36" s="130">
        <v>0</v>
      </c>
      <c r="XL36" s="130">
        <v>0</v>
      </c>
      <c r="XM36" s="130">
        <v>0</v>
      </c>
      <c r="XN36" s="130">
        <v>0</v>
      </c>
      <c r="XO36" s="130">
        <v>0</v>
      </c>
      <c r="XP36" s="130">
        <v>0</v>
      </c>
      <c r="XQ36" s="130">
        <v>0</v>
      </c>
      <c r="XR36" s="130">
        <v>0</v>
      </c>
      <c r="XS36" s="130">
        <v>0</v>
      </c>
      <c r="XT36" s="130">
        <v>0</v>
      </c>
      <c r="XU36" s="130">
        <v>0</v>
      </c>
      <c r="XV36" s="130">
        <v>0</v>
      </c>
      <c r="XW36" s="130">
        <v>0</v>
      </c>
      <c r="XX36" s="130">
        <v>0</v>
      </c>
      <c r="XY36" s="130">
        <v>0</v>
      </c>
      <c r="XZ36" s="130">
        <v>0</v>
      </c>
      <c r="YA36" s="130">
        <v>0</v>
      </c>
      <c r="YB36" s="130">
        <v>0</v>
      </c>
      <c r="YC36" s="130">
        <v>0</v>
      </c>
      <c r="YD36" s="130">
        <v>0</v>
      </c>
      <c r="YE36" s="130">
        <v>0</v>
      </c>
      <c r="YF36" s="130">
        <v>0</v>
      </c>
      <c r="YG36" s="130">
        <v>0</v>
      </c>
      <c r="YH36" s="130">
        <v>0</v>
      </c>
    </row>
    <row r="37" spans="2:658">
      <c r="B37" s="917" t="s">
        <v>42</v>
      </c>
      <c r="C37" s="918">
        <v>0.6</v>
      </c>
      <c r="D37" s="130">
        <v>0.6</v>
      </c>
      <c r="E37" s="130">
        <v>0.6</v>
      </c>
      <c r="F37" s="130">
        <v>0.6</v>
      </c>
      <c r="G37" s="130">
        <v>0.6</v>
      </c>
      <c r="H37" s="130">
        <v>0.6</v>
      </c>
      <c r="I37" s="130">
        <v>0.6</v>
      </c>
      <c r="J37" s="130">
        <v>0.6</v>
      </c>
      <c r="K37" s="130">
        <v>0.6</v>
      </c>
      <c r="L37" s="130">
        <v>0.6</v>
      </c>
      <c r="M37" s="130">
        <v>0.6</v>
      </c>
      <c r="N37" s="130">
        <v>0.6</v>
      </c>
      <c r="O37" s="130">
        <v>0.6</v>
      </c>
      <c r="P37" s="130">
        <v>0.6</v>
      </c>
      <c r="Q37" s="130">
        <v>0.6</v>
      </c>
      <c r="R37" s="130">
        <v>0.6</v>
      </c>
      <c r="S37" s="130">
        <v>0.6</v>
      </c>
      <c r="T37" s="130">
        <v>0.6</v>
      </c>
      <c r="U37" s="130">
        <v>0.6</v>
      </c>
      <c r="V37" s="130">
        <v>0.6</v>
      </c>
      <c r="W37" s="130">
        <v>0.6</v>
      </c>
      <c r="X37" s="130">
        <v>0.6</v>
      </c>
      <c r="Y37" s="130">
        <v>0.6</v>
      </c>
      <c r="Z37" s="130">
        <v>0.6</v>
      </c>
      <c r="AA37" s="130">
        <v>0.6</v>
      </c>
      <c r="AB37" s="130">
        <v>0.6</v>
      </c>
      <c r="AC37" s="130">
        <v>0.6</v>
      </c>
      <c r="AD37" s="130">
        <v>0.6</v>
      </c>
      <c r="AE37" s="130">
        <v>0.6</v>
      </c>
      <c r="AF37" s="130">
        <v>0.6</v>
      </c>
      <c r="AG37" s="130">
        <v>0.6</v>
      </c>
      <c r="AH37" s="130">
        <v>0.6</v>
      </c>
      <c r="AI37" s="130">
        <v>0.6</v>
      </c>
      <c r="AJ37" s="130">
        <v>0.6</v>
      </c>
      <c r="AK37" s="130">
        <v>0.6</v>
      </c>
      <c r="AL37" s="130">
        <v>0.6</v>
      </c>
      <c r="AM37" s="130">
        <v>0.6</v>
      </c>
      <c r="AN37" s="130">
        <v>0.6</v>
      </c>
      <c r="AO37" s="130">
        <v>0.6</v>
      </c>
      <c r="AP37" s="130">
        <v>0.6</v>
      </c>
      <c r="AQ37" s="130">
        <v>0.6</v>
      </c>
      <c r="AR37" s="130">
        <v>0.6</v>
      </c>
      <c r="AS37" s="130">
        <v>0.6</v>
      </c>
      <c r="AT37" s="130">
        <v>0.6</v>
      </c>
      <c r="AU37" s="130">
        <v>0.6</v>
      </c>
      <c r="AV37" s="130">
        <v>0.6</v>
      </c>
      <c r="AW37" s="130">
        <v>0.6</v>
      </c>
      <c r="AX37" s="130">
        <v>0.6</v>
      </c>
      <c r="AY37" s="130">
        <v>0.6</v>
      </c>
      <c r="AZ37" s="130">
        <v>0.6</v>
      </c>
      <c r="BA37" s="130">
        <v>0.6</v>
      </c>
      <c r="BB37" s="130">
        <v>0.6</v>
      </c>
      <c r="BC37" s="130">
        <v>0.6</v>
      </c>
      <c r="BD37" s="130">
        <v>0.6</v>
      </c>
      <c r="BE37" s="130">
        <v>0.6</v>
      </c>
      <c r="BF37" s="130">
        <v>0.6</v>
      </c>
      <c r="BG37" s="130">
        <v>0.6</v>
      </c>
      <c r="BH37" s="130">
        <v>0.6</v>
      </c>
      <c r="BI37" s="130">
        <v>0.6</v>
      </c>
      <c r="BJ37" s="130">
        <v>0.6</v>
      </c>
      <c r="BK37" s="130">
        <v>0.6</v>
      </c>
      <c r="BL37" s="130">
        <v>0.6</v>
      </c>
      <c r="BM37" s="130">
        <v>0.6</v>
      </c>
      <c r="BN37" s="130">
        <v>0.6</v>
      </c>
      <c r="BO37" s="130">
        <v>0.6</v>
      </c>
      <c r="BP37" s="130">
        <v>0.6</v>
      </c>
      <c r="BQ37" s="130">
        <v>0.6</v>
      </c>
      <c r="BR37" s="130">
        <v>0.6</v>
      </c>
      <c r="BS37" s="130">
        <v>0.6</v>
      </c>
      <c r="BT37" s="130">
        <v>0.6</v>
      </c>
      <c r="BU37" s="130">
        <v>0.6</v>
      </c>
      <c r="BV37" s="130">
        <v>0.6</v>
      </c>
      <c r="BW37" s="130">
        <v>0.6</v>
      </c>
      <c r="BX37" s="130">
        <v>0.6</v>
      </c>
      <c r="BY37" s="130">
        <v>0.6</v>
      </c>
      <c r="BZ37" s="130">
        <v>0.6</v>
      </c>
      <c r="CA37" s="130">
        <v>0.6</v>
      </c>
      <c r="CB37" s="130">
        <v>0.6</v>
      </c>
      <c r="CC37" s="130">
        <v>0.6</v>
      </c>
      <c r="CD37" s="130">
        <v>0.6</v>
      </c>
      <c r="CE37" s="130">
        <v>0.6</v>
      </c>
      <c r="CF37" s="130">
        <v>0.6</v>
      </c>
      <c r="CG37" s="130">
        <v>0.6</v>
      </c>
      <c r="CH37" s="130">
        <v>0.6</v>
      </c>
      <c r="CI37" s="130">
        <v>0.6</v>
      </c>
      <c r="CJ37" s="130">
        <v>0.6</v>
      </c>
      <c r="CK37" s="130">
        <v>0.6</v>
      </c>
      <c r="CL37" s="130">
        <v>0.6</v>
      </c>
      <c r="CM37" s="130">
        <v>0.6</v>
      </c>
      <c r="CN37" s="130">
        <v>0.6</v>
      </c>
      <c r="CO37" s="130">
        <v>0.6</v>
      </c>
      <c r="CP37" s="130">
        <v>0.6</v>
      </c>
      <c r="CQ37" s="130">
        <v>0.6</v>
      </c>
      <c r="CR37" s="130">
        <v>0.6</v>
      </c>
      <c r="CS37" s="130">
        <v>0.6</v>
      </c>
      <c r="CT37" s="130">
        <v>0.6</v>
      </c>
      <c r="CU37" s="130">
        <v>0.6</v>
      </c>
      <c r="CV37" s="130">
        <v>0.6</v>
      </c>
      <c r="CW37" s="130">
        <v>0.6</v>
      </c>
      <c r="CX37" s="130">
        <v>0.6</v>
      </c>
      <c r="CY37" s="130">
        <v>0.6</v>
      </c>
      <c r="CZ37" s="130">
        <v>0.6</v>
      </c>
      <c r="DA37" s="130">
        <v>0.6</v>
      </c>
      <c r="DB37" s="130">
        <v>0.6</v>
      </c>
      <c r="DC37" s="130">
        <v>0.6</v>
      </c>
      <c r="DD37" s="130">
        <v>0.6</v>
      </c>
      <c r="DE37" s="130">
        <v>0.6</v>
      </c>
      <c r="DF37" s="130">
        <v>0.6</v>
      </c>
      <c r="DG37" s="130">
        <v>0.6</v>
      </c>
      <c r="DH37" s="130">
        <v>0.6</v>
      </c>
      <c r="DI37" s="130">
        <v>0.6</v>
      </c>
      <c r="DJ37" s="130">
        <v>0.6</v>
      </c>
      <c r="DK37" s="130">
        <f t="shared" ref="DK37:DP37" si="468">20100/10^6</f>
        <v>2.01E-2</v>
      </c>
      <c r="DL37" s="130">
        <f t="shared" si="468"/>
        <v>2.01E-2</v>
      </c>
      <c r="DM37" s="130">
        <f t="shared" si="468"/>
        <v>2.01E-2</v>
      </c>
      <c r="DN37" s="130">
        <f t="shared" si="468"/>
        <v>2.01E-2</v>
      </c>
      <c r="DO37" s="130">
        <f t="shared" si="468"/>
        <v>2.01E-2</v>
      </c>
      <c r="DP37" s="130">
        <f t="shared" si="468"/>
        <v>2.01E-2</v>
      </c>
      <c r="DQ37" s="130">
        <f t="shared" ref="DQ37:DV37" si="469">20100/10^6</f>
        <v>2.01E-2</v>
      </c>
      <c r="DR37" s="130">
        <f t="shared" si="469"/>
        <v>2.01E-2</v>
      </c>
      <c r="DS37" s="130">
        <f t="shared" si="469"/>
        <v>2.01E-2</v>
      </c>
      <c r="DT37" s="130">
        <f t="shared" si="469"/>
        <v>2.01E-2</v>
      </c>
      <c r="DU37" s="130">
        <f t="shared" si="469"/>
        <v>2.01E-2</v>
      </c>
      <c r="DV37" s="130">
        <f t="shared" si="469"/>
        <v>2.01E-2</v>
      </c>
      <c r="DW37" s="130">
        <f t="shared" ref="DW37:EB37" si="470">20100/10^6</f>
        <v>2.01E-2</v>
      </c>
      <c r="DX37" s="130">
        <f t="shared" si="470"/>
        <v>2.01E-2</v>
      </c>
      <c r="DY37" s="130">
        <f t="shared" si="470"/>
        <v>2.01E-2</v>
      </c>
      <c r="DZ37" s="130">
        <f t="shared" si="470"/>
        <v>2.01E-2</v>
      </c>
      <c r="EA37" s="130">
        <f t="shared" si="470"/>
        <v>2.01E-2</v>
      </c>
      <c r="EB37" s="130">
        <f t="shared" si="470"/>
        <v>2.01E-2</v>
      </c>
      <c r="EC37" s="130">
        <f t="shared" ref="EC37:EH37" si="471">20100/10^6</f>
        <v>2.01E-2</v>
      </c>
      <c r="ED37" s="130">
        <f t="shared" si="471"/>
        <v>2.01E-2</v>
      </c>
      <c r="EE37" s="130">
        <f t="shared" si="471"/>
        <v>2.01E-2</v>
      </c>
      <c r="EF37" s="130">
        <f t="shared" si="471"/>
        <v>2.01E-2</v>
      </c>
      <c r="EG37" s="130">
        <f t="shared" si="471"/>
        <v>2.01E-2</v>
      </c>
      <c r="EH37" s="130">
        <f t="shared" si="471"/>
        <v>2.01E-2</v>
      </c>
      <c r="EI37" s="130">
        <f t="shared" ref="EI37:EN37" si="472">20100/10^6</f>
        <v>2.01E-2</v>
      </c>
      <c r="EJ37" s="130">
        <f t="shared" si="472"/>
        <v>2.01E-2</v>
      </c>
      <c r="EK37" s="130">
        <f t="shared" si="472"/>
        <v>2.01E-2</v>
      </c>
      <c r="EL37" s="130">
        <f t="shared" si="472"/>
        <v>2.01E-2</v>
      </c>
      <c r="EM37" s="130">
        <f t="shared" si="472"/>
        <v>2.01E-2</v>
      </c>
      <c r="EN37" s="130">
        <f t="shared" si="472"/>
        <v>2.01E-2</v>
      </c>
      <c r="EO37" s="130">
        <f>20100/10^6</f>
        <v>2.01E-2</v>
      </c>
      <c r="EP37" s="130">
        <f>20100/10^6</f>
        <v>2.01E-2</v>
      </c>
      <c r="EQ37" s="130">
        <f>20100/10^6</f>
        <v>2.01E-2</v>
      </c>
      <c r="ER37" s="130">
        <v>2.01E-2</v>
      </c>
      <c r="ES37" s="130">
        <f t="shared" ref="ES37:EX37" si="473">20100/10^6</f>
        <v>2.01E-2</v>
      </c>
      <c r="ET37" s="130">
        <f t="shared" si="473"/>
        <v>2.01E-2</v>
      </c>
      <c r="EU37" s="130">
        <f t="shared" si="473"/>
        <v>2.01E-2</v>
      </c>
      <c r="EV37" s="130">
        <f t="shared" si="473"/>
        <v>2.01E-2</v>
      </c>
      <c r="EW37" s="130">
        <f t="shared" si="473"/>
        <v>2.01E-2</v>
      </c>
      <c r="EX37" s="130">
        <f t="shared" si="473"/>
        <v>2.01E-2</v>
      </c>
      <c r="EY37" s="130">
        <f>20100/10^6</f>
        <v>2.01E-2</v>
      </c>
      <c r="EZ37" s="130">
        <f>20100/10^6</f>
        <v>2.01E-2</v>
      </c>
      <c r="FA37" s="130">
        <f>20100/10^6</f>
        <v>2.01E-2</v>
      </c>
      <c r="FB37" s="130">
        <v>4</v>
      </c>
      <c r="FC37" s="130">
        <f>(20100+1018.69)/10^6</f>
        <v>2.1118689999999999E-2</v>
      </c>
      <c r="FD37" s="130">
        <f>(20100+1018.69)/10^6</f>
        <v>2.1118689999999999E-2</v>
      </c>
      <c r="FE37" s="130">
        <f>(20100+1018.69)/10^6</f>
        <v>2.1118689999999999E-2</v>
      </c>
      <c r="FF37" s="130">
        <f>(20100+1018.69)/10^6</f>
        <v>2.1118689999999999E-2</v>
      </c>
      <c r="FG37" s="130">
        <f>(20100+1018.69)/10^6</f>
        <v>2.1118689999999999E-2</v>
      </c>
      <c r="FH37" s="130">
        <v>2.1118689999999999E-2</v>
      </c>
      <c r="FI37" s="130">
        <v>2.1118689999999999E-2</v>
      </c>
      <c r="FJ37" s="130">
        <f>(20100+1018.69)/10^6</f>
        <v>2.1118689999999999E-2</v>
      </c>
      <c r="FK37" s="130">
        <f>(20100+1018.69)/10^6</f>
        <v>2.1118689999999999E-2</v>
      </c>
      <c r="FL37" s="130">
        <f>(20100+1018.69)/10^6</f>
        <v>2.1118689999999999E-2</v>
      </c>
      <c r="FM37" s="130">
        <v>2.1118689999999999E-2</v>
      </c>
      <c r="FN37" s="130">
        <v>2.1118689999999999E-2</v>
      </c>
      <c r="FO37" s="130">
        <f>(20100+1018.69)/10^6</f>
        <v>2.1118689999999999E-2</v>
      </c>
      <c r="FP37" s="130">
        <f>(20100+1018.69)/10^6</f>
        <v>2.1118689999999999E-2</v>
      </c>
      <c r="FQ37" s="130">
        <f>(20100+1018.69)/10^6</f>
        <v>2.1118689999999999E-2</v>
      </c>
      <c r="FR37" s="130">
        <v>2.1118689999999999E-2</v>
      </c>
      <c r="FS37" s="130">
        <v>2.1118689999999999E-2</v>
      </c>
      <c r="FT37" s="130">
        <f t="shared" ref="FT37:FY37" si="474">(20100+1018.69)/10^6</f>
        <v>2.1118689999999999E-2</v>
      </c>
      <c r="FU37" s="130">
        <f t="shared" si="474"/>
        <v>2.1118689999999999E-2</v>
      </c>
      <c r="FV37" s="130">
        <f t="shared" si="474"/>
        <v>2.1118689999999999E-2</v>
      </c>
      <c r="FW37" s="130">
        <f t="shared" si="474"/>
        <v>2.1118689999999999E-2</v>
      </c>
      <c r="FX37" s="130">
        <f t="shared" si="474"/>
        <v>2.1118689999999999E-2</v>
      </c>
      <c r="FY37" s="130">
        <f t="shared" si="474"/>
        <v>2.1118689999999999E-2</v>
      </c>
      <c r="FZ37" s="130">
        <f t="shared" ref="FZ37:GE37" si="475">(20100+1018.69)/10^6</f>
        <v>2.1118689999999999E-2</v>
      </c>
      <c r="GA37" s="130">
        <f t="shared" si="475"/>
        <v>2.1118689999999999E-2</v>
      </c>
      <c r="GB37" s="130">
        <f t="shared" si="475"/>
        <v>2.1118689999999999E-2</v>
      </c>
      <c r="GC37" s="130">
        <f t="shared" si="475"/>
        <v>2.1118689999999999E-2</v>
      </c>
      <c r="GD37" s="130">
        <f t="shared" si="475"/>
        <v>2.1118689999999999E-2</v>
      </c>
      <c r="GE37" s="130">
        <f t="shared" si="475"/>
        <v>2.1118689999999999E-2</v>
      </c>
      <c r="GF37" s="130">
        <f>(20100+1018.69)/10^6</f>
        <v>2.1118689999999999E-2</v>
      </c>
      <c r="GG37" s="130">
        <f>(20100+1018.69)/10^6</f>
        <v>2.1118689999999999E-2</v>
      </c>
      <c r="GH37" s="130">
        <f>(20100+1018.69)/10^6</f>
        <v>2.1118689999999999E-2</v>
      </c>
      <c r="GI37" s="130">
        <v>2.1118689999999999E-2</v>
      </c>
      <c r="GJ37" s="130">
        <v>2.1118689999999999E-2</v>
      </c>
      <c r="GK37" s="130">
        <v>2.1118689999999999E-2</v>
      </c>
      <c r="GL37" s="130">
        <v>2.1118689999999999E-2</v>
      </c>
      <c r="GM37" s="130">
        <v>2.1118689999999999E-2</v>
      </c>
      <c r="GN37" s="130">
        <v>2.1118689999999999E-2</v>
      </c>
      <c r="GO37" s="130">
        <v>2.1118689999999999E-2</v>
      </c>
      <c r="GP37" s="130">
        <v>2.1118689999999999E-2</v>
      </c>
      <c r="GQ37" s="130">
        <v>2.1118689999999999E-2</v>
      </c>
      <c r="GR37" s="130">
        <v>2.1118689999999999E-2</v>
      </c>
      <c r="GS37" s="130">
        <v>2.1118689999999999E-2</v>
      </c>
      <c r="GT37" s="130">
        <v>2.1118689999999999E-2</v>
      </c>
      <c r="GU37" s="130">
        <v>2.1118689999999999E-2</v>
      </c>
      <c r="GV37" s="130">
        <v>2.1118689999999999E-2</v>
      </c>
      <c r="GW37" s="130">
        <v>2.1118689999999999E-2</v>
      </c>
      <c r="GX37" s="130">
        <v>2.1118689999999999E-2</v>
      </c>
      <c r="GY37" s="130">
        <v>2.1118689999999999E-2</v>
      </c>
      <c r="GZ37" s="130">
        <v>2.1118689999999999E-2</v>
      </c>
      <c r="HA37" s="130">
        <v>2.1118689999999999E-2</v>
      </c>
      <c r="HB37" s="130">
        <v>2.1118689999999999E-2</v>
      </c>
      <c r="HC37" s="130">
        <v>2.1118689999999999E-2</v>
      </c>
      <c r="HD37" s="130">
        <v>2.1118689999999999E-2</v>
      </c>
      <c r="HE37" s="130">
        <v>2.1118689999999999E-2</v>
      </c>
      <c r="HF37" s="130">
        <v>2.1118689999999999E-2</v>
      </c>
      <c r="HG37" s="130">
        <v>2.1118689999999999E-2</v>
      </c>
      <c r="HH37" s="130">
        <v>2.1118689999999999E-2</v>
      </c>
      <c r="HI37" s="130">
        <v>2.1118689999999999E-2</v>
      </c>
      <c r="HJ37" s="130">
        <v>2.1118689999999999E-2</v>
      </c>
      <c r="HK37" s="130">
        <v>2.1118689999999999E-2</v>
      </c>
      <c r="HL37" s="130">
        <v>2.1118689999999999E-2</v>
      </c>
      <c r="HM37" s="130">
        <v>2.1118689999999999E-2</v>
      </c>
      <c r="HN37" s="130">
        <v>2.1118689999999999E-2</v>
      </c>
      <c r="HO37" s="130">
        <v>2.1118689999999999E-2</v>
      </c>
      <c r="HP37" s="130">
        <v>2.1118689999999999E-2</v>
      </c>
      <c r="HQ37" s="130">
        <v>2.1118689999999999E-2</v>
      </c>
      <c r="HR37" s="130">
        <v>2.1118689999999999E-2</v>
      </c>
      <c r="HS37" s="130">
        <v>2.1118689999999999E-2</v>
      </c>
      <c r="HT37" s="130">
        <v>2.1118689999999999E-2</v>
      </c>
      <c r="HU37" s="130">
        <v>2.1118689999999999E-2</v>
      </c>
      <c r="HV37" s="130">
        <v>2.1118689999999999E-2</v>
      </c>
      <c r="HW37" s="130">
        <v>2.1118689999999999E-2</v>
      </c>
      <c r="HX37" s="130">
        <v>2.1118689999999999E-2</v>
      </c>
      <c r="HY37" s="130">
        <v>2.1118689999999999E-2</v>
      </c>
      <c r="HZ37" s="130">
        <v>2.1118689999999999E-2</v>
      </c>
      <c r="IA37" s="130">
        <v>2.1118689999999999E-2</v>
      </c>
      <c r="IB37" s="130">
        <v>2.1118689999999999E-2</v>
      </c>
      <c r="IC37" s="130">
        <v>2.1118689999999999E-2</v>
      </c>
      <c r="ID37" s="130">
        <v>2.1118689999999999E-2</v>
      </c>
      <c r="IE37" s="130">
        <v>2.1118689999999999E-2</v>
      </c>
      <c r="IF37" s="130">
        <v>2.1118689999999999E-2</v>
      </c>
      <c r="IG37" s="130">
        <v>2.1118689999999999E-2</v>
      </c>
      <c r="IH37" s="130">
        <v>2.1118689999999999E-2</v>
      </c>
      <c r="II37" s="130">
        <v>2.1118689999999999E-2</v>
      </c>
      <c r="IJ37" s="130">
        <v>2.1118689999999999E-2</v>
      </c>
      <c r="IK37" s="130">
        <v>2.1118689999999999E-2</v>
      </c>
      <c r="IL37" s="130">
        <v>2.1118689999999999E-2</v>
      </c>
      <c r="IM37" s="130">
        <v>2.1118689999999999E-2</v>
      </c>
      <c r="IN37" s="130">
        <v>2.1118689999999999E-2</v>
      </c>
      <c r="IO37" s="130">
        <v>2.1118689999999999E-2</v>
      </c>
      <c r="IP37" s="130">
        <v>2.1118689999999999E-2</v>
      </c>
      <c r="IQ37" s="130">
        <v>2.1118689999999999E-2</v>
      </c>
      <c r="IR37" s="130">
        <v>2.1118689999999999E-2</v>
      </c>
      <c r="IS37" s="130">
        <v>2.1118689999999999E-2</v>
      </c>
      <c r="IT37" s="130">
        <v>2.1118689999999999E-2</v>
      </c>
      <c r="IU37" s="130">
        <v>2.1118689999999999E-2</v>
      </c>
      <c r="IV37" s="130">
        <v>2.1118689999999999E-2</v>
      </c>
      <c r="IW37" s="130">
        <v>2.1118689999999999E-2</v>
      </c>
      <c r="IX37" s="130">
        <v>2.1118689999999999E-2</v>
      </c>
      <c r="IY37" s="130">
        <v>2.1118689999999999E-2</v>
      </c>
      <c r="IZ37" s="130">
        <v>2.1118689999999999E-2</v>
      </c>
      <c r="JA37" s="130">
        <v>2.1118689999999999E-2</v>
      </c>
      <c r="JB37" s="130">
        <v>2.1118689999999999E-2</v>
      </c>
      <c r="JC37" s="130">
        <v>2.1118689999999999E-2</v>
      </c>
      <c r="JD37" s="130">
        <v>2.1118689999999999E-2</v>
      </c>
      <c r="JE37" s="130">
        <v>2.1118689999999999E-2</v>
      </c>
      <c r="JF37" s="130">
        <v>2.1118689999999999E-2</v>
      </c>
      <c r="JG37" s="130">
        <v>2.1118689999999999E-2</v>
      </c>
      <c r="JH37" s="130">
        <v>2.1118689999999999E-2</v>
      </c>
      <c r="JI37" s="130">
        <v>2.1118689999999999E-2</v>
      </c>
      <c r="JJ37" s="130">
        <v>2.1118689999999999E-2</v>
      </c>
      <c r="JK37" s="130">
        <v>2.1118689999999999E-2</v>
      </c>
      <c r="JL37" s="130">
        <v>2.1118689999999999E-2</v>
      </c>
      <c r="JM37" s="130">
        <v>2.1118689999999999E-2</v>
      </c>
      <c r="JN37" s="130">
        <v>2.1118689999999999E-2</v>
      </c>
      <c r="JO37" s="130">
        <v>2.1118689999999999E-2</v>
      </c>
      <c r="JP37" s="130">
        <v>2.1118689999999999E-2</v>
      </c>
      <c r="JQ37" s="130">
        <v>2.1118689999999999E-2</v>
      </c>
      <c r="JR37" s="130">
        <v>2.1118689999999999E-2</v>
      </c>
      <c r="JS37" s="130">
        <v>2.1118689999999999E-2</v>
      </c>
      <c r="JT37" s="130">
        <v>2.1118689999999999E-2</v>
      </c>
      <c r="JU37" s="130">
        <v>2.1118689999999999E-2</v>
      </c>
      <c r="JV37" s="130">
        <v>2.1118689999999999E-2</v>
      </c>
      <c r="JW37" s="130">
        <v>2.1118689999999999E-2</v>
      </c>
      <c r="JX37" s="130">
        <v>2.1118689999999999E-2</v>
      </c>
      <c r="JY37" s="130">
        <v>2.1118689999999999E-2</v>
      </c>
      <c r="JZ37" s="130">
        <v>2.1118689999999999E-2</v>
      </c>
      <c r="KA37" s="130">
        <v>0</v>
      </c>
      <c r="KB37" s="130">
        <v>0</v>
      </c>
      <c r="KC37" s="130">
        <v>0</v>
      </c>
      <c r="KD37" s="130">
        <v>0</v>
      </c>
      <c r="KE37" s="130">
        <v>0</v>
      </c>
      <c r="KF37" s="130">
        <v>2.1118689999999999E-2</v>
      </c>
      <c r="KG37" s="130">
        <v>0</v>
      </c>
      <c r="KH37" s="130">
        <v>0</v>
      </c>
      <c r="KI37" s="130">
        <v>0</v>
      </c>
      <c r="KJ37" s="130">
        <v>0</v>
      </c>
      <c r="KK37" s="130">
        <v>0</v>
      </c>
      <c r="KL37" s="130">
        <v>0</v>
      </c>
      <c r="KM37" s="130">
        <v>0</v>
      </c>
      <c r="KN37" s="130">
        <v>0</v>
      </c>
      <c r="KO37" s="130">
        <v>0</v>
      </c>
      <c r="KP37" s="130">
        <v>0</v>
      </c>
      <c r="KQ37" s="130">
        <v>0</v>
      </c>
      <c r="KR37" s="130">
        <v>0</v>
      </c>
      <c r="KS37" s="130">
        <v>0</v>
      </c>
      <c r="KT37" s="130">
        <v>0</v>
      </c>
      <c r="KU37" s="130">
        <v>0</v>
      </c>
      <c r="KV37" s="130">
        <v>0</v>
      </c>
      <c r="KW37" s="130">
        <v>0</v>
      </c>
      <c r="KX37" s="130">
        <v>0</v>
      </c>
      <c r="KY37" s="130">
        <v>0</v>
      </c>
      <c r="KZ37" s="130">
        <v>0</v>
      </c>
      <c r="LA37" s="130">
        <v>0</v>
      </c>
      <c r="LB37" s="130">
        <v>0</v>
      </c>
      <c r="LC37" s="130">
        <v>0</v>
      </c>
      <c r="LD37" s="130">
        <v>0</v>
      </c>
      <c r="LE37" s="130">
        <v>0</v>
      </c>
      <c r="LF37" s="130">
        <v>0</v>
      </c>
      <c r="LG37" s="130">
        <v>0</v>
      </c>
      <c r="LH37" s="130">
        <v>0</v>
      </c>
      <c r="LI37" s="130">
        <v>0</v>
      </c>
      <c r="LJ37" s="130">
        <v>0</v>
      </c>
      <c r="LK37" s="130">
        <v>0</v>
      </c>
      <c r="LL37" s="130">
        <v>0</v>
      </c>
      <c r="LM37" s="130">
        <v>0</v>
      </c>
      <c r="LN37" s="130">
        <v>0</v>
      </c>
      <c r="LO37" s="130">
        <v>0</v>
      </c>
      <c r="LP37" s="130">
        <v>0</v>
      </c>
      <c r="LQ37" s="130">
        <v>0</v>
      </c>
      <c r="LR37" s="130">
        <v>0</v>
      </c>
      <c r="LS37" s="130">
        <v>0</v>
      </c>
      <c r="LT37" s="130">
        <v>0</v>
      </c>
      <c r="LU37" s="130">
        <v>0</v>
      </c>
      <c r="LV37" s="130">
        <v>0</v>
      </c>
      <c r="LW37" s="130">
        <v>0</v>
      </c>
      <c r="LX37" s="130">
        <v>0</v>
      </c>
      <c r="LY37" s="130">
        <v>0</v>
      </c>
      <c r="LZ37" s="130">
        <v>0</v>
      </c>
      <c r="MA37" s="130">
        <v>0</v>
      </c>
      <c r="MB37" s="130">
        <v>0</v>
      </c>
      <c r="MC37" s="130">
        <v>0</v>
      </c>
      <c r="MD37" s="130">
        <v>0</v>
      </c>
      <c r="ME37" s="130">
        <v>0</v>
      </c>
      <c r="MF37" s="130">
        <v>0</v>
      </c>
      <c r="MG37" s="130">
        <v>0</v>
      </c>
      <c r="MH37" s="130">
        <v>0</v>
      </c>
      <c r="MI37" s="130">
        <v>0</v>
      </c>
      <c r="MJ37" s="130">
        <v>0</v>
      </c>
      <c r="MK37" s="130">
        <v>0</v>
      </c>
      <c r="ML37" s="130">
        <v>0</v>
      </c>
      <c r="MM37" s="130">
        <v>0</v>
      </c>
      <c r="MN37" s="130">
        <v>0</v>
      </c>
      <c r="MO37" s="130">
        <v>0</v>
      </c>
      <c r="MP37" s="130">
        <v>0</v>
      </c>
      <c r="MQ37" s="130">
        <v>0</v>
      </c>
      <c r="MR37" s="130">
        <v>0</v>
      </c>
      <c r="MS37" s="130">
        <v>0</v>
      </c>
      <c r="MT37" s="130">
        <v>0</v>
      </c>
      <c r="MU37" s="130">
        <v>0</v>
      </c>
      <c r="MV37" s="130">
        <v>0</v>
      </c>
      <c r="MW37" s="130">
        <v>0</v>
      </c>
      <c r="MX37" s="130">
        <v>0</v>
      </c>
      <c r="MY37" s="130">
        <v>0</v>
      </c>
      <c r="MZ37" s="130">
        <v>0</v>
      </c>
      <c r="NA37" s="130">
        <v>0</v>
      </c>
      <c r="NB37" s="130">
        <v>0</v>
      </c>
      <c r="NC37" s="130">
        <v>0</v>
      </c>
      <c r="ND37" s="130">
        <v>0</v>
      </c>
      <c r="NE37" s="130">
        <v>0</v>
      </c>
      <c r="NF37" s="130">
        <v>0</v>
      </c>
      <c r="NG37" s="130">
        <v>0</v>
      </c>
      <c r="NH37" s="130">
        <v>0</v>
      </c>
      <c r="NI37" s="130">
        <v>0</v>
      </c>
      <c r="NJ37" s="130">
        <v>0</v>
      </c>
      <c r="NK37" s="130">
        <v>0</v>
      </c>
      <c r="NL37" s="130">
        <v>0</v>
      </c>
      <c r="NM37" s="130">
        <v>0</v>
      </c>
      <c r="NN37" s="130">
        <v>0</v>
      </c>
      <c r="NO37" s="130">
        <v>0</v>
      </c>
      <c r="NP37" s="130">
        <v>0</v>
      </c>
      <c r="NQ37" s="130">
        <v>0</v>
      </c>
      <c r="NR37" s="130">
        <v>0</v>
      </c>
      <c r="NS37" s="130">
        <v>0</v>
      </c>
      <c r="NT37" s="130">
        <v>0</v>
      </c>
      <c r="NU37" s="130">
        <v>0</v>
      </c>
      <c r="NV37" s="130">
        <v>0</v>
      </c>
      <c r="NW37" s="130">
        <v>0</v>
      </c>
      <c r="NX37" s="130">
        <v>0</v>
      </c>
      <c r="NY37" s="130">
        <v>0</v>
      </c>
      <c r="NZ37" s="130">
        <v>0</v>
      </c>
      <c r="OA37" s="130">
        <v>0</v>
      </c>
      <c r="OB37" s="130">
        <v>0</v>
      </c>
      <c r="OC37" s="130">
        <v>0</v>
      </c>
      <c r="OD37" s="130">
        <v>0</v>
      </c>
      <c r="OE37" s="130">
        <v>0</v>
      </c>
      <c r="OF37" s="130">
        <v>0</v>
      </c>
      <c r="OG37" s="130">
        <v>0</v>
      </c>
      <c r="OH37" s="130">
        <v>0</v>
      </c>
      <c r="OI37" s="130">
        <v>0</v>
      </c>
      <c r="OJ37" s="130">
        <v>0</v>
      </c>
      <c r="OK37" s="130">
        <v>0</v>
      </c>
      <c r="OL37" s="130">
        <v>0</v>
      </c>
      <c r="OM37" s="130">
        <v>0</v>
      </c>
      <c r="ON37" s="130">
        <v>0</v>
      </c>
      <c r="OO37" s="130">
        <v>0</v>
      </c>
      <c r="OP37" s="130">
        <v>0</v>
      </c>
      <c r="OQ37" s="130">
        <v>0</v>
      </c>
      <c r="OR37" s="130">
        <v>0</v>
      </c>
      <c r="OS37" s="130">
        <v>0</v>
      </c>
      <c r="OT37" s="130">
        <v>0</v>
      </c>
      <c r="OU37" s="130">
        <v>0</v>
      </c>
      <c r="OV37" s="130">
        <v>0</v>
      </c>
      <c r="OW37" s="130">
        <v>0</v>
      </c>
      <c r="OX37" s="130">
        <v>0</v>
      </c>
      <c r="OY37" s="130">
        <v>0</v>
      </c>
      <c r="OZ37" s="130">
        <v>0</v>
      </c>
      <c r="PA37" s="130">
        <v>0</v>
      </c>
      <c r="PB37" s="130">
        <v>17.62</v>
      </c>
      <c r="PC37" s="130">
        <v>17.62</v>
      </c>
      <c r="PD37" s="130">
        <v>17.62</v>
      </c>
      <c r="PE37" s="130">
        <v>17.62</v>
      </c>
      <c r="PF37" s="130">
        <v>17.62</v>
      </c>
      <c r="PG37" s="130">
        <v>17.62</v>
      </c>
      <c r="PH37" s="130">
        <v>17.62</v>
      </c>
      <c r="PI37" s="130">
        <v>17.62</v>
      </c>
      <c r="PJ37" s="130">
        <v>17.62</v>
      </c>
      <c r="PK37" s="130">
        <v>17.62</v>
      </c>
      <c r="PL37" s="130">
        <v>17.62</v>
      </c>
      <c r="PM37" s="130">
        <v>17.62</v>
      </c>
      <c r="PN37" s="130">
        <v>17.62</v>
      </c>
      <c r="PO37" s="130">
        <v>17.62</v>
      </c>
      <c r="PP37" s="130">
        <v>17.62</v>
      </c>
      <c r="PQ37" s="130">
        <v>17.62</v>
      </c>
      <c r="PR37" s="130">
        <v>17.62</v>
      </c>
      <c r="PS37" s="130">
        <v>17.62</v>
      </c>
      <c r="PT37" s="130">
        <v>17.62</v>
      </c>
      <c r="PU37" s="130">
        <v>15.595000000000001</v>
      </c>
      <c r="PV37" s="130">
        <v>15.595000000000001</v>
      </c>
      <c r="PW37" s="130">
        <v>15.595000000000001</v>
      </c>
      <c r="PX37" s="130">
        <v>15.595000000000001</v>
      </c>
      <c r="PY37" s="130">
        <v>15.595000000000001</v>
      </c>
      <c r="PZ37" s="130">
        <v>15.595000000000001</v>
      </c>
      <c r="QA37" s="130">
        <v>15.595000000000001</v>
      </c>
      <c r="QB37" s="130">
        <v>15.595000000000001</v>
      </c>
      <c r="QC37" s="130">
        <v>15.595000000000001</v>
      </c>
      <c r="QD37" s="130">
        <v>15.595000000000001</v>
      </c>
      <c r="QE37" s="130">
        <v>15.595000000000001</v>
      </c>
      <c r="QF37" s="130">
        <v>15.595000000000001</v>
      </c>
      <c r="QG37" s="130">
        <v>15.595000000000001</v>
      </c>
      <c r="QH37" s="130">
        <v>15.595000000000001</v>
      </c>
      <c r="QI37" s="130">
        <v>15.595000000000001</v>
      </c>
      <c r="QJ37" s="130">
        <v>15.595000000000001</v>
      </c>
      <c r="QK37" s="130">
        <v>15.595000000000001</v>
      </c>
      <c r="QL37" s="130">
        <v>15.595000000000001</v>
      </c>
      <c r="QM37" s="130">
        <v>15.595000000000001</v>
      </c>
      <c r="QN37" s="130">
        <v>9.4280000000000008</v>
      </c>
      <c r="QO37" s="130">
        <v>9.4280000000000008</v>
      </c>
      <c r="QP37" s="130">
        <v>9.4280000000000008</v>
      </c>
      <c r="QQ37" s="130">
        <v>9.4280000000000008</v>
      </c>
      <c r="QR37" s="130">
        <v>9.4280000000000008</v>
      </c>
      <c r="QS37" s="130">
        <v>19.890999999999998</v>
      </c>
      <c r="QT37" s="130">
        <v>19.890999999999998</v>
      </c>
      <c r="QU37" s="130">
        <v>19.890999999999998</v>
      </c>
      <c r="QV37" s="130">
        <v>29.89</v>
      </c>
      <c r="QW37" s="130">
        <v>19.890999999999998</v>
      </c>
      <c r="QX37" s="130">
        <v>19.890999999999998</v>
      </c>
      <c r="QY37" s="130">
        <v>29.89</v>
      </c>
      <c r="QZ37" s="130">
        <v>29.89</v>
      </c>
      <c r="RA37" s="130">
        <v>29.89</v>
      </c>
      <c r="RB37" s="130">
        <v>29.89</v>
      </c>
      <c r="RC37" s="130">
        <v>29.89</v>
      </c>
      <c r="RD37" s="130">
        <v>29.89</v>
      </c>
      <c r="RE37" s="130">
        <v>29.89</v>
      </c>
      <c r="RF37" s="130">
        <v>29.89</v>
      </c>
      <c r="RG37" s="130">
        <v>29.89</v>
      </c>
      <c r="RH37" s="130">
        <v>29.89</v>
      </c>
      <c r="RI37" s="130">
        <v>29.89</v>
      </c>
      <c r="RJ37" s="130">
        <v>29.89</v>
      </c>
      <c r="RK37" s="130">
        <v>19.899999999999999</v>
      </c>
      <c r="RL37" s="130">
        <v>19.899999999999999</v>
      </c>
      <c r="RM37" s="130">
        <v>19.899999999999999</v>
      </c>
      <c r="RN37" s="130">
        <v>19.899999999999999</v>
      </c>
      <c r="RO37" s="130">
        <v>19.899999999999999</v>
      </c>
      <c r="RP37" s="130">
        <v>19.899999999999999</v>
      </c>
      <c r="RQ37" s="130">
        <v>19.899999999999999</v>
      </c>
      <c r="RR37" s="130">
        <v>19.899999999999999</v>
      </c>
      <c r="RS37" s="130">
        <v>8.65</v>
      </c>
      <c r="RT37" s="130">
        <v>8.65</v>
      </c>
      <c r="RU37" s="130">
        <v>8.65</v>
      </c>
      <c r="RV37" s="130">
        <v>8.65</v>
      </c>
      <c r="RW37" s="130">
        <v>8.65</v>
      </c>
      <c r="RX37" s="130">
        <v>8.65</v>
      </c>
      <c r="RY37" s="130">
        <v>8.65</v>
      </c>
      <c r="RZ37" s="130">
        <v>8.65</v>
      </c>
      <c r="SA37" s="130">
        <v>8.65</v>
      </c>
      <c r="SB37" s="130">
        <v>8.65</v>
      </c>
      <c r="SC37" s="130">
        <v>8.65</v>
      </c>
      <c r="SD37" s="130">
        <v>8.65</v>
      </c>
      <c r="SE37" s="130">
        <v>5.3860000000000001</v>
      </c>
      <c r="SF37" s="130">
        <v>5.3860000000000001</v>
      </c>
      <c r="SG37" s="130">
        <v>5.3860000000000001</v>
      </c>
      <c r="SH37" s="130">
        <v>5.3860000000000001</v>
      </c>
      <c r="SI37" s="130">
        <v>5.3860000000000001</v>
      </c>
      <c r="SJ37" s="130">
        <v>5.3860000000000001</v>
      </c>
      <c r="SK37" s="130">
        <v>5.3860000000000001</v>
      </c>
      <c r="SL37" s="130">
        <v>5.3860000000000001</v>
      </c>
      <c r="SM37" s="130">
        <v>5.3860000000000001</v>
      </c>
      <c r="SN37" s="130">
        <v>5.3860000000000001</v>
      </c>
      <c r="SO37" s="130">
        <v>5.3860000000000001</v>
      </c>
      <c r="SP37" s="130">
        <v>5.3860000000000001</v>
      </c>
      <c r="SQ37" s="130">
        <v>5.3860000000000001</v>
      </c>
      <c r="SR37" s="130">
        <v>5.3860000000000001</v>
      </c>
      <c r="SS37" s="130">
        <v>5.3860000000000001</v>
      </c>
      <c r="ST37" s="130">
        <v>5.3860000000000001</v>
      </c>
      <c r="SU37" s="130">
        <v>5.3860000000000001</v>
      </c>
      <c r="SV37" s="130">
        <v>5.3860000000000001</v>
      </c>
      <c r="SW37" s="130">
        <v>5.3860000000000001</v>
      </c>
      <c r="SX37" s="130">
        <v>5.3860000000000001</v>
      </c>
      <c r="SY37" s="130">
        <v>5.3860000000000001</v>
      </c>
      <c r="SZ37" s="130">
        <v>5.3860000000000001</v>
      </c>
      <c r="TA37" s="130">
        <v>1.728</v>
      </c>
      <c r="TB37" s="130">
        <v>1.728</v>
      </c>
      <c r="TC37" s="130">
        <v>1.728</v>
      </c>
      <c r="TD37" s="130">
        <v>1.728</v>
      </c>
      <c r="TE37" s="130">
        <v>1.728</v>
      </c>
      <c r="TF37" s="130">
        <v>10.728</v>
      </c>
      <c r="TG37" s="130">
        <v>10.728</v>
      </c>
      <c r="TH37" s="130">
        <v>0.42299999999999999</v>
      </c>
      <c r="TI37" s="130">
        <v>0.42299999999999999</v>
      </c>
      <c r="TJ37" s="130">
        <v>0.42299999999999999</v>
      </c>
      <c r="TK37" s="130">
        <v>0.42299999999999999</v>
      </c>
      <c r="TL37" s="130">
        <v>0.42299999999999999</v>
      </c>
      <c r="TM37" s="130">
        <v>0.42299999999999999</v>
      </c>
      <c r="TN37" s="130">
        <v>0.42299999999999999</v>
      </c>
      <c r="TO37" s="130">
        <v>6.12</v>
      </c>
      <c r="TP37" s="130">
        <v>6.12</v>
      </c>
      <c r="TQ37" s="130">
        <v>6.12</v>
      </c>
      <c r="TR37" s="130">
        <v>6.12</v>
      </c>
      <c r="TS37" s="130">
        <v>6.12</v>
      </c>
      <c r="TT37" s="130">
        <v>6.12</v>
      </c>
      <c r="TU37" s="130">
        <v>6.12</v>
      </c>
      <c r="TV37" s="130">
        <v>6.12</v>
      </c>
      <c r="TW37" s="130">
        <v>6.12</v>
      </c>
      <c r="TX37" s="130">
        <v>6.12</v>
      </c>
      <c r="TY37" s="130">
        <v>6.12</v>
      </c>
      <c r="TZ37" s="130">
        <v>67</v>
      </c>
      <c r="UA37" s="130">
        <v>67</v>
      </c>
      <c r="UB37" s="130">
        <v>67</v>
      </c>
      <c r="UC37" s="130">
        <v>67</v>
      </c>
      <c r="UD37" s="130">
        <v>67</v>
      </c>
      <c r="UE37" s="130">
        <v>67</v>
      </c>
      <c r="UF37" s="130">
        <v>67</v>
      </c>
      <c r="UG37" s="130">
        <v>67</v>
      </c>
      <c r="UH37" s="130">
        <v>67</v>
      </c>
      <c r="UI37" s="130">
        <v>67</v>
      </c>
      <c r="UJ37" s="130">
        <v>62.6</v>
      </c>
      <c r="UK37" s="130">
        <v>62.6</v>
      </c>
      <c r="UL37" s="130">
        <v>62.6</v>
      </c>
      <c r="UM37" s="130">
        <v>62.6</v>
      </c>
      <c r="UN37" s="130">
        <v>62.6</v>
      </c>
      <c r="UO37" s="130">
        <v>62.6</v>
      </c>
      <c r="UP37" s="130">
        <v>62.6</v>
      </c>
      <c r="UQ37" s="130">
        <v>62.6</v>
      </c>
      <c r="UR37" s="130">
        <v>62.6</v>
      </c>
      <c r="US37" s="130">
        <v>62.6</v>
      </c>
      <c r="UT37" s="130">
        <v>60.892000000000003</v>
      </c>
      <c r="UU37" s="130">
        <v>60.892000000000003</v>
      </c>
      <c r="UV37" s="130">
        <v>60.892000000000003</v>
      </c>
      <c r="UW37" s="130">
        <v>60.892000000000003</v>
      </c>
      <c r="UX37" s="130">
        <v>60.892000000000003</v>
      </c>
      <c r="UY37" s="130">
        <v>60.892000000000003</v>
      </c>
      <c r="UZ37" s="130">
        <v>60.892000000000003</v>
      </c>
      <c r="VA37" s="130">
        <v>60.892000000000003</v>
      </c>
      <c r="VB37" s="130">
        <v>60.892000000000003</v>
      </c>
      <c r="VC37" s="130">
        <v>60.892000000000003</v>
      </c>
      <c r="VD37" s="130">
        <v>60.892000000000003</v>
      </c>
      <c r="VE37" s="130">
        <v>60.892000000000003</v>
      </c>
      <c r="VF37" s="130">
        <v>63</v>
      </c>
      <c r="VG37" s="130">
        <v>63</v>
      </c>
      <c r="VH37" s="130">
        <v>63</v>
      </c>
      <c r="VI37" s="130">
        <v>63.4</v>
      </c>
      <c r="VJ37" s="130">
        <v>63.4</v>
      </c>
      <c r="VK37" s="130">
        <v>63.4</v>
      </c>
      <c r="VL37" s="130">
        <v>57.094999999999999</v>
      </c>
      <c r="VM37" s="130">
        <v>57.094999999999999</v>
      </c>
      <c r="VN37" s="130">
        <v>57.094999999999999</v>
      </c>
      <c r="VO37" s="130">
        <v>57.094999999999999</v>
      </c>
      <c r="VP37" s="130">
        <v>57.094999999999999</v>
      </c>
      <c r="VQ37" s="130">
        <v>57.094999999999999</v>
      </c>
      <c r="VR37" s="130">
        <v>57.094999999999999</v>
      </c>
      <c r="VS37" s="130">
        <v>57.094999999999999</v>
      </c>
      <c r="VT37" s="130">
        <v>57.094999999999999</v>
      </c>
      <c r="VU37" s="130">
        <v>57.094999999999999</v>
      </c>
      <c r="VV37" s="130">
        <v>57.094999999999999</v>
      </c>
      <c r="VW37" s="130">
        <v>57.094999999999999</v>
      </c>
      <c r="VX37" s="130">
        <v>57.094999999999999</v>
      </c>
      <c r="VY37" s="130">
        <v>52.45</v>
      </c>
      <c r="VZ37" s="130">
        <v>52.45</v>
      </c>
      <c r="WA37" s="130">
        <v>52.45</v>
      </c>
      <c r="WB37" s="130">
        <v>52.45</v>
      </c>
      <c r="WC37" s="130">
        <v>52.45</v>
      </c>
      <c r="WD37" s="130">
        <v>45.112000000000002</v>
      </c>
      <c r="WE37" s="130">
        <v>45.112000000000002</v>
      </c>
      <c r="WF37" s="130">
        <v>45.112000000000002</v>
      </c>
      <c r="WG37" s="130">
        <v>45.112000000000002</v>
      </c>
      <c r="WH37" s="130">
        <v>45.112000000000002</v>
      </c>
      <c r="WI37" s="130">
        <v>45.112000000000002</v>
      </c>
      <c r="WJ37" s="130">
        <v>45.112000000000002</v>
      </c>
      <c r="WK37" s="130">
        <v>45.112000000000002</v>
      </c>
      <c r="WL37" s="130">
        <v>45.112000000000002</v>
      </c>
      <c r="WM37" s="130">
        <v>45.112000000000002</v>
      </c>
      <c r="WN37" s="130">
        <v>45.112000000000002</v>
      </c>
      <c r="WO37" s="130">
        <v>45.112000000000002</v>
      </c>
      <c r="WP37" s="130">
        <v>45.112000000000002</v>
      </c>
      <c r="WQ37" s="130">
        <v>13.372999999999999</v>
      </c>
      <c r="WR37" s="130">
        <v>13.372999999999999</v>
      </c>
      <c r="WS37" s="130">
        <v>13.372999999999999</v>
      </c>
      <c r="WT37" s="130">
        <v>13.372999999999999</v>
      </c>
      <c r="WU37" s="130">
        <v>13.372999999999999</v>
      </c>
      <c r="WV37" s="130">
        <v>13.372999999999999</v>
      </c>
      <c r="WW37" s="130">
        <v>13.372999999999999</v>
      </c>
      <c r="WX37" s="130">
        <v>13.372999999999999</v>
      </c>
      <c r="WY37" s="130">
        <v>21.24</v>
      </c>
      <c r="WZ37" s="130">
        <v>21.24</v>
      </c>
      <c r="XA37" s="130">
        <v>21.24</v>
      </c>
      <c r="XB37" s="130">
        <v>21.24</v>
      </c>
      <c r="XC37" s="130">
        <v>21.24</v>
      </c>
      <c r="XD37" s="130">
        <v>21.24</v>
      </c>
      <c r="XE37" s="130">
        <v>21.24</v>
      </c>
      <c r="XF37" s="130">
        <v>21.24</v>
      </c>
      <c r="XG37" s="130">
        <v>21.24</v>
      </c>
      <c r="XH37" s="130">
        <v>21.24</v>
      </c>
      <c r="XI37" s="130">
        <v>21.24</v>
      </c>
      <c r="XJ37" s="130">
        <v>21.24</v>
      </c>
      <c r="XK37" s="130">
        <v>21.24</v>
      </c>
      <c r="XL37" s="130">
        <v>21.24</v>
      </c>
      <c r="XM37" s="130">
        <v>16.52</v>
      </c>
      <c r="XN37" s="130">
        <v>16.52</v>
      </c>
      <c r="XO37" s="130">
        <v>16.52</v>
      </c>
      <c r="XP37" s="130">
        <v>16.52</v>
      </c>
      <c r="XQ37" s="130">
        <v>16.52</v>
      </c>
      <c r="XR37" s="130">
        <v>16.52</v>
      </c>
      <c r="XS37" s="130">
        <v>16.52</v>
      </c>
      <c r="XT37" s="130">
        <v>16.52</v>
      </c>
      <c r="XU37" s="130">
        <v>15.3</v>
      </c>
      <c r="XV37" s="130">
        <v>15.3</v>
      </c>
      <c r="XW37" s="130">
        <v>15.3</v>
      </c>
      <c r="XX37" s="130">
        <v>15.3</v>
      </c>
      <c r="XY37" s="130">
        <v>15.301</v>
      </c>
      <c r="XZ37" s="130">
        <v>15.301</v>
      </c>
      <c r="YA37" s="130">
        <v>15.301</v>
      </c>
      <c r="YB37" s="130">
        <v>15.301</v>
      </c>
      <c r="YC37" s="130">
        <v>15.301</v>
      </c>
      <c r="YD37" s="130">
        <v>15.301</v>
      </c>
      <c r="YE37" s="130">
        <v>15.301</v>
      </c>
      <c r="YF37" s="130">
        <v>0</v>
      </c>
      <c r="YG37" s="130">
        <v>0</v>
      </c>
      <c r="YH37" s="130">
        <v>0</v>
      </c>
    </row>
    <row r="38" spans="2:658">
      <c r="B38" s="917" t="s">
        <v>585</v>
      </c>
      <c r="C38" s="918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L38" s="130"/>
      <c r="CM38" s="130"/>
      <c r="CN38" s="130"/>
      <c r="CO38" s="130"/>
      <c r="CP38" s="130"/>
      <c r="CQ38" s="130"/>
      <c r="CR38" s="130"/>
      <c r="CS38" s="130"/>
      <c r="CT38" s="130"/>
      <c r="CU38" s="130"/>
      <c r="CV38" s="130"/>
      <c r="CW38" s="130"/>
      <c r="CX38" s="130"/>
      <c r="CY38" s="130"/>
      <c r="CZ38" s="130"/>
      <c r="DA38" s="130"/>
      <c r="DB38" s="130"/>
      <c r="DC38" s="130"/>
      <c r="DD38" s="130"/>
      <c r="DE38" s="130"/>
      <c r="DF38" s="130"/>
      <c r="DG38" s="130"/>
      <c r="DH38" s="130"/>
      <c r="DI38" s="130"/>
      <c r="DJ38" s="130"/>
      <c r="DK38" s="130"/>
      <c r="DL38" s="130"/>
      <c r="DM38" s="130"/>
      <c r="DN38" s="130"/>
      <c r="DO38" s="130"/>
      <c r="DP38" s="130"/>
      <c r="DQ38" s="130"/>
      <c r="DR38" s="130"/>
      <c r="DS38" s="130"/>
      <c r="DT38" s="130"/>
      <c r="DU38" s="130"/>
      <c r="DV38" s="130"/>
      <c r="DW38" s="130"/>
      <c r="DX38" s="130"/>
      <c r="DY38" s="130"/>
      <c r="DZ38" s="130"/>
      <c r="EA38" s="130"/>
      <c r="EB38" s="130"/>
      <c r="EC38" s="130"/>
      <c r="ED38" s="130"/>
      <c r="EE38" s="130"/>
      <c r="EF38" s="130"/>
      <c r="EG38" s="130"/>
      <c r="EH38" s="130"/>
      <c r="EI38" s="130"/>
      <c r="EJ38" s="130"/>
      <c r="EK38" s="130"/>
      <c r="EL38" s="130"/>
      <c r="EM38" s="130"/>
      <c r="EN38" s="130"/>
      <c r="EO38" s="130"/>
      <c r="EP38" s="130"/>
      <c r="EQ38" s="130"/>
      <c r="ER38" s="130"/>
      <c r="ES38" s="130"/>
      <c r="ET38" s="130"/>
      <c r="EU38" s="130"/>
      <c r="EV38" s="130"/>
      <c r="EW38" s="130"/>
      <c r="EX38" s="130"/>
      <c r="EY38" s="130"/>
      <c r="EZ38" s="130"/>
      <c r="FA38" s="130"/>
      <c r="FB38" s="130"/>
      <c r="FC38" s="130"/>
      <c r="FD38" s="130"/>
      <c r="FE38" s="130"/>
      <c r="FF38" s="130"/>
      <c r="FG38" s="130"/>
      <c r="FH38" s="130"/>
      <c r="FI38" s="130"/>
      <c r="FJ38" s="130"/>
      <c r="FK38" s="130"/>
      <c r="FL38" s="130"/>
      <c r="FM38" s="130"/>
      <c r="FN38" s="130"/>
      <c r="FO38" s="130"/>
      <c r="FP38" s="130"/>
      <c r="FQ38" s="130"/>
      <c r="FR38" s="130"/>
      <c r="FS38" s="130"/>
      <c r="FT38" s="130"/>
      <c r="FU38" s="130"/>
      <c r="FV38" s="130"/>
      <c r="FW38" s="130"/>
      <c r="FX38" s="130"/>
      <c r="FY38" s="130"/>
      <c r="FZ38" s="130"/>
      <c r="GA38" s="130"/>
      <c r="GB38" s="130"/>
      <c r="GC38" s="130"/>
      <c r="GD38" s="130"/>
      <c r="GE38" s="130"/>
      <c r="GF38" s="130"/>
      <c r="GG38" s="130"/>
      <c r="GH38" s="130"/>
      <c r="GI38" s="130"/>
      <c r="GJ38" s="130"/>
      <c r="GK38" s="130"/>
      <c r="GL38" s="130"/>
      <c r="GM38" s="130"/>
      <c r="GN38" s="130"/>
      <c r="GO38" s="130"/>
      <c r="GP38" s="130"/>
      <c r="GQ38" s="130"/>
      <c r="GR38" s="130"/>
      <c r="GS38" s="130"/>
      <c r="GT38" s="130"/>
      <c r="GU38" s="130"/>
      <c r="GV38" s="130"/>
      <c r="GW38" s="130"/>
      <c r="GX38" s="130"/>
      <c r="GY38" s="130"/>
      <c r="GZ38" s="130"/>
      <c r="HA38" s="130"/>
      <c r="HB38" s="130"/>
      <c r="HC38" s="130"/>
      <c r="HD38" s="130"/>
      <c r="HE38" s="130"/>
      <c r="HF38" s="130"/>
      <c r="HG38" s="130"/>
      <c r="HH38" s="130"/>
      <c r="HI38" s="130"/>
      <c r="HJ38" s="130"/>
      <c r="HK38" s="130"/>
      <c r="HL38" s="130"/>
      <c r="HM38" s="130"/>
      <c r="HN38" s="130"/>
      <c r="HO38" s="130"/>
      <c r="HP38" s="130"/>
      <c r="HQ38" s="130"/>
      <c r="HR38" s="130"/>
      <c r="HS38" s="130"/>
      <c r="HT38" s="130"/>
      <c r="HU38" s="130"/>
      <c r="HV38" s="130"/>
      <c r="HW38" s="130"/>
      <c r="HX38" s="130"/>
      <c r="HY38" s="130"/>
      <c r="HZ38" s="130"/>
      <c r="IA38" s="130"/>
      <c r="IB38" s="130"/>
      <c r="IC38" s="130"/>
      <c r="ID38" s="130"/>
      <c r="IE38" s="130"/>
      <c r="IF38" s="130"/>
      <c r="IG38" s="130"/>
      <c r="IH38" s="130"/>
      <c r="II38" s="130"/>
      <c r="IJ38" s="130"/>
      <c r="IK38" s="130"/>
      <c r="IL38" s="130"/>
      <c r="IM38" s="130"/>
      <c r="IN38" s="130"/>
      <c r="IO38" s="130"/>
      <c r="IP38" s="130"/>
      <c r="IQ38" s="130"/>
      <c r="IR38" s="130"/>
      <c r="IS38" s="130"/>
      <c r="IT38" s="130"/>
      <c r="IU38" s="130"/>
      <c r="IV38" s="130"/>
      <c r="IW38" s="130"/>
      <c r="IX38" s="130"/>
      <c r="IY38" s="130"/>
      <c r="IZ38" s="130"/>
      <c r="JA38" s="130"/>
      <c r="JB38" s="130"/>
      <c r="JC38" s="130"/>
      <c r="JD38" s="130"/>
      <c r="JE38" s="130"/>
      <c r="JF38" s="130"/>
      <c r="JG38" s="130"/>
      <c r="JH38" s="130"/>
      <c r="JI38" s="130"/>
      <c r="JJ38" s="130"/>
      <c r="JK38" s="130"/>
      <c r="JL38" s="130"/>
      <c r="JM38" s="130"/>
      <c r="JN38" s="130"/>
      <c r="JO38" s="130"/>
      <c r="JP38" s="130"/>
      <c r="JQ38" s="130"/>
      <c r="JR38" s="130"/>
      <c r="JS38" s="130"/>
      <c r="JT38" s="130"/>
      <c r="JU38" s="130"/>
      <c r="JV38" s="130"/>
      <c r="JW38" s="130"/>
      <c r="JX38" s="130"/>
      <c r="JY38" s="130"/>
      <c r="JZ38" s="130"/>
      <c r="KA38" s="130"/>
      <c r="KB38" s="130"/>
      <c r="KC38" s="130"/>
      <c r="KD38" s="130"/>
      <c r="KE38" s="130"/>
      <c r="KF38" s="130"/>
      <c r="KG38" s="130"/>
      <c r="KH38" s="130"/>
      <c r="KI38" s="130"/>
      <c r="KJ38" s="130"/>
      <c r="KK38" s="130"/>
      <c r="KL38" s="130"/>
      <c r="KM38" s="130"/>
      <c r="KN38" s="130"/>
      <c r="KO38" s="130"/>
      <c r="KP38" s="130"/>
      <c r="KQ38" s="130"/>
      <c r="KR38" s="130"/>
      <c r="KS38" s="130"/>
      <c r="KT38" s="130"/>
      <c r="KU38" s="130"/>
      <c r="KV38" s="130"/>
      <c r="KW38" s="130"/>
      <c r="KX38" s="130"/>
      <c r="KY38" s="130"/>
      <c r="KZ38" s="130"/>
      <c r="LA38" s="130"/>
      <c r="LB38" s="130"/>
      <c r="LC38" s="130"/>
      <c r="LD38" s="130"/>
      <c r="LE38" s="130"/>
      <c r="LF38" s="130"/>
      <c r="LG38" s="130"/>
      <c r="LH38" s="130"/>
      <c r="LI38" s="130"/>
      <c r="LJ38" s="130"/>
      <c r="LK38" s="130"/>
      <c r="LL38" s="130"/>
      <c r="LM38" s="130"/>
      <c r="LN38" s="130"/>
      <c r="LO38" s="130"/>
      <c r="LP38" s="130"/>
      <c r="LQ38" s="130"/>
      <c r="LR38" s="130"/>
      <c r="LS38" s="130"/>
      <c r="LT38" s="130"/>
      <c r="LU38" s="130"/>
      <c r="LV38" s="130"/>
      <c r="LW38" s="130"/>
      <c r="LX38" s="130"/>
      <c r="LY38" s="130"/>
      <c r="LZ38" s="130"/>
      <c r="MA38" s="130"/>
      <c r="MB38" s="130"/>
      <c r="MC38" s="130"/>
      <c r="MD38" s="130"/>
      <c r="ME38" s="130"/>
      <c r="MF38" s="130"/>
      <c r="MG38" s="130"/>
      <c r="MH38" s="130"/>
      <c r="MI38" s="130"/>
      <c r="MJ38" s="130"/>
      <c r="MK38" s="130"/>
      <c r="ML38" s="130"/>
      <c r="MM38" s="130"/>
      <c r="MN38" s="130"/>
      <c r="MO38" s="130"/>
      <c r="MP38" s="130"/>
      <c r="MQ38" s="130"/>
      <c r="MR38" s="130"/>
      <c r="MS38" s="130"/>
      <c r="MT38" s="130"/>
      <c r="MU38" s="130"/>
      <c r="MV38" s="130"/>
      <c r="MW38" s="130"/>
      <c r="MX38" s="130"/>
      <c r="MY38" s="130"/>
      <c r="MZ38" s="130"/>
      <c r="NA38" s="130"/>
      <c r="NB38" s="130"/>
      <c r="NC38" s="130"/>
      <c r="ND38" s="130"/>
      <c r="NE38" s="130"/>
      <c r="NF38" s="130"/>
      <c r="NG38" s="130"/>
      <c r="NH38" s="130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0"/>
      <c r="OL38" s="130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0"/>
      <c r="PP38" s="130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0"/>
      <c r="QT38" s="130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0"/>
      <c r="RX38" s="130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0"/>
      <c r="TB38" s="130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>
        <v>49.777999999999999</v>
      </c>
      <c r="TV38" s="130">
        <v>49.777999999999999</v>
      </c>
      <c r="TW38" s="130">
        <v>49.777999999999999</v>
      </c>
      <c r="TX38" s="130">
        <v>49.777999999999999</v>
      </c>
      <c r="TY38" s="130">
        <v>49.777999999999999</v>
      </c>
      <c r="TZ38" s="130">
        <v>41.921999999999997</v>
      </c>
      <c r="UA38" s="130">
        <v>42</v>
      </c>
      <c r="UB38" s="130">
        <v>42</v>
      </c>
      <c r="UC38" s="130">
        <v>42</v>
      </c>
      <c r="UD38" s="130">
        <v>42</v>
      </c>
      <c r="UE38" s="130">
        <v>42</v>
      </c>
      <c r="UF38" s="130">
        <v>42</v>
      </c>
      <c r="UG38" s="130">
        <v>42</v>
      </c>
      <c r="UH38" s="130">
        <v>42</v>
      </c>
      <c r="UI38" s="130">
        <v>42</v>
      </c>
      <c r="UJ38" s="130">
        <v>38.045000000000002</v>
      </c>
      <c r="UK38" s="130">
        <v>38.045000000000002</v>
      </c>
      <c r="UL38" s="130">
        <v>38.045000000000002</v>
      </c>
      <c r="UM38" s="130">
        <v>38.045000000000002</v>
      </c>
      <c r="UN38" s="130">
        <v>38.045000000000002</v>
      </c>
      <c r="UO38" s="130">
        <v>38.045000000000002</v>
      </c>
      <c r="UP38" s="130">
        <v>38.045000000000002</v>
      </c>
      <c r="UQ38" s="130">
        <v>38.045000000000002</v>
      </c>
      <c r="UR38" s="130">
        <v>38.045000000000002</v>
      </c>
      <c r="US38" s="130">
        <v>38.045000000000002</v>
      </c>
      <c r="UT38" s="130">
        <v>38.045000000000002</v>
      </c>
      <c r="UU38" s="130">
        <v>38.045000000000002</v>
      </c>
      <c r="UV38" s="130">
        <v>38.045000000000002</v>
      </c>
      <c r="UW38" s="130">
        <v>38.045000000000002</v>
      </c>
      <c r="UX38" s="130">
        <v>38.045000000000002</v>
      </c>
      <c r="UY38" s="130">
        <v>38.045000000000002</v>
      </c>
      <c r="UZ38" s="130">
        <v>38.045000000000002</v>
      </c>
      <c r="VA38" s="130">
        <v>38.045000000000002</v>
      </c>
      <c r="VB38" s="130">
        <v>38.045000000000002</v>
      </c>
      <c r="VC38" s="130">
        <v>43.417000000000002</v>
      </c>
      <c r="VD38" s="130">
        <v>43.417000000000002</v>
      </c>
      <c r="VE38" s="130">
        <v>43.417000000000002</v>
      </c>
      <c r="VF38" s="130">
        <v>43.417000000000002</v>
      </c>
      <c r="VG38" s="130">
        <v>43.417000000000002</v>
      </c>
      <c r="VH38" s="130">
        <v>43.417000000000002</v>
      </c>
      <c r="VI38" s="130">
        <v>38.573999999999998</v>
      </c>
      <c r="VJ38" s="130">
        <v>38.573999999999998</v>
      </c>
      <c r="VK38" s="130">
        <v>38.573999999999998</v>
      </c>
      <c r="VL38" s="130">
        <v>30.015000000000001</v>
      </c>
      <c r="VM38" s="130">
        <v>27.937999999999999</v>
      </c>
      <c r="VN38" s="130">
        <v>27.937999999999999</v>
      </c>
      <c r="VO38" s="130">
        <v>27.937999999999999</v>
      </c>
      <c r="VP38" s="130">
        <v>27.937999999999999</v>
      </c>
      <c r="VQ38" s="130">
        <v>27.937999999999999</v>
      </c>
      <c r="VR38" s="130">
        <v>27.937999999999999</v>
      </c>
      <c r="VS38" s="130">
        <v>27.937999999999999</v>
      </c>
      <c r="VT38" s="130">
        <v>27.937999999999999</v>
      </c>
      <c r="VU38" s="130">
        <v>27.937999999999999</v>
      </c>
      <c r="VV38" s="130">
        <v>27.937999999999999</v>
      </c>
      <c r="VW38" s="130">
        <v>27.937999999999999</v>
      </c>
      <c r="VX38" s="130">
        <v>27.937999999999999</v>
      </c>
      <c r="VY38" s="130">
        <v>19.170000000000002</v>
      </c>
      <c r="VZ38" s="130">
        <v>19.170000000000002</v>
      </c>
      <c r="WA38" s="130">
        <v>19.170000000000002</v>
      </c>
      <c r="WB38" s="130">
        <v>19.170000000000002</v>
      </c>
      <c r="WC38" s="130">
        <v>19.170000000000002</v>
      </c>
      <c r="WD38" s="130">
        <v>19.170000000000002</v>
      </c>
      <c r="WE38" s="130">
        <v>19.170000000000002</v>
      </c>
      <c r="WF38" s="130">
        <v>19.170000000000002</v>
      </c>
      <c r="WG38" s="130">
        <v>10.323</v>
      </c>
      <c r="WH38" s="130">
        <v>10.323</v>
      </c>
      <c r="WI38" s="130">
        <v>10.323</v>
      </c>
      <c r="WJ38" s="130">
        <v>10.323</v>
      </c>
      <c r="WK38" s="130">
        <v>10.323</v>
      </c>
      <c r="WL38" s="130">
        <v>10.323</v>
      </c>
      <c r="WM38" s="130">
        <v>10.323</v>
      </c>
      <c r="WN38" s="130">
        <v>10.323</v>
      </c>
      <c r="WO38" s="130">
        <v>10.323</v>
      </c>
      <c r="WP38" s="130">
        <v>10.323</v>
      </c>
      <c r="WQ38" s="130">
        <v>10.323</v>
      </c>
      <c r="WR38" s="130">
        <v>10.323</v>
      </c>
      <c r="WS38" s="130">
        <v>7.8179999999999996</v>
      </c>
      <c r="WT38" s="130">
        <v>7.8179999999999996</v>
      </c>
      <c r="WU38" s="130">
        <v>7.8179999999999996</v>
      </c>
      <c r="WV38" s="130">
        <v>7.8179999999999996</v>
      </c>
      <c r="WW38" s="130">
        <v>7.8179999999999996</v>
      </c>
      <c r="WX38" s="130">
        <v>7.8179999999999996</v>
      </c>
      <c r="WY38" s="130">
        <v>7.8179999999999996</v>
      </c>
      <c r="WZ38" s="130">
        <v>7.8179999999999996</v>
      </c>
      <c r="XA38" s="130">
        <v>7.8179999999999996</v>
      </c>
      <c r="XB38" s="130">
        <v>7.8179999999999996</v>
      </c>
      <c r="XC38" s="130">
        <v>7.8179999999999996</v>
      </c>
      <c r="XD38" s="130">
        <v>0.77</v>
      </c>
      <c r="XE38" s="130">
        <v>0.77</v>
      </c>
      <c r="XF38" s="130">
        <v>0.77</v>
      </c>
      <c r="XG38" s="130">
        <v>0.77</v>
      </c>
      <c r="XH38" s="130">
        <v>0.77</v>
      </c>
      <c r="XI38" s="130">
        <v>0.77</v>
      </c>
      <c r="XJ38" s="130">
        <v>0.77</v>
      </c>
      <c r="XK38" s="130">
        <v>0.77</v>
      </c>
      <c r="XL38" s="130">
        <v>0.77</v>
      </c>
      <c r="XM38" s="130">
        <v>14.153</v>
      </c>
      <c r="XN38" s="130">
        <v>14.153</v>
      </c>
      <c r="XO38" s="130">
        <v>14.153</v>
      </c>
      <c r="XP38" s="130">
        <v>14.153</v>
      </c>
      <c r="XQ38" s="130">
        <v>14.153</v>
      </c>
      <c r="XR38" s="130">
        <v>14.153</v>
      </c>
      <c r="XS38" s="130">
        <v>14.153</v>
      </c>
      <c r="XT38" s="130">
        <v>14.153</v>
      </c>
      <c r="XU38" s="130">
        <v>14.153</v>
      </c>
      <c r="XV38" s="130">
        <v>14.153</v>
      </c>
      <c r="XW38" s="130">
        <v>14.153</v>
      </c>
      <c r="XX38" s="130">
        <v>25.571999999999999</v>
      </c>
      <c r="XY38" s="130">
        <v>25.571999999999999</v>
      </c>
      <c r="XZ38" s="130">
        <v>25.571999999999999</v>
      </c>
      <c r="YA38" s="130">
        <v>25.571999999999999</v>
      </c>
      <c r="YB38" s="130">
        <v>25.571999999999999</v>
      </c>
      <c r="YC38" s="130">
        <v>25.571999999999999</v>
      </c>
      <c r="YD38" s="130">
        <v>25.571999999999999</v>
      </c>
      <c r="YE38" s="130">
        <v>25.571999999999999</v>
      </c>
      <c r="YF38" s="130">
        <v>25.571999999999999</v>
      </c>
      <c r="YG38" s="130">
        <v>25.571999999999999</v>
      </c>
      <c r="YH38" s="130">
        <v>26.8</v>
      </c>
    </row>
    <row r="39" spans="2:658">
      <c r="B39" s="917" t="s">
        <v>55</v>
      </c>
      <c r="C39" s="918">
        <v>0.8</v>
      </c>
      <c r="D39" s="130">
        <v>0.8</v>
      </c>
      <c r="E39" s="130">
        <v>0.8</v>
      </c>
      <c r="F39" s="130">
        <v>0.8</v>
      </c>
      <c r="G39" s="130">
        <v>0.8</v>
      </c>
      <c r="H39" s="130">
        <v>6.4</v>
      </c>
      <c r="I39" s="130">
        <v>5.6</v>
      </c>
      <c r="J39" s="130">
        <v>5.6</v>
      </c>
      <c r="K39" s="130">
        <v>5.6</v>
      </c>
      <c r="L39" s="130">
        <v>5.6</v>
      </c>
      <c r="M39" s="130">
        <v>5.6</v>
      </c>
      <c r="N39" s="130">
        <v>5.3</v>
      </c>
      <c r="O39" s="130">
        <v>5.3</v>
      </c>
      <c r="P39" s="130">
        <v>5.3</v>
      </c>
      <c r="Q39" s="130">
        <v>5.3</v>
      </c>
      <c r="R39" s="130">
        <v>5.3</v>
      </c>
      <c r="S39" s="130">
        <v>2</v>
      </c>
      <c r="T39" s="130">
        <v>2</v>
      </c>
      <c r="U39" s="130">
        <v>2</v>
      </c>
      <c r="V39" s="130">
        <v>2</v>
      </c>
      <c r="W39" s="130">
        <v>0.8</v>
      </c>
      <c r="X39" s="130">
        <v>0.8</v>
      </c>
      <c r="Y39" s="130">
        <v>0.8</v>
      </c>
      <c r="Z39" s="130">
        <v>0.8</v>
      </c>
      <c r="AA39" s="130">
        <v>0.8</v>
      </c>
      <c r="AB39" s="130">
        <v>4.5999999999999996</v>
      </c>
      <c r="AC39" s="130">
        <v>4.5999999999999996</v>
      </c>
      <c r="AD39" s="130">
        <v>4.5</v>
      </c>
      <c r="AE39" s="130">
        <v>4.3</v>
      </c>
      <c r="AF39" s="130">
        <v>4.3</v>
      </c>
      <c r="AG39" s="130">
        <v>4.3</v>
      </c>
      <c r="AH39" s="130">
        <v>4.3</v>
      </c>
      <c r="AI39" s="130">
        <v>4.0999999999999996</v>
      </c>
      <c r="AJ39" s="130">
        <v>4.0999999999999996</v>
      </c>
      <c r="AK39" s="130">
        <v>3.6</v>
      </c>
      <c r="AL39" s="130">
        <v>3.6</v>
      </c>
      <c r="AM39" s="130">
        <v>2.1</v>
      </c>
      <c r="AN39" s="130">
        <v>2.1</v>
      </c>
      <c r="AO39" s="130">
        <v>2.1</v>
      </c>
      <c r="AP39" s="130">
        <v>2.1</v>
      </c>
      <c r="AQ39" s="130">
        <v>2.1</v>
      </c>
      <c r="AR39" s="130">
        <v>2.1</v>
      </c>
      <c r="AS39" s="130">
        <v>1.3</v>
      </c>
      <c r="AT39" s="130">
        <v>1.3</v>
      </c>
      <c r="AU39" s="130">
        <v>0.3</v>
      </c>
      <c r="AV39" s="130">
        <v>0.3</v>
      </c>
      <c r="AW39" s="130">
        <v>0.3</v>
      </c>
      <c r="AX39" s="130">
        <v>0.7</v>
      </c>
      <c r="AY39" s="130">
        <v>0.7</v>
      </c>
      <c r="AZ39" s="130">
        <v>0.2</v>
      </c>
      <c r="BA39" s="130">
        <v>0.2</v>
      </c>
      <c r="BB39" s="130">
        <v>0.2</v>
      </c>
      <c r="BC39" s="130">
        <v>0.2</v>
      </c>
      <c r="BD39" s="130">
        <v>1</v>
      </c>
      <c r="BE39" s="130">
        <v>1</v>
      </c>
      <c r="BF39" s="130">
        <v>0.5</v>
      </c>
      <c r="BG39" s="130">
        <v>0.5</v>
      </c>
      <c r="BH39" s="130">
        <v>0.02</v>
      </c>
      <c r="BI39" s="130">
        <v>0.02</v>
      </c>
      <c r="BJ39" s="130">
        <v>0.02</v>
      </c>
      <c r="BK39" s="130">
        <v>0.02</v>
      </c>
      <c r="BL39" s="130">
        <v>0.02</v>
      </c>
      <c r="BM39" s="130">
        <v>0.7</v>
      </c>
      <c r="BN39" s="130">
        <v>0.7</v>
      </c>
      <c r="BO39" s="130">
        <v>1.4</v>
      </c>
      <c r="BP39" s="130">
        <v>0.2</v>
      </c>
      <c r="BQ39" s="130">
        <v>0.2</v>
      </c>
      <c r="BR39" s="130">
        <v>0.2</v>
      </c>
      <c r="BS39" s="130">
        <v>0.2</v>
      </c>
      <c r="BT39" s="130">
        <v>0.2</v>
      </c>
      <c r="BU39" s="130">
        <v>0.2</v>
      </c>
      <c r="BV39" s="130">
        <v>0.2</v>
      </c>
      <c r="BW39" s="130">
        <v>1.2</v>
      </c>
      <c r="BX39" s="130">
        <v>1.2</v>
      </c>
      <c r="BY39" s="130">
        <v>1.2</v>
      </c>
      <c r="BZ39" s="130">
        <v>0.05</v>
      </c>
      <c r="CA39" s="130">
        <v>1.5</v>
      </c>
      <c r="CB39" s="130">
        <v>0.5</v>
      </c>
      <c r="CC39" s="130">
        <v>0.5</v>
      </c>
      <c r="CD39" s="130">
        <v>1.5</v>
      </c>
      <c r="CE39" s="130">
        <v>1.5</v>
      </c>
      <c r="CF39" s="130">
        <v>1.5</v>
      </c>
      <c r="CG39" s="130">
        <v>1.5</v>
      </c>
      <c r="CH39" s="130">
        <v>0.01</v>
      </c>
      <c r="CI39" s="130">
        <v>0.2</v>
      </c>
      <c r="CJ39" s="130">
        <v>0.2</v>
      </c>
      <c r="CK39" s="130">
        <v>0.2</v>
      </c>
      <c r="CL39" s="130">
        <v>1.2</v>
      </c>
      <c r="CM39" s="130">
        <v>1.2</v>
      </c>
      <c r="CN39" s="130">
        <v>1.2</v>
      </c>
      <c r="CO39" s="130">
        <v>1.2</v>
      </c>
      <c r="CP39" s="130">
        <v>0.7</v>
      </c>
      <c r="CQ39" s="130">
        <v>0.7</v>
      </c>
      <c r="CR39" s="130">
        <v>0.7</v>
      </c>
      <c r="CS39" s="130">
        <v>0.7</v>
      </c>
      <c r="CT39" s="130">
        <v>0.6</v>
      </c>
      <c r="CU39" s="130">
        <v>1.1000000000000001</v>
      </c>
      <c r="CV39" s="130">
        <v>0.5</v>
      </c>
      <c r="CW39" s="130">
        <v>0.5</v>
      </c>
      <c r="CX39" s="130">
        <v>0.5</v>
      </c>
      <c r="CY39" s="130">
        <f>76/1000</f>
        <v>7.5999999999999998E-2</v>
      </c>
      <c r="CZ39" s="130">
        <v>7.5999999999999998E-2</v>
      </c>
      <c r="DA39" s="130">
        <f>62/1000</f>
        <v>6.2E-2</v>
      </c>
      <c r="DB39" s="130">
        <f>62/1000</f>
        <v>6.2E-2</v>
      </c>
      <c r="DC39" s="130">
        <f>62/1000</f>
        <v>6.2E-2</v>
      </c>
      <c r="DD39" s="130">
        <f>41.5/1000</f>
        <v>4.1500000000000002E-2</v>
      </c>
      <c r="DE39" s="130">
        <v>1.2</v>
      </c>
      <c r="DF39" s="130">
        <v>1.2</v>
      </c>
      <c r="DG39" s="130">
        <v>1</v>
      </c>
      <c r="DH39" s="130">
        <f>94000/10^6</f>
        <v>9.4E-2</v>
      </c>
      <c r="DI39" s="130">
        <f>94000/10^6</f>
        <v>9.4E-2</v>
      </c>
      <c r="DJ39" s="130">
        <v>0.7</v>
      </c>
      <c r="DK39" s="130">
        <v>0.7</v>
      </c>
      <c r="DL39" s="130">
        <v>2.7</v>
      </c>
      <c r="DM39" s="130">
        <v>2.7</v>
      </c>
      <c r="DN39" s="130">
        <v>1</v>
      </c>
      <c r="DO39" s="130">
        <v>1</v>
      </c>
      <c r="DP39" s="130">
        <v>1</v>
      </c>
      <c r="DQ39" s="130">
        <v>0.8</v>
      </c>
      <c r="DR39" s="130">
        <v>0.2</v>
      </c>
      <c r="DS39" s="130">
        <v>0.2</v>
      </c>
      <c r="DT39" s="130">
        <v>0.2</v>
      </c>
      <c r="DU39" s="130">
        <v>0.1</v>
      </c>
      <c r="DV39" s="130">
        <v>0.1</v>
      </c>
      <c r="DW39" s="130">
        <v>0.01</v>
      </c>
      <c r="DX39" s="130">
        <v>0.5</v>
      </c>
      <c r="DY39" s="130">
        <v>0.01</v>
      </c>
      <c r="DZ39" s="130">
        <v>1.1000000000000001</v>
      </c>
      <c r="EA39" s="130">
        <v>1.1000000000000001</v>
      </c>
      <c r="EB39" s="130">
        <v>1.1000000000000001</v>
      </c>
      <c r="EC39" s="130">
        <v>2.6</v>
      </c>
      <c r="ED39" s="130">
        <v>1.18</v>
      </c>
      <c r="EE39" s="130">
        <v>1.18</v>
      </c>
      <c r="EF39" s="130">
        <v>1.18</v>
      </c>
      <c r="EG39" s="130">
        <v>1.18</v>
      </c>
      <c r="EH39" s="130">
        <v>3.9</v>
      </c>
      <c r="EI39" s="130">
        <v>3.13</v>
      </c>
      <c r="EJ39" s="130">
        <v>3.13</v>
      </c>
      <c r="EK39" s="130">
        <v>2</v>
      </c>
      <c r="EL39" s="130">
        <v>2</v>
      </c>
      <c r="EM39" s="130">
        <v>2</v>
      </c>
      <c r="EN39" s="130">
        <v>0.67</v>
      </c>
      <c r="EO39" s="130">
        <v>0.67</v>
      </c>
      <c r="EP39" s="130">
        <v>0.67</v>
      </c>
      <c r="EQ39" s="130">
        <v>2.7</v>
      </c>
      <c r="ER39" s="130">
        <v>2.7</v>
      </c>
      <c r="ES39" s="130">
        <v>1.2</v>
      </c>
      <c r="ET39" s="130">
        <v>1.4</v>
      </c>
      <c r="EU39" s="130">
        <v>1.3</v>
      </c>
      <c r="EV39" s="130">
        <v>1.3</v>
      </c>
      <c r="EW39" s="130">
        <v>4.8</v>
      </c>
      <c r="EX39" s="130">
        <v>3.5</v>
      </c>
      <c r="EY39" s="130">
        <v>3.7</v>
      </c>
      <c r="EZ39" s="130">
        <v>3.7</v>
      </c>
      <c r="FA39" s="130">
        <v>4.8</v>
      </c>
      <c r="FB39" s="130">
        <v>2.8</v>
      </c>
      <c r="FC39" s="130">
        <v>4</v>
      </c>
      <c r="FD39" s="130">
        <v>4</v>
      </c>
      <c r="FE39" s="130">
        <v>4</v>
      </c>
      <c r="FF39" s="130">
        <v>4</v>
      </c>
      <c r="FG39" s="130">
        <v>3.2</v>
      </c>
      <c r="FH39" s="130">
        <v>5.2</v>
      </c>
      <c r="FI39" s="130">
        <v>4.4000000000000004</v>
      </c>
      <c r="FJ39" s="130">
        <v>4.84</v>
      </c>
      <c r="FK39" s="130">
        <v>4.84</v>
      </c>
      <c r="FL39" s="130">
        <v>2.8</v>
      </c>
      <c r="FM39" s="130">
        <v>2.8</v>
      </c>
      <c r="FN39" s="130">
        <v>2.8</v>
      </c>
      <c r="FO39" s="130">
        <v>2.8</v>
      </c>
      <c r="FP39" s="130">
        <v>2.1</v>
      </c>
      <c r="FQ39" s="130">
        <v>2.2000000000000002</v>
      </c>
      <c r="FR39" s="130">
        <v>2.9</v>
      </c>
      <c r="FS39" s="130">
        <v>2.9</v>
      </c>
      <c r="FT39" s="130">
        <v>1.5</v>
      </c>
      <c r="FU39" s="130">
        <v>0.9</v>
      </c>
      <c r="FV39" s="130">
        <v>2.7</v>
      </c>
      <c r="FW39" s="130">
        <v>2.7</v>
      </c>
      <c r="FX39" s="130">
        <v>2.8</v>
      </c>
      <c r="FY39" s="130">
        <v>3.2</v>
      </c>
      <c r="FZ39" s="130">
        <v>2.2999999999999998</v>
      </c>
      <c r="GA39" s="130">
        <v>6.8</v>
      </c>
      <c r="GB39" s="130">
        <v>4.3</v>
      </c>
      <c r="GC39" s="130">
        <v>4.3</v>
      </c>
      <c r="GD39" s="130">
        <v>3.68</v>
      </c>
      <c r="GE39" s="130">
        <v>3.5</v>
      </c>
      <c r="GF39" s="130">
        <v>2.2999999999999998</v>
      </c>
      <c r="GG39" s="130">
        <v>2.4</v>
      </c>
      <c r="GH39" s="130">
        <v>2.4</v>
      </c>
      <c r="GI39" s="130">
        <v>2</v>
      </c>
      <c r="GJ39" s="130">
        <v>5</v>
      </c>
      <c r="GK39" s="130">
        <v>5</v>
      </c>
      <c r="GL39" s="130">
        <v>5</v>
      </c>
      <c r="GM39" s="130">
        <v>5</v>
      </c>
      <c r="GN39" s="130"/>
      <c r="GO39" s="130"/>
      <c r="GP39" s="130"/>
      <c r="GQ39" s="130"/>
      <c r="GR39" s="130"/>
      <c r="GS39" s="130"/>
      <c r="GT39" s="130"/>
      <c r="GU39" s="130"/>
      <c r="GV39" s="130"/>
      <c r="GW39" s="130"/>
      <c r="GX39" s="130"/>
      <c r="GY39" s="130"/>
      <c r="GZ39" s="130"/>
      <c r="HA39" s="130"/>
      <c r="HB39" s="130"/>
      <c r="HC39" s="130"/>
      <c r="HD39" s="130">
        <v>8.3000000000000007</v>
      </c>
      <c r="HE39" s="130">
        <v>8.3000000000000007</v>
      </c>
      <c r="HF39" s="130">
        <v>5</v>
      </c>
      <c r="HG39" s="130">
        <v>5</v>
      </c>
      <c r="HH39" s="130">
        <v>5</v>
      </c>
      <c r="HI39" s="130">
        <v>1</v>
      </c>
      <c r="HJ39" s="130">
        <v>6.3</v>
      </c>
      <c r="HK39" s="130">
        <v>3.9</v>
      </c>
      <c r="HL39" s="130">
        <v>5.2</v>
      </c>
      <c r="HM39" s="130">
        <v>3.6</v>
      </c>
      <c r="HN39" s="130"/>
      <c r="HO39" s="130">
        <v>3</v>
      </c>
      <c r="HP39" s="130">
        <v>2.95</v>
      </c>
      <c r="HQ39" s="130">
        <v>2.7</v>
      </c>
      <c r="HR39" s="130">
        <v>2.7</v>
      </c>
      <c r="HS39" s="130">
        <v>1.88</v>
      </c>
      <c r="HT39" s="130">
        <v>0.68799999999999994</v>
      </c>
      <c r="HU39" s="130">
        <v>0.68799999999999994</v>
      </c>
      <c r="HV39" s="130">
        <v>0</v>
      </c>
      <c r="HW39" s="130">
        <v>0</v>
      </c>
      <c r="HX39" s="130">
        <v>0</v>
      </c>
      <c r="HY39" s="130">
        <v>0</v>
      </c>
      <c r="HZ39" s="130">
        <v>0</v>
      </c>
      <c r="IA39" s="130">
        <v>0</v>
      </c>
      <c r="IB39" s="130">
        <v>0</v>
      </c>
      <c r="IC39" s="130">
        <v>0</v>
      </c>
      <c r="ID39" s="130">
        <v>0</v>
      </c>
      <c r="IE39" s="130">
        <v>1.8</v>
      </c>
      <c r="IF39" s="130">
        <v>1.8</v>
      </c>
      <c r="IG39" s="130">
        <v>2</v>
      </c>
      <c r="IH39" s="130">
        <v>2</v>
      </c>
      <c r="II39" s="130">
        <v>2</v>
      </c>
      <c r="IJ39" s="130">
        <v>2</v>
      </c>
      <c r="IK39" s="130">
        <v>0</v>
      </c>
      <c r="IL39" s="130">
        <v>0</v>
      </c>
      <c r="IM39" s="130">
        <v>0</v>
      </c>
      <c r="IN39" s="130">
        <v>0</v>
      </c>
      <c r="IO39" s="130">
        <v>0</v>
      </c>
      <c r="IP39" s="130">
        <v>0</v>
      </c>
      <c r="IQ39" s="130">
        <v>0</v>
      </c>
      <c r="IR39" s="130">
        <v>0</v>
      </c>
      <c r="IS39" s="130">
        <v>0</v>
      </c>
      <c r="IT39" s="130">
        <v>0</v>
      </c>
      <c r="IU39" s="130">
        <v>0</v>
      </c>
      <c r="IV39" s="130">
        <v>0</v>
      </c>
      <c r="IW39" s="130">
        <v>0</v>
      </c>
      <c r="IX39" s="130">
        <v>0</v>
      </c>
      <c r="IY39" s="130">
        <v>0</v>
      </c>
      <c r="IZ39" s="130">
        <v>3.2</v>
      </c>
      <c r="JA39" s="130">
        <v>3.2</v>
      </c>
      <c r="JB39" s="130">
        <v>3.2</v>
      </c>
      <c r="JC39" s="130">
        <v>0</v>
      </c>
      <c r="JD39" s="130">
        <v>0</v>
      </c>
      <c r="JE39" s="130">
        <v>0</v>
      </c>
      <c r="JF39" s="130">
        <v>0</v>
      </c>
      <c r="JG39" s="130">
        <v>0</v>
      </c>
      <c r="JH39" s="130">
        <v>0</v>
      </c>
      <c r="JI39" s="130">
        <v>0</v>
      </c>
      <c r="JJ39" s="130">
        <v>0</v>
      </c>
      <c r="JK39" s="130">
        <v>0</v>
      </c>
      <c r="JL39" s="130">
        <v>0</v>
      </c>
      <c r="JM39" s="130">
        <v>6.3</v>
      </c>
      <c r="JN39" s="130">
        <v>6.3</v>
      </c>
      <c r="JO39" s="130">
        <v>6.3</v>
      </c>
      <c r="JP39" s="130">
        <v>0</v>
      </c>
      <c r="JQ39" s="130">
        <v>0</v>
      </c>
      <c r="JR39" s="130">
        <v>9.6</v>
      </c>
      <c r="JS39" s="130">
        <v>9.6</v>
      </c>
      <c r="JT39" s="130">
        <v>9.6</v>
      </c>
      <c r="JU39" s="130">
        <v>6.5</v>
      </c>
      <c r="JV39" s="130">
        <v>6.5</v>
      </c>
      <c r="JW39" s="130">
        <v>3.7</v>
      </c>
      <c r="JX39" s="130">
        <v>3.7</v>
      </c>
      <c r="JY39" s="130">
        <v>3.7</v>
      </c>
      <c r="JZ39" s="130">
        <v>3.7</v>
      </c>
      <c r="KA39" s="130">
        <v>3.5</v>
      </c>
      <c r="KB39" s="130">
        <v>1.3</v>
      </c>
      <c r="KC39" s="130">
        <v>1.3</v>
      </c>
      <c r="KD39" s="130">
        <v>1.3</v>
      </c>
      <c r="KE39" s="130">
        <v>1.3</v>
      </c>
      <c r="KF39" s="130">
        <v>0</v>
      </c>
      <c r="KG39" s="130">
        <v>4.4000000000000004</v>
      </c>
      <c r="KH39" s="130">
        <v>4.4000000000000004</v>
      </c>
      <c r="KI39" s="130">
        <v>4.7</v>
      </c>
      <c r="KJ39" s="130">
        <v>4.7</v>
      </c>
      <c r="KK39" s="130">
        <v>4.9000000000000004</v>
      </c>
      <c r="KL39" s="130">
        <v>5.7</v>
      </c>
      <c r="KM39" s="130">
        <v>5.7</v>
      </c>
      <c r="KN39" s="130">
        <v>4.3</v>
      </c>
      <c r="KO39" s="130">
        <v>4.3</v>
      </c>
      <c r="KP39" s="130">
        <v>4.2</v>
      </c>
      <c r="KQ39" s="130">
        <v>6.4499999999999993</v>
      </c>
      <c r="KR39" s="130">
        <v>6.4499999999999993</v>
      </c>
      <c r="KS39" s="130">
        <v>2.5</v>
      </c>
      <c r="KT39" s="130">
        <v>2.5</v>
      </c>
      <c r="KU39" s="130">
        <v>1.2</v>
      </c>
      <c r="KV39" s="130">
        <v>2</v>
      </c>
      <c r="KW39" s="130">
        <v>8</v>
      </c>
      <c r="KX39" s="130">
        <v>6</v>
      </c>
      <c r="KY39" s="130">
        <v>6</v>
      </c>
      <c r="KZ39" s="130">
        <v>4.8</v>
      </c>
      <c r="LA39" s="130">
        <v>4.8</v>
      </c>
      <c r="LB39" s="130">
        <v>4.8</v>
      </c>
      <c r="LC39" s="130">
        <v>4.8</v>
      </c>
      <c r="LD39" s="130">
        <v>4.8</v>
      </c>
      <c r="LE39" s="130">
        <v>3.194</v>
      </c>
      <c r="LF39" s="130">
        <v>7</v>
      </c>
      <c r="LG39" s="130">
        <v>7</v>
      </c>
      <c r="LH39" s="130">
        <v>7</v>
      </c>
      <c r="LI39" s="130">
        <v>2.4000000000000004</v>
      </c>
      <c r="LJ39" s="130">
        <v>2.4000000000000004</v>
      </c>
      <c r="LK39" s="130">
        <v>2.4000000000000004</v>
      </c>
      <c r="LL39" s="130">
        <v>6.9</v>
      </c>
      <c r="LM39" s="130">
        <v>6.9</v>
      </c>
      <c r="LN39" s="130">
        <v>0.6</v>
      </c>
      <c r="LO39" s="130">
        <v>0.6</v>
      </c>
      <c r="LP39" s="130">
        <v>0.6</v>
      </c>
      <c r="LQ39" s="130">
        <v>0.6</v>
      </c>
      <c r="LR39" s="130">
        <v>0.6</v>
      </c>
      <c r="LS39" s="130">
        <v>0.6</v>
      </c>
      <c r="LT39" s="130">
        <v>0.6</v>
      </c>
      <c r="LU39" s="130">
        <v>0.6</v>
      </c>
      <c r="LV39" s="130">
        <v>2.5480345600000001</v>
      </c>
      <c r="LW39" s="130">
        <v>2.5480345600000001</v>
      </c>
      <c r="LX39" s="130">
        <v>5.1656424100000002</v>
      </c>
      <c r="LY39" s="130">
        <v>5.1656424100000002</v>
      </c>
      <c r="LZ39" s="130">
        <v>12.775205040000001</v>
      </c>
      <c r="MA39" s="130">
        <v>12.775205040000001</v>
      </c>
      <c r="MB39" s="130">
        <v>12.775205040000001</v>
      </c>
      <c r="MC39" s="130">
        <v>12.775205040000001</v>
      </c>
      <c r="MD39" s="130">
        <v>9.7926349500000001</v>
      </c>
      <c r="ME39" s="130">
        <v>10.104442710000001</v>
      </c>
      <c r="MF39" s="130">
        <v>10.104442710000001</v>
      </c>
      <c r="MG39" s="130">
        <v>10.104442710000001</v>
      </c>
      <c r="MH39" s="130">
        <v>4.8557589300000004</v>
      </c>
      <c r="MI39" s="130">
        <v>4.8557589300000004</v>
      </c>
      <c r="MJ39" s="130">
        <v>4.8616274199999996</v>
      </c>
      <c r="MK39" s="130">
        <v>4.8807388500000002</v>
      </c>
      <c r="ML39" s="130">
        <v>4.8807388500000002</v>
      </c>
      <c r="MM39" s="130">
        <v>4.8807388500000002</v>
      </c>
      <c r="MN39" s="130">
        <v>4.8807388500000002</v>
      </c>
      <c r="MO39" s="130">
        <v>4.8807388500000002</v>
      </c>
      <c r="MP39" s="130">
        <v>4.8807388500000002</v>
      </c>
      <c r="MQ39" s="130">
        <v>2.9</v>
      </c>
      <c r="MR39" s="130">
        <v>2.9</v>
      </c>
      <c r="MS39" s="130">
        <v>2.4375045200000001</v>
      </c>
      <c r="MT39" s="130">
        <v>2.3882199499999999</v>
      </c>
      <c r="MU39" s="130">
        <v>2.3882199499999999</v>
      </c>
      <c r="MV39" s="130">
        <v>2.3882199499999999</v>
      </c>
      <c r="MW39" s="130">
        <v>3.9169410199999999</v>
      </c>
      <c r="MX39" s="130">
        <v>3.9073921500000002</v>
      </c>
      <c r="MY39" s="130">
        <v>3.9073921500000002</v>
      </c>
      <c r="MZ39" s="130">
        <v>3.9073921500000002</v>
      </c>
      <c r="NA39" s="130">
        <v>3.9073921500000002</v>
      </c>
      <c r="NB39" s="130">
        <v>3.9073921500000002</v>
      </c>
      <c r="NC39" s="130">
        <v>3.9073921500000002</v>
      </c>
      <c r="ND39" s="130">
        <v>3.9073921500000002</v>
      </c>
      <c r="NE39" s="130">
        <v>3.9073921500000002</v>
      </c>
      <c r="NF39" s="130">
        <v>2.0057682400000001</v>
      </c>
      <c r="NG39" s="130">
        <v>2.6049015600000001</v>
      </c>
      <c r="NH39" s="130">
        <v>2.60686923</v>
      </c>
      <c r="NI39" s="130">
        <v>2.5991919699999997</v>
      </c>
      <c r="NJ39" s="130">
        <v>2.5991919699999997</v>
      </c>
      <c r="NK39" s="130">
        <v>3.3719074899999999</v>
      </c>
      <c r="NL39" s="130">
        <v>3.3719074899999999</v>
      </c>
      <c r="NM39" s="130">
        <v>1.7195714</v>
      </c>
      <c r="NN39" s="130">
        <v>1.7195714</v>
      </c>
      <c r="NO39" s="130">
        <v>1.7195714</v>
      </c>
      <c r="NP39" s="130">
        <v>2.4190863</v>
      </c>
      <c r="NQ39" s="130">
        <v>2.4190863</v>
      </c>
      <c r="NR39" s="130">
        <v>2.4183262999999999</v>
      </c>
      <c r="NS39" s="130">
        <v>2.4183262999999999</v>
      </c>
      <c r="NT39" s="130">
        <v>2.4183262999999999</v>
      </c>
      <c r="NU39" s="130">
        <v>4.7681064099999997</v>
      </c>
      <c r="NV39" s="130">
        <v>4.0561410200000001</v>
      </c>
      <c r="NW39" s="130">
        <v>4.0561410200000001</v>
      </c>
      <c r="NX39" s="130">
        <v>4.0561410200000001</v>
      </c>
      <c r="NY39" s="130">
        <v>1.31582416</v>
      </c>
      <c r="NZ39" s="130">
        <v>1.33752526</v>
      </c>
      <c r="OA39" s="130">
        <v>1.33752526</v>
      </c>
      <c r="OB39" s="130">
        <v>1.33752526</v>
      </c>
      <c r="OC39" s="130">
        <v>1.4237363599999999</v>
      </c>
      <c r="OD39" s="130">
        <v>1.4237363599999999</v>
      </c>
      <c r="OE39" s="130">
        <v>1.4237363599999999</v>
      </c>
      <c r="OF39" s="130">
        <v>1.4237363599999999</v>
      </c>
      <c r="OG39" s="130">
        <v>3.4669743</v>
      </c>
      <c r="OH39" s="130">
        <v>3.4669743</v>
      </c>
      <c r="OI39" s="130">
        <v>3.3835933800000002</v>
      </c>
      <c r="OJ39" s="130">
        <v>3.3781393799999999</v>
      </c>
      <c r="OK39" s="130">
        <v>3.3781393799999999</v>
      </c>
      <c r="OL39" s="130">
        <v>3.3815717099999998</v>
      </c>
      <c r="OM39" s="130">
        <v>3.3815717099999998</v>
      </c>
      <c r="ON39" s="130">
        <v>3.3815717099999998</v>
      </c>
      <c r="OO39" s="130">
        <v>0.68902715999999997</v>
      </c>
      <c r="OP39" s="130">
        <v>1.0650191600000001</v>
      </c>
      <c r="OQ39" s="130">
        <v>1.0650191600000001</v>
      </c>
      <c r="OR39" s="130">
        <v>1.0650191600000001</v>
      </c>
      <c r="OS39" s="130">
        <v>1.7073611099999999</v>
      </c>
      <c r="OT39" s="130">
        <v>1.7079460399999999</v>
      </c>
      <c r="OU39" s="130">
        <v>1.7079460399999999</v>
      </c>
      <c r="OV39" s="130">
        <v>1.7079460399999999</v>
      </c>
      <c r="OW39" s="130">
        <v>1.7091063099999999</v>
      </c>
      <c r="OX39" s="130">
        <v>1.7091063099999999</v>
      </c>
      <c r="OY39" s="130">
        <v>0.86215923999999999</v>
      </c>
      <c r="OZ39" s="130">
        <v>0.86215923999999999</v>
      </c>
      <c r="PA39" s="130">
        <v>0.86215923999999999</v>
      </c>
      <c r="PB39" s="130">
        <v>5.016105350000001</v>
      </c>
      <c r="PC39" s="130">
        <v>5.016105350000001</v>
      </c>
      <c r="PD39" s="130">
        <v>5.016105350000001</v>
      </c>
      <c r="PE39" s="130">
        <v>5.4761545300000005</v>
      </c>
      <c r="PF39" s="130">
        <v>5.4761545300000005</v>
      </c>
      <c r="PG39" s="130">
        <v>5.4761545300000005</v>
      </c>
      <c r="PH39" s="130">
        <v>5.4761545300000005</v>
      </c>
      <c r="PI39" s="130">
        <v>5.3724725199999996</v>
      </c>
      <c r="PJ39" s="130">
        <v>5.3745905499999997</v>
      </c>
      <c r="PK39" s="130">
        <v>5.3745905499999997</v>
      </c>
      <c r="PL39" s="130">
        <v>5.3745905499999997</v>
      </c>
      <c r="PM39" s="130">
        <v>5.3745905499999997</v>
      </c>
      <c r="PN39" s="130">
        <v>1.4427034400000001</v>
      </c>
      <c r="PO39" s="130">
        <v>1.4427034400000001</v>
      </c>
      <c r="PP39" s="130">
        <v>1.4427034400000001</v>
      </c>
      <c r="PQ39" s="130">
        <v>1.37452576</v>
      </c>
      <c r="PR39" s="130">
        <v>1.37452576</v>
      </c>
      <c r="PS39" s="130">
        <v>2.1842582899999998</v>
      </c>
      <c r="PT39" s="130">
        <v>2.1842582899999998</v>
      </c>
      <c r="PU39" s="130">
        <v>0.74591973</v>
      </c>
      <c r="PV39" s="130">
        <v>0.74591973</v>
      </c>
      <c r="PW39" s="130">
        <v>0.74591973</v>
      </c>
      <c r="PX39" s="130">
        <v>1.74209612</v>
      </c>
      <c r="PY39" s="130">
        <v>1.7427272700000001</v>
      </c>
      <c r="PZ39" s="130">
        <v>1.7427272700000001</v>
      </c>
      <c r="QA39" s="130">
        <v>1.7427272700000001</v>
      </c>
      <c r="QB39" s="130">
        <v>7.7001031500000003</v>
      </c>
      <c r="QC39" s="130">
        <v>7.7092015100000015</v>
      </c>
      <c r="QD39" s="130">
        <v>7.7092015100000015</v>
      </c>
      <c r="QE39" s="130">
        <v>5.7394503200000004</v>
      </c>
      <c r="QF39" s="130">
        <v>5.7394503200000004</v>
      </c>
      <c r="QG39" s="130">
        <v>5.7394503200000004</v>
      </c>
      <c r="QH39" s="130">
        <v>5.7394503200000004</v>
      </c>
      <c r="QI39" s="130">
        <v>0.76035995999999995</v>
      </c>
      <c r="QJ39" s="130">
        <v>0.76035995999999995</v>
      </c>
      <c r="QK39" s="130">
        <v>9.8782700000000001E-2</v>
      </c>
      <c r="QL39" s="130">
        <v>9.8782700000000001E-2</v>
      </c>
      <c r="QM39" s="130">
        <v>9.8782700000000001E-2</v>
      </c>
      <c r="QN39" s="130">
        <v>0.96281430000000001</v>
      </c>
      <c r="QO39" s="130">
        <v>5.9039129899999994</v>
      </c>
      <c r="QP39" s="130">
        <v>5.9039129899999994</v>
      </c>
      <c r="QQ39" s="130">
        <v>12.315007599999999</v>
      </c>
      <c r="QR39" s="130">
        <v>12.315007599999999</v>
      </c>
      <c r="QS39" s="130">
        <v>5.4574512200000003</v>
      </c>
      <c r="QT39" s="130">
        <v>5.4595823700000006</v>
      </c>
      <c r="QU39" s="130">
        <v>5.4595823700000006</v>
      </c>
      <c r="QV39" s="130">
        <v>5.2132209399999994</v>
      </c>
      <c r="QW39" s="130">
        <v>5.4595823700000006</v>
      </c>
      <c r="QX39" s="130">
        <v>5.4595823700000006</v>
      </c>
      <c r="QY39" s="130">
        <v>2.5740690799999997</v>
      </c>
      <c r="QZ39" s="130">
        <v>2.5740690799999997</v>
      </c>
      <c r="RA39" s="130">
        <v>1.1047729900000001</v>
      </c>
      <c r="RB39" s="130">
        <v>1.1047729900000001</v>
      </c>
      <c r="RC39" s="130">
        <v>1.1047729900000001</v>
      </c>
      <c r="RD39" s="130">
        <v>1.1047729900000001</v>
      </c>
      <c r="RE39" s="130">
        <v>1.4724763400000001</v>
      </c>
      <c r="RF39" s="130">
        <v>1.4724763400000001</v>
      </c>
      <c r="RG39" s="130">
        <v>1.4724763400000001</v>
      </c>
      <c r="RH39" s="130">
        <v>4.2023015800000003</v>
      </c>
      <c r="RI39" s="130">
        <v>4.2023015800000003</v>
      </c>
      <c r="RJ39" s="130">
        <v>4.2023015800000003</v>
      </c>
      <c r="RK39" s="130">
        <v>2.8683127600000002</v>
      </c>
      <c r="RL39" s="130">
        <v>2.8683127600000002</v>
      </c>
      <c r="RM39" s="130">
        <v>1.26547517</v>
      </c>
      <c r="RN39" s="130">
        <v>1.26547517</v>
      </c>
      <c r="RO39" s="130">
        <v>1.26547517</v>
      </c>
      <c r="RP39" s="130">
        <v>1.26547517</v>
      </c>
      <c r="RQ39" s="130">
        <v>1.23710388</v>
      </c>
      <c r="RR39" s="130">
        <v>1.23710388</v>
      </c>
      <c r="RS39" s="130">
        <v>4.8698602000000006</v>
      </c>
      <c r="RT39" s="130">
        <v>4.8698602000000006</v>
      </c>
      <c r="RU39" s="130">
        <v>4.8698602000000006</v>
      </c>
      <c r="RV39" s="130">
        <v>4.8698602000000006</v>
      </c>
      <c r="RW39" s="130">
        <v>4.8698602000000006</v>
      </c>
      <c r="RX39" s="130">
        <v>4.8698602000000006</v>
      </c>
      <c r="RY39" s="130">
        <v>0.73814592000000001</v>
      </c>
      <c r="RZ39" s="130">
        <v>0.73814592000000001</v>
      </c>
      <c r="SA39" s="130">
        <v>0.48010992000000002</v>
      </c>
      <c r="SB39" s="130">
        <v>1.20323235</v>
      </c>
      <c r="SC39" s="130">
        <v>1.20323235</v>
      </c>
      <c r="SD39" s="130">
        <v>1.20323235</v>
      </c>
      <c r="SE39" s="130">
        <v>0.60359381000000001</v>
      </c>
      <c r="SF39" s="130">
        <v>0.60359381000000001</v>
      </c>
      <c r="SG39" s="130">
        <v>0.88762158999999996</v>
      </c>
      <c r="SH39" s="130">
        <v>0.88762158999999996</v>
      </c>
      <c r="SI39" s="130">
        <v>2.78263316</v>
      </c>
      <c r="SJ39" s="130">
        <v>2.78263316</v>
      </c>
      <c r="SK39" s="130">
        <v>1.9089726900000001</v>
      </c>
      <c r="SL39" s="130">
        <v>1.9089726900000001</v>
      </c>
      <c r="SM39" s="130">
        <v>1.9275493300000002</v>
      </c>
      <c r="SN39" s="130">
        <v>1.9275493300000002</v>
      </c>
      <c r="SO39" s="130">
        <v>1.9275493300000002</v>
      </c>
      <c r="SP39" s="130">
        <v>1.9275493300000002</v>
      </c>
      <c r="SQ39" s="130">
        <v>1.9275493300000002</v>
      </c>
      <c r="SR39" s="130">
        <v>1.9275493300000002</v>
      </c>
      <c r="SS39" s="130">
        <v>3.2151229200000002</v>
      </c>
      <c r="ST39" s="130">
        <v>3.2151229200000002</v>
      </c>
      <c r="SU39" s="130">
        <v>3.1711803600000001</v>
      </c>
      <c r="SV39" s="130">
        <v>3.1711803600000001</v>
      </c>
      <c r="SW39" s="130">
        <v>3.1711803600000001</v>
      </c>
      <c r="SX39" s="130">
        <v>1.9427061800000001</v>
      </c>
      <c r="SY39" s="130">
        <v>1.9427061800000001</v>
      </c>
      <c r="SZ39" s="130">
        <v>1.9427061800000001</v>
      </c>
      <c r="TA39" s="130">
        <v>7.3035500000000003E-2</v>
      </c>
      <c r="TB39" s="130">
        <v>7.3035500000000003E-2</v>
      </c>
      <c r="TC39" s="130">
        <v>6.03251E-2</v>
      </c>
      <c r="TD39" s="130">
        <v>6.03251E-2</v>
      </c>
      <c r="TE39" s="130">
        <v>6.03251E-2</v>
      </c>
      <c r="TF39" s="130">
        <v>1.03624264</v>
      </c>
      <c r="TG39" s="130">
        <v>0.74354103000000005</v>
      </c>
      <c r="TH39" s="130">
        <v>2.0991138899999999</v>
      </c>
      <c r="TI39" s="130">
        <v>1.50680072</v>
      </c>
      <c r="TJ39" s="130">
        <v>1.50832531</v>
      </c>
      <c r="TK39" s="130">
        <v>1.4175892299999999</v>
      </c>
      <c r="TL39" s="130">
        <v>1.7694714199999999</v>
      </c>
      <c r="TM39" s="130">
        <v>1.3480894800000001</v>
      </c>
      <c r="TN39" s="130">
        <v>0.48001240000000001</v>
      </c>
      <c r="TO39" s="130">
        <v>0.91596242000000005</v>
      </c>
      <c r="TP39" s="130">
        <v>0.22513744999999999</v>
      </c>
      <c r="TQ39" s="130">
        <v>0.62841729999999996</v>
      </c>
      <c r="TR39" s="130">
        <v>1.5</v>
      </c>
      <c r="TS39" s="130">
        <v>3.9000000000000004</v>
      </c>
      <c r="TT39" s="130">
        <v>3.9000000000000004</v>
      </c>
      <c r="TU39" s="130">
        <v>0.7</v>
      </c>
      <c r="TV39" s="130">
        <v>5.9</v>
      </c>
      <c r="TW39" s="130">
        <v>3.7823744499999998</v>
      </c>
      <c r="TX39" s="130">
        <v>3.6602065499999998</v>
      </c>
      <c r="TY39" s="130">
        <v>3.6615682999999999</v>
      </c>
      <c r="TZ39" s="130">
        <v>5.0995784500000001</v>
      </c>
      <c r="UA39" s="130">
        <v>1.0313199500000001</v>
      </c>
      <c r="UB39" s="130">
        <v>3.8821005099999999</v>
      </c>
      <c r="UC39" s="130">
        <v>3.8837595299999998</v>
      </c>
      <c r="UD39" s="130">
        <v>1.8678561</v>
      </c>
      <c r="UE39" s="130">
        <v>0.56818380999999996</v>
      </c>
      <c r="UF39" s="130">
        <v>8.1876405099999996</v>
      </c>
      <c r="UG39" s="130">
        <v>0.80005751999999997</v>
      </c>
      <c r="UH39" s="130">
        <v>0.79765752000000001</v>
      </c>
      <c r="UI39" s="130">
        <v>0.71814743999999997</v>
      </c>
      <c r="UJ39" s="130">
        <v>3.1161717400000004</v>
      </c>
      <c r="UK39" s="130">
        <v>3.0342774800000001</v>
      </c>
      <c r="UL39" s="130">
        <v>2.9585521100000003</v>
      </c>
      <c r="UM39" s="130">
        <v>2.9161406100000002</v>
      </c>
      <c r="UN39" s="130">
        <v>0.2189006</v>
      </c>
      <c r="UO39" s="130">
        <v>0.2189006</v>
      </c>
      <c r="UP39" s="130">
        <v>0.2189006</v>
      </c>
      <c r="UQ39" s="130">
        <v>0.34180128999999998</v>
      </c>
      <c r="UR39" s="130">
        <v>0.12161296000000001</v>
      </c>
      <c r="US39" s="130">
        <v>0.62539442999999995</v>
      </c>
      <c r="UT39" s="130">
        <v>0.53187627999999998</v>
      </c>
      <c r="UU39" s="130">
        <v>3.2805155099999999</v>
      </c>
      <c r="UV39" s="130">
        <v>1.85354229</v>
      </c>
      <c r="UW39" s="130">
        <v>0.50369529000000002</v>
      </c>
      <c r="UX39" s="130">
        <v>0.20655744000000001</v>
      </c>
      <c r="UY39" s="130">
        <v>0.44333901999999997</v>
      </c>
      <c r="UZ39" s="130">
        <v>0.44167338</v>
      </c>
      <c r="VA39" s="130">
        <v>0.40402683</v>
      </c>
      <c r="VB39" s="130">
        <v>9.1232859999999999E-2</v>
      </c>
      <c r="VC39" s="130">
        <v>0.14159740000000001</v>
      </c>
      <c r="VD39" s="130">
        <v>0.14159740000000001</v>
      </c>
      <c r="VE39" s="130">
        <v>0.14159740000000001</v>
      </c>
      <c r="VF39" s="130">
        <v>4.8710446899999988</v>
      </c>
      <c r="VG39" s="130">
        <v>2.0802802099999997</v>
      </c>
      <c r="VH39" s="130">
        <v>2.9870049200000004</v>
      </c>
      <c r="VI39" s="130">
        <v>3.07368738</v>
      </c>
      <c r="VJ39" s="130">
        <v>1.3495586400000001</v>
      </c>
      <c r="VK39" s="130">
        <v>1.35207722</v>
      </c>
      <c r="VL39" s="130">
        <v>7</v>
      </c>
      <c r="VM39" s="130">
        <v>2.2507977800000001</v>
      </c>
      <c r="VN39" s="130">
        <v>2.2336528100000002</v>
      </c>
      <c r="VO39" s="130">
        <v>3.6758921599999996</v>
      </c>
      <c r="VP39" s="130">
        <v>3.67779079</v>
      </c>
      <c r="VQ39" s="130">
        <v>2.6421865599999999</v>
      </c>
      <c r="VR39" s="130">
        <v>0.60836053000000001</v>
      </c>
      <c r="VS39" s="130">
        <v>0.57728343999999998</v>
      </c>
      <c r="VT39" s="130">
        <v>0.49715119000000002</v>
      </c>
      <c r="VU39" s="130">
        <v>0.49715119000000002</v>
      </c>
      <c r="VV39" s="130">
        <v>1.2998187800000001</v>
      </c>
      <c r="VW39" s="130">
        <v>1.2998187800000001</v>
      </c>
      <c r="VX39" s="130">
        <v>0.69061333000000003</v>
      </c>
      <c r="VY39" s="130">
        <v>7.8567410000000004E-2</v>
      </c>
      <c r="VZ39" s="130">
        <v>7.8567410000000004E-2</v>
      </c>
      <c r="WA39" s="130">
        <v>0.97103943000000004</v>
      </c>
      <c r="WB39" s="130">
        <v>1.2215682000000001</v>
      </c>
      <c r="WC39" s="130">
        <v>3.7486625999999998</v>
      </c>
      <c r="WD39" s="130">
        <v>0.27801523</v>
      </c>
      <c r="WE39" s="130">
        <v>2.2375357899999999</v>
      </c>
      <c r="WF39" s="130">
        <v>2.2375357899999999</v>
      </c>
      <c r="WG39" s="130">
        <v>2.2793969999999999</v>
      </c>
      <c r="WH39" s="130">
        <v>2.2826937100000002</v>
      </c>
      <c r="WI39" s="130">
        <v>2.2837402899999999</v>
      </c>
      <c r="WJ39" s="130">
        <v>0.2079107</v>
      </c>
      <c r="WK39" s="130">
        <v>0.2079107</v>
      </c>
      <c r="WL39" s="130">
        <v>0.2079107</v>
      </c>
      <c r="WM39" s="130">
        <v>1.94687915</v>
      </c>
      <c r="WN39" s="130">
        <v>1.9481120200000002</v>
      </c>
      <c r="WO39" s="130">
        <v>1.9460153899999999</v>
      </c>
      <c r="WP39" s="130">
        <v>2.9179824700000001</v>
      </c>
      <c r="WQ39" s="130">
        <v>3.1019790200000004</v>
      </c>
      <c r="WR39" s="130">
        <v>1.8032517699999999</v>
      </c>
      <c r="WS39" s="130">
        <v>5.6621092800000001</v>
      </c>
      <c r="WT39" s="130">
        <v>2.3867531200000003</v>
      </c>
      <c r="WU39" s="130">
        <v>2.1160196</v>
      </c>
      <c r="WV39" s="130">
        <v>2.1160196</v>
      </c>
      <c r="WW39" s="130">
        <v>1.7160196000000001</v>
      </c>
      <c r="WX39" s="130">
        <v>1.7160196000000001</v>
      </c>
      <c r="WY39" s="130">
        <v>1.7160196000000001</v>
      </c>
      <c r="WZ39" s="130">
        <v>1.7160196000000001</v>
      </c>
      <c r="XA39" s="130">
        <v>1.7160196000000001</v>
      </c>
      <c r="XB39" s="130">
        <v>1.7160196000000001</v>
      </c>
      <c r="XC39" s="130">
        <v>1.7160196000000001</v>
      </c>
      <c r="XD39" s="130">
        <v>4</v>
      </c>
      <c r="XE39" s="130">
        <v>3.6</v>
      </c>
      <c r="XF39" s="130">
        <v>3.6</v>
      </c>
      <c r="XG39" s="130">
        <v>2</v>
      </c>
      <c r="XH39" s="130">
        <v>1.6</v>
      </c>
      <c r="XI39" s="130">
        <v>0.47</v>
      </c>
      <c r="XJ39" s="130">
        <v>0.47</v>
      </c>
      <c r="XK39" s="130">
        <v>0.47</v>
      </c>
      <c r="XL39" s="130">
        <v>0.47</v>
      </c>
      <c r="XM39" s="130">
        <v>0.47</v>
      </c>
      <c r="XN39" s="130">
        <v>0.47</v>
      </c>
      <c r="XO39" s="130">
        <v>0.47</v>
      </c>
      <c r="XP39" s="130">
        <v>0.47</v>
      </c>
      <c r="XQ39" s="130">
        <v>0.47</v>
      </c>
      <c r="XR39" s="130">
        <v>0.47</v>
      </c>
      <c r="XS39" s="130">
        <v>0.47</v>
      </c>
      <c r="XT39" s="130">
        <v>0.47</v>
      </c>
      <c r="XU39" s="130">
        <v>0.47</v>
      </c>
      <c r="XV39" s="130">
        <v>0.47</v>
      </c>
      <c r="XW39" s="130">
        <v>0.47</v>
      </c>
      <c r="XX39" s="130">
        <v>0.47</v>
      </c>
      <c r="XY39" s="130">
        <v>0.47</v>
      </c>
      <c r="XZ39" s="130">
        <v>0.47</v>
      </c>
      <c r="YA39" s="130">
        <v>0</v>
      </c>
      <c r="YB39" s="130">
        <v>0</v>
      </c>
      <c r="YC39" s="130">
        <v>0</v>
      </c>
      <c r="YD39" s="130">
        <v>0</v>
      </c>
      <c r="YE39" s="130">
        <v>0</v>
      </c>
      <c r="YF39" s="130">
        <v>0</v>
      </c>
      <c r="YG39" s="130">
        <v>0</v>
      </c>
      <c r="YH39" s="130">
        <v>0</v>
      </c>
    </row>
    <row r="40" spans="2:658">
      <c r="B40" s="917" t="s">
        <v>61</v>
      </c>
      <c r="C40" s="918">
        <v>10.7</v>
      </c>
      <c r="D40" s="130">
        <v>10.7</v>
      </c>
      <c r="E40" s="130">
        <v>10.7</v>
      </c>
      <c r="F40" s="130">
        <v>10.7</v>
      </c>
      <c r="G40" s="130">
        <v>10.7</v>
      </c>
      <c r="H40" s="130">
        <v>10.7</v>
      </c>
      <c r="I40" s="130">
        <v>9</v>
      </c>
      <c r="J40" s="130">
        <v>9</v>
      </c>
      <c r="K40" s="130">
        <v>9</v>
      </c>
      <c r="L40" s="130">
        <v>9</v>
      </c>
      <c r="M40" s="130">
        <v>9</v>
      </c>
      <c r="N40" s="130">
        <v>9</v>
      </c>
      <c r="O40" s="130">
        <v>8.5</v>
      </c>
      <c r="P40" s="130">
        <v>8.5</v>
      </c>
      <c r="Q40" s="130">
        <v>8.5</v>
      </c>
      <c r="R40" s="130">
        <v>8.5</v>
      </c>
      <c r="S40" s="130">
        <v>7</v>
      </c>
      <c r="T40" s="130">
        <v>7</v>
      </c>
      <c r="U40" s="130">
        <v>7</v>
      </c>
      <c r="V40" s="130">
        <v>7</v>
      </c>
      <c r="W40" s="130">
        <v>7</v>
      </c>
      <c r="X40" s="130">
        <v>7</v>
      </c>
      <c r="Y40" s="130">
        <v>7</v>
      </c>
      <c r="Z40" s="130">
        <v>7</v>
      </c>
      <c r="AA40" s="130">
        <v>7</v>
      </c>
      <c r="AB40" s="130">
        <v>5.4</v>
      </c>
      <c r="AC40" s="130">
        <v>5.4</v>
      </c>
      <c r="AD40" s="130">
        <v>5.4</v>
      </c>
      <c r="AE40" s="130">
        <v>5.4</v>
      </c>
      <c r="AF40" s="130">
        <v>5.4</v>
      </c>
      <c r="AG40" s="130">
        <v>5.4</v>
      </c>
      <c r="AH40" s="130">
        <v>5.4</v>
      </c>
      <c r="AI40" s="130">
        <v>4.4000000000000004</v>
      </c>
      <c r="AJ40" s="130">
        <v>4.4000000000000004</v>
      </c>
      <c r="AK40" s="130">
        <v>4.4000000000000004</v>
      </c>
      <c r="AL40" s="130">
        <v>4.4000000000000004</v>
      </c>
      <c r="AM40" s="130">
        <v>4.4000000000000004</v>
      </c>
      <c r="AN40" s="130">
        <v>4.4000000000000004</v>
      </c>
      <c r="AO40" s="130">
        <v>4.4000000000000004</v>
      </c>
      <c r="AP40" s="130">
        <v>4.4000000000000004</v>
      </c>
      <c r="AQ40" s="130">
        <v>4.4000000000000004</v>
      </c>
      <c r="AR40" s="130">
        <v>4.4000000000000004</v>
      </c>
      <c r="AS40" s="130">
        <v>3.7</v>
      </c>
      <c r="AT40" s="130">
        <v>3.7</v>
      </c>
      <c r="AU40" s="130">
        <v>3.7</v>
      </c>
      <c r="AV40" s="130">
        <v>3.7</v>
      </c>
      <c r="AW40" s="130">
        <v>3.7</v>
      </c>
      <c r="AX40" s="130">
        <v>3.75</v>
      </c>
      <c r="AY40" s="130">
        <v>3.75</v>
      </c>
      <c r="AZ40" s="130">
        <v>3.75</v>
      </c>
      <c r="BA40" s="130">
        <v>3.75</v>
      </c>
      <c r="BB40" s="130">
        <v>3.75</v>
      </c>
      <c r="BC40" s="130">
        <v>3.75</v>
      </c>
      <c r="BD40" s="130">
        <v>3.75</v>
      </c>
      <c r="BE40" s="130">
        <v>3.75</v>
      </c>
      <c r="BF40" s="130">
        <v>3.75</v>
      </c>
      <c r="BG40" s="130">
        <v>3.75</v>
      </c>
      <c r="BH40" s="130">
        <v>3.75</v>
      </c>
      <c r="BI40" s="130">
        <v>3.75</v>
      </c>
      <c r="BJ40" s="130">
        <v>3.75</v>
      </c>
      <c r="BK40" s="130">
        <v>3.75</v>
      </c>
      <c r="BL40" s="130">
        <v>3.75</v>
      </c>
      <c r="BM40" s="130">
        <v>3.75</v>
      </c>
      <c r="BN40" s="130">
        <v>3.75</v>
      </c>
      <c r="BO40" s="130">
        <v>3.75</v>
      </c>
      <c r="BP40" s="130">
        <v>3.68</v>
      </c>
      <c r="BQ40" s="130">
        <v>3.68</v>
      </c>
      <c r="BR40" s="130">
        <v>3.68</v>
      </c>
      <c r="BS40" s="130">
        <v>3.68</v>
      </c>
      <c r="BT40" s="130">
        <v>3.68</v>
      </c>
      <c r="BU40" s="130">
        <v>3.68</v>
      </c>
      <c r="BV40" s="130">
        <v>3.68</v>
      </c>
      <c r="BW40" s="130">
        <v>3.68</v>
      </c>
      <c r="BX40" s="130">
        <v>3.68</v>
      </c>
      <c r="BY40" s="130">
        <v>3.68</v>
      </c>
      <c r="BZ40" s="130">
        <v>3.68</v>
      </c>
      <c r="CA40" s="130">
        <v>3.68</v>
      </c>
      <c r="CB40" s="130">
        <v>3.68</v>
      </c>
      <c r="CC40" s="130">
        <v>3.68</v>
      </c>
      <c r="CD40" s="130">
        <v>3.68</v>
      </c>
      <c r="CE40" s="130">
        <v>3.68</v>
      </c>
      <c r="CF40" s="130">
        <v>3.68</v>
      </c>
      <c r="CG40" s="130">
        <v>3.68</v>
      </c>
      <c r="CH40" s="130">
        <v>3.68</v>
      </c>
      <c r="CI40" s="130">
        <v>3.68</v>
      </c>
      <c r="CJ40" s="130">
        <v>3.68</v>
      </c>
      <c r="CK40" s="130">
        <v>3.68</v>
      </c>
      <c r="CL40" s="130">
        <v>3.58</v>
      </c>
      <c r="CM40" s="130">
        <v>3.58</v>
      </c>
      <c r="CN40" s="130">
        <v>3.58</v>
      </c>
      <c r="CO40" s="130">
        <v>3.58</v>
      </c>
      <c r="CP40" s="130">
        <v>3.58</v>
      </c>
      <c r="CQ40" s="130">
        <v>3.58</v>
      </c>
      <c r="CR40" s="130">
        <v>3.58</v>
      </c>
      <c r="CS40" s="130">
        <v>3.58</v>
      </c>
      <c r="CT40" s="130">
        <v>3.58</v>
      </c>
      <c r="CU40" s="130">
        <v>3.58</v>
      </c>
      <c r="CV40" s="130">
        <v>3.58</v>
      </c>
      <c r="CW40" s="130">
        <v>3.58</v>
      </c>
      <c r="CX40" s="130">
        <v>3.58</v>
      </c>
      <c r="CY40" s="130">
        <v>3.58</v>
      </c>
      <c r="CZ40" s="130">
        <v>3.58</v>
      </c>
      <c r="DA40" s="130">
        <v>3.58</v>
      </c>
      <c r="DB40" s="130">
        <v>3.59</v>
      </c>
      <c r="DC40" s="130">
        <v>3.6</v>
      </c>
      <c r="DD40" s="130">
        <v>3.6</v>
      </c>
      <c r="DE40" s="130">
        <v>3.6</v>
      </c>
      <c r="DF40" s="130">
        <v>3.6</v>
      </c>
      <c r="DG40" s="130">
        <v>3.6</v>
      </c>
      <c r="DH40" s="130">
        <v>3.6</v>
      </c>
      <c r="DI40" s="130">
        <v>3.6</v>
      </c>
      <c r="DJ40" s="130">
        <v>3.6</v>
      </c>
      <c r="DK40" s="130">
        <v>3.6</v>
      </c>
      <c r="DL40" s="130">
        <v>3.6</v>
      </c>
      <c r="DM40" s="130">
        <v>3.6</v>
      </c>
      <c r="DN40" s="130">
        <v>3.6</v>
      </c>
      <c r="DO40" s="130">
        <v>3.6</v>
      </c>
      <c r="DP40" s="130">
        <v>3.6</v>
      </c>
      <c r="DQ40" s="130">
        <v>3.6</v>
      </c>
      <c r="DR40" s="130">
        <v>3.6</v>
      </c>
      <c r="DS40" s="130">
        <v>3.6</v>
      </c>
      <c r="DT40" s="130">
        <v>3.6</v>
      </c>
      <c r="DU40" s="130">
        <v>3.6</v>
      </c>
      <c r="DV40" s="130">
        <v>3.6</v>
      </c>
      <c r="DW40" s="130">
        <v>3.6</v>
      </c>
      <c r="DX40" s="130">
        <v>3.6</v>
      </c>
      <c r="DY40" s="130">
        <v>3.6</v>
      </c>
      <c r="DZ40" s="130">
        <v>3.6</v>
      </c>
      <c r="EA40" s="130">
        <v>3.6</v>
      </c>
      <c r="EB40" s="130">
        <v>3.6</v>
      </c>
      <c r="EC40" s="130">
        <v>3.6</v>
      </c>
      <c r="ED40" s="130">
        <v>2</v>
      </c>
      <c r="EE40" s="130">
        <v>2</v>
      </c>
      <c r="EF40" s="130">
        <v>2</v>
      </c>
      <c r="EG40" s="130">
        <v>2</v>
      </c>
      <c r="EH40" s="130">
        <v>2</v>
      </c>
      <c r="EI40" s="130">
        <v>2</v>
      </c>
      <c r="EJ40" s="130">
        <v>2</v>
      </c>
      <c r="EK40" s="130">
        <v>2</v>
      </c>
      <c r="EL40" s="130">
        <v>2</v>
      </c>
      <c r="EM40" s="130">
        <v>2</v>
      </c>
      <c r="EN40" s="130">
        <v>2</v>
      </c>
      <c r="EO40" s="130">
        <v>2</v>
      </c>
      <c r="EP40" s="130">
        <v>2</v>
      </c>
      <c r="EQ40" s="130">
        <v>2</v>
      </c>
      <c r="ER40" s="130">
        <v>2</v>
      </c>
      <c r="ES40" s="130">
        <v>2</v>
      </c>
      <c r="ET40" s="130">
        <v>2</v>
      </c>
      <c r="EU40" s="130">
        <v>2</v>
      </c>
      <c r="EV40" s="130">
        <v>2</v>
      </c>
      <c r="EW40" s="130">
        <v>82</v>
      </c>
      <c r="EX40" s="130">
        <v>18.3</v>
      </c>
      <c r="EY40" s="130">
        <v>18.3</v>
      </c>
      <c r="EZ40" s="130">
        <v>18.3</v>
      </c>
      <c r="FA40" s="130">
        <v>18.37</v>
      </c>
      <c r="FB40" s="130"/>
      <c r="FC40" s="130">
        <v>44.2</v>
      </c>
      <c r="FD40" s="130">
        <v>44.2</v>
      </c>
      <c r="FE40" s="130">
        <v>44.2</v>
      </c>
      <c r="FF40" s="130">
        <v>44.2</v>
      </c>
      <c r="FG40" s="130">
        <v>44.2</v>
      </c>
      <c r="FH40" s="130">
        <v>47.2</v>
      </c>
      <c r="FI40" s="130">
        <v>46.7</v>
      </c>
      <c r="FJ40" s="130">
        <v>46.7</v>
      </c>
      <c r="FK40" s="130">
        <v>46.7</v>
      </c>
      <c r="FL40" s="130">
        <v>46.8</v>
      </c>
      <c r="FM40" s="130">
        <v>46.8</v>
      </c>
      <c r="FN40" s="130">
        <v>46.8</v>
      </c>
      <c r="FO40" s="130">
        <v>46.8</v>
      </c>
      <c r="FP40" s="130">
        <v>46.8</v>
      </c>
      <c r="FQ40" s="130">
        <v>46.8</v>
      </c>
      <c r="FR40" s="130">
        <v>46.8</v>
      </c>
      <c r="FS40" s="130">
        <v>46.8</v>
      </c>
      <c r="FT40" s="130">
        <v>46.8</v>
      </c>
      <c r="FU40" s="130">
        <v>46.8</v>
      </c>
      <c r="FV40" s="130">
        <v>46.8</v>
      </c>
      <c r="FW40" s="130">
        <v>46.8</v>
      </c>
      <c r="FX40" s="130">
        <v>46.8</v>
      </c>
      <c r="FY40" s="130">
        <v>46.8</v>
      </c>
      <c r="FZ40" s="130">
        <v>46.8</v>
      </c>
      <c r="GA40" s="130">
        <v>46.8</v>
      </c>
      <c r="GB40" s="130">
        <v>46.8</v>
      </c>
      <c r="GC40" s="130">
        <v>46.8</v>
      </c>
      <c r="GD40" s="130">
        <v>46.8</v>
      </c>
      <c r="GE40" s="130">
        <v>46.8</v>
      </c>
      <c r="GF40" s="130">
        <v>46.8</v>
      </c>
      <c r="GG40" s="130">
        <v>46.8</v>
      </c>
      <c r="GH40" s="130">
        <v>63.7</v>
      </c>
      <c r="GI40" s="130">
        <v>61.5</v>
      </c>
      <c r="GJ40" s="130">
        <v>61.6</v>
      </c>
      <c r="GK40" s="130">
        <v>61.6</v>
      </c>
      <c r="GL40" s="130">
        <v>61.6</v>
      </c>
      <c r="GM40" s="130">
        <v>61.6</v>
      </c>
      <c r="GN40" s="130">
        <v>61.6</v>
      </c>
      <c r="GO40" s="130">
        <v>61.6</v>
      </c>
      <c r="GP40" s="130">
        <v>61.6</v>
      </c>
      <c r="GQ40" s="130">
        <v>61.6</v>
      </c>
      <c r="GR40" s="130">
        <v>61.6</v>
      </c>
      <c r="GS40" s="130">
        <v>61.6</v>
      </c>
      <c r="GT40" s="130">
        <v>61.6</v>
      </c>
      <c r="GU40" s="130">
        <v>61.6</v>
      </c>
      <c r="GV40" s="130">
        <v>61.6</v>
      </c>
      <c r="GW40" s="130">
        <v>61.6</v>
      </c>
      <c r="GX40" s="130">
        <v>61.6</v>
      </c>
      <c r="GY40" s="130">
        <v>61.6</v>
      </c>
      <c r="GZ40" s="130">
        <v>61.6</v>
      </c>
      <c r="HA40" s="130">
        <v>61.6</v>
      </c>
      <c r="HB40" s="130">
        <v>61.6</v>
      </c>
      <c r="HC40" s="130">
        <v>61.6</v>
      </c>
      <c r="HD40" s="130">
        <v>61.6</v>
      </c>
      <c r="HE40" s="130">
        <v>61.5</v>
      </c>
      <c r="HF40" s="130">
        <v>60</v>
      </c>
      <c r="HG40" s="130">
        <v>61.5</v>
      </c>
      <c r="HH40" s="130">
        <v>61.5</v>
      </c>
      <c r="HI40" s="130">
        <v>61.5</v>
      </c>
      <c r="HJ40" s="130">
        <v>412</v>
      </c>
      <c r="HK40" s="130">
        <v>411.5</v>
      </c>
      <c r="HL40" s="130">
        <v>411.5</v>
      </c>
      <c r="HM40" s="130">
        <v>400.8</v>
      </c>
      <c r="HN40" s="130">
        <v>406</v>
      </c>
      <c r="HO40" s="130">
        <v>406</v>
      </c>
      <c r="HP40" s="130">
        <v>472.5</v>
      </c>
      <c r="HQ40" s="130">
        <v>472.5</v>
      </c>
      <c r="HR40" s="130">
        <v>472.5</v>
      </c>
      <c r="HS40" s="130">
        <v>449</v>
      </c>
      <c r="HT40" s="130">
        <v>299</v>
      </c>
      <c r="HU40" s="130">
        <v>299</v>
      </c>
      <c r="HV40" s="130">
        <v>298.8</v>
      </c>
      <c r="HW40" s="130">
        <v>298.8</v>
      </c>
      <c r="HX40" s="130">
        <v>297</v>
      </c>
      <c r="HY40" s="130">
        <v>297</v>
      </c>
      <c r="HZ40" s="130">
        <v>306.89999999999998</v>
      </c>
      <c r="IA40" s="130">
        <v>306.7</v>
      </c>
      <c r="IB40" s="130">
        <v>306.7</v>
      </c>
      <c r="IC40" s="130">
        <v>306.7</v>
      </c>
      <c r="ID40" s="130">
        <v>306.7</v>
      </c>
      <c r="IE40" s="130">
        <v>306.7</v>
      </c>
      <c r="IF40" s="130">
        <v>306.7</v>
      </c>
      <c r="IG40" s="130">
        <v>258</v>
      </c>
      <c r="IH40" s="130">
        <v>256</v>
      </c>
      <c r="II40" s="130">
        <v>256</v>
      </c>
      <c r="IJ40" s="130">
        <v>256</v>
      </c>
      <c r="IK40" s="130">
        <v>253</v>
      </c>
      <c r="IL40" s="130">
        <v>253</v>
      </c>
      <c r="IM40" s="130">
        <v>253</v>
      </c>
      <c r="IN40" s="130">
        <v>103.4</v>
      </c>
      <c r="IO40" s="130">
        <v>102.2</v>
      </c>
      <c r="IP40" s="130">
        <v>90</v>
      </c>
      <c r="IQ40" s="130">
        <v>90</v>
      </c>
      <c r="IR40" s="130">
        <v>90</v>
      </c>
      <c r="IS40" s="130">
        <v>76</v>
      </c>
      <c r="IT40" s="130">
        <v>74.5</v>
      </c>
      <c r="IU40" s="130">
        <v>74.7</v>
      </c>
      <c r="IV40" s="130">
        <v>74.7</v>
      </c>
      <c r="IW40" s="130">
        <v>47.7</v>
      </c>
      <c r="IX40" s="130">
        <v>47.8</v>
      </c>
      <c r="IY40" s="130">
        <v>21.6</v>
      </c>
      <c r="IZ40" s="130">
        <v>21.6</v>
      </c>
      <c r="JA40" s="130">
        <v>20.5</v>
      </c>
      <c r="JB40" s="130">
        <v>20.5</v>
      </c>
      <c r="JC40" s="130">
        <v>20.6</v>
      </c>
      <c r="JD40" s="130">
        <v>20.6</v>
      </c>
      <c r="JE40" s="130">
        <v>20.6</v>
      </c>
      <c r="JF40" s="130">
        <v>20.6</v>
      </c>
      <c r="JG40" s="130">
        <v>7.7</v>
      </c>
      <c r="JH40" s="130">
        <v>7.7</v>
      </c>
      <c r="JI40" s="130">
        <v>7.7</v>
      </c>
      <c r="JJ40" s="130">
        <v>7.7</v>
      </c>
      <c r="JK40" s="130">
        <v>7.7</v>
      </c>
      <c r="JL40" s="130">
        <v>150.5</v>
      </c>
      <c r="JM40" s="130">
        <v>148.9</v>
      </c>
      <c r="JN40" s="130">
        <v>148.9</v>
      </c>
      <c r="JO40" s="130">
        <v>148.9</v>
      </c>
      <c r="JP40" s="130">
        <v>141.4</v>
      </c>
      <c r="JQ40" s="130">
        <v>141.4</v>
      </c>
      <c r="JR40" s="130">
        <v>141.4</v>
      </c>
      <c r="JS40" s="130">
        <v>141.4</v>
      </c>
      <c r="JT40" s="130">
        <v>139.5</v>
      </c>
      <c r="JU40" s="130">
        <v>139.5</v>
      </c>
      <c r="JV40" s="130">
        <v>139.5</v>
      </c>
      <c r="JW40" s="130">
        <v>138.80000000000001</v>
      </c>
      <c r="JX40" s="130">
        <v>138.80000000000001</v>
      </c>
      <c r="JY40" s="130">
        <v>137.80000000000001</v>
      </c>
      <c r="JZ40" s="130">
        <v>137.80000000000001</v>
      </c>
      <c r="KA40" s="130">
        <v>137.9</v>
      </c>
      <c r="KB40" s="130">
        <v>137.9</v>
      </c>
      <c r="KC40" s="130">
        <v>284.7</v>
      </c>
      <c r="KD40" s="130">
        <v>284</v>
      </c>
      <c r="KE40" s="130">
        <v>284</v>
      </c>
      <c r="KF40" s="130">
        <v>7.7</v>
      </c>
      <c r="KG40" s="130">
        <v>284.3</v>
      </c>
      <c r="KH40" s="130">
        <v>284.3</v>
      </c>
      <c r="KI40" s="130">
        <v>264</v>
      </c>
      <c r="KJ40" s="130">
        <v>264</v>
      </c>
      <c r="KK40" s="130">
        <v>264</v>
      </c>
      <c r="KL40" s="130">
        <v>264</v>
      </c>
      <c r="KM40" s="130">
        <v>264</v>
      </c>
      <c r="KN40" s="130">
        <v>259.8</v>
      </c>
      <c r="KO40" s="130">
        <v>259.8</v>
      </c>
      <c r="KP40" s="130">
        <v>259.8</v>
      </c>
      <c r="KQ40" s="130">
        <v>259.8</v>
      </c>
      <c r="KR40" s="130">
        <v>259.8</v>
      </c>
      <c r="KS40" s="130">
        <v>254</v>
      </c>
      <c r="KT40" s="130">
        <v>254</v>
      </c>
      <c r="KU40" s="130">
        <v>254</v>
      </c>
      <c r="KV40" s="130">
        <v>248.5</v>
      </c>
      <c r="KW40" s="130">
        <v>248.5</v>
      </c>
      <c r="KX40" s="130">
        <v>245.5</v>
      </c>
      <c r="KY40" s="130">
        <v>245.5</v>
      </c>
      <c r="KZ40" s="130">
        <v>245</v>
      </c>
      <c r="LA40" s="130">
        <v>245</v>
      </c>
      <c r="LB40" s="130">
        <v>245</v>
      </c>
      <c r="LC40" s="130">
        <v>245</v>
      </c>
      <c r="LD40" s="130">
        <v>245</v>
      </c>
      <c r="LE40" s="130">
        <v>229</v>
      </c>
      <c r="LF40" s="969">
        <v>229</v>
      </c>
      <c r="LG40" s="969">
        <v>229</v>
      </c>
      <c r="LH40" s="969">
        <v>229</v>
      </c>
      <c r="LI40" s="969">
        <v>228</v>
      </c>
      <c r="LJ40" s="969">
        <v>228</v>
      </c>
      <c r="LK40" s="969">
        <v>228</v>
      </c>
      <c r="LL40" s="969">
        <v>228</v>
      </c>
      <c r="LM40" s="969">
        <v>228</v>
      </c>
      <c r="LN40" s="969">
        <v>191</v>
      </c>
      <c r="LO40" s="969">
        <v>191</v>
      </c>
      <c r="LP40" s="969">
        <v>191</v>
      </c>
      <c r="LQ40" s="969">
        <v>191</v>
      </c>
      <c r="LR40" s="969">
        <v>185</v>
      </c>
      <c r="LS40" s="969">
        <v>185</v>
      </c>
      <c r="LT40" s="969">
        <v>185</v>
      </c>
      <c r="LU40" s="969">
        <v>64</v>
      </c>
      <c r="LV40" s="969">
        <v>63.3</v>
      </c>
      <c r="LW40" s="969">
        <v>63.3</v>
      </c>
      <c r="LX40" s="969">
        <v>63.3</v>
      </c>
      <c r="LY40" s="969">
        <v>63.3</v>
      </c>
      <c r="LZ40" s="969">
        <v>63.3</v>
      </c>
      <c r="MA40" s="969">
        <v>63.3</v>
      </c>
      <c r="MB40" s="969">
        <v>63.3</v>
      </c>
      <c r="MC40" s="969">
        <v>63.3</v>
      </c>
      <c r="MD40" s="969">
        <v>63.5</v>
      </c>
      <c r="ME40" s="969">
        <v>63.5</v>
      </c>
      <c r="MF40" s="969">
        <v>63.5</v>
      </c>
      <c r="MG40" s="969">
        <v>63.5</v>
      </c>
      <c r="MH40" s="969">
        <v>63.8</v>
      </c>
      <c r="MI40" s="969">
        <v>63.8</v>
      </c>
      <c r="MJ40" s="969">
        <v>63.8</v>
      </c>
      <c r="MK40" s="969">
        <v>63.8</v>
      </c>
      <c r="ML40" s="969">
        <v>63.8</v>
      </c>
      <c r="MM40" s="969">
        <v>63.8</v>
      </c>
      <c r="MN40" s="969">
        <v>63.8</v>
      </c>
      <c r="MO40" s="969">
        <v>63.8</v>
      </c>
      <c r="MP40" s="969">
        <v>63.8</v>
      </c>
      <c r="MQ40" s="969">
        <v>64.099999999999994</v>
      </c>
      <c r="MR40" s="969">
        <v>64.099999999999994</v>
      </c>
      <c r="MS40" s="969">
        <v>62.5</v>
      </c>
      <c r="MT40" s="969">
        <v>62.5</v>
      </c>
      <c r="MU40" s="969">
        <v>62.5</v>
      </c>
      <c r="MV40" s="969">
        <v>62.5</v>
      </c>
      <c r="MW40" s="969">
        <v>48</v>
      </c>
      <c r="MX40" s="969">
        <v>48</v>
      </c>
      <c r="MY40" s="969">
        <v>48</v>
      </c>
      <c r="MZ40" s="969">
        <v>48</v>
      </c>
      <c r="NA40" s="969">
        <v>48</v>
      </c>
      <c r="NB40" s="969">
        <v>48</v>
      </c>
      <c r="NC40" s="969">
        <v>48</v>
      </c>
      <c r="ND40" s="969">
        <v>48</v>
      </c>
      <c r="NE40" s="969">
        <v>48</v>
      </c>
      <c r="NF40" s="969">
        <v>48</v>
      </c>
      <c r="NG40" s="969">
        <v>48</v>
      </c>
      <c r="NH40" s="969">
        <v>48</v>
      </c>
      <c r="NI40" s="969">
        <v>48</v>
      </c>
      <c r="NJ40" s="969">
        <v>48</v>
      </c>
      <c r="NK40" s="969">
        <v>48</v>
      </c>
      <c r="NL40" s="969">
        <v>48</v>
      </c>
      <c r="NM40" s="969">
        <v>48</v>
      </c>
      <c r="NN40" s="969">
        <v>48</v>
      </c>
      <c r="NO40" s="969">
        <v>48</v>
      </c>
      <c r="NP40" s="969">
        <v>48</v>
      </c>
      <c r="NQ40" s="969">
        <v>48</v>
      </c>
      <c r="NR40" s="969">
        <v>48</v>
      </c>
      <c r="NS40" s="969">
        <v>48</v>
      </c>
      <c r="NT40" s="969">
        <v>48</v>
      </c>
      <c r="NU40" s="969">
        <v>48.5</v>
      </c>
      <c r="NV40" s="969">
        <v>48.5</v>
      </c>
      <c r="NW40" s="969">
        <v>48.5</v>
      </c>
      <c r="NX40" s="969">
        <v>48.5</v>
      </c>
      <c r="NY40" s="969">
        <v>48.5</v>
      </c>
      <c r="NZ40" s="969">
        <v>48.6</v>
      </c>
      <c r="OA40" s="969">
        <v>48.6</v>
      </c>
      <c r="OB40" s="969">
        <v>48.6</v>
      </c>
      <c r="OC40" s="969">
        <v>48.6</v>
      </c>
      <c r="OD40" s="969">
        <v>48.6</v>
      </c>
      <c r="OE40" s="969">
        <v>48.6</v>
      </c>
      <c r="OF40" s="969">
        <v>48.6</v>
      </c>
      <c r="OG40" s="969">
        <v>48.5</v>
      </c>
      <c r="OH40" s="969">
        <v>48.5</v>
      </c>
      <c r="OI40" s="969">
        <v>48.8</v>
      </c>
      <c r="OJ40" s="969">
        <v>48.8</v>
      </c>
      <c r="OK40" s="969">
        <v>48.8</v>
      </c>
      <c r="OL40" s="969">
        <v>48.8</v>
      </c>
      <c r="OM40" s="969">
        <v>48.8</v>
      </c>
      <c r="ON40" s="969">
        <v>48.8</v>
      </c>
      <c r="OO40" s="969">
        <v>48.8</v>
      </c>
      <c r="OP40" s="969">
        <v>48.8</v>
      </c>
      <c r="OQ40" s="969">
        <v>48.8</v>
      </c>
      <c r="OR40" s="969">
        <v>48.8</v>
      </c>
      <c r="OS40" s="969">
        <v>47.9</v>
      </c>
      <c r="OT40" s="969">
        <v>47.9</v>
      </c>
      <c r="OU40" s="969">
        <v>47.9</v>
      </c>
      <c r="OV40" s="969">
        <v>47.9</v>
      </c>
      <c r="OW40" s="969">
        <v>47.9</v>
      </c>
      <c r="OX40" s="969">
        <v>47.9</v>
      </c>
      <c r="OY40" s="969">
        <v>47.9</v>
      </c>
      <c r="OZ40" s="969">
        <v>47.9</v>
      </c>
      <c r="PA40" s="969">
        <v>47.9</v>
      </c>
      <c r="PB40" s="969">
        <v>48.2</v>
      </c>
      <c r="PC40" s="969">
        <v>48.2</v>
      </c>
      <c r="PD40" s="969">
        <v>48.2</v>
      </c>
      <c r="PE40" s="969">
        <v>48.2</v>
      </c>
      <c r="PF40" s="969">
        <v>48.2</v>
      </c>
      <c r="PG40" s="969">
        <v>48.2</v>
      </c>
      <c r="PH40" s="969">
        <v>48.2</v>
      </c>
      <c r="PI40" s="969">
        <v>48.5</v>
      </c>
      <c r="PJ40" s="969">
        <v>48.5</v>
      </c>
      <c r="PK40" s="969">
        <v>48.5</v>
      </c>
      <c r="PL40" s="969">
        <v>48.5</v>
      </c>
      <c r="PM40" s="969">
        <v>48.5</v>
      </c>
      <c r="PN40" s="969">
        <v>48.7</v>
      </c>
      <c r="PO40" s="969">
        <v>48.7</v>
      </c>
      <c r="PP40" s="969">
        <v>48.7</v>
      </c>
      <c r="PQ40" s="969">
        <v>48.6</v>
      </c>
      <c r="PR40" s="969">
        <v>48.6</v>
      </c>
      <c r="PS40" s="969">
        <v>48.6</v>
      </c>
      <c r="PT40" s="969">
        <v>48.6</v>
      </c>
      <c r="PU40" s="969">
        <v>53.6</v>
      </c>
      <c r="PV40" s="969">
        <v>53.6</v>
      </c>
      <c r="PW40" s="969">
        <v>53.6</v>
      </c>
      <c r="PX40" s="969">
        <v>53.6</v>
      </c>
      <c r="PY40" s="969">
        <v>53.6</v>
      </c>
      <c r="PZ40" s="969">
        <v>53.6</v>
      </c>
      <c r="QA40" s="969">
        <v>53.6</v>
      </c>
      <c r="QB40" s="969">
        <v>52.7</v>
      </c>
      <c r="QC40" s="969">
        <v>52.7</v>
      </c>
      <c r="QD40" s="969">
        <v>52.7</v>
      </c>
      <c r="QE40" s="969">
        <v>52.7</v>
      </c>
      <c r="QF40" s="969">
        <v>52.7</v>
      </c>
      <c r="QG40" s="969">
        <v>52.7</v>
      </c>
      <c r="QH40" s="969">
        <v>52.7</v>
      </c>
      <c r="QI40" s="969">
        <v>52.7</v>
      </c>
      <c r="QJ40" s="969">
        <v>52.7</v>
      </c>
      <c r="QK40" s="969">
        <v>52.7</v>
      </c>
      <c r="QL40" s="969">
        <v>52.7</v>
      </c>
      <c r="QM40" s="969">
        <v>52.7</v>
      </c>
      <c r="QN40" s="969">
        <v>52.7</v>
      </c>
      <c r="QO40" s="969">
        <v>53</v>
      </c>
      <c r="QP40" s="969">
        <v>53</v>
      </c>
      <c r="QQ40" s="969">
        <v>53</v>
      </c>
      <c r="QR40" s="969">
        <v>53</v>
      </c>
      <c r="QS40" s="969">
        <v>49.6</v>
      </c>
      <c r="QT40" s="969">
        <v>49.6</v>
      </c>
      <c r="QU40" s="969">
        <v>49.6</v>
      </c>
      <c r="QV40" s="969">
        <v>49.6</v>
      </c>
      <c r="QW40" s="969">
        <v>49.6</v>
      </c>
      <c r="QX40" s="969">
        <v>49.6</v>
      </c>
      <c r="QY40" s="969">
        <v>49.7</v>
      </c>
      <c r="QZ40" s="969">
        <v>49.7</v>
      </c>
      <c r="RA40" s="969">
        <v>49.7</v>
      </c>
      <c r="RB40" s="969">
        <v>49.7</v>
      </c>
      <c r="RC40" s="969">
        <v>49.7</v>
      </c>
      <c r="RD40" s="969">
        <v>49.7</v>
      </c>
      <c r="RE40" s="969">
        <v>49.8</v>
      </c>
      <c r="RF40" s="969">
        <v>49.8</v>
      </c>
      <c r="RG40" s="969">
        <v>49.8</v>
      </c>
      <c r="RH40" s="969">
        <v>50</v>
      </c>
      <c r="RI40" s="969">
        <v>50</v>
      </c>
      <c r="RJ40" s="969">
        <v>50</v>
      </c>
      <c r="RK40" s="969">
        <v>50</v>
      </c>
      <c r="RL40" s="969">
        <v>50</v>
      </c>
      <c r="RM40" s="969">
        <v>50.3</v>
      </c>
      <c r="RN40" s="969">
        <v>50.3</v>
      </c>
      <c r="RO40" s="969">
        <v>50.3</v>
      </c>
      <c r="RP40" s="969">
        <v>50.3</v>
      </c>
      <c r="RQ40" s="969">
        <v>50.3</v>
      </c>
      <c r="RR40" s="969">
        <v>50.3</v>
      </c>
      <c r="RS40" s="969">
        <v>50.813369569999999</v>
      </c>
      <c r="RT40" s="969">
        <v>50.813369569999999</v>
      </c>
      <c r="RU40" s="969">
        <v>50.813369569999999</v>
      </c>
      <c r="RV40" s="969">
        <v>50.813369569999999</v>
      </c>
      <c r="RW40" s="969">
        <v>50.813369569999999</v>
      </c>
      <c r="RX40" s="969">
        <v>50.813369569999999</v>
      </c>
      <c r="RY40" s="969">
        <v>50.3</v>
      </c>
      <c r="RZ40" s="969">
        <v>50.3</v>
      </c>
      <c r="SA40" s="969">
        <v>50.5</v>
      </c>
      <c r="SB40" s="969">
        <v>50.5</v>
      </c>
      <c r="SC40" s="969">
        <v>50.5</v>
      </c>
      <c r="SD40" s="969">
        <v>50.5</v>
      </c>
      <c r="SE40" s="969">
        <v>50.7</v>
      </c>
      <c r="SF40" s="969">
        <v>50.7</v>
      </c>
      <c r="SG40" s="969">
        <v>50.7</v>
      </c>
      <c r="SH40" s="969">
        <v>50.7</v>
      </c>
      <c r="SI40" s="969">
        <v>50.8</v>
      </c>
      <c r="SJ40" s="969">
        <v>50.8</v>
      </c>
      <c r="SK40" s="969">
        <v>50.8</v>
      </c>
      <c r="SL40" s="969">
        <v>50.8</v>
      </c>
      <c r="SM40" s="969">
        <v>49.8</v>
      </c>
      <c r="SN40" s="969">
        <v>49.8</v>
      </c>
      <c r="SO40" s="969">
        <v>49.8</v>
      </c>
      <c r="SP40" s="969">
        <v>49.8</v>
      </c>
      <c r="SQ40" s="969">
        <v>49.8</v>
      </c>
      <c r="SR40" s="969">
        <v>49.8</v>
      </c>
      <c r="SS40" s="969">
        <v>49.9</v>
      </c>
      <c r="ST40" s="969">
        <v>49.9</v>
      </c>
      <c r="SU40" s="969">
        <v>49.9</v>
      </c>
      <c r="SV40" s="969">
        <v>49.9</v>
      </c>
      <c r="SW40" s="969">
        <v>49.9</v>
      </c>
      <c r="SX40" s="969">
        <v>50</v>
      </c>
      <c r="SY40" s="969">
        <v>50</v>
      </c>
      <c r="SZ40" s="969">
        <v>50</v>
      </c>
      <c r="TA40" s="969">
        <v>50</v>
      </c>
      <c r="TB40" s="969">
        <v>50</v>
      </c>
      <c r="TC40" s="969">
        <v>50</v>
      </c>
      <c r="TD40" s="969">
        <v>50</v>
      </c>
      <c r="TE40" s="969">
        <v>50</v>
      </c>
      <c r="TF40" s="969">
        <v>50.2</v>
      </c>
      <c r="TG40" s="969">
        <v>50.4</v>
      </c>
      <c r="TH40" s="969">
        <v>50.4</v>
      </c>
      <c r="TI40" s="969">
        <v>50.4</v>
      </c>
      <c r="TJ40" s="969">
        <v>50.4</v>
      </c>
      <c r="TK40" s="969">
        <v>50.4</v>
      </c>
      <c r="TL40" s="969">
        <v>50.4</v>
      </c>
      <c r="TM40" s="969">
        <v>48.4</v>
      </c>
      <c r="TN40" s="969">
        <v>48.4</v>
      </c>
      <c r="TO40" s="969">
        <v>48.5</v>
      </c>
      <c r="TP40" s="969">
        <v>48.5</v>
      </c>
      <c r="TQ40" s="969">
        <v>48.5</v>
      </c>
      <c r="TR40" s="969">
        <v>65</v>
      </c>
      <c r="TS40" s="969">
        <v>65</v>
      </c>
      <c r="TT40" s="969">
        <v>65.400000000000006</v>
      </c>
      <c r="TU40" s="969">
        <v>65.400000000000006</v>
      </c>
      <c r="TV40" s="969">
        <v>65.400000000000006</v>
      </c>
      <c r="TW40" s="969">
        <v>63.2</v>
      </c>
      <c r="TX40" s="969">
        <v>63.2</v>
      </c>
      <c r="TY40" s="969">
        <v>63.2</v>
      </c>
      <c r="TZ40" s="969">
        <v>63.5</v>
      </c>
      <c r="UA40" s="969">
        <v>63.7</v>
      </c>
      <c r="UB40" s="969">
        <v>63.7</v>
      </c>
      <c r="UC40" s="969">
        <v>63.7</v>
      </c>
      <c r="UD40" s="969">
        <v>63.9</v>
      </c>
      <c r="UE40" s="969">
        <v>63.9</v>
      </c>
      <c r="UF40" s="969">
        <v>63.9</v>
      </c>
      <c r="UG40" s="969">
        <v>64.2</v>
      </c>
      <c r="UH40" s="969">
        <v>64.2</v>
      </c>
      <c r="UI40" s="969">
        <v>64.2</v>
      </c>
      <c r="UJ40" s="969">
        <v>63.2</v>
      </c>
      <c r="UK40" s="969">
        <v>63.2</v>
      </c>
      <c r="UL40" s="969">
        <v>63.2</v>
      </c>
      <c r="UM40" s="969">
        <v>63.4</v>
      </c>
      <c r="UN40" s="969">
        <v>63.4</v>
      </c>
      <c r="UO40" s="969">
        <v>63.4</v>
      </c>
      <c r="UP40" s="969">
        <v>61.4</v>
      </c>
      <c r="UQ40" s="969">
        <v>61.4</v>
      </c>
      <c r="UR40" s="969">
        <v>61.5</v>
      </c>
      <c r="US40" s="969">
        <v>61.5</v>
      </c>
      <c r="UT40" s="969">
        <v>61.5</v>
      </c>
      <c r="UU40" s="969">
        <v>61.7</v>
      </c>
      <c r="UV40" s="969">
        <v>61.7</v>
      </c>
      <c r="UW40" s="969">
        <v>61.7</v>
      </c>
      <c r="UX40" s="969">
        <v>61.7</v>
      </c>
      <c r="UY40" s="969">
        <v>62</v>
      </c>
      <c r="UZ40" s="969">
        <v>62</v>
      </c>
      <c r="VA40" s="969">
        <v>62</v>
      </c>
      <c r="VB40" s="969">
        <v>62.1</v>
      </c>
      <c r="VC40" s="969">
        <v>62.4</v>
      </c>
      <c r="VD40" s="969">
        <v>62.4</v>
      </c>
      <c r="VE40" s="969">
        <v>62.4</v>
      </c>
      <c r="VF40" s="969">
        <v>62.5</v>
      </c>
      <c r="VG40" s="969">
        <v>62.5</v>
      </c>
      <c r="VH40" s="969">
        <v>62.8</v>
      </c>
      <c r="VI40" s="969">
        <v>62.8</v>
      </c>
      <c r="VJ40" s="969">
        <v>61.9</v>
      </c>
      <c r="VK40" s="969">
        <v>61.9</v>
      </c>
      <c r="VL40" s="969">
        <v>61</v>
      </c>
      <c r="VM40" s="969">
        <v>61.5</v>
      </c>
      <c r="VN40" s="969">
        <v>61.5</v>
      </c>
      <c r="VO40" s="969">
        <v>61.7</v>
      </c>
      <c r="VP40" s="969">
        <v>61.7</v>
      </c>
      <c r="VQ40" s="969">
        <v>61.7</v>
      </c>
      <c r="VR40" s="969">
        <v>61.7</v>
      </c>
      <c r="VS40" s="969">
        <v>61.7</v>
      </c>
      <c r="VT40" s="969">
        <v>61</v>
      </c>
      <c r="VU40" s="969">
        <v>61</v>
      </c>
      <c r="VV40" s="969">
        <v>61</v>
      </c>
      <c r="VW40" s="969">
        <v>61</v>
      </c>
      <c r="VX40" s="969">
        <v>61.4</v>
      </c>
      <c r="VY40" s="969">
        <v>61.4</v>
      </c>
      <c r="VZ40" s="969">
        <v>61.4</v>
      </c>
      <c r="WA40" s="969">
        <v>61.4</v>
      </c>
      <c r="WB40" s="969">
        <v>61.4</v>
      </c>
      <c r="WC40" s="969">
        <v>61.7</v>
      </c>
      <c r="WD40" s="969">
        <v>61.7</v>
      </c>
      <c r="WE40" s="969">
        <v>61.9</v>
      </c>
      <c r="WF40" s="969">
        <v>61.9</v>
      </c>
      <c r="WG40" s="969">
        <v>0.1</v>
      </c>
      <c r="WH40" s="969">
        <v>0.1</v>
      </c>
      <c r="WI40" s="969">
        <v>0.1</v>
      </c>
      <c r="WJ40" s="969">
        <v>0.1</v>
      </c>
      <c r="WK40" s="969">
        <v>0.1</v>
      </c>
      <c r="WL40" s="969">
        <v>0.1</v>
      </c>
      <c r="WM40" s="969">
        <v>0.1</v>
      </c>
      <c r="WN40" s="969">
        <v>0.1</v>
      </c>
      <c r="WO40" s="969">
        <v>0.1</v>
      </c>
      <c r="WP40" s="969">
        <v>0.1</v>
      </c>
      <c r="WQ40" s="969">
        <v>0.1</v>
      </c>
      <c r="WR40" s="969">
        <v>0.1</v>
      </c>
      <c r="WS40" s="969">
        <v>0.1</v>
      </c>
      <c r="WT40" s="969">
        <v>0.1</v>
      </c>
      <c r="WU40" s="969">
        <v>0.1</v>
      </c>
      <c r="WV40" s="969">
        <v>0.1</v>
      </c>
      <c r="WW40" s="969">
        <v>0.1</v>
      </c>
      <c r="WX40" s="969">
        <v>0.1</v>
      </c>
      <c r="WY40" s="969">
        <v>0.1</v>
      </c>
      <c r="WZ40" s="969">
        <v>0.1</v>
      </c>
      <c r="XA40" s="969">
        <v>0.1</v>
      </c>
      <c r="XB40" s="969">
        <v>0.1</v>
      </c>
      <c r="XC40" s="969">
        <v>0.1</v>
      </c>
      <c r="XD40" s="969">
        <v>0.1</v>
      </c>
      <c r="XE40" s="969">
        <v>0.1</v>
      </c>
      <c r="XF40" s="969">
        <v>0.1</v>
      </c>
      <c r="XG40" s="969">
        <v>0.1</v>
      </c>
      <c r="XH40" s="969">
        <v>0.1</v>
      </c>
      <c r="XI40" s="969">
        <v>0.1</v>
      </c>
      <c r="XJ40" s="969">
        <v>0.1</v>
      </c>
      <c r="XK40" s="969">
        <v>0.1</v>
      </c>
      <c r="XL40" s="969">
        <v>0.1</v>
      </c>
      <c r="XM40" s="969">
        <v>0.1</v>
      </c>
      <c r="XN40" s="969">
        <v>0</v>
      </c>
      <c r="XO40" s="969">
        <v>0</v>
      </c>
      <c r="XP40" s="969">
        <v>0</v>
      </c>
      <c r="XQ40" s="969">
        <v>0</v>
      </c>
      <c r="XR40" s="969">
        <v>0</v>
      </c>
      <c r="XS40" s="969">
        <v>5.0999999999999996</v>
      </c>
      <c r="XT40" s="969">
        <v>5.0999999999999996</v>
      </c>
      <c r="XU40" s="969">
        <v>5.0999999999999996</v>
      </c>
      <c r="XV40" s="969">
        <v>5.0999999999999996</v>
      </c>
      <c r="XW40" s="969">
        <v>5.0999999999999996</v>
      </c>
      <c r="XX40" s="969">
        <v>5.0999999999999996</v>
      </c>
      <c r="XY40" s="969">
        <v>5.0999999999999996</v>
      </c>
      <c r="XZ40" s="969">
        <v>5.0999999999999996</v>
      </c>
      <c r="YA40" s="969">
        <v>5</v>
      </c>
      <c r="YB40" s="969">
        <v>5</v>
      </c>
      <c r="YC40" s="969">
        <v>5</v>
      </c>
      <c r="YD40" s="969">
        <v>5</v>
      </c>
      <c r="YE40" s="969">
        <v>5.0999999999999996</v>
      </c>
      <c r="YF40" s="969">
        <v>5.0999999999999996</v>
      </c>
      <c r="YG40" s="969">
        <v>5.0999999999999996</v>
      </c>
      <c r="YH40" s="969">
        <v>5</v>
      </c>
    </row>
    <row r="41" spans="2:658">
      <c r="B41" s="1311" t="s">
        <v>56</v>
      </c>
      <c r="C41" s="918">
        <v>22.8</v>
      </c>
      <c r="D41" s="130">
        <v>22.8</v>
      </c>
      <c r="E41" s="130">
        <v>22.8</v>
      </c>
      <c r="F41" s="130">
        <v>22.8</v>
      </c>
      <c r="G41" s="130">
        <v>22.8</v>
      </c>
      <c r="H41" s="130">
        <v>22.8</v>
      </c>
      <c r="I41" s="130">
        <v>22.8</v>
      </c>
      <c r="J41" s="130">
        <v>22.8</v>
      </c>
      <c r="K41" s="130">
        <v>22.8</v>
      </c>
      <c r="L41" s="130">
        <v>22.8</v>
      </c>
      <c r="M41" s="130">
        <v>22.8</v>
      </c>
      <c r="N41" s="130">
        <v>22.7</v>
      </c>
      <c r="O41" s="130">
        <v>22.7</v>
      </c>
      <c r="P41" s="130">
        <v>22.7</v>
      </c>
      <c r="Q41" s="130">
        <v>22.7</v>
      </c>
      <c r="R41" s="130">
        <v>22.7</v>
      </c>
      <c r="S41" s="130">
        <v>22.7</v>
      </c>
      <c r="T41" s="130">
        <v>22.7</v>
      </c>
      <c r="U41" s="130">
        <v>22.7</v>
      </c>
      <c r="V41" s="130">
        <v>22.7</v>
      </c>
      <c r="W41" s="130">
        <v>29.9</v>
      </c>
      <c r="X41" s="130">
        <v>29.9</v>
      </c>
      <c r="Y41" s="130">
        <v>29.9</v>
      </c>
      <c r="Z41" s="130">
        <v>29.9</v>
      </c>
      <c r="AA41" s="130">
        <v>29.9</v>
      </c>
      <c r="AB41" s="130">
        <v>29.9</v>
      </c>
      <c r="AC41" s="130">
        <v>29.9</v>
      </c>
      <c r="AD41" s="130">
        <v>29.9</v>
      </c>
      <c r="AE41" s="130">
        <v>29.9</v>
      </c>
      <c r="AF41" s="130">
        <v>29.9</v>
      </c>
      <c r="AG41" s="130">
        <v>29.9</v>
      </c>
      <c r="AH41" s="130">
        <v>29.9</v>
      </c>
      <c r="AI41" s="130">
        <v>29.9</v>
      </c>
      <c r="AJ41" s="130">
        <v>29.8</v>
      </c>
      <c r="AK41" s="130">
        <v>29.8</v>
      </c>
      <c r="AL41" s="130">
        <v>29.8</v>
      </c>
      <c r="AM41" s="130">
        <v>21.7</v>
      </c>
      <c r="AN41" s="130">
        <v>21.8</v>
      </c>
      <c r="AO41" s="130">
        <v>21.8</v>
      </c>
      <c r="AP41" s="130">
        <v>21.8</v>
      </c>
      <c r="AQ41" s="130">
        <v>21.5</v>
      </c>
      <c r="AR41" s="130">
        <v>21.5</v>
      </c>
      <c r="AS41" s="130">
        <v>21.5</v>
      </c>
      <c r="AT41" s="130">
        <v>21.5</v>
      </c>
      <c r="AU41" s="130">
        <v>21.5</v>
      </c>
      <c r="AV41" s="130">
        <v>21.5</v>
      </c>
      <c r="AW41" s="130">
        <v>21.5</v>
      </c>
      <c r="AX41" s="130">
        <v>21.49</v>
      </c>
      <c r="AY41" s="130">
        <v>21.49</v>
      </c>
      <c r="AZ41" s="130">
        <v>21.5</v>
      </c>
      <c r="BA41" s="130">
        <v>21.5</v>
      </c>
      <c r="BB41" s="130">
        <v>21.5</v>
      </c>
      <c r="BC41" s="130">
        <v>21.5</v>
      </c>
      <c r="BD41" s="130">
        <v>21.2</v>
      </c>
      <c r="BE41" s="130">
        <v>21.2</v>
      </c>
      <c r="BF41" s="130">
        <v>21</v>
      </c>
      <c r="BG41" s="130">
        <v>21</v>
      </c>
      <c r="BH41" s="130">
        <v>21</v>
      </c>
      <c r="BI41" s="130">
        <v>21</v>
      </c>
      <c r="BJ41" s="130">
        <v>22.2</v>
      </c>
      <c r="BK41" s="130">
        <v>22.2</v>
      </c>
      <c r="BL41" s="130">
        <v>22.2</v>
      </c>
      <c r="BM41" s="130">
        <v>9.3000000000000007</v>
      </c>
      <c r="BN41" s="130">
        <v>9.3000000000000007</v>
      </c>
      <c r="BO41" s="130">
        <v>9.3000000000000007</v>
      </c>
      <c r="BP41" s="130">
        <v>9</v>
      </c>
      <c r="BQ41" s="130">
        <v>9</v>
      </c>
      <c r="BR41" s="130">
        <v>9</v>
      </c>
      <c r="BS41" s="130">
        <v>9</v>
      </c>
      <c r="BT41" s="130">
        <v>9</v>
      </c>
      <c r="BU41" s="130">
        <v>7.4</v>
      </c>
      <c r="BV41" s="130">
        <v>7.4</v>
      </c>
      <c r="BW41" s="130">
        <v>7.4</v>
      </c>
      <c r="BX41" s="130">
        <v>7.4</v>
      </c>
      <c r="BY41" s="130">
        <v>7.4</v>
      </c>
      <c r="BZ41" s="130">
        <v>7.4</v>
      </c>
      <c r="CA41" s="130">
        <v>7.1</v>
      </c>
      <c r="CB41" s="130">
        <v>7.1</v>
      </c>
      <c r="CC41" s="130">
        <v>10.5</v>
      </c>
      <c r="CD41" s="130">
        <v>10.5</v>
      </c>
      <c r="CE41" s="130">
        <v>10.5</v>
      </c>
      <c r="CF41" s="130">
        <v>10.5</v>
      </c>
      <c r="CG41" s="130">
        <v>10.5</v>
      </c>
      <c r="CH41" s="130">
        <v>10.5</v>
      </c>
      <c r="CI41" s="130">
        <v>10.5</v>
      </c>
      <c r="CJ41" s="130">
        <v>10.5</v>
      </c>
      <c r="CK41" s="130">
        <v>10.5</v>
      </c>
      <c r="CL41" s="130">
        <v>10</v>
      </c>
      <c r="CM41" s="130">
        <v>10</v>
      </c>
      <c r="CN41" s="130">
        <v>10</v>
      </c>
      <c r="CO41" s="130">
        <v>10</v>
      </c>
      <c r="CP41" s="130">
        <v>10</v>
      </c>
      <c r="CQ41" s="130">
        <v>0.7</v>
      </c>
      <c r="CR41" s="130">
        <v>0.7</v>
      </c>
      <c r="CS41" s="130">
        <v>0.7</v>
      </c>
      <c r="CT41" s="130">
        <v>0.7</v>
      </c>
      <c r="CU41" s="130">
        <v>0.7</v>
      </c>
      <c r="CV41" s="130">
        <v>0.7</v>
      </c>
      <c r="CW41" s="130">
        <v>0.4</v>
      </c>
      <c r="CX41" s="130">
        <v>0.4</v>
      </c>
      <c r="CY41" s="130">
        <v>8</v>
      </c>
      <c r="CZ41" s="130">
        <v>8</v>
      </c>
      <c r="DA41" s="130">
        <v>8</v>
      </c>
      <c r="DB41" s="130">
        <v>8</v>
      </c>
      <c r="DC41" s="130">
        <v>8</v>
      </c>
      <c r="DD41" s="130">
        <v>8</v>
      </c>
      <c r="DE41" s="130">
        <v>8</v>
      </c>
      <c r="DF41" s="130">
        <v>8</v>
      </c>
      <c r="DG41" s="130">
        <v>8</v>
      </c>
      <c r="DH41" s="130">
        <v>0.4</v>
      </c>
      <c r="DI41" s="130">
        <v>0.4</v>
      </c>
      <c r="DJ41" s="130">
        <v>0.4</v>
      </c>
      <c r="DK41" s="130">
        <v>0.4</v>
      </c>
      <c r="DL41" s="130">
        <v>0.4</v>
      </c>
      <c r="DM41" s="130">
        <v>0.4</v>
      </c>
      <c r="DN41" s="130">
        <v>0.4</v>
      </c>
      <c r="DO41" s="130">
        <v>0.4</v>
      </c>
      <c r="DP41" s="130">
        <v>0.4</v>
      </c>
      <c r="DQ41" s="130">
        <v>579.4</v>
      </c>
      <c r="DR41" s="130">
        <v>579.4</v>
      </c>
      <c r="DS41" s="130">
        <v>579.4</v>
      </c>
      <c r="DT41" s="130">
        <v>1306</v>
      </c>
      <c r="DU41" s="130">
        <v>2.9</v>
      </c>
      <c r="DV41" s="130">
        <v>2.9</v>
      </c>
      <c r="DW41" s="130">
        <v>3.2</v>
      </c>
      <c r="DX41" s="130">
        <v>3.2</v>
      </c>
      <c r="DY41" s="130">
        <v>3.2</v>
      </c>
      <c r="DZ41" s="130">
        <v>3.2</v>
      </c>
      <c r="EA41" s="130">
        <v>3.2</v>
      </c>
      <c r="EB41" s="130">
        <v>3.2</v>
      </c>
      <c r="EC41" s="130">
        <v>3.2</v>
      </c>
      <c r="ED41" s="130">
        <v>2.9</v>
      </c>
      <c r="EE41" s="130">
        <v>2.9</v>
      </c>
      <c r="EF41" s="130">
        <v>2.9</v>
      </c>
      <c r="EG41" s="130">
        <v>2.9</v>
      </c>
      <c r="EH41" s="130">
        <v>2.9</v>
      </c>
      <c r="EI41" s="130">
        <v>2.9</v>
      </c>
      <c r="EJ41" s="130">
        <v>2.9</v>
      </c>
      <c r="EK41" s="130">
        <v>2.9</v>
      </c>
      <c r="EL41" s="130">
        <v>2.9</v>
      </c>
      <c r="EM41" s="130">
        <v>2.8</v>
      </c>
      <c r="EN41" s="130">
        <v>2.8</v>
      </c>
      <c r="EO41" s="130">
        <v>195.92</v>
      </c>
      <c r="EP41" s="130">
        <v>195.92</v>
      </c>
      <c r="EQ41" s="130">
        <v>22</v>
      </c>
      <c r="ER41" s="130">
        <v>22</v>
      </c>
      <c r="ES41" s="130">
        <v>3.1</v>
      </c>
      <c r="ET41" s="130">
        <v>3.1</v>
      </c>
      <c r="EU41" s="130">
        <v>3.1</v>
      </c>
      <c r="EV41" s="130">
        <v>3.1</v>
      </c>
      <c r="EW41" s="130">
        <v>3.1</v>
      </c>
      <c r="EX41" s="130">
        <v>3.1</v>
      </c>
      <c r="EY41" s="130">
        <v>3.1</v>
      </c>
      <c r="EZ41" s="130">
        <v>2.8</v>
      </c>
      <c r="FA41" s="130">
        <v>2.8</v>
      </c>
      <c r="FB41" s="130">
        <v>14.7</v>
      </c>
      <c r="FC41" s="130">
        <v>2.8</v>
      </c>
      <c r="FD41" s="130">
        <v>2.8</v>
      </c>
      <c r="FE41" s="130">
        <v>2.8</v>
      </c>
      <c r="FF41" s="130">
        <v>2.8</v>
      </c>
      <c r="FG41" s="130">
        <v>2.8</v>
      </c>
      <c r="FH41" s="130">
        <v>2.8</v>
      </c>
      <c r="FI41" s="130">
        <v>2.5</v>
      </c>
      <c r="FJ41" s="130">
        <v>2.5</v>
      </c>
      <c r="FK41" s="130">
        <v>2.5</v>
      </c>
      <c r="FL41" s="130">
        <v>2.5</v>
      </c>
      <c r="FM41" s="130">
        <v>5.5</v>
      </c>
      <c r="FN41" s="130">
        <v>5.5</v>
      </c>
      <c r="FO41" s="130">
        <v>5.5</v>
      </c>
      <c r="FP41" s="130">
        <v>5.5</v>
      </c>
      <c r="FQ41" s="130">
        <v>5.5</v>
      </c>
      <c r="FR41" s="130">
        <v>5.5</v>
      </c>
      <c r="FS41" s="130">
        <v>5.5</v>
      </c>
      <c r="FT41" s="130">
        <v>5.5</v>
      </c>
      <c r="FU41" s="130">
        <v>5.5</v>
      </c>
      <c r="FV41" s="130">
        <v>5.2</v>
      </c>
      <c r="FW41" s="130">
        <v>5.2</v>
      </c>
      <c r="FX41" s="130">
        <v>5.2</v>
      </c>
      <c r="FY41" s="130">
        <v>5.2</v>
      </c>
      <c r="FZ41" s="130">
        <v>5.2</v>
      </c>
      <c r="GA41" s="130">
        <v>5.2</v>
      </c>
      <c r="GB41" s="130">
        <v>5.2</v>
      </c>
      <c r="GC41" s="130">
        <v>5.16</v>
      </c>
      <c r="GD41" s="130">
        <v>5.16</v>
      </c>
      <c r="GE41" s="130">
        <v>2.2000000000000002</v>
      </c>
      <c r="GF41" s="130">
        <v>2.2000000000000002</v>
      </c>
      <c r="GG41" s="130">
        <v>9</v>
      </c>
      <c r="GH41" s="130">
        <v>9</v>
      </c>
      <c r="GI41" s="130">
        <v>3.8</v>
      </c>
      <c r="GJ41" s="130">
        <v>3.8</v>
      </c>
      <c r="GK41" s="130">
        <v>3.85</v>
      </c>
      <c r="GL41" s="130">
        <v>3.85</v>
      </c>
      <c r="GM41" s="130">
        <v>3.85</v>
      </c>
      <c r="GN41" s="130"/>
      <c r="GO41" s="130"/>
      <c r="GP41" s="130">
        <v>164</v>
      </c>
      <c r="GQ41" s="130"/>
      <c r="GR41" s="130"/>
      <c r="GS41" s="130">
        <v>4</v>
      </c>
      <c r="GT41" s="130">
        <v>4</v>
      </c>
      <c r="GU41" s="130">
        <v>4</v>
      </c>
      <c r="GV41" s="130"/>
      <c r="GW41" s="130"/>
      <c r="GX41" s="130"/>
      <c r="GY41" s="130"/>
      <c r="GZ41" s="130"/>
      <c r="HA41" s="130"/>
      <c r="HB41" s="130"/>
      <c r="HC41" s="130"/>
      <c r="HD41" s="130"/>
      <c r="HE41" s="130"/>
      <c r="HF41" s="130"/>
      <c r="HG41" s="130"/>
      <c r="HH41" s="130"/>
      <c r="HI41" s="130"/>
      <c r="HJ41" s="130"/>
      <c r="HK41" s="130"/>
      <c r="HL41" s="130"/>
      <c r="HM41" s="130"/>
      <c r="HN41" s="130"/>
      <c r="HO41" s="130">
        <v>3.8</v>
      </c>
      <c r="HP41" s="130">
        <v>3.8</v>
      </c>
      <c r="HQ41" s="130">
        <v>5</v>
      </c>
      <c r="HR41" s="130">
        <v>4.8077457499999996</v>
      </c>
      <c r="HS41" s="130">
        <v>4.5288753000000002</v>
      </c>
      <c r="HT41" s="130">
        <v>4.5288753000000002</v>
      </c>
      <c r="HU41" s="130">
        <v>4.5288753000000002</v>
      </c>
      <c r="HV41" s="130">
        <v>4.5288753000000002</v>
      </c>
      <c r="HW41" s="130">
        <v>4.5288753000000002</v>
      </c>
      <c r="HX41" s="130">
        <v>4.5255152999999995</v>
      </c>
      <c r="HY41" s="130">
        <v>4.5255152999999995</v>
      </c>
      <c r="HZ41" s="130">
        <v>4.1519804699999998</v>
      </c>
      <c r="IA41" s="130">
        <v>4.1519804699999998</v>
      </c>
      <c r="IB41" s="130">
        <v>4.1519804699999998</v>
      </c>
      <c r="IC41" s="130">
        <v>4.1519804699999998</v>
      </c>
      <c r="ID41" s="130">
        <v>4.1519804699999998</v>
      </c>
      <c r="IE41" s="130">
        <v>4.1519804699999998</v>
      </c>
      <c r="IF41" s="130">
        <v>4.1519804699999998</v>
      </c>
      <c r="IG41" s="130">
        <v>4.1519804699999998</v>
      </c>
      <c r="IH41" s="130">
        <v>4.1519804699999998</v>
      </c>
      <c r="II41" s="130">
        <v>4.1519804699999998</v>
      </c>
      <c r="IJ41" s="130">
        <v>4.1519804699999998</v>
      </c>
      <c r="IK41" s="130">
        <v>3.6562008399999999</v>
      </c>
      <c r="IL41" s="130">
        <v>3.6562008399999999</v>
      </c>
      <c r="IM41" s="130">
        <v>3.6562008399999999</v>
      </c>
      <c r="IN41" s="130">
        <v>4.0242590099999997</v>
      </c>
      <c r="IO41" s="130">
        <v>4.0242590099999997</v>
      </c>
      <c r="IP41" s="130">
        <v>3.7733473399999999</v>
      </c>
      <c r="IQ41" s="130">
        <v>3.7712473399999999</v>
      </c>
      <c r="IR41" s="130">
        <v>3.7712473399999999</v>
      </c>
      <c r="IS41" s="130">
        <v>3.7712473399999999</v>
      </c>
      <c r="IT41" s="130">
        <v>3.6459785199999999</v>
      </c>
      <c r="IU41" s="130">
        <v>3.6459785199999999</v>
      </c>
      <c r="IV41" s="130">
        <v>3.6459785199999999</v>
      </c>
      <c r="IW41" s="130">
        <v>3.6029887899999999</v>
      </c>
      <c r="IX41" s="130">
        <v>3.6029887899999999</v>
      </c>
      <c r="IY41" s="130">
        <v>3.6029887899999999</v>
      </c>
      <c r="IZ41" s="130">
        <v>3.6029887899999999</v>
      </c>
      <c r="JA41" s="130">
        <v>3.4256858399999999</v>
      </c>
      <c r="JB41" s="130">
        <v>3.4256858399999999</v>
      </c>
      <c r="JC41" s="130">
        <v>155.63678939000002</v>
      </c>
      <c r="JD41" s="130">
        <v>155.6707146</v>
      </c>
      <c r="JE41" s="130">
        <v>155.6707146</v>
      </c>
      <c r="JF41" s="130">
        <v>155.6707146</v>
      </c>
      <c r="JG41" s="130">
        <v>1.0113172500000001</v>
      </c>
      <c r="JH41" s="130">
        <v>1.0113172500000001</v>
      </c>
      <c r="JI41" s="130">
        <v>1.0113172500000001</v>
      </c>
      <c r="JJ41" s="130">
        <v>1.0092172500000001</v>
      </c>
      <c r="JK41" s="130">
        <v>1.0092172500000001</v>
      </c>
      <c r="JL41" s="130">
        <v>1.0092172500000001</v>
      </c>
      <c r="JM41" s="130">
        <v>0.69638119999999992</v>
      </c>
      <c r="JN41" s="130">
        <v>0.69638119999999992</v>
      </c>
      <c r="JO41" s="130">
        <v>0.69638119999999992</v>
      </c>
      <c r="JP41" s="130">
        <v>0.69638119999999992</v>
      </c>
      <c r="JQ41" s="130">
        <v>0.69638119999999992</v>
      </c>
      <c r="JR41" s="130">
        <v>0.69638119999999992</v>
      </c>
      <c r="JS41" s="130">
        <v>0.69638119999999992</v>
      </c>
      <c r="JT41" s="130">
        <v>0.65994427999999994</v>
      </c>
      <c r="JU41" s="130">
        <v>0.65994427999999994</v>
      </c>
      <c r="JV41" s="130">
        <v>0.65994427999999994</v>
      </c>
      <c r="JW41" s="130">
        <v>0.38947697000000003</v>
      </c>
      <c r="JX41" s="130">
        <v>0.38947697000000003</v>
      </c>
      <c r="JY41" s="130">
        <v>2.4945604300000004</v>
      </c>
      <c r="JZ41" s="130">
        <v>2.4945604300000004</v>
      </c>
      <c r="KA41" s="130">
        <v>2.6996023500000002</v>
      </c>
      <c r="KB41" s="130">
        <v>2.6996023500000002</v>
      </c>
      <c r="KC41" s="130">
        <v>2.6996023500000002</v>
      </c>
      <c r="KD41" s="130">
        <v>2.6996023500000002</v>
      </c>
      <c r="KE41" s="130">
        <v>2.6996023500000002</v>
      </c>
      <c r="KF41" s="130">
        <v>1.0092172500000001</v>
      </c>
      <c r="KG41" s="130">
        <v>2.6974023499999999</v>
      </c>
      <c r="KH41" s="130">
        <v>2.6974023499999999</v>
      </c>
      <c r="KI41" s="130">
        <v>2.43281466</v>
      </c>
      <c r="KJ41" s="130">
        <v>2.43281466</v>
      </c>
      <c r="KK41" s="130">
        <v>2.31164412</v>
      </c>
      <c r="KL41" s="130">
        <v>2.2996646600000004</v>
      </c>
      <c r="KM41" s="130">
        <v>2.2996646600000004</v>
      </c>
      <c r="KN41" s="130">
        <v>2.2993785199999999</v>
      </c>
      <c r="KO41" s="130">
        <v>2.2993785199999999</v>
      </c>
      <c r="KP41" s="130">
        <v>2.2993785199999999</v>
      </c>
      <c r="KQ41" s="130">
        <v>2.3023275600000002</v>
      </c>
      <c r="KR41" s="130">
        <v>2.3023275600000002</v>
      </c>
      <c r="KS41" s="130">
        <v>1.89650104</v>
      </c>
      <c r="KT41" s="130">
        <v>1.89650104</v>
      </c>
      <c r="KU41" s="130">
        <v>2.1250842199999997</v>
      </c>
      <c r="KV41" s="130">
        <v>1.9155354</v>
      </c>
      <c r="KW41" s="130">
        <v>1.9134354</v>
      </c>
      <c r="KX41" s="130">
        <v>1.9134354</v>
      </c>
      <c r="KY41" s="130">
        <v>1.9134354</v>
      </c>
      <c r="KZ41" s="130">
        <v>1.6703686799999999</v>
      </c>
      <c r="LA41" s="130">
        <v>1.6703686799999999</v>
      </c>
      <c r="LB41" s="130">
        <v>1.6703686799999999</v>
      </c>
      <c r="LC41" s="130">
        <v>1.6703686799999999</v>
      </c>
      <c r="LD41" s="130">
        <v>1.6703686799999999</v>
      </c>
      <c r="LE41" s="130">
        <v>1.6703686799999999</v>
      </c>
      <c r="LF41" s="969">
        <v>1.6603546599999999</v>
      </c>
      <c r="LG41" s="969">
        <v>1.6603546599999999</v>
      </c>
      <c r="LH41" s="969">
        <v>1.6603546599999999</v>
      </c>
      <c r="LI41" s="969">
        <v>1.41670556</v>
      </c>
      <c r="LJ41" s="969">
        <v>1.41670556</v>
      </c>
      <c r="LK41" s="969">
        <v>1.41670556</v>
      </c>
      <c r="LL41" s="969">
        <v>1.4165055600000001</v>
      </c>
      <c r="LM41" s="969">
        <v>1.4165055600000001</v>
      </c>
      <c r="LN41" s="969">
        <v>1.3953515999999999</v>
      </c>
      <c r="LO41" s="969">
        <v>1.3953515999999999</v>
      </c>
      <c r="LP41" s="969">
        <v>1.3953515999999999</v>
      </c>
      <c r="LQ41" s="969">
        <v>1.3843226</v>
      </c>
      <c r="LR41" s="969">
        <v>1.3843226</v>
      </c>
      <c r="LS41" s="969">
        <v>1.3843226</v>
      </c>
      <c r="LT41" s="969">
        <v>1.3843226</v>
      </c>
      <c r="LU41" s="969">
        <v>1.3843226</v>
      </c>
      <c r="LV41" s="969">
        <v>1.1025174</v>
      </c>
      <c r="LW41" s="969">
        <v>1.1025174</v>
      </c>
      <c r="LX41" s="969">
        <v>1.1025174</v>
      </c>
      <c r="LY41" s="969">
        <v>1.1025174</v>
      </c>
      <c r="LZ41" s="969">
        <v>1.1025174</v>
      </c>
      <c r="MA41" s="969">
        <v>1.1025174</v>
      </c>
      <c r="MB41" s="969">
        <v>1.1025174</v>
      </c>
      <c r="MC41" s="969">
        <v>1.1025174</v>
      </c>
      <c r="MD41" s="969">
        <v>1.0906467099999999</v>
      </c>
      <c r="ME41" s="969">
        <v>1.0906467099999999</v>
      </c>
      <c r="MF41" s="969">
        <v>1.0906467099999999</v>
      </c>
      <c r="MG41" s="969">
        <v>1.0906467099999999</v>
      </c>
      <c r="MH41" s="969">
        <v>567.66207265000014</v>
      </c>
      <c r="MI41" s="969">
        <v>567.66207265000014</v>
      </c>
      <c r="MJ41" s="969">
        <v>2.78804798</v>
      </c>
      <c r="MK41" s="969">
        <v>2.7856479799999998</v>
      </c>
      <c r="ML41" s="969">
        <v>2.7856479799999998</v>
      </c>
      <c r="MM41" s="969">
        <v>2.7856479799999998</v>
      </c>
      <c r="MN41" s="969">
        <v>2.7856479799999998</v>
      </c>
      <c r="MO41" s="969">
        <v>2.7856479799999998</v>
      </c>
      <c r="MP41" s="969">
        <v>2.7856479799999998</v>
      </c>
      <c r="MQ41" s="969">
        <v>2.46972689</v>
      </c>
      <c r="MR41" s="969">
        <v>2.46972689</v>
      </c>
      <c r="MS41" s="969">
        <v>2.3110217799999999</v>
      </c>
      <c r="MT41" s="969">
        <v>2</v>
      </c>
      <c r="MU41" s="969">
        <v>2</v>
      </c>
      <c r="MV41" s="969">
        <v>2</v>
      </c>
      <c r="MW41" s="969">
        <v>2.3110217799999999</v>
      </c>
      <c r="MX41" s="969">
        <v>2.3028218799999998</v>
      </c>
      <c r="MY41" s="969">
        <v>2.3028218799999998</v>
      </c>
      <c r="MZ41" s="969">
        <v>2.3028218799999998</v>
      </c>
      <c r="NA41" s="969">
        <v>2.3028218799999998</v>
      </c>
      <c r="NB41" s="969">
        <v>2.3028218799999998</v>
      </c>
      <c r="NC41" s="969">
        <v>2.3028218799999998</v>
      </c>
      <c r="ND41" s="969">
        <v>2.3028218799999998</v>
      </c>
      <c r="NE41" s="969">
        <v>2.3028218799999998</v>
      </c>
      <c r="NF41" s="969">
        <v>4.6922727299999991</v>
      </c>
      <c r="NG41" s="969">
        <v>4.5123396900000001</v>
      </c>
      <c r="NH41" s="969">
        <v>26.512339690000001</v>
      </c>
      <c r="NI41" s="969">
        <v>4.2540069799999998</v>
      </c>
      <c r="NJ41" s="969">
        <v>4.2540069799999998</v>
      </c>
      <c r="NK41" s="969">
        <v>4.2519069799999993</v>
      </c>
      <c r="NL41" s="969">
        <v>4.2519069799999993</v>
      </c>
      <c r="NM41" s="969">
        <v>3.9306316099999998</v>
      </c>
      <c r="NN41" s="969">
        <v>3.9306316099999998</v>
      </c>
      <c r="NO41" s="969">
        <v>3.9306316099999998</v>
      </c>
      <c r="NP41" s="969">
        <v>3.9409906499999998</v>
      </c>
      <c r="NQ41" s="969">
        <v>3.9409906499999998</v>
      </c>
      <c r="NR41" s="969">
        <v>3.9409906499999998</v>
      </c>
      <c r="NS41" s="969">
        <v>3.9409906499999998</v>
      </c>
      <c r="NT41" s="969">
        <v>3.9409906499999998</v>
      </c>
      <c r="NU41" s="969">
        <v>3.9029825300000001</v>
      </c>
      <c r="NV41" s="969">
        <v>3.9029825300000001</v>
      </c>
      <c r="NW41" s="969">
        <v>3.9029825300000001</v>
      </c>
      <c r="NX41" s="969">
        <v>3.9029825300000001</v>
      </c>
      <c r="NY41" s="969">
        <v>3.5285088099999999</v>
      </c>
      <c r="NZ41" s="969">
        <v>151.91135951999999</v>
      </c>
      <c r="OA41" s="969">
        <v>151.91135951999999</v>
      </c>
      <c r="OB41" s="969">
        <v>151.91135951999999</v>
      </c>
      <c r="OC41" s="969">
        <v>3.76499344</v>
      </c>
      <c r="OD41" s="969">
        <v>3.76499344</v>
      </c>
      <c r="OE41" s="969">
        <v>3.76499344</v>
      </c>
      <c r="OF41" s="969">
        <v>3.76499344</v>
      </c>
      <c r="OG41" s="969">
        <v>3.76289344</v>
      </c>
      <c r="OH41" s="969">
        <v>3.76289344</v>
      </c>
      <c r="OI41" s="969">
        <v>1.6703686799999999</v>
      </c>
      <c r="OJ41" s="969">
        <v>3.6212926299999997</v>
      </c>
      <c r="OK41" s="969">
        <v>3.6212926299999997</v>
      </c>
      <c r="OL41" s="969">
        <v>3.6212926299999997</v>
      </c>
      <c r="OM41" s="969">
        <v>3.6212926299999997</v>
      </c>
      <c r="ON41" s="969">
        <v>3.6212926299999997</v>
      </c>
      <c r="OO41" s="969">
        <v>3.62848287</v>
      </c>
      <c r="OP41" s="969">
        <v>3.53994483</v>
      </c>
      <c r="OQ41" s="969">
        <v>3.53994483</v>
      </c>
      <c r="OR41" s="969">
        <v>3.53994483</v>
      </c>
      <c r="OS41" s="969">
        <v>3.2763266400000002</v>
      </c>
      <c r="OT41" s="969">
        <v>895.27632663999998</v>
      </c>
      <c r="OU41" s="969">
        <v>895.27632663999998</v>
      </c>
      <c r="OV41" s="969">
        <v>895.27632663999998</v>
      </c>
      <c r="OW41" s="969">
        <v>4.2235129200000001</v>
      </c>
      <c r="OX41" s="969">
        <v>4.2235129200000001</v>
      </c>
      <c r="OY41" s="969">
        <v>3.8675920500000003</v>
      </c>
      <c r="OZ41" s="969">
        <v>3.8675920500000003</v>
      </c>
      <c r="PA41" s="969">
        <v>3.8675920500000003</v>
      </c>
      <c r="PB41" s="969">
        <v>3.8768145199999999</v>
      </c>
      <c r="PC41" s="969">
        <v>3.8768145199999999</v>
      </c>
      <c r="PD41" s="969">
        <v>3.8768145199999999</v>
      </c>
      <c r="PE41" s="969">
        <v>3.8687392000000003</v>
      </c>
      <c r="PF41" s="969">
        <v>3.8680692000000003</v>
      </c>
      <c r="PG41" s="969">
        <v>3.8680692000000003</v>
      </c>
      <c r="PH41" s="969">
        <v>3.8680692000000003</v>
      </c>
      <c r="PI41" s="969">
        <v>3.6922457500000001</v>
      </c>
      <c r="PJ41" s="969">
        <v>3.6922457500000001</v>
      </c>
      <c r="PK41" s="969">
        <v>3.6922457500000001</v>
      </c>
      <c r="PL41" s="969">
        <v>3.6922457500000001</v>
      </c>
      <c r="PM41" s="969">
        <v>3.6922457500000001</v>
      </c>
      <c r="PN41" s="969">
        <v>4.3222636499999991</v>
      </c>
      <c r="PO41" s="969">
        <v>4.3222636499999991</v>
      </c>
      <c r="PP41" s="969">
        <v>4.3222636499999991</v>
      </c>
      <c r="PQ41" s="969">
        <v>4.3222636499999991</v>
      </c>
      <c r="PR41" s="969">
        <v>4.3222636499999991</v>
      </c>
      <c r="PS41" s="969">
        <v>4.3201636499999996</v>
      </c>
      <c r="PT41" s="969">
        <v>4.3201636499999996</v>
      </c>
      <c r="PU41" s="969">
        <v>3.9027698499999999</v>
      </c>
      <c r="PV41" s="969">
        <v>3.9027698499999999</v>
      </c>
      <c r="PW41" s="969">
        <v>3.9027698499999999</v>
      </c>
      <c r="PX41" s="969">
        <v>3.9027698499999999</v>
      </c>
      <c r="PY41" s="969">
        <v>3.9027698499999999</v>
      </c>
      <c r="PZ41" s="969">
        <v>3.9027698499999999</v>
      </c>
      <c r="QA41" s="969">
        <v>3.9027698499999999</v>
      </c>
      <c r="QB41" s="969">
        <v>3.8927681700000001</v>
      </c>
      <c r="QC41" s="969">
        <v>3.8927681700000001</v>
      </c>
      <c r="QD41" s="969">
        <v>3.8927681700000001</v>
      </c>
      <c r="QE41" s="969">
        <v>3.5669207200000002</v>
      </c>
      <c r="QF41" s="969">
        <v>3.5669207200000002</v>
      </c>
      <c r="QG41" s="969">
        <v>3.5669207200000002</v>
      </c>
      <c r="QH41" s="969">
        <v>3.5669207200000002</v>
      </c>
      <c r="QI41" s="969">
        <v>4.8066614599999999</v>
      </c>
      <c r="QJ41" s="969">
        <v>4.8066614599999999</v>
      </c>
      <c r="QK41" s="969">
        <v>4.8045614600000004</v>
      </c>
      <c r="QL41" s="969">
        <v>4.8045614600000004</v>
      </c>
      <c r="QM41" s="969">
        <v>4.8045614600000004</v>
      </c>
      <c r="QN41" s="969">
        <v>4.3727223199999994</v>
      </c>
      <c r="QO41" s="969">
        <v>4.3816775099999994</v>
      </c>
      <c r="QP41" s="969">
        <v>4.3816775099999994</v>
      </c>
      <c r="QQ41" s="969">
        <v>4.3804775099999995</v>
      </c>
      <c r="QR41" s="969">
        <v>4.3804775099999995</v>
      </c>
      <c r="QS41" s="969">
        <v>4.2683549799999998</v>
      </c>
      <c r="QT41" s="969">
        <v>4.2683549799999998</v>
      </c>
      <c r="QU41" s="969">
        <v>4.2683549799999998</v>
      </c>
      <c r="QV41" s="969">
        <v>4.2683549799999998</v>
      </c>
      <c r="QW41" s="969">
        <v>4.2683549799999998</v>
      </c>
      <c r="QX41" s="969">
        <v>4.2683549799999998</v>
      </c>
      <c r="QY41" s="969">
        <v>551.72695307000004</v>
      </c>
      <c r="QZ41" s="969">
        <v>551.72695307000004</v>
      </c>
      <c r="RA41" s="969">
        <v>6.7938848099999998</v>
      </c>
      <c r="RB41" s="969">
        <v>6.7938848099999998</v>
      </c>
      <c r="RC41" s="969">
        <v>6.7938848099999998</v>
      </c>
      <c r="RD41" s="969">
        <v>6.7938848099999998</v>
      </c>
      <c r="RE41" s="969">
        <v>6.4223919599999997</v>
      </c>
      <c r="RF41" s="969">
        <v>6.4223919599999997</v>
      </c>
      <c r="RG41" s="969">
        <v>6.4223919599999997</v>
      </c>
      <c r="RH41" s="969">
        <v>6.1672909599999999</v>
      </c>
      <c r="RI41" s="969">
        <v>6.0148093400000002</v>
      </c>
      <c r="RJ41" s="969">
        <v>6.0148093400000002</v>
      </c>
      <c r="RK41" s="969">
        <v>6.0148093400000002</v>
      </c>
      <c r="RL41" s="969">
        <v>6.0148093400000002</v>
      </c>
      <c r="RM41" s="969">
        <v>6.0062637099999998</v>
      </c>
      <c r="RN41" s="969">
        <v>6.0062637099999998</v>
      </c>
      <c r="RO41" s="969">
        <v>6.0062637099999998</v>
      </c>
      <c r="RP41" s="969">
        <v>6.0062637099999998</v>
      </c>
      <c r="RQ41" s="969">
        <v>6.0201461099999998</v>
      </c>
      <c r="RR41" s="969">
        <v>6.0201461099999998</v>
      </c>
      <c r="RS41" s="969">
        <v>5.5963467699999994</v>
      </c>
      <c r="RT41" s="969">
        <v>5.5963467699999994</v>
      </c>
      <c r="RU41" s="969">
        <v>5.5963467699999994</v>
      </c>
      <c r="RV41" s="969">
        <v>5.5963467699999994</v>
      </c>
      <c r="RW41" s="969">
        <v>5.5963467699999994</v>
      </c>
      <c r="RX41" s="969">
        <v>5.5963467699999994</v>
      </c>
      <c r="RY41" s="969">
        <v>2.83100445</v>
      </c>
      <c r="RZ41" s="969">
        <v>2.83100445</v>
      </c>
      <c r="SA41" s="969">
        <v>2.82890445</v>
      </c>
      <c r="SB41" s="969">
        <v>4.51555309</v>
      </c>
      <c r="SC41" s="969">
        <v>4.51555309</v>
      </c>
      <c r="SD41" s="969">
        <v>4.51555309</v>
      </c>
      <c r="SE41" s="969">
        <v>4.4042292500000002</v>
      </c>
      <c r="SF41" s="969">
        <v>4.4042292500000002</v>
      </c>
      <c r="SG41" s="969">
        <v>4.4041292500000004</v>
      </c>
      <c r="SH41" s="969">
        <v>4.4041292500000004</v>
      </c>
      <c r="SI41" s="969">
        <v>4.4041292500000004</v>
      </c>
      <c r="SJ41" s="969">
        <v>4.4041292500000004</v>
      </c>
      <c r="SK41" s="969">
        <v>4.0307415100000004</v>
      </c>
      <c r="SL41" s="969">
        <v>4.0307415100000004</v>
      </c>
      <c r="SM41" s="969">
        <v>4.0307415100000004</v>
      </c>
      <c r="SN41" s="969">
        <v>4.0307415100000004</v>
      </c>
      <c r="SO41" s="969">
        <v>4.0307415100000004</v>
      </c>
      <c r="SP41" s="969">
        <v>2.5673383200000002</v>
      </c>
      <c r="SQ41" s="969">
        <v>2.5673383200000002</v>
      </c>
      <c r="SR41" s="969">
        <v>2.5673383200000002</v>
      </c>
      <c r="SS41" s="969">
        <v>2.5635383200000001</v>
      </c>
      <c r="ST41" s="969">
        <v>2.5635383200000001</v>
      </c>
      <c r="SU41" s="969">
        <v>2.5614383200000002</v>
      </c>
      <c r="SV41" s="969">
        <v>2.5614383200000002</v>
      </c>
      <c r="SW41" s="969">
        <v>2.5614383200000002</v>
      </c>
      <c r="SX41" s="969">
        <v>2.5614383200000002</v>
      </c>
      <c r="SY41" s="969">
        <v>2.5614383200000002</v>
      </c>
      <c r="SZ41" s="969">
        <v>2.5614383200000002</v>
      </c>
      <c r="TA41" s="969">
        <v>1.9170660800000001</v>
      </c>
      <c r="TB41" s="969">
        <v>1.9170660800000001</v>
      </c>
      <c r="TC41" s="969">
        <v>1.9170660800000001</v>
      </c>
      <c r="TD41" s="969">
        <v>1.9170660800000001</v>
      </c>
      <c r="TE41" s="969">
        <v>1.9170660800000001</v>
      </c>
      <c r="TF41" s="969"/>
      <c r="TG41" s="969"/>
      <c r="TH41" s="969"/>
      <c r="TI41" s="969"/>
      <c r="TJ41" s="969"/>
      <c r="TK41" s="969"/>
      <c r="TL41" s="969"/>
      <c r="TM41" s="969"/>
      <c r="TN41" s="969"/>
      <c r="TO41" s="969"/>
      <c r="TP41" s="969"/>
      <c r="TQ41" s="969"/>
      <c r="TR41" s="969"/>
      <c r="TS41" s="969"/>
      <c r="TT41" s="969"/>
      <c r="TU41" s="969"/>
      <c r="TV41" s="969"/>
      <c r="TW41" s="969"/>
      <c r="TX41" s="969"/>
      <c r="TY41" s="969"/>
      <c r="TZ41" s="969"/>
      <c r="UA41" s="969"/>
      <c r="UB41" s="969"/>
      <c r="UC41" s="969"/>
      <c r="UD41" s="969"/>
      <c r="UE41" s="969"/>
      <c r="UF41" s="969"/>
      <c r="UG41" s="969"/>
      <c r="UH41" s="969"/>
      <c r="UI41" s="969"/>
      <c r="UJ41" s="969"/>
      <c r="UK41" s="969"/>
      <c r="UL41" s="969"/>
      <c r="UM41" s="969"/>
      <c r="UN41" s="969"/>
      <c r="UO41" s="969"/>
      <c r="UP41" s="969"/>
      <c r="UQ41" s="969"/>
      <c r="UR41" s="969"/>
      <c r="US41" s="969"/>
      <c r="UT41" s="969"/>
      <c r="UU41" s="969"/>
      <c r="UV41" s="969"/>
      <c r="UW41" s="969"/>
      <c r="UX41" s="969"/>
      <c r="UY41" s="969"/>
      <c r="UZ41" s="969"/>
      <c r="VA41" s="969"/>
      <c r="VB41" s="969"/>
      <c r="VC41" s="969"/>
      <c r="VD41" s="969"/>
      <c r="VE41" s="969"/>
      <c r="VF41" s="969"/>
      <c r="VG41" s="969"/>
      <c r="VH41" s="969"/>
      <c r="VI41" s="969"/>
      <c r="VJ41" s="969"/>
      <c r="VK41" s="969"/>
      <c r="VL41" s="969"/>
      <c r="VM41" s="969"/>
      <c r="VN41" s="969"/>
      <c r="VO41" s="969"/>
      <c r="VP41" s="969"/>
      <c r="VQ41" s="969"/>
      <c r="VR41" s="969"/>
      <c r="VS41" s="969"/>
      <c r="VT41" s="969"/>
      <c r="VU41" s="969"/>
      <c r="VV41" s="969"/>
      <c r="VW41" s="969"/>
      <c r="VX41" s="969"/>
      <c r="VY41" s="969"/>
      <c r="VZ41" s="969"/>
      <c r="WA41" s="969"/>
      <c r="WB41" s="969"/>
      <c r="WC41" s="969"/>
      <c r="WD41" s="969"/>
      <c r="WE41" s="969"/>
      <c r="WF41" s="969"/>
      <c r="WG41" s="969"/>
      <c r="WH41" s="969"/>
      <c r="WI41" s="969"/>
      <c r="WJ41" s="969"/>
      <c r="WK41" s="969"/>
      <c r="WL41" s="969"/>
      <c r="WM41" s="969"/>
      <c r="WN41" s="969"/>
      <c r="WO41" s="969"/>
      <c r="WP41" s="969"/>
      <c r="WQ41" s="969"/>
      <c r="WR41" s="969"/>
      <c r="WS41" s="969"/>
      <c r="WT41" s="969"/>
      <c r="WU41" s="969"/>
      <c r="WV41" s="969"/>
      <c r="WW41" s="969"/>
      <c r="WX41" s="969"/>
      <c r="WY41" s="969"/>
      <c r="WZ41" s="969"/>
      <c r="XA41" s="969"/>
      <c r="XB41" s="969"/>
      <c r="XC41" s="969"/>
      <c r="XD41" s="969"/>
      <c r="XE41" s="969"/>
      <c r="XF41" s="969"/>
      <c r="XG41" s="969"/>
      <c r="XH41" s="969"/>
      <c r="XI41" s="969"/>
      <c r="XJ41" s="969"/>
      <c r="XK41" s="969"/>
      <c r="XL41" s="969"/>
      <c r="XM41" s="969"/>
      <c r="XN41" s="969"/>
      <c r="XO41" s="969"/>
      <c r="XP41" s="969"/>
      <c r="XQ41" s="969"/>
      <c r="XR41" s="969"/>
      <c r="XS41" s="969"/>
      <c r="XT41" s="969"/>
      <c r="XU41" s="969"/>
      <c r="XV41" s="969"/>
      <c r="XW41" s="969"/>
      <c r="XX41" s="969"/>
      <c r="XY41" s="969"/>
      <c r="XZ41" s="969"/>
      <c r="YA41" s="969"/>
      <c r="YB41" s="969"/>
      <c r="YC41" s="969"/>
      <c r="YD41" s="969"/>
      <c r="YE41" s="969"/>
      <c r="YF41" s="969"/>
      <c r="YG41" s="969"/>
      <c r="YH41" s="969"/>
    </row>
    <row r="43" spans="2:658" s="948" customFormat="1">
      <c r="B43" s="919" t="s">
        <v>66</v>
      </c>
      <c r="C43" s="920">
        <f t="shared" ref="C43:BN43" si="476">SUM(C27:C41)</f>
        <v>636.15820854947458</v>
      </c>
      <c r="D43" s="128">
        <f t="shared" si="476"/>
        <v>488.91896167933697</v>
      </c>
      <c r="E43" s="128">
        <f t="shared" si="476"/>
        <v>490.31255485378068</v>
      </c>
      <c r="F43" s="128">
        <f t="shared" si="476"/>
        <v>341.75593944374037</v>
      </c>
      <c r="G43" s="128">
        <f t="shared" si="476"/>
        <v>490.28529327819399</v>
      </c>
      <c r="H43" s="128">
        <f t="shared" si="476"/>
        <v>454.65289351108322</v>
      </c>
      <c r="I43" s="128">
        <f t="shared" si="476"/>
        <v>337.35189025389775</v>
      </c>
      <c r="J43" s="128">
        <f t="shared" si="476"/>
        <v>370.75084055295599</v>
      </c>
      <c r="K43" s="128">
        <f t="shared" si="476"/>
        <v>343.93744805566502</v>
      </c>
      <c r="L43" s="128">
        <f t="shared" si="476"/>
        <v>385.55459375990773</v>
      </c>
      <c r="M43" s="128">
        <f t="shared" si="476"/>
        <v>414.30950109180532</v>
      </c>
      <c r="N43" s="128">
        <f t="shared" si="476"/>
        <v>546.56385985576469</v>
      </c>
      <c r="O43" s="128">
        <f t="shared" si="476"/>
        <v>336.77135547232581</v>
      </c>
      <c r="P43" s="128">
        <f t="shared" si="476"/>
        <v>355.05427082082304</v>
      </c>
      <c r="Q43" s="128">
        <f t="shared" si="476"/>
        <v>413.45081878573876</v>
      </c>
      <c r="R43" s="128">
        <f t="shared" si="476"/>
        <v>400.9</v>
      </c>
      <c r="S43" s="128">
        <f t="shared" si="476"/>
        <v>291</v>
      </c>
      <c r="T43" s="128">
        <f t="shared" si="476"/>
        <v>307.10000000000002</v>
      </c>
      <c r="U43" s="128">
        <f t="shared" si="476"/>
        <v>309.3</v>
      </c>
      <c r="V43" s="128">
        <f t="shared" si="476"/>
        <v>395.40000000000003</v>
      </c>
      <c r="W43" s="128">
        <f t="shared" si="476"/>
        <v>367.80000000000007</v>
      </c>
      <c r="X43" s="128">
        <f t="shared" si="476"/>
        <v>376.40000000000003</v>
      </c>
      <c r="Y43" s="128">
        <f t="shared" si="476"/>
        <v>302.3</v>
      </c>
      <c r="Z43" s="128">
        <f t="shared" si="476"/>
        <v>321</v>
      </c>
      <c r="AA43" s="128">
        <f t="shared" si="476"/>
        <v>333.5</v>
      </c>
      <c r="AB43" s="128">
        <f t="shared" si="476"/>
        <v>360.59999999999997</v>
      </c>
      <c r="AC43" s="128">
        <f t="shared" si="476"/>
        <v>459.1</v>
      </c>
      <c r="AD43" s="128">
        <f t="shared" si="476"/>
        <v>329.59999999999997</v>
      </c>
      <c r="AE43" s="128">
        <f t="shared" si="476"/>
        <v>199.20000000000002</v>
      </c>
      <c r="AF43" s="128">
        <f t="shared" si="476"/>
        <v>279.59999999999997</v>
      </c>
      <c r="AG43" s="128">
        <f t="shared" si="476"/>
        <v>300.89999999999998</v>
      </c>
      <c r="AH43" s="128">
        <f t="shared" si="476"/>
        <v>346.3</v>
      </c>
      <c r="AI43" s="128">
        <f t="shared" si="476"/>
        <v>258.59999999999997</v>
      </c>
      <c r="AJ43" s="128">
        <f t="shared" si="476"/>
        <v>208.8</v>
      </c>
      <c r="AK43" s="128">
        <f t="shared" si="476"/>
        <v>285.79999999999995</v>
      </c>
      <c r="AL43" s="128">
        <f t="shared" si="476"/>
        <v>278.5</v>
      </c>
      <c r="AM43" s="128">
        <f t="shared" si="476"/>
        <v>337.3</v>
      </c>
      <c r="AN43" s="128">
        <f t="shared" si="476"/>
        <v>234.90000000000003</v>
      </c>
      <c r="AO43" s="128">
        <f t="shared" si="476"/>
        <v>227.6</v>
      </c>
      <c r="AP43" s="128">
        <f t="shared" si="476"/>
        <v>280</v>
      </c>
      <c r="AQ43" s="128">
        <f t="shared" si="476"/>
        <v>215.39999999999998</v>
      </c>
      <c r="AR43" s="128">
        <f t="shared" si="476"/>
        <v>262.09999999999997</v>
      </c>
      <c r="AS43" s="128">
        <f t="shared" si="476"/>
        <v>216.8</v>
      </c>
      <c r="AT43" s="128">
        <f t="shared" si="476"/>
        <v>225.4</v>
      </c>
      <c r="AU43" s="128">
        <f t="shared" si="476"/>
        <v>247.7</v>
      </c>
      <c r="AV43" s="128">
        <f t="shared" si="476"/>
        <v>256.89799999999991</v>
      </c>
      <c r="AW43" s="128">
        <f t="shared" si="476"/>
        <v>308.40000000000003</v>
      </c>
      <c r="AX43" s="128">
        <f t="shared" si="476"/>
        <v>236.00199999999995</v>
      </c>
      <c r="AY43" s="128">
        <f t="shared" si="476"/>
        <v>260.63999999999993</v>
      </c>
      <c r="AZ43" s="128">
        <f t="shared" si="476"/>
        <v>259.85000000000002</v>
      </c>
      <c r="BA43" s="128">
        <f t="shared" si="476"/>
        <v>299.94999999999993</v>
      </c>
      <c r="BB43" s="128">
        <f t="shared" si="476"/>
        <v>296.64999999999998</v>
      </c>
      <c r="BC43" s="128">
        <f t="shared" si="476"/>
        <v>386.55</v>
      </c>
      <c r="BD43" s="128">
        <f t="shared" si="476"/>
        <v>402.65</v>
      </c>
      <c r="BE43" s="128">
        <f t="shared" si="476"/>
        <v>382.04999999999995</v>
      </c>
      <c r="BF43" s="128">
        <f t="shared" si="476"/>
        <v>438.95000000000005</v>
      </c>
      <c r="BG43" s="128">
        <f t="shared" si="476"/>
        <v>396.04999999999995</v>
      </c>
      <c r="BH43" s="128">
        <f t="shared" si="476"/>
        <v>320.57</v>
      </c>
      <c r="BI43" s="128">
        <f t="shared" si="476"/>
        <v>376.87</v>
      </c>
      <c r="BJ43" s="128">
        <f t="shared" si="476"/>
        <v>1068.07</v>
      </c>
      <c r="BK43" s="128">
        <f t="shared" si="476"/>
        <v>232.86999999999998</v>
      </c>
      <c r="BL43" s="128">
        <f t="shared" si="476"/>
        <v>123.86999999999999</v>
      </c>
      <c r="BM43" s="128">
        <f t="shared" si="476"/>
        <v>90.65</v>
      </c>
      <c r="BN43" s="128">
        <f t="shared" si="476"/>
        <v>178.84999999999997</v>
      </c>
      <c r="BO43" s="128">
        <f t="shared" ref="BO43:DZ43" si="477">SUM(BO27:BO41)</f>
        <v>209.05</v>
      </c>
      <c r="BP43" s="128">
        <f t="shared" si="477"/>
        <v>157.67999999999998</v>
      </c>
      <c r="BQ43" s="128">
        <f t="shared" si="477"/>
        <v>98.98</v>
      </c>
      <c r="BR43" s="128">
        <f t="shared" si="477"/>
        <v>90.38000000000001</v>
      </c>
      <c r="BS43" s="128">
        <f t="shared" si="477"/>
        <v>163.67999999999998</v>
      </c>
      <c r="BT43" s="128">
        <f t="shared" si="477"/>
        <v>186.57999999999998</v>
      </c>
      <c r="BU43" s="128">
        <f t="shared" si="477"/>
        <v>166.98</v>
      </c>
      <c r="BV43" s="128">
        <f t="shared" si="477"/>
        <v>182.37999999999997</v>
      </c>
      <c r="BW43" s="128">
        <f t="shared" si="477"/>
        <v>181.17999999999998</v>
      </c>
      <c r="BX43" s="128">
        <f t="shared" si="477"/>
        <v>182.67999999999998</v>
      </c>
      <c r="BY43" s="128">
        <f t="shared" si="477"/>
        <v>185.47999999999996</v>
      </c>
      <c r="BZ43" s="128">
        <f t="shared" si="477"/>
        <v>99.530000000000015</v>
      </c>
      <c r="CA43" s="128">
        <f t="shared" si="477"/>
        <v>116.38000000000001</v>
      </c>
      <c r="CB43" s="128">
        <f t="shared" si="477"/>
        <v>316.18000000000006</v>
      </c>
      <c r="CC43" s="128">
        <f t="shared" si="477"/>
        <v>340.48</v>
      </c>
      <c r="CD43" s="128">
        <f t="shared" si="477"/>
        <v>317.68</v>
      </c>
      <c r="CE43" s="128">
        <f t="shared" si="477"/>
        <v>298.99</v>
      </c>
      <c r="CF43" s="128">
        <f t="shared" si="477"/>
        <v>298.99</v>
      </c>
      <c r="CG43" s="128">
        <f t="shared" si="477"/>
        <v>166.07999999999996</v>
      </c>
      <c r="CH43" s="128">
        <f t="shared" si="477"/>
        <v>341.39000000000004</v>
      </c>
      <c r="CI43" s="128">
        <f t="shared" si="477"/>
        <v>382.91</v>
      </c>
      <c r="CJ43" s="128">
        <f t="shared" si="477"/>
        <v>394.88</v>
      </c>
      <c r="CK43" s="128">
        <f t="shared" si="477"/>
        <v>468.03000000000003</v>
      </c>
      <c r="CL43" s="128">
        <f t="shared" si="477"/>
        <v>346.44</v>
      </c>
      <c r="CM43" s="128">
        <f t="shared" si="477"/>
        <v>401.18000000000006</v>
      </c>
      <c r="CN43" s="128">
        <f t="shared" si="477"/>
        <v>420.38</v>
      </c>
      <c r="CO43" s="128">
        <f t="shared" si="477"/>
        <v>404.47999999999996</v>
      </c>
      <c r="CP43" s="128">
        <f t="shared" si="477"/>
        <v>398.88000000000005</v>
      </c>
      <c r="CQ43" s="128">
        <f t="shared" si="477"/>
        <v>273.88</v>
      </c>
      <c r="CR43" s="128">
        <f t="shared" si="477"/>
        <v>344.98000000000008</v>
      </c>
      <c r="CS43" s="128">
        <f t="shared" si="477"/>
        <v>380.58</v>
      </c>
      <c r="CT43" s="128">
        <f t="shared" si="477"/>
        <v>466.68</v>
      </c>
      <c r="CU43" s="128">
        <f t="shared" si="477"/>
        <v>427.38</v>
      </c>
      <c r="CV43" s="128">
        <f t="shared" si="477"/>
        <v>330.08000000000004</v>
      </c>
      <c r="CW43" s="128">
        <f t="shared" si="477"/>
        <v>486.49</v>
      </c>
      <c r="CX43" s="128">
        <f t="shared" si="477"/>
        <v>486.49</v>
      </c>
      <c r="CY43" s="128">
        <f t="shared" si="477"/>
        <v>442.30600000000004</v>
      </c>
      <c r="CZ43" s="128">
        <f t="shared" si="477"/>
        <v>442.30600000000004</v>
      </c>
      <c r="DA43" s="128">
        <f t="shared" si="477"/>
        <v>346.20300000000003</v>
      </c>
      <c r="DB43" s="128">
        <f t="shared" si="477"/>
        <v>591.35199999999998</v>
      </c>
      <c r="DC43" s="128">
        <f t="shared" si="477"/>
        <v>607.11199999999997</v>
      </c>
      <c r="DD43" s="128">
        <f t="shared" si="477"/>
        <v>621.20949999999993</v>
      </c>
      <c r="DE43" s="128">
        <f t="shared" si="477"/>
        <v>531.39199999999994</v>
      </c>
      <c r="DF43" s="128">
        <f t="shared" si="477"/>
        <v>617.02599999999995</v>
      </c>
      <c r="DG43" s="128">
        <f t="shared" si="477"/>
        <v>559.93100000000004</v>
      </c>
      <c r="DH43" s="128">
        <f t="shared" si="477"/>
        <v>588.80099999999993</v>
      </c>
      <c r="DI43" s="128">
        <f t="shared" si="477"/>
        <v>607.56400000000008</v>
      </c>
      <c r="DJ43" s="128">
        <f t="shared" si="477"/>
        <v>534.09999999999991</v>
      </c>
      <c r="DK43" s="128">
        <f t="shared" si="477"/>
        <v>424.42010000000005</v>
      </c>
      <c r="DL43" s="128">
        <f t="shared" si="477"/>
        <v>537.64009999999996</v>
      </c>
      <c r="DM43" s="128">
        <f t="shared" si="477"/>
        <v>537.64009999999996</v>
      </c>
      <c r="DN43" s="128">
        <f t="shared" si="477"/>
        <v>616.74009999999987</v>
      </c>
      <c r="DO43" s="128">
        <f t="shared" si="477"/>
        <v>486.52010000000007</v>
      </c>
      <c r="DP43" s="128">
        <f t="shared" si="477"/>
        <v>486.52010000000007</v>
      </c>
      <c r="DQ43" s="128">
        <f t="shared" si="477"/>
        <v>1180.5200999999997</v>
      </c>
      <c r="DR43" s="128">
        <f t="shared" si="477"/>
        <v>1168.7800999999999</v>
      </c>
      <c r="DS43" s="128">
        <f t="shared" si="477"/>
        <v>1168.7800999999999</v>
      </c>
      <c r="DT43" s="128">
        <f t="shared" si="477"/>
        <v>1918.8601000000001</v>
      </c>
      <c r="DU43" s="128">
        <f t="shared" si="477"/>
        <v>755.24009999999998</v>
      </c>
      <c r="DV43" s="128">
        <f t="shared" si="477"/>
        <v>1071.6300999999999</v>
      </c>
      <c r="DW43" s="128">
        <f t="shared" si="477"/>
        <v>1120.7400999999998</v>
      </c>
      <c r="DX43" s="128">
        <f t="shared" si="477"/>
        <v>1587.4800999999995</v>
      </c>
      <c r="DY43" s="128">
        <f t="shared" si="477"/>
        <v>1535.3500999999997</v>
      </c>
      <c r="DZ43" s="128">
        <f t="shared" si="477"/>
        <v>1357.9000999999998</v>
      </c>
      <c r="EA43" s="128">
        <f t="shared" ref="EA43:GL43" si="478">SUM(EA27:EA41)</f>
        <v>1603.0200999999997</v>
      </c>
      <c r="EB43" s="128">
        <f t="shared" si="478"/>
        <v>1613.6300999999996</v>
      </c>
      <c r="EC43" s="128">
        <f t="shared" si="478"/>
        <v>1569.0300999999997</v>
      </c>
      <c r="ED43" s="128">
        <f t="shared" si="478"/>
        <v>1430.8920999999998</v>
      </c>
      <c r="EE43" s="128">
        <f t="shared" si="478"/>
        <v>1430.1221</v>
      </c>
      <c r="EF43" s="128">
        <f t="shared" si="478"/>
        <v>1270.3521000000001</v>
      </c>
      <c r="EG43" s="128">
        <f t="shared" si="478"/>
        <v>1388.6821000000002</v>
      </c>
      <c r="EH43" s="128">
        <f t="shared" si="478"/>
        <v>1454.9921000000002</v>
      </c>
      <c r="EI43" s="128">
        <f t="shared" si="478"/>
        <v>1333.4121</v>
      </c>
      <c r="EJ43" s="128">
        <f t="shared" si="478"/>
        <v>1334.9821000000004</v>
      </c>
      <c r="EK43" s="128">
        <f t="shared" si="478"/>
        <v>1400.2021</v>
      </c>
      <c r="EL43" s="128">
        <f t="shared" si="478"/>
        <v>1443.5821000000001</v>
      </c>
      <c r="EM43" s="128">
        <f t="shared" si="478"/>
        <v>1488.7121</v>
      </c>
      <c r="EN43" s="128">
        <f t="shared" si="478"/>
        <v>1380.3120999999999</v>
      </c>
      <c r="EO43" s="128">
        <f t="shared" si="478"/>
        <v>1417.8521000000003</v>
      </c>
      <c r="EP43" s="128">
        <f t="shared" si="478"/>
        <v>1510.1921</v>
      </c>
      <c r="EQ43" s="128">
        <f t="shared" si="478"/>
        <v>1336.7620999999999</v>
      </c>
      <c r="ER43" s="128">
        <f t="shared" si="478"/>
        <v>1336.7620999999999</v>
      </c>
      <c r="ES43" s="128">
        <f t="shared" si="478"/>
        <v>1284.5620999999996</v>
      </c>
      <c r="ET43" s="128">
        <f t="shared" si="478"/>
        <v>1192.7921000000001</v>
      </c>
      <c r="EU43" s="128">
        <f t="shared" si="478"/>
        <v>1324.2420999999997</v>
      </c>
      <c r="EV43" s="128">
        <f t="shared" si="478"/>
        <v>1327.9120999999998</v>
      </c>
      <c r="EW43" s="128">
        <f t="shared" si="478"/>
        <v>1332.3820999999998</v>
      </c>
      <c r="EX43" s="128">
        <f t="shared" si="478"/>
        <v>1333.0420999999997</v>
      </c>
      <c r="EY43" s="128">
        <f t="shared" si="478"/>
        <v>1553.2221</v>
      </c>
      <c r="EZ43" s="128">
        <f t="shared" si="478"/>
        <v>1630.4521</v>
      </c>
      <c r="FA43" s="128">
        <f t="shared" si="478"/>
        <v>1612.9520999999997</v>
      </c>
      <c r="FB43" s="128">
        <f t="shared" si="478"/>
        <v>1621.1420000000001</v>
      </c>
      <c r="FC43" s="128">
        <f t="shared" si="478"/>
        <v>1584.54311869</v>
      </c>
      <c r="FD43" s="128">
        <f t="shared" si="478"/>
        <v>1690.0731186900002</v>
      </c>
      <c r="FE43" s="128">
        <f t="shared" si="478"/>
        <v>1623.7631186900003</v>
      </c>
      <c r="FF43" s="128">
        <f t="shared" si="478"/>
        <v>1650.7431186900001</v>
      </c>
      <c r="FG43" s="128">
        <f t="shared" si="478"/>
        <v>1633.09311869</v>
      </c>
      <c r="FH43" s="128">
        <f t="shared" si="478"/>
        <v>1706.5031186899998</v>
      </c>
      <c r="FI43" s="128">
        <f t="shared" si="478"/>
        <v>1712.9931186900003</v>
      </c>
      <c r="FJ43" s="128">
        <f t="shared" si="478"/>
        <v>1783.0031186900001</v>
      </c>
      <c r="FK43" s="128">
        <f t="shared" si="478"/>
        <v>1783.0031186900001</v>
      </c>
      <c r="FL43" s="128">
        <f t="shared" si="478"/>
        <v>1653.80311869</v>
      </c>
      <c r="FM43" s="128">
        <f t="shared" si="478"/>
        <v>1609.2231186899999</v>
      </c>
      <c r="FN43" s="128">
        <f t="shared" si="478"/>
        <v>1717.07311869</v>
      </c>
      <c r="FO43" s="128">
        <f t="shared" si="478"/>
        <v>1724.2231186900001</v>
      </c>
      <c r="FP43" s="128">
        <f t="shared" si="478"/>
        <v>1629.4731186900001</v>
      </c>
      <c r="FQ43" s="128">
        <f t="shared" si="478"/>
        <v>1606.5931186900002</v>
      </c>
      <c r="FR43" s="128">
        <f t="shared" si="478"/>
        <v>1577.1931186900001</v>
      </c>
      <c r="FS43" s="128">
        <f t="shared" si="478"/>
        <v>1672.3131186900002</v>
      </c>
      <c r="FT43" s="128">
        <f t="shared" si="478"/>
        <v>1654.2231186900001</v>
      </c>
      <c r="FU43" s="128">
        <f t="shared" si="478"/>
        <v>1612.4031186900002</v>
      </c>
      <c r="FV43" s="128">
        <f t="shared" si="478"/>
        <v>1479.4831186900001</v>
      </c>
      <c r="FW43" s="128">
        <f t="shared" si="478"/>
        <v>1443.6231186900002</v>
      </c>
      <c r="FX43" s="128">
        <f t="shared" si="478"/>
        <v>1522.0431186899996</v>
      </c>
      <c r="FY43" s="128">
        <f t="shared" si="478"/>
        <v>1557.3331186900002</v>
      </c>
      <c r="FZ43" s="128">
        <f t="shared" si="478"/>
        <v>1580.4831186899999</v>
      </c>
      <c r="GA43" s="128">
        <f t="shared" si="478"/>
        <v>1471.4631186900001</v>
      </c>
      <c r="GB43" s="128">
        <f t="shared" si="478"/>
        <v>1480.2231186900001</v>
      </c>
      <c r="GC43" s="128">
        <f t="shared" si="478"/>
        <v>1440.53311869</v>
      </c>
      <c r="GD43" s="128">
        <f t="shared" si="478"/>
        <v>1498.5331186900003</v>
      </c>
      <c r="GE43" s="128">
        <f t="shared" si="478"/>
        <v>1565.4031186899999</v>
      </c>
      <c r="GF43" s="128">
        <f t="shared" si="478"/>
        <v>1224.6631186900001</v>
      </c>
      <c r="GG43" s="128">
        <f t="shared" si="478"/>
        <v>1322.27311869</v>
      </c>
      <c r="GH43" s="128">
        <f t="shared" si="478"/>
        <v>1394.1431186900004</v>
      </c>
      <c r="GI43" s="128">
        <f t="shared" si="478"/>
        <v>1602.1341186900002</v>
      </c>
      <c r="GJ43" s="128">
        <f t="shared" si="478"/>
        <v>1456.58311869</v>
      </c>
      <c r="GK43" s="128">
        <f t="shared" si="478"/>
        <v>1531.4331186899999</v>
      </c>
      <c r="GL43" s="128">
        <f t="shared" si="478"/>
        <v>1516.9331186899999</v>
      </c>
      <c r="GM43" s="128">
        <f t="shared" ref="GM43:HN43" si="479">SUM(GM27:GM41)</f>
        <v>1615.0331186899998</v>
      </c>
      <c r="GN43" s="128">
        <f t="shared" si="479"/>
        <v>1472.9831186899999</v>
      </c>
      <c r="GO43" s="128">
        <f t="shared" si="479"/>
        <v>1449.8831186899999</v>
      </c>
      <c r="GP43" s="128">
        <f t="shared" si="479"/>
        <v>1560.08311869</v>
      </c>
      <c r="GQ43" s="128">
        <f t="shared" si="479"/>
        <v>1358.3831186899999</v>
      </c>
      <c r="GR43" s="128">
        <f t="shared" si="479"/>
        <v>1250.9831186899999</v>
      </c>
      <c r="GS43" s="128">
        <f t="shared" si="479"/>
        <v>1270.4831186899999</v>
      </c>
      <c r="GT43" s="128">
        <f t="shared" si="479"/>
        <v>1370.5831186899998</v>
      </c>
      <c r="GU43" s="128">
        <f t="shared" si="479"/>
        <v>1319.7331186899999</v>
      </c>
      <c r="GV43" s="128">
        <f t="shared" si="479"/>
        <v>1334.9831186899999</v>
      </c>
      <c r="GW43" s="128">
        <f t="shared" si="479"/>
        <v>1280.8831186899999</v>
      </c>
      <c r="GX43" s="128">
        <f t="shared" si="479"/>
        <v>1247.2331186899999</v>
      </c>
      <c r="GY43" s="128">
        <f t="shared" si="479"/>
        <v>1262.6331186900002</v>
      </c>
      <c r="GZ43" s="128">
        <f t="shared" si="479"/>
        <v>1469.1331186899997</v>
      </c>
      <c r="HA43" s="128">
        <f t="shared" si="479"/>
        <v>1612.6831186899999</v>
      </c>
      <c r="HB43" s="128">
        <f t="shared" si="479"/>
        <v>1589.8831186899999</v>
      </c>
      <c r="HC43" s="128">
        <f t="shared" si="479"/>
        <v>1531.6831186899999</v>
      </c>
      <c r="HD43" s="128">
        <f t="shared" si="479"/>
        <v>1502.8831186899997</v>
      </c>
      <c r="HE43" s="128">
        <f t="shared" si="479"/>
        <v>1439.8831186900002</v>
      </c>
      <c r="HF43" s="128">
        <f t="shared" si="479"/>
        <v>1508.4831186900001</v>
      </c>
      <c r="HG43" s="128">
        <f t="shared" si="479"/>
        <v>1312.6831186900001</v>
      </c>
      <c r="HH43" s="128">
        <f t="shared" si="479"/>
        <v>1321.3831186899999</v>
      </c>
      <c r="HI43" s="128">
        <f t="shared" si="479"/>
        <v>1329.78311869</v>
      </c>
      <c r="HJ43" s="128">
        <f t="shared" si="479"/>
        <v>1369.7831186899998</v>
      </c>
      <c r="HK43" s="128">
        <f t="shared" si="479"/>
        <v>1385.4831186900001</v>
      </c>
      <c r="HL43" s="128">
        <f t="shared" si="479"/>
        <v>1536.6331186899999</v>
      </c>
      <c r="HM43" s="128">
        <f t="shared" si="479"/>
        <v>1510.08311869</v>
      </c>
      <c r="HN43" s="128">
        <f t="shared" si="479"/>
        <v>1548.8331186900002</v>
      </c>
      <c r="HO43" s="128">
        <v>1966.2331040078077</v>
      </c>
      <c r="HP43" s="128">
        <v>1690.9991040078075</v>
      </c>
      <c r="HQ43" s="128">
        <v>1585.0881040078075</v>
      </c>
      <c r="HR43" s="128">
        <f>SUM(HR27:HR41)</f>
        <v>1660.9538497578076</v>
      </c>
      <c r="HS43" s="128">
        <f>SUM(HS27:HS41)</f>
        <v>1646.7319793078077</v>
      </c>
      <c r="HT43" s="128">
        <f>SUM(HT27:HT41)</f>
        <v>1487.8549793078073</v>
      </c>
      <c r="HU43" s="128">
        <f>SUM(HU27:HU41)</f>
        <v>1487.8549793078073</v>
      </c>
      <c r="HV43" s="128">
        <v>1291.6459793078072</v>
      </c>
      <c r="HW43" s="128">
        <v>1291.6459793078072</v>
      </c>
      <c r="HX43" s="128">
        <v>1702.8036193078074</v>
      </c>
      <c r="HY43" s="128">
        <v>1702.8036193078074</v>
      </c>
      <c r="HZ43" s="128">
        <v>1416.8640844778074</v>
      </c>
      <c r="IA43" s="128">
        <v>1379.6780844778075</v>
      </c>
      <c r="IB43" s="128">
        <v>1394.8560844778076</v>
      </c>
      <c r="IC43" s="128">
        <v>1394.8560844778076</v>
      </c>
      <c r="ID43" s="128">
        <v>1394.8560844778076</v>
      </c>
      <c r="IE43" s="128">
        <v>1443.2650844778072</v>
      </c>
      <c r="IF43" s="128">
        <v>1443.2650844778072</v>
      </c>
      <c r="IG43" s="128">
        <v>1532.3500844778073</v>
      </c>
      <c r="IH43" s="128">
        <v>1521.4250844778073</v>
      </c>
      <c r="II43" s="128">
        <v>1521.4250844778073</v>
      </c>
      <c r="IJ43" s="128">
        <v>1521.4250844778073</v>
      </c>
      <c r="IK43" s="128">
        <v>1292.3793048478076</v>
      </c>
      <c r="IL43" s="128">
        <v>1292.3793048478076</v>
      </c>
      <c r="IM43" s="128">
        <v>1292.3793048478076</v>
      </c>
      <c r="IN43" s="128">
        <v>1255.7673630178074</v>
      </c>
      <c r="IO43" s="128">
        <v>1082.5863630178073</v>
      </c>
      <c r="IP43" s="128">
        <v>1019.6674513478074</v>
      </c>
      <c r="IQ43" s="128">
        <v>1063.8283513478073</v>
      </c>
      <c r="IR43" s="128">
        <v>1063.8283513478073</v>
      </c>
      <c r="IS43" s="128">
        <v>1117.1833513478075</v>
      </c>
      <c r="IT43" s="128">
        <v>1138.4270825278074</v>
      </c>
      <c r="IU43" s="128">
        <v>1206.8050825278076</v>
      </c>
      <c r="IV43" s="128">
        <v>1206.8050825278076</v>
      </c>
      <c r="IW43" s="128">
        <v>1198.9860927978075</v>
      </c>
      <c r="IX43" s="128">
        <v>1323.2940927978075</v>
      </c>
      <c r="IY43" s="128">
        <f>SUM(IY27:IY41)</f>
        <v>1373.9860927978073</v>
      </c>
      <c r="IZ43" s="128">
        <v>1294.0740927978075</v>
      </c>
      <c r="JA43" s="128">
        <v>1324.3537898478075</v>
      </c>
      <c r="JB43" s="128">
        <v>1324.3537898478075</v>
      </c>
      <c r="JC43" s="128">
        <v>1397.0008933978077</v>
      </c>
      <c r="JD43" s="128">
        <v>1402.6538186078078</v>
      </c>
      <c r="JE43" s="128">
        <v>1402.6538186078078</v>
      </c>
      <c r="JF43" s="128">
        <v>1402.6538186078078</v>
      </c>
      <c r="JG43" s="128">
        <v>1308.8074212578074</v>
      </c>
      <c r="JH43" s="128">
        <v>1308.8074212578074</v>
      </c>
      <c r="JI43" s="128">
        <v>1308.8074212578074</v>
      </c>
      <c r="JJ43" s="128">
        <v>1204.3263212578072</v>
      </c>
      <c r="JK43" s="128">
        <v>1210.5413212578073</v>
      </c>
      <c r="JL43" s="128">
        <v>1433.5913212578075</v>
      </c>
      <c r="JM43" s="128">
        <v>1459.6474852078074</v>
      </c>
      <c r="JN43" s="128">
        <v>1459.6474852078074</v>
      </c>
      <c r="JO43" s="128">
        <v>1459.6474852078074</v>
      </c>
      <c r="JP43" s="128">
        <v>1389.0514852078077</v>
      </c>
      <c r="JQ43" s="128">
        <v>1389.0514852078077</v>
      </c>
      <c r="JR43" s="128">
        <v>1462.1774852078074</v>
      </c>
      <c r="JS43" s="128">
        <f>SUM(JS27:JS41)</f>
        <v>1462.1774852078074</v>
      </c>
      <c r="JT43" s="128">
        <v>1534.2600482878074</v>
      </c>
      <c r="JU43" s="128">
        <v>1583.8100482878074</v>
      </c>
      <c r="JV43" s="128">
        <v>1583.8100482878074</v>
      </c>
      <c r="JW43" s="128">
        <v>1634.8475809778074</v>
      </c>
      <c r="JX43" s="128">
        <v>1634.8475809778074</v>
      </c>
      <c r="JY43" s="128">
        <v>2227.4826644378077</v>
      </c>
      <c r="JZ43" s="128">
        <v>2227.4826644378077</v>
      </c>
      <c r="KA43" s="128">
        <v>2934.2136023500002</v>
      </c>
      <c r="KB43" s="128">
        <v>2284.9436023500002</v>
      </c>
      <c r="KC43" s="128">
        <v>2357.96060235</v>
      </c>
      <c r="KD43" s="128">
        <v>2203.5016023500002</v>
      </c>
      <c r="KE43" s="128">
        <v>2203.5016023500002</v>
      </c>
      <c r="KF43" s="128">
        <v>1210.5413212578073</v>
      </c>
      <c r="KG43" s="128">
        <v>2019.8654023499998</v>
      </c>
      <c r="KH43" s="128">
        <v>2019.8654023499998</v>
      </c>
      <c r="KI43" s="128">
        <v>1529.1838146600001</v>
      </c>
      <c r="KJ43" s="128">
        <f>SUM(KJ27:KJ41)</f>
        <v>1529.1838146600001</v>
      </c>
      <c r="KK43" s="128">
        <v>1651.5586441200001</v>
      </c>
      <c r="KL43" s="128">
        <v>1629.0836646599998</v>
      </c>
      <c r="KM43" s="128">
        <v>1629.0836646599998</v>
      </c>
      <c r="KN43" s="128">
        <v>1642.6433785199997</v>
      </c>
      <c r="KO43" s="128">
        <v>1754.7513785199997</v>
      </c>
      <c r="KP43" s="128">
        <v>1799.9693785199997</v>
      </c>
      <c r="KQ43" s="128">
        <v>1831.8223275600001</v>
      </c>
      <c r="KR43" s="128">
        <v>1831.8223275600001</v>
      </c>
      <c r="KS43" s="128">
        <f>SUM(KS27:KS41)</f>
        <v>1744.1846010400002</v>
      </c>
      <c r="KT43" s="128">
        <v>1744.1846010400002</v>
      </c>
      <c r="KU43" s="128">
        <f>SUM(KU27:KU41)</f>
        <v>1844.9440842199999</v>
      </c>
      <c r="KV43" s="128">
        <f>SUM(KV27:KV41)</f>
        <v>1845.5155354000001</v>
      </c>
      <c r="KW43" s="128">
        <f>SUM(KW27:KW41)</f>
        <v>1701.2712188700002</v>
      </c>
      <c r="KX43" s="128">
        <v>1593.2249354</v>
      </c>
      <c r="KY43" s="128">
        <v>1593.2249354</v>
      </c>
      <c r="KZ43" s="128">
        <v>1741.4536369</v>
      </c>
      <c r="LA43" s="128">
        <v>1741.4536369</v>
      </c>
      <c r="LB43" s="128">
        <v>1782.3071315599998</v>
      </c>
      <c r="LC43" s="128">
        <v>1782.3071315599998</v>
      </c>
      <c r="LD43" s="128">
        <v>1782.3071315599998</v>
      </c>
      <c r="LE43" s="128">
        <f>SUM(LE27:LE41)</f>
        <v>1732.3153686799999</v>
      </c>
      <c r="LF43" s="967">
        <v>1790.8363546599999</v>
      </c>
      <c r="LG43" s="967">
        <v>1790.8363546599999</v>
      </c>
      <c r="LH43" s="967">
        <v>1790.8363546599999</v>
      </c>
      <c r="LI43" s="967">
        <v>1682.4307055600002</v>
      </c>
      <c r="LJ43" s="967">
        <v>1682.4307055600002</v>
      </c>
      <c r="LK43" s="967">
        <v>1682.4307055600002</v>
      </c>
      <c r="LL43" s="967">
        <v>1832.66250556</v>
      </c>
      <c r="LM43" s="967">
        <v>1832.66250556</v>
      </c>
      <c r="LN43" s="967">
        <v>1647.9963516</v>
      </c>
      <c r="LO43" s="967">
        <v>1647.9963516</v>
      </c>
      <c r="LP43" s="967">
        <v>1647.9963516</v>
      </c>
      <c r="LQ43" s="967">
        <v>1746.4065888399996</v>
      </c>
      <c r="LR43" s="967">
        <v>1430.1201824099999</v>
      </c>
      <c r="LS43" s="967">
        <v>1430.1201824099999</v>
      </c>
      <c r="LT43" s="967">
        <v>1252.4229340599998</v>
      </c>
      <c r="LU43" s="967">
        <v>1180.9629340599997</v>
      </c>
      <c r="LV43" s="967">
        <v>1115.4022997399995</v>
      </c>
      <c r="LW43" s="967">
        <v>1115.4022997399995</v>
      </c>
      <c r="LX43" s="967">
        <v>804.80403479000006</v>
      </c>
      <c r="LY43" s="967">
        <v>804.80403479000006</v>
      </c>
      <c r="LZ43" s="967">
        <v>928.85677467000005</v>
      </c>
      <c r="MA43" s="967">
        <v>928.85677467000005</v>
      </c>
      <c r="MB43" s="967">
        <v>928.85677467000005</v>
      </c>
      <c r="MC43" s="967">
        <v>928.85677467000005</v>
      </c>
      <c r="MD43" s="967">
        <v>1152.3972880400001</v>
      </c>
      <c r="ME43" s="967">
        <v>1159.2253519100002</v>
      </c>
      <c r="MF43" s="967">
        <v>1159.2253519100002</v>
      </c>
      <c r="MG43" s="967">
        <v>1159.2253519100002</v>
      </c>
      <c r="MH43" s="967">
        <v>2024.0487402400001</v>
      </c>
      <c r="MI43" s="967">
        <v>2024.0487402400001</v>
      </c>
      <c r="MJ43" s="967">
        <v>1605.8681975000002</v>
      </c>
      <c r="MK43" s="967">
        <v>1531.1376755699998</v>
      </c>
      <c r="ML43" s="967">
        <v>1531.1376755699998</v>
      </c>
      <c r="MM43" s="967">
        <v>1531.1376755699998</v>
      </c>
      <c r="MN43" s="967">
        <v>1531.1376755699998</v>
      </c>
      <c r="MO43" s="967">
        <v>1531.1376755699998</v>
      </c>
      <c r="MP43" s="967">
        <v>1531.1376755699998</v>
      </c>
      <c r="MQ43" s="967">
        <v>964.15372688999992</v>
      </c>
      <c r="MR43" s="967">
        <v>964.15372688999992</v>
      </c>
      <c r="MS43" s="967">
        <v>1032.9236221299998</v>
      </c>
      <c r="MT43" s="967">
        <v>1032.9137715500001</v>
      </c>
      <c r="MU43" s="967">
        <v>1032.9137715500001</v>
      </c>
      <c r="MV43" s="967">
        <v>1032.9137715500001</v>
      </c>
      <c r="MW43" s="967">
        <v>912.11337364999997</v>
      </c>
      <c r="MX43" s="967">
        <v>1131.98160347</v>
      </c>
      <c r="MY43" s="967">
        <v>1131.98160347</v>
      </c>
      <c r="MZ43" s="967">
        <v>1131.98160347</v>
      </c>
      <c r="NA43" s="967">
        <v>1131.98160347</v>
      </c>
      <c r="NB43" s="967">
        <v>1131.98160347</v>
      </c>
      <c r="NC43" s="967">
        <v>1131.98160347</v>
      </c>
      <c r="ND43" s="967">
        <v>1131.98160347</v>
      </c>
      <c r="NE43" s="967">
        <v>1131.98160347</v>
      </c>
      <c r="NF43" s="967">
        <v>730.30300440999997</v>
      </c>
      <c r="NG43" s="967">
        <v>779.22162374000004</v>
      </c>
      <c r="NH43" s="967">
        <v>963.29087958900004</v>
      </c>
      <c r="NI43" s="967">
        <v>910.08395963000009</v>
      </c>
      <c r="NJ43" s="967">
        <v>910.08395963000009</v>
      </c>
      <c r="NK43" s="967">
        <v>898.89193981000005</v>
      </c>
      <c r="NL43" s="967">
        <v>898.89193981000005</v>
      </c>
      <c r="NM43" s="967">
        <v>1023.55896638</v>
      </c>
      <c r="NN43" s="967">
        <v>1023.55896638</v>
      </c>
      <c r="NO43" s="967">
        <v>1023.55896638</v>
      </c>
      <c r="NP43" s="967">
        <v>1066.4323925199999</v>
      </c>
      <c r="NQ43" s="967">
        <v>1066.4323925199999</v>
      </c>
      <c r="NR43" s="967">
        <v>1239.6904825300001</v>
      </c>
      <c r="NS43" s="967">
        <v>1239.6904825300001</v>
      </c>
      <c r="NT43" s="967">
        <v>1239.6904825300001</v>
      </c>
      <c r="NU43" s="967">
        <f>SUM(NU27:NU41)</f>
        <v>1261.2192169999998</v>
      </c>
      <c r="NV43" s="967">
        <v>1342.8714691200003</v>
      </c>
      <c r="NW43" s="967">
        <v>1342.8714691200003</v>
      </c>
      <c r="NX43" s="967">
        <v>1342.8714691200003</v>
      </c>
      <c r="NY43" s="967">
        <v>1334.9993650200001</v>
      </c>
      <c r="NZ43" s="967">
        <v>1594.8863501200001</v>
      </c>
      <c r="OA43" s="967">
        <v>1594.8863501200001</v>
      </c>
      <c r="OB43" s="967">
        <v>1594.8863501200001</v>
      </c>
      <c r="OC43" s="967">
        <v>1596.0588296100002</v>
      </c>
      <c r="OD43" s="967">
        <v>1596.0588296100002</v>
      </c>
      <c r="OE43" s="967">
        <v>1596.0588296100002</v>
      </c>
      <c r="OF43" s="967">
        <v>1596.0588296100002</v>
      </c>
      <c r="OG43" s="967">
        <v>1541.1058677399999</v>
      </c>
      <c r="OH43" s="967">
        <v>1541.1058677399999</v>
      </c>
      <c r="OI43" s="967">
        <v>1377.7299620599999</v>
      </c>
      <c r="OJ43" s="967">
        <v>1465.0754320100002</v>
      </c>
      <c r="OK43" s="967">
        <v>1465.0754320100002</v>
      </c>
      <c r="OL43" s="967">
        <v>1628.2788643399999</v>
      </c>
      <c r="OM43" s="967">
        <v>1628.2788643399999</v>
      </c>
      <c r="ON43" s="967">
        <v>1628.2788643399999</v>
      </c>
      <c r="OO43" s="967">
        <v>1370.0557239499999</v>
      </c>
      <c r="OP43" s="967">
        <v>1517.0809639900003</v>
      </c>
      <c r="OQ43" s="967">
        <v>1517.0809639900003</v>
      </c>
      <c r="OR43" s="967">
        <v>1517.0809639900003</v>
      </c>
      <c r="OS43" s="967">
        <v>1547.99189075</v>
      </c>
      <c r="OT43" s="967">
        <v>2531.7920277899998</v>
      </c>
      <c r="OU43" s="967">
        <v>2531.7920277899998</v>
      </c>
      <c r="OV43" s="967">
        <v>2531.7920277899998</v>
      </c>
      <c r="OW43" s="967">
        <v>2965.6086192299999</v>
      </c>
      <c r="OX43" s="967">
        <v>2965.6086192299999</v>
      </c>
      <c r="OY43" s="967">
        <v>1182.59767093</v>
      </c>
      <c r="OZ43" s="967">
        <v>1182.59767093</v>
      </c>
      <c r="PA43" s="967">
        <v>1182.59767093</v>
      </c>
      <c r="PB43" s="967">
        <v>1039.7357502699999</v>
      </c>
      <c r="PC43" s="967">
        <v>1039.7357502699999</v>
      </c>
      <c r="PD43" s="967">
        <v>1039.7357502699999</v>
      </c>
      <c r="PE43" s="967">
        <v>1211.9312636599998</v>
      </c>
      <c r="PF43" s="967">
        <v>1236.2305936600003</v>
      </c>
      <c r="PG43" s="967">
        <v>1236.2305936600003</v>
      </c>
      <c r="PH43" s="967">
        <v>1236.2305936600003</v>
      </c>
      <c r="PI43" s="967">
        <v>1348.6022536299997</v>
      </c>
      <c r="PJ43" s="967">
        <v>1424.3041471399997</v>
      </c>
      <c r="PK43" s="967">
        <v>1424.3041471399997</v>
      </c>
      <c r="PL43" s="967">
        <v>1424.3041471399997</v>
      </c>
      <c r="PM43" s="967">
        <v>1424.3041471399997</v>
      </c>
      <c r="PN43" s="967">
        <v>1426.86996709</v>
      </c>
      <c r="PO43" s="967">
        <v>1426.86996709</v>
      </c>
      <c r="PP43" s="967">
        <v>1426.86996709</v>
      </c>
      <c r="PQ43" s="967">
        <v>997.08141902999989</v>
      </c>
      <c r="PR43" s="967">
        <v>997.08141902999989</v>
      </c>
      <c r="PS43" s="967">
        <v>1332.3937810699999</v>
      </c>
      <c r="PT43" s="967">
        <v>1332.3937810699999</v>
      </c>
      <c r="PU43" s="967">
        <v>1396.1656604</v>
      </c>
      <c r="PV43" s="967">
        <v>1396.1656604</v>
      </c>
      <c r="PW43" s="967">
        <v>1396.1656604</v>
      </c>
      <c r="PX43" s="967">
        <v>1445.5313972399999</v>
      </c>
      <c r="PY43" s="967">
        <v>2092.0022782999999</v>
      </c>
      <c r="PZ43" s="967">
        <v>2092.0022782999999</v>
      </c>
      <c r="QA43" s="967">
        <v>2092.0022782999999</v>
      </c>
      <c r="QB43" s="967">
        <v>1642.6822005400002</v>
      </c>
      <c r="QC43" s="967">
        <v>1512.3213903600004</v>
      </c>
      <c r="QD43" s="967">
        <v>1512.3213903600004</v>
      </c>
      <c r="QE43" s="967">
        <v>1501.4903987900007</v>
      </c>
      <c r="QF43" s="967">
        <v>1501.4903987900007</v>
      </c>
      <c r="QG43" s="967">
        <v>1501.4903987900007</v>
      </c>
      <c r="QH43" s="967">
        <f>SUM(QH27:QH41)</f>
        <v>1501.4903987900007</v>
      </c>
      <c r="QI43" s="967">
        <v>1634.0432730600003</v>
      </c>
      <c r="QJ43" s="967">
        <v>1634.0432730600003</v>
      </c>
      <c r="QK43" s="967">
        <v>1061.90126001</v>
      </c>
      <c r="QL43" s="967">
        <v>1061.90126001</v>
      </c>
      <c r="QM43" s="967">
        <v>1061.90126001</v>
      </c>
      <c r="QN43" s="967">
        <v>1108.1241191300001</v>
      </c>
      <c r="QO43" s="967">
        <v>1071.9365930899999</v>
      </c>
      <c r="QP43" s="967">
        <v>1071.9365930899999</v>
      </c>
      <c r="QQ43" s="967">
        <v>1172.8257821700001</v>
      </c>
      <c r="QR43" s="967">
        <v>1172.8257821700001</v>
      </c>
      <c r="QS43" s="967">
        <v>1067.4824094499997</v>
      </c>
      <c r="QT43" s="967">
        <v>1112.2249077699998</v>
      </c>
      <c r="QU43" s="967">
        <v>1112.2249077699998</v>
      </c>
      <c r="QV43" s="967">
        <v>1295.7178292900001</v>
      </c>
      <c r="QW43" s="967">
        <v>1112.2249077699998</v>
      </c>
      <c r="QX43" s="967">
        <v>1112.2249077699998</v>
      </c>
      <c r="QY43" s="967">
        <v>1691.6477422400001</v>
      </c>
      <c r="QZ43" s="967">
        <v>1691.6477422400001</v>
      </c>
      <c r="RA43" s="967">
        <v>1220.1735289200003</v>
      </c>
      <c r="RB43" s="967">
        <v>1220.1735289200003</v>
      </c>
      <c r="RC43" s="967">
        <v>1220.1735289200003</v>
      </c>
      <c r="RD43" s="967">
        <v>1220.1735289200003</v>
      </c>
      <c r="RE43" s="967">
        <v>865.38130139999987</v>
      </c>
      <c r="RF43" s="967">
        <v>865.38130139999987</v>
      </c>
      <c r="RG43" s="967">
        <f>SUM(RG27:RG41)</f>
        <v>865.38130139999987</v>
      </c>
      <c r="RH43" s="967">
        <v>883.43591687999992</v>
      </c>
      <c r="RI43" s="967">
        <v>775.44943526000009</v>
      </c>
      <c r="RJ43" s="967">
        <v>775.44943526000009</v>
      </c>
      <c r="RK43" s="967">
        <v>948.15099326999973</v>
      </c>
      <c r="RL43" s="967">
        <v>948.15099326999973</v>
      </c>
      <c r="RM43" s="967">
        <v>825.61937226999976</v>
      </c>
      <c r="RN43" s="967">
        <v>825.61937226999976</v>
      </c>
      <c r="RO43" s="967">
        <v>825.61937226999976</v>
      </c>
      <c r="RP43" s="967">
        <v>825.61937226999976</v>
      </c>
      <c r="RQ43" s="967">
        <v>983.98912658999984</v>
      </c>
      <c r="RR43" s="967">
        <v>983.98912658999984</v>
      </c>
      <c r="RS43" s="967">
        <v>900.25053459000003</v>
      </c>
      <c r="RT43" s="967">
        <v>900.25053459000003</v>
      </c>
      <c r="RU43" s="967">
        <v>900.25053459000003</v>
      </c>
      <c r="RV43" s="967">
        <v>900.25053459000003</v>
      </c>
      <c r="RW43" s="967">
        <v>900.25053459000003</v>
      </c>
      <c r="RX43" s="967">
        <v>900.25053459000003</v>
      </c>
      <c r="RY43" s="967">
        <v>1153.3821084199999</v>
      </c>
      <c r="RZ43" s="967">
        <v>1153.3821084199999</v>
      </c>
      <c r="SA43" s="967">
        <v>1192.3059724199998</v>
      </c>
      <c r="SB43" s="967">
        <v>1280.1687434900002</v>
      </c>
      <c r="SC43" s="967">
        <v>1280.1687434900002</v>
      </c>
      <c r="SD43" s="967">
        <v>1280.1687434900002</v>
      </c>
      <c r="SE43" s="967">
        <v>1557.0579978099997</v>
      </c>
      <c r="SF43" s="967">
        <v>1557.0579978099997</v>
      </c>
      <c r="SG43" s="967">
        <v>1669.11349202</v>
      </c>
      <c r="SH43" s="967">
        <v>1669.11349202</v>
      </c>
      <c r="SI43" s="967">
        <v>1739.1733419200004</v>
      </c>
      <c r="SJ43" s="967">
        <v>1739.1733419200004</v>
      </c>
      <c r="SK43" s="967">
        <v>2069.6180761400001</v>
      </c>
      <c r="SL43" s="967">
        <v>2069.6180761400001</v>
      </c>
      <c r="SM43" s="967">
        <v>1632.5619344199999</v>
      </c>
      <c r="SN43" s="967">
        <v>1632.5619344199999</v>
      </c>
      <c r="SO43" s="967">
        <v>1632.5619344199999</v>
      </c>
      <c r="SP43" s="967">
        <v>1815.1195312300001</v>
      </c>
      <c r="SQ43" s="967">
        <v>1815.1195312300001</v>
      </c>
      <c r="SR43" s="967">
        <v>1815.1195312300001</v>
      </c>
      <c r="SS43" s="967">
        <v>1613.1677399100004</v>
      </c>
      <c r="ST43" s="967">
        <v>1613.1677399100004</v>
      </c>
      <c r="SU43" s="967">
        <v>1879.7937011500003</v>
      </c>
      <c r="SV43" s="967">
        <v>1879.7937011500003</v>
      </c>
      <c r="SW43" s="967">
        <v>1879.7937011500003</v>
      </c>
      <c r="SX43" s="967">
        <v>1626.6625300399999</v>
      </c>
      <c r="SY43" s="967">
        <v>1626.6625300399999</v>
      </c>
      <c r="SZ43" s="967">
        <v>1626.6625300399999</v>
      </c>
      <c r="TA43" s="967">
        <v>1825.3015065000002</v>
      </c>
      <c r="TB43" s="967">
        <v>1825.3015065000002</v>
      </c>
      <c r="TC43" s="967">
        <v>1986.9638190900005</v>
      </c>
      <c r="TD43" s="967">
        <v>1986.9638190900005</v>
      </c>
      <c r="TE43" s="967">
        <f>SUM(TE27:TE41)</f>
        <v>2119.7898203099994</v>
      </c>
      <c r="TF43" s="967">
        <f>SUM(TF27:TF41)</f>
        <v>1815.3901109400003</v>
      </c>
      <c r="TG43" s="967">
        <v>1297.1747826900003</v>
      </c>
      <c r="TH43" s="967">
        <v>1268.5459242899999</v>
      </c>
      <c r="TI43" s="967">
        <v>1153.4443211500002</v>
      </c>
      <c r="TJ43" s="967">
        <v>1212.3835511600003</v>
      </c>
      <c r="TK43" s="967">
        <v>1313.2983854900001</v>
      </c>
      <c r="TL43" s="967">
        <v>1133.7705097399999</v>
      </c>
      <c r="TM43" s="967">
        <v>930.57111055999997</v>
      </c>
      <c r="TN43" s="967">
        <v>1110.4656365300002</v>
      </c>
      <c r="TO43" s="967">
        <v>1367.0270267399999</v>
      </c>
      <c r="TP43" s="967">
        <v>1473.8185349799999</v>
      </c>
      <c r="TQ43" s="967">
        <v>1591.8326441199999</v>
      </c>
      <c r="TR43" s="967">
        <v>1415.2159999999999</v>
      </c>
      <c r="TS43" s="967">
        <v>1478.8999999999999</v>
      </c>
      <c r="TT43" s="967">
        <v>1420.3009999999999</v>
      </c>
      <c r="TU43" s="967">
        <v>1470.829</v>
      </c>
      <c r="TV43" s="967">
        <v>1571.8790000000001</v>
      </c>
      <c r="TW43" s="967">
        <v>1260.96108119</v>
      </c>
      <c r="TX43" s="967">
        <v>1504.0569882600003</v>
      </c>
      <c r="TY43" s="967">
        <v>1531.2690984200001</v>
      </c>
      <c r="TZ43" s="967">
        <f t="shared" ref="TZ43:UE43" si="480">SUM(TZ27:TZ41)</f>
        <v>1396.0249227899999</v>
      </c>
      <c r="UA43" s="967">
        <f t="shared" si="480"/>
        <v>1382.8640695000001</v>
      </c>
      <c r="UB43" s="967">
        <f t="shared" si="480"/>
        <v>1687.2649500100003</v>
      </c>
      <c r="UC43" s="967">
        <f t="shared" si="480"/>
        <v>1737.8423797700002</v>
      </c>
      <c r="UD43" s="967">
        <f t="shared" si="480"/>
        <v>1615.8738749699999</v>
      </c>
      <c r="UE43" s="967">
        <f t="shared" si="480"/>
        <v>1772.5922474499998</v>
      </c>
      <c r="UF43" s="967">
        <v>1827.6363344999997</v>
      </c>
      <c r="UG43" s="967">
        <v>1658.3000176400001</v>
      </c>
      <c r="UH43" s="967">
        <v>1313.7962299400001</v>
      </c>
      <c r="UI43" s="967">
        <v>1355.03125598</v>
      </c>
      <c r="UJ43" s="967">
        <v>1054.3031717400002</v>
      </c>
      <c r="UK43" s="967">
        <v>1055.7272141400001</v>
      </c>
      <c r="UL43" s="967">
        <v>971.07202917999996</v>
      </c>
      <c r="UM43" s="967">
        <v>1385.5044706299998</v>
      </c>
      <c r="UN43" s="967">
        <v>1349.95175423</v>
      </c>
      <c r="UO43" s="967">
        <v>1355.9747542299999</v>
      </c>
      <c r="UP43" s="967">
        <v>1141.8037542300001</v>
      </c>
      <c r="UQ43" s="967">
        <v>1236.3571636299998</v>
      </c>
      <c r="UR43" s="967">
        <v>816.08655618000023</v>
      </c>
      <c r="US43" s="967">
        <v>795.59596893000003</v>
      </c>
      <c r="UT43" s="967">
        <v>836.22565156999997</v>
      </c>
      <c r="UU43" s="967">
        <v>963.61048363000009</v>
      </c>
      <c r="UV43" s="967">
        <v>806.79558711000016</v>
      </c>
      <c r="UW43" s="967">
        <v>862.36655603000008</v>
      </c>
      <c r="UX43" s="967">
        <v>872.67422480000016</v>
      </c>
      <c r="UY43" s="967">
        <v>840.80051373000003</v>
      </c>
      <c r="UZ43" s="967">
        <v>1061.9005067200001</v>
      </c>
      <c r="VA43" s="967">
        <v>1096.3668780600001</v>
      </c>
      <c r="VB43" s="967">
        <v>1149.47599541</v>
      </c>
      <c r="VC43" s="967">
        <v>1019.5120990400001</v>
      </c>
      <c r="VD43" s="967">
        <v>906.04832330000011</v>
      </c>
      <c r="VE43" s="967">
        <v>906.04832330000011</v>
      </c>
      <c r="VF43" s="967">
        <v>740.32134391</v>
      </c>
      <c r="VG43" s="967">
        <v>897.61422775000005</v>
      </c>
      <c r="VH43" s="967">
        <v>906.32174379000003</v>
      </c>
      <c r="VI43" s="967">
        <v>1185.9047695899999</v>
      </c>
      <c r="VJ43" s="967">
        <v>1075.82875061</v>
      </c>
      <c r="VK43" s="967">
        <v>1234.1026625200002</v>
      </c>
      <c r="VL43" s="967">
        <v>736.76400000000012</v>
      </c>
      <c r="VM43" s="967">
        <v>694.52602460999992</v>
      </c>
      <c r="VN43" s="967">
        <v>796.76649641999995</v>
      </c>
      <c r="VO43" s="967">
        <v>666.91962337000018</v>
      </c>
      <c r="VP43" s="967">
        <v>713.65590101000009</v>
      </c>
      <c r="VQ43" s="967">
        <v>857.63034315000016</v>
      </c>
      <c r="VR43" s="967">
        <v>731.36129906000019</v>
      </c>
      <c r="VS43" s="967">
        <v>780.06718661000002</v>
      </c>
      <c r="VT43" s="967">
        <v>767.68900826999993</v>
      </c>
      <c r="VU43" s="967">
        <v>675.17639313000006</v>
      </c>
      <c r="VV43" s="967">
        <f t="shared" ref="VV43" si="481">SUM(VV27:VV41)</f>
        <v>577.19673867999995</v>
      </c>
      <c r="VW43" s="967">
        <v>610.89215873000001</v>
      </c>
      <c r="VX43" s="967">
        <v>659.83080395000002</v>
      </c>
      <c r="VY43" s="967">
        <v>799.1091162099998</v>
      </c>
      <c r="VZ43" s="967">
        <v>942.66686344999994</v>
      </c>
      <c r="WA43" s="967">
        <v>936.69388357999992</v>
      </c>
      <c r="WB43" s="967">
        <v>1109.7497046000003</v>
      </c>
      <c r="WC43" s="967">
        <v>982.06852056000002</v>
      </c>
      <c r="WD43" s="967">
        <v>741.71917923000001</v>
      </c>
      <c r="WE43" s="967">
        <v>772.44847416999994</v>
      </c>
      <c r="WF43" s="967">
        <v>862.69366547999982</v>
      </c>
      <c r="WG43" s="967">
        <v>197.85689886</v>
      </c>
      <c r="WH43" s="967">
        <v>336.41001611000002</v>
      </c>
      <c r="WI43" s="967">
        <v>391.17124808000011</v>
      </c>
      <c r="WJ43" s="967">
        <v>385.13829327000002</v>
      </c>
      <c r="WK43" s="967">
        <v>344.62514452000005</v>
      </c>
      <c r="WL43" s="967">
        <v>418.41124461000004</v>
      </c>
      <c r="WM43" s="967">
        <v>393.84676393999996</v>
      </c>
      <c r="WN43" s="967">
        <v>334.41880917000003</v>
      </c>
      <c r="WO43" s="967">
        <v>428.49546008000004</v>
      </c>
      <c r="WP43" s="967">
        <v>257.19580428</v>
      </c>
      <c r="WQ43" s="967">
        <v>315.81370403</v>
      </c>
      <c r="WR43" s="967">
        <f t="shared" ref="WR43:WS43" si="482">SUM(WR27:WR41)</f>
        <v>353.82908449999996</v>
      </c>
      <c r="WS43" s="967">
        <f t="shared" si="482"/>
        <v>389.28425922000002</v>
      </c>
      <c r="WT43" s="967">
        <f t="shared" ref="WT43:WU43" si="483">SUM(WT27:WT41)</f>
        <v>453.27144483000001</v>
      </c>
      <c r="WU43" s="967">
        <f t="shared" si="483"/>
        <v>439.36409750999997</v>
      </c>
      <c r="WV43" s="967">
        <f t="shared" ref="WV43" si="484">SUM(WV27:WV41)</f>
        <v>298.98189751000001</v>
      </c>
      <c r="WW43" s="967">
        <v>312.41510839999995</v>
      </c>
      <c r="WX43" s="967">
        <v>342.93149602999995</v>
      </c>
      <c r="WY43" s="967">
        <v>354.18149603000001</v>
      </c>
      <c r="WZ43" s="967">
        <v>445.68983335000001</v>
      </c>
      <c r="XA43" s="967">
        <v>384.54268507</v>
      </c>
      <c r="XB43" s="967">
        <v>290.77690067999998</v>
      </c>
      <c r="XC43" s="967">
        <v>389.91190067999997</v>
      </c>
      <c r="XD43" s="967">
        <v>566.55499999999995</v>
      </c>
      <c r="XE43" s="967">
        <v>454.61890000000005</v>
      </c>
      <c r="XF43" s="967">
        <v>595.88799999999992</v>
      </c>
      <c r="XG43" s="967">
        <v>330.721</v>
      </c>
      <c r="XH43" s="967">
        <v>391.80799999999999</v>
      </c>
      <c r="XI43" s="967">
        <v>428.69600000000003</v>
      </c>
      <c r="XJ43" s="967">
        <v>486.84000000000003</v>
      </c>
      <c r="XK43" s="967">
        <v>434.09000000000003</v>
      </c>
      <c r="XL43" s="967">
        <v>346.10592166000004</v>
      </c>
      <c r="XM43" s="967">
        <v>346.76656084000007</v>
      </c>
      <c r="XN43" s="967">
        <v>480.89066509000003</v>
      </c>
      <c r="XO43" s="967">
        <v>621.62266509000005</v>
      </c>
      <c r="XP43" s="967">
        <v>365.97193870000001</v>
      </c>
      <c r="XQ43" s="967">
        <v>466.10937555700002</v>
      </c>
      <c r="XR43" s="967">
        <v>456.94721066</v>
      </c>
      <c r="XS43" s="967">
        <v>581.51022334000015</v>
      </c>
      <c r="XT43" s="967">
        <v>385.51222334000005</v>
      </c>
      <c r="XU43" s="967">
        <v>435.52776007000006</v>
      </c>
      <c r="XV43" s="967">
        <v>482.74400000000009</v>
      </c>
      <c r="XW43" s="967">
        <v>554.57799999999997</v>
      </c>
      <c r="XX43" s="967">
        <v>590.23400000000004</v>
      </c>
      <c r="XY43" s="967">
        <v>587.75600000000009</v>
      </c>
      <c r="XZ43" s="967">
        <v>471.18600000000004</v>
      </c>
      <c r="YA43" s="967">
        <v>423.89600000000002</v>
      </c>
      <c r="YB43" s="967">
        <v>554.49206274000005</v>
      </c>
      <c r="YC43" s="967">
        <v>423.06006273999998</v>
      </c>
      <c r="YD43" s="967">
        <v>563.10197643000004</v>
      </c>
      <c r="YE43" s="967">
        <v>438.24705698000002</v>
      </c>
      <c r="YF43" s="967">
        <v>856.36694507999994</v>
      </c>
      <c r="YG43" s="967">
        <v>862.79894507999995</v>
      </c>
      <c r="YH43" s="967">
        <f>SUM(YH27:YH41)</f>
        <v>810.37536354999986</v>
      </c>
    </row>
    <row r="44" spans="2:658" s="948" customFormat="1" ht="15" thickBot="1">
      <c r="B44" s="921" t="s">
        <v>63</v>
      </c>
      <c r="C44" s="922">
        <f t="shared" ref="C44:BN44" si="485">C43/C2</f>
        <v>7.5656472853035153</v>
      </c>
      <c r="D44" s="129">
        <f t="shared" si="485"/>
        <v>5.861655918668176</v>
      </c>
      <c r="E44" s="129">
        <f t="shared" si="485"/>
        <v>5.8770390796164467</v>
      </c>
      <c r="F44" s="129">
        <f t="shared" si="485"/>
        <v>4.0883222492229079</v>
      </c>
      <c r="G44" s="129">
        <f t="shared" si="485"/>
        <v>5.8821059276105432</v>
      </c>
      <c r="H44" s="129">
        <f t="shared" si="485"/>
        <v>5.5045255533678699</v>
      </c>
      <c r="I44" s="129">
        <f t="shared" si="485"/>
        <v>4.4240143919508927</v>
      </c>
      <c r="J44" s="129">
        <f t="shared" si="485"/>
        <v>4.9532444252306407</v>
      </c>
      <c r="K44" s="129">
        <f t="shared" si="485"/>
        <v>4.3448608640728983</v>
      </c>
      <c r="L44" s="129">
        <f t="shared" si="485"/>
        <v>4.8419839623032743</v>
      </c>
      <c r="M44" s="129">
        <f t="shared" si="485"/>
        <v>5.1887858305662364</v>
      </c>
      <c r="N44" s="129">
        <f t="shared" si="485"/>
        <v>6.7237951463409695</v>
      </c>
      <c r="O44" s="129">
        <f t="shared" si="485"/>
        <v>4.2073436819178252</v>
      </c>
      <c r="P44" s="129">
        <f t="shared" si="485"/>
        <v>4.4687389739181711</v>
      </c>
      <c r="Q44" s="129">
        <f t="shared" si="485"/>
        <v>5.2316540546122958</v>
      </c>
      <c r="R44" s="129">
        <f t="shared" si="485"/>
        <v>5.2010290487007804</v>
      </c>
      <c r="S44" s="129">
        <f t="shared" si="485"/>
        <v>3.8800517340231204</v>
      </c>
      <c r="T44" s="129">
        <f t="shared" si="485"/>
        <v>4.177947078430039</v>
      </c>
      <c r="U44" s="129">
        <f t="shared" si="485"/>
        <v>4.2161308922576142</v>
      </c>
      <c r="V44" s="129">
        <f t="shared" si="485"/>
        <v>5.438123806026498</v>
      </c>
      <c r="W44" s="129">
        <f t="shared" si="485"/>
        <v>5.0469013288252444</v>
      </c>
      <c r="X44" s="129">
        <f t="shared" si="485"/>
        <v>5.2064242073827769</v>
      </c>
      <c r="Y44" s="129">
        <f t="shared" si="485"/>
        <v>4.2563257053631389</v>
      </c>
      <c r="Z44" s="129">
        <f t="shared" si="485"/>
        <v>4.6242941108678117</v>
      </c>
      <c r="AA44" s="129">
        <f t="shared" si="485"/>
        <v>5.0348894437919141</v>
      </c>
      <c r="AB44" s="129">
        <f t="shared" si="485"/>
        <v>5.3513949094967224</v>
      </c>
      <c r="AC44" s="129">
        <f t="shared" si="485"/>
        <v>6.6691943072884667</v>
      </c>
      <c r="AD44" s="129">
        <f t="shared" si="485"/>
        <v>5.0097580846187046</v>
      </c>
      <c r="AE44" s="129">
        <f t="shared" si="485"/>
        <v>3.1232410210740378</v>
      </c>
      <c r="AF44" s="129">
        <f t="shared" si="485"/>
        <v>4.4070013949199689</v>
      </c>
      <c r="AG44" s="129">
        <f t="shared" si="485"/>
        <v>4.7353909490925794</v>
      </c>
      <c r="AH44" s="129">
        <f t="shared" si="485"/>
        <v>5.4480266438865836</v>
      </c>
      <c r="AI44" s="129">
        <f t="shared" si="485"/>
        <v>4.144024896199066</v>
      </c>
      <c r="AJ44" s="129">
        <f t="shared" si="485"/>
        <v>3.5458222809418847</v>
      </c>
      <c r="AK44" s="129">
        <f t="shared" si="485"/>
        <v>4.909918964003662</v>
      </c>
      <c r="AL44" s="129">
        <f t="shared" si="485"/>
        <v>4.888623637416841</v>
      </c>
      <c r="AM44" s="129">
        <f t="shared" si="485"/>
        <v>5.9911615713077895</v>
      </c>
      <c r="AN44" s="129">
        <f t="shared" si="485"/>
        <v>3.7856872335796425</v>
      </c>
      <c r="AO44" s="129">
        <f t="shared" si="485"/>
        <v>3.4275611456728545</v>
      </c>
      <c r="AP44" s="129">
        <f t="shared" si="485"/>
        <v>4.4375767661159315</v>
      </c>
      <c r="AQ44" s="129">
        <f t="shared" si="485"/>
        <v>3.4963616088457621</v>
      </c>
      <c r="AR44" s="129">
        <f t="shared" si="485"/>
        <v>4.2636396614465131</v>
      </c>
      <c r="AS44" s="129">
        <f t="shared" si="485"/>
        <v>3.5209094600081201</v>
      </c>
      <c r="AT44" s="129">
        <f t="shared" si="485"/>
        <v>3.6374844874358319</v>
      </c>
      <c r="AU44" s="129">
        <f t="shared" si="485"/>
        <v>4.0533862220869459</v>
      </c>
      <c r="AV44" s="129">
        <f t="shared" si="485"/>
        <v>4.2144480080057081</v>
      </c>
      <c r="AW44" s="129">
        <f t="shared" si="485"/>
        <v>5.1205249368236148</v>
      </c>
      <c r="AX44" s="129">
        <f t="shared" si="485"/>
        <v>4.041856840699098</v>
      </c>
      <c r="AY44" s="129">
        <f t="shared" si="485"/>
        <v>4.5110595728477954</v>
      </c>
      <c r="AZ44" s="129">
        <f t="shared" si="485"/>
        <v>4.5513779368955003</v>
      </c>
      <c r="BA44" s="129">
        <f t="shared" si="485"/>
        <v>5.2936338736093056</v>
      </c>
      <c r="BB44" s="129">
        <f t="shared" si="485"/>
        <v>5.2163653020708951</v>
      </c>
      <c r="BC44" s="129">
        <f t="shared" si="485"/>
        <v>6.8162461360498403</v>
      </c>
      <c r="BD44" s="129">
        <f t="shared" si="485"/>
        <v>7.1680727470817676</v>
      </c>
      <c r="BE44" s="129">
        <f t="shared" si="485"/>
        <v>6.983426585825498</v>
      </c>
      <c r="BF44" s="129">
        <f t="shared" si="485"/>
        <v>8.2387366081818669</v>
      </c>
      <c r="BG44" s="129">
        <f t="shared" si="485"/>
        <v>7.4225324132554187</v>
      </c>
      <c r="BH44" s="129">
        <f t="shared" si="485"/>
        <v>6.0118071990908302</v>
      </c>
      <c r="BI44" s="129">
        <f t="shared" si="485"/>
        <v>7.0622384711819368</v>
      </c>
      <c r="BJ44" s="129">
        <f t="shared" si="485"/>
        <v>20.163715619625485</v>
      </c>
      <c r="BK44" s="129">
        <f t="shared" si="485"/>
        <v>4.551976230501583</v>
      </c>
      <c r="BL44" s="129">
        <f t="shared" si="485"/>
        <v>2.3588759204986256</v>
      </c>
      <c r="BM44" s="129">
        <f t="shared" si="485"/>
        <v>1.6859595741673425</v>
      </c>
      <c r="BN44" s="129">
        <f t="shared" si="485"/>
        <v>3.2467532467532463</v>
      </c>
      <c r="BO44" s="129">
        <f t="shared" ref="BO44:DZ44" si="486">BO43/BO2</f>
        <v>3.5727836094599725</v>
      </c>
      <c r="BP44" s="129">
        <f t="shared" si="486"/>
        <v>2.5063979272305317</v>
      </c>
      <c r="BQ44" s="129">
        <f t="shared" si="486"/>
        <v>1.5675604622545443</v>
      </c>
      <c r="BR44" s="129">
        <f t="shared" si="486"/>
        <v>1.4751968452528632</v>
      </c>
      <c r="BS44" s="129">
        <f t="shared" si="486"/>
        <v>2.669950819271016</v>
      </c>
      <c r="BT44" s="129">
        <f t="shared" si="486"/>
        <v>3.1702124405946224</v>
      </c>
      <c r="BU44" s="129">
        <f t="shared" si="486"/>
        <v>2.8527887214217129</v>
      </c>
      <c r="BV44" s="129">
        <f t="shared" si="486"/>
        <v>3.1306216613339553</v>
      </c>
      <c r="BW44" s="129">
        <f t="shared" si="486"/>
        <v>3.1328513650676175</v>
      </c>
      <c r="BX44" s="129">
        <f t="shared" si="486"/>
        <v>3.2297530480042993</v>
      </c>
      <c r="BY44" s="129">
        <f t="shared" si="486"/>
        <v>3.3457798942944237</v>
      </c>
      <c r="BZ44" s="129">
        <f t="shared" si="486"/>
        <v>1.8146150073565477</v>
      </c>
      <c r="CA44" s="129">
        <f t="shared" si="486"/>
        <v>2.0606144306751446</v>
      </c>
      <c r="CB44" s="129">
        <f t="shared" si="486"/>
        <v>5.5091589898887827</v>
      </c>
      <c r="CC44" s="129">
        <f t="shared" si="486"/>
        <v>5.8924822739222016</v>
      </c>
      <c r="CD44" s="129">
        <f t="shared" si="486"/>
        <v>5.4155692501768655</v>
      </c>
      <c r="CE44" s="129">
        <f t="shared" si="486"/>
        <v>4.9649782961750129</v>
      </c>
      <c r="CF44" s="129">
        <f t="shared" si="486"/>
        <v>4.9663555531193575</v>
      </c>
      <c r="CG44" s="129">
        <f t="shared" si="486"/>
        <v>2.7088522119520269</v>
      </c>
      <c r="CH44" s="129">
        <f t="shared" si="486"/>
        <v>5.5018001437536466</v>
      </c>
      <c r="CI44" s="129">
        <f t="shared" si="486"/>
        <v>6.3649132722180211</v>
      </c>
      <c r="CJ44" s="129">
        <f t="shared" si="486"/>
        <v>6.5553958172165467</v>
      </c>
      <c r="CK44" s="129">
        <f t="shared" si="486"/>
        <v>7.767101463706064</v>
      </c>
      <c r="CL44" s="129">
        <f t="shared" si="486"/>
        <v>5.7386499165142721</v>
      </c>
      <c r="CM44" s="129">
        <f t="shared" si="486"/>
        <v>6.6512590273955352</v>
      </c>
      <c r="CN44" s="129">
        <f t="shared" si="486"/>
        <v>6.9620777259222208</v>
      </c>
      <c r="CO44" s="129">
        <f t="shared" si="486"/>
        <v>6.6906848490262041</v>
      </c>
      <c r="CP44" s="129">
        <f t="shared" si="486"/>
        <v>6.5796918326243059</v>
      </c>
      <c r="CQ44" s="129">
        <f t="shared" si="486"/>
        <v>4.4972602312341854</v>
      </c>
      <c r="CR44" s="129">
        <f t="shared" si="486"/>
        <v>5.6208828719325732</v>
      </c>
      <c r="CS44" s="129">
        <f t="shared" si="486"/>
        <v>6.1958788565511913</v>
      </c>
      <c r="CT44" s="129">
        <f t="shared" si="486"/>
        <v>7.6813178131254611</v>
      </c>
      <c r="CU44" s="129">
        <f t="shared" si="486"/>
        <v>7.1281084777423818</v>
      </c>
      <c r="CV44" s="129">
        <f t="shared" si="486"/>
        <v>5.5820780929478238</v>
      </c>
      <c r="CW44" s="129">
        <f t="shared" si="486"/>
        <v>8.1431959813799022</v>
      </c>
      <c r="CX44" s="129">
        <f t="shared" si="486"/>
        <v>8.1222045435193841</v>
      </c>
      <c r="CY44" s="129">
        <f t="shared" si="486"/>
        <v>7.3720861237320294</v>
      </c>
      <c r="CZ44" s="129">
        <f t="shared" si="486"/>
        <v>7.4001462274489338</v>
      </c>
      <c r="DA44" s="129">
        <f t="shared" si="486"/>
        <v>5.7611777862092381</v>
      </c>
      <c r="DB44" s="129">
        <f t="shared" si="486"/>
        <v>9.7964998774095644</v>
      </c>
      <c r="DC44" s="129">
        <f t="shared" si="486"/>
        <v>10.056901289928224</v>
      </c>
      <c r="DD44" s="129">
        <f t="shared" si="486"/>
        <v>10.312482361807877</v>
      </c>
      <c r="DE44" s="129">
        <f t="shared" si="486"/>
        <v>8.8216876670484901</v>
      </c>
      <c r="DF44" s="129">
        <f t="shared" si="486"/>
        <v>10.220518690172316</v>
      </c>
      <c r="DG44" s="129">
        <f t="shared" si="486"/>
        <v>9.1937711092830767</v>
      </c>
      <c r="DH44" s="129">
        <f t="shared" si="486"/>
        <v>9.675569884839879</v>
      </c>
      <c r="DI44" s="129">
        <f t="shared" si="486"/>
        <v>9.9305344434746523</v>
      </c>
      <c r="DJ44" s="129">
        <f t="shared" si="486"/>
        <v>8.784394993503394</v>
      </c>
      <c r="DK44" s="129">
        <f t="shared" si="486"/>
        <v>7.0187350338021099</v>
      </c>
      <c r="DL44" s="129">
        <f t="shared" si="486"/>
        <v>8.8929632398671448</v>
      </c>
      <c r="DM44" s="129">
        <f t="shared" si="486"/>
        <v>8.9505840086835491</v>
      </c>
      <c r="DN44" s="129">
        <f t="shared" si="486"/>
        <v>10.267433691374382</v>
      </c>
      <c r="DO44" s="129">
        <f t="shared" si="486"/>
        <v>8.099542848390815</v>
      </c>
      <c r="DP44" s="129">
        <f t="shared" si="486"/>
        <v>8.1044000159915797</v>
      </c>
      <c r="DQ44" s="129">
        <f t="shared" si="486"/>
        <v>19.620984871904817</v>
      </c>
      <c r="DR44" s="129">
        <f t="shared" si="486"/>
        <v>19.474540037790049</v>
      </c>
      <c r="DS44" s="129">
        <f t="shared" si="486"/>
        <v>19.201723387302135</v>
      </c>
      <c r="DT44" s="129">
        <f t="shared" si="486"/>
        <v>32.070907109597236</v>
      </c>
      <c r="DU44" s="129">
        <f t="shared" si="486"/>
        <v>12.998834779675253</v>
      </c>
      <c r="DV44" s="129">
        <f t="shared" si="486"/>
        <v>18.476699598268933</v>
      </c>
      <c r="DW44" s="129">
        <f t="shared" si="486"/>
        <v>19.264779392047519</v>
      </c>
      <c r="DX44" s="129">
        <f t="shared" si="486"/>
        <v>27.160322335047084</v>
      </c>
      <c r="DY44" s="129">
        <f t="shared" si="486"/>
        <v>26.74220298538658</v>
      </c>
      <c r="DZ44" s="129">
        <f t="shared" si="486"/>
        <v>24.555732774911526</v>
      </c>
      <c r="EA44" s="129">
        <f t="shared" ref="EA44:GL44" si="487">EA43/EA2</f>
        <v>27.846453834181045</v>
      </c>
      <c r="EB44" s="129">
        <f t="shared" si="487"/>
        <v>27.44674977420128</v>
      </c>
      <c r="EC44" s="129">
        <f t="shared" si="487"/>
        <v>26.412736115062373</v>
      </c>
      <c r="ED44" s="129">
        <f t="shared" si="487"/>
        <v>23.747906342214709</v>
      </c>
      <c r="EE44" s="129">
        <f t="shared" si="487"/>
        <v>23.349885301440874</v>
      </c>
      <c r="EF44" s="129">
        <f t="shared" si="487"/>
        <v>20.386761264976908</v>
      </c>
      <c r="EG44" s="129">
        <f t="shared" si="487"/>
        <v>21.8058240688399</v>
      </c>
      <c r="EH44" s="129">
        <f t="shared" si="487"/>
        <v>22.821293401865557</v>
      </c>
      <c r="EI44" s="129">
        <f t="shared" si="487"/>
        <v>21.001360807790626</v>
      </c>
      <c r="EJ44" s="129">
        <f t="shared" si="487"/>
        <v>21.171440216443219</v>
      </c>
      <c r="EK44" s="129">
        <f t="shared" si="487"/>
        <v>22.670418079315581</v>
      </c>
      <c r="EL44" s="129">
        <f t="shared" si="487"/>
        <v>23.395579159589779</v>
      </c>
      <c r="EM44" s="129">
        <f t="shared" si="487"/>
        <v>24.171131911577273</v>
      </c>
      <c r="EN44" s="129">
        <f t="shared" si="487"/>
        <v>22.443442305753649</v>
      </c>
      <c r="EO44" s="129">
        <f t="shared" si="487"/>
        <v>23.169108010680478</v>
      </c>
      <c r="EP44" s="129">
        <f t="shared" si="487"/>
        <v>24.691309601081702</v>
      </c>
      <c r="EQ44" s="129">
        <f t="shared" si="487"/>
        <v>21.795294835046938</v>
      </c>
      <c r="ER44" s="129">
        <f t="shared" si="487"/>
        <v>21.761552198763749</v>
      </c>
      <c r="ES44" s="129">
        <f t="shared" si="487"/>
        <v>20.935220481462341</v>
      </c>
      <c r="ET44" s="129">
        <f t="shared" si="487"/>
        <v>19.384182480340236</v>
      </c>
      <c r="EU44" s="129">
        <f t="shared" si="487"/>
        <v>21.489447916277872</v>
      </c>
      <c r="EV44" s="129">
        <f t="shared" si="487"/>
        <v>21.617550771234377</v>
      </c>
      <c r="EW44" s="129">
        <f t="shared" si="487"/>
        <v>21.623436523714851</v>
      </c>
      <c r="EX44" s="129">
        <f t="shared" si="487"/>
        <v>21.467611984765394</v>
      </c>
      <c r="EY44" s="129">
        <f t="shared" si="487"/>
        <v>25.364235825901787</v>
      </c>
      <c r="EZ44" s="129">
        <f t="shared" si="487"/>
        <v>26.738629393840995</v>
      </c>
      <c r="FA44" s="129">
        <f t="shared" si="487"/>
        <v>26.415379021995996</v>
      </c>
      <c r="FB44" s="129">
        <f t="shared" si="487"/>
        <v>26.470476818726588</v>
      </c>
      <c r="FC44" s="129">
        <f t="shared" si="487"/>
        <v>25.457207008132588</v>
      </c>
      <c r="FD44" s="129">
        <f t="shared" si="487"/>
        <v>27.982176930603895</v>
      </c>
      <c r="FE44" s="129">
        <f t="shared" si="487"/>
        <v>26.922899055737211</v>
      </c>
      <c r="FF44" s="129">
        <f t="shared" si="487"/>
        <v>27.353552350849402</v>
      </c>
      <c r="FG44" s="129">
        <f t="shared" si="487"/>
        <v>27.042711447538807</v>
      </c>
      <c r="FH44" s="129">
        <f t="shared" si="487"/>
        <v>28.265483356108</v>
      </c>
      <c r="FI44" s="129">
        <f t="shared" si="487"/>
        <v>28.203034986227713</v>
      </c>
      <c r="FJ44" s="129">
        <f t="shared" si="487"/>
        <v>29.395038935416757</v>
      </c>
      <c r="FK44" s="129">
        <f t="shared" si="487"/>
        <v>29.469031435616973</v>
      </c>
      <c r="FL44" s="129">
        <f t="shared" si="487"/>
        <v>27.386922242517379</v>
      </c>
      <c r="FM44" s="129">
        <f t="shared" si="487"/>
        <v>26.607657093041134</v>
      </c>
      <c r="FN44" s="129">
        <f t="shared" si="487"/>
        <v>28.263647594976295</v>
      </c>
      <c r="FO44" s="129">
        <f t="shared" si="487"/>
        <v>28.231612017676863</v>
      </c>
      <c r="FP44" s="129">
        <f t="shared" si="487"/>
        <v>26.765195287966716</v>
      </c>
      <c r="FQ44" s="129">
        <f t="shared" si="487"/>
        <v>26.273888697567703</v>
      </c>
      <c r="FR44" s="129">
        <f t="shared" si="487"/>
        <v>25.531293756687589</v>
      </c>
      <c r="FS44" s="129">
        <f t="shared" si="487"/>
        <v>26.892591588794069</v>
      </c>
      <c r="FT44" s="129">
        <f t="shared" si="487"/>
        <v>26.294948819032815</v>
      </c>
      <c r="FU44" s="129">
        <f t="shared" si="487"/>
        <v>25.619238203955693</v>
      </c>
      <c r="FV44" s="129">
        <f t="shared" si="487"/>
        <v>23.644415869827178</v>
      </c>
      <c r="FW44" s="129">
        <f t="shared" si="487"/>
        <v>23.141921035470567</v>
      </c>
      <c r="FX44" s="129">
        <f t="shared" si="487"/>
        <v>24.24894322036598</v>
      </c>
      <c r="FY44" s="129">
        <f t="shared" si="487"/>
        <v>24.636668966177311</v>
      </c>
      <c r="FZ44" s="129">
        <f t="shared" si="487"/>
        <v>24.944887367067029</v>
      </c>
      <c r="GA44" s="129">
        <f t="shared" si="487"/>
        <v>22.883807044781225</v>
      </c>
      <c r="GB44" s="129">
        <f t="shared" si="487"/>
        <v>22.910904235866258</v>
      </c>
      <c r="GC44" s="129">
        <f t="shared" si="487"/>
        <v>21.956735612076614</v>
      </c>
      <c r="GD44" s="129">
        <f t="shared" si="487"/>
        <v>22.497862392842887</v>
      </c>
      <c r="GE44" s="129">
        <f t="shared" si="487"/>
        <v>22.19623964475311</v>
      </c>
      <c r="GF44" s="129">
        <f t="shared" si="487"/>
        <v>16.978413027064796</v>
      </c>
      <c r="GG44" s="129">
        <f t="shared" si="487"/>
        <v>19.253787621439805</v>
      </c>
      <c r="GH44" s="129">
        <f t="shared" si="487"/>
        <v>20.367707767861191</v>
      </c>
      <c r="GI44" s="129">
        <f t="shared" si="487"/>
        <v>23.016059881136748</v>
      </c>
      <c r="GJ44" s="129">
        <f t="shared" si="487"/>
        <v>21.103722079767952</v>
      </c>
      <c r="GK44" s="129">
        <f t="shared" si="487"/>
        <v>22.425700091522526</v>
      </c>
      <c r="GL44" s="129">
        <f t="shared" si="487"/>
        <v>22.091988260146451</v>
      </c>
      <c r="GM44" s="129">
        <f t="shared" ref="GM44:HN44" si="488">GM43/GM2</f>
        <v>23.449505736517171</v>
      </c>
      <c r="GN44" s="129">
        <f t="shared" si="488"/>
        <v>21.451543694222433</v>
      </c>
      <c r="GO44" s="129">
        <f t="shared" si="488"/>
        <v>21.126453015206444</v>
      </c>
      <c r="GP44" s="129">
        <f t="shared" si="488"/>
        <v>22.691160935611443</v>
      </c>
      <c r="GQ44" s="129">
        <f t="shared" si="488"/>
        <v>19.69890234521943</v>
      </c>
      <c r="GR44" s="129">
        <f t="shared" si="488"/>
        <v>18.09706462938129</v>
      </c>
      <c r="GS44" s="129">
        <f t="shared" si="488"/>
        <v>18.323253876562653</v>
      </c>
      <c r="GT44" s="129">
        <f t="shared" si="488"/>
        <v>19.436098306091829</v>
      </c>
      <c r="GU44" s="129">
        <f t="shared" si="488"/>
        <v>18.842186459579619</v>
      </c>
      <c r="GV44" s="129">
        <f t="shared" si="488"/>
        <v>18.966950469207084</v>
      </c>
      <c r="GW44" s="129">
        <f t="shared" si="488"/>
        <v>18.143051663406471</v>
      </c>
      <c r="GX44" s="129">
        <f t="shared" si="488"/>
        <v>17.425224811704432</v>
      </c>
      <c r="GY44" s="129">
        <f t="shared" si="488"/>
        <v>17.345696161407187</v>
      </c>
      <c r="GZ44" s="129">
        <f t="shared" si="488"/>
        <v>19.889569667296193</v>
      </c>
      <c r="HA44" s="129">
        <f t="shared" si="488"/>
        <v>21.732018627312257</v>
      </c>
      <c r="HB44" s="129">
        <f t="shared" si="488"/>
        <v>21.266835726228887</v>
      </c>
      <c r="HC44" s="129">
        <f t="shared" si="488"/>
        <v>20.46074409548007</v>
      </c>
      <c r="HD44" s="129">
        <f t="shared" si="488"/>
        <v>20.116574357337228</v>
      </c>
      <c r="HE44" s="129">
        <f t="shared" si="488"/>
        <v>19.088415952980359</v>
      </c>
      <c r="HF44" s="129">
        <f t="shared" si="488"/>
        <v>20.141790158385543</v>
      </c>
      <c r="HG44" s="129">
        <f t="shared" si="488"/>
        <v>17.392774342711096</v>
      </c>
      <c r="HH44" s="129">
        <f t="shared" si="488"/>
        <v>17.511226181698188</v>
      </c>
      <c r="HI44" s="129">
        <f t="shared" si="488"/>
        <v>17.619369079853932</v>
      </c>
      <c r="HJ44" s="129">
        <f t="shared" si="488"/>
        <v>18.046542666278448</v>
      </c>
      <c r="HK44" s="129">
        <f t="shared" si="488"/>
        <v>18.244300396494101</v>
      </c>
      <c r="HL44" s="129">
        <f t="shared" si="488"/>
        <v>20.435934853915338</v>
      </c>
      <c r="HM44" s="129">
        <f t="shared" si="488"/>
        <v>19.936222368926554</v>
      </c>
      <c r="HN44" s="129">
        <f t="shared" si="488"/>
        <v>20.270164294884804</v>
      </c>
      <c r="HO44" s="129">
        <v>25.455425971914416</v>
      </c>
      <c r="HP44" s="129">
        <v>22.007528947631002</v>
      </c>
      <c r="HQ44" s="129">
        <v>20.772457959508507</v>
      </c>
      <c r="HR44" s="129">
        <f>HR43/HR2</f>
        <v>21.693042749382986</v>
      </c>
      <c r="HS44" s="129">
        <f>HS43/HS2</f>
        <v>21.499518621036501</v>
      </c>
      <c r="HT44" s="129">
        <f>HT43/HT2</f>
        <v>19.328289205732634</v>
      </c>
      <c r="HU44" s="129">
        <f>HU43/HU2</f>
        <v>19.30115960044531</v>
      </c>
      <c r="HV44" s="129">
        <v>16.704485960995033</v>
      </c>
      <c r="HW44" s="129">
        <v>16.569973179405107</v>
      </c>
      <c r="HX44" s="129">
        <v>21.457699253969846</v>
      </c>
      <c r="HY44" s="129">
        <v>21.419964241111291</v>
      </c>
      <c r="HZ44" s="129">
        <v>17.563421991189028</v>
      </c>
      <c r="IA44" s="129">
        <v>16.743909917108109</v>
      </c>
      <c r="IB44" s="129">
        <v>17.063691256956865</v>
      </c>
      <c r="IC44" s="129">
        <v>16.973202504235314</v>
      </c>
      <c r="ID44" s="129">
        <v>16.99108679233419</v>
      </c>
      <c r="IE44" s="129">
        <v>17.670657458853263</v>
      </c>
      <c r="IF44" s="129">
        <v>17.707796311587796</v>
      </c>
      <c r="IG44" s="129">
        <v>18.772381556769282</v>
      </c>
      <c r="IH44" s="129">
        <v>18.644275496402173</v>
      </c>
      <c r="II44" s="129">
        <v>18.632379495631092</v>
      </c>
      <c r="IJ44" s="129">
        <v>18.640620598168649</v>
      </c>
      <c r="IK44" s="129">
        <v>15.860080833806512</v>
      </c>
      <c r="IL44" s="129">
        <v>15.901411941602932</v>
      </c>
      <c r="IM44" s="129">
        <v>15.847711705934742</v>
      </c>
      <c r="IN44" s="129">
        <v>15.384140166387848</v>
      </c>
      <c r="IO44" s="129">
        <v>13.27348008423</v>
      </c>
      <c r="IP44" s="129">
        <v>12.665213228133986</v>
      </c>
      <c r="IQ44" s="129">
        <v>13.304356896280648</v>
      </c>
      <c r="IR44" s="129">
        <v>13.414036717365875</v>
      </c>
      <c r="IS44" s="129">
        <v>14.21101549913956</v>
      </c>
      <c r="IT44" s="129">
        <v>14.819275046020245</v>
      </c>
      <c r="IU44" s="129">
        <v>15.735551563805876</v>
      </c>
      <c r="IV44" s="129">
        <v>15.90316193967956</v>
      </c>
      <c r="IW44" s="129">
        <v>15.530083153586501</v>
      </c>
      <c r="IX44" s="129">
        <v>16.729297105928765</v>
      </c>
      <c r="IY44" s="129">
        <f>IY43/IY2</f>
        <v>17.179163898857052</v>
      </c>
      <c r="IZ44" s="129">
        <v>16.168529057928588</v>
      </c>
      <c r="JA44" s="129">
        <v>16.573212252488855</v>
      </c>
      <c r="JB44" s="129">
        <v>16.567282726313895</v>
      </c>
      <c r="JC44" s="129">
        <v>17.426242799645834</v>
      </c>
      <c r="JD44" s="129">
        <v>17.540430085545491</v>
      </c>
      <c r="JE44" s="129">
        <v>17.536658143403599</v>
      </c>
      <c r="JF44" s="129">
        <v>17.540473954881318</v>
      </c>
      <c r="JG44" s="129">
        <v>16.348750819841328</v>
      </c>
      <c r="JH44" s="129">
        <v>16.220756467665346</v>
      </c>
      <c r="JI44" s="129">
        <v>16.159273395598788</v>
      </c>
      <c r="JJ44" s="129">
        <v>14.874524906939694</v>
      </c>
      <c r="JK44" s="129">
        <v>14.967942386304488</v>
      </c>
      <c r="JL44" s="129">
        <v>17.626975254432068</v>
      </c>
      <c r="JM44" s="129">
        <v>17.964847904470478</v>
      </c>
      <c r="JN44" s="129">
        <v>17.918997438042471</v>
      </c>
      <c r="JO44" s="129">
        <v>17.780413496982781</v>
      </c>
      <c r="JP44" s="129">
        <v>16.808118482652315</v>
      </c>
      <c r="JQ44" s="129">
        <v>16.607402935274269</v>
      </c>
      <c r="JR44" s="129">
        <v>17.339806927820934</v>
      </c>
      <c r="JS44" s="129">
        <f>JS43/JS2</f>
        <v>17.414939599502716</v>
      </c>
      <c r="JT44" s="129">
        <v>18.341467024282274</v>
      </c>
      <c r="JU44" s="129">
        <v>18.85788980965782</v>
      </c>
      <c r="JV44" s="129">
        <v>18.802592413096527</v>
      </c>
      <c r="JW44" s="129">
        <v>19.405479157970667</v>
      </c>
      <c r="JX44" s="129">
        <v>19.553792066733177</v>
      </c>
      <c r="JY44" s="129">
        <v>26.49264045297484</v>
      </c>
      <c r="JZ44" s="129">
        <v>26.310922093524777</v>
      </c>
      <c r="KA44" s="129">
        <v>34.499703732727895</v>
      </c>
      <c r="KB44" s="129">
        <v>26.687280450529787</v>
      </c>
      <c r="KC44" s="129">
        <v>27.092376463363212</v>
      </c>
      <c r="KD44" s="129">
        <v>24.930888282887029</v>
      </c>
      <c r="KE44" s="129">
        <v>24.668225784910245</v>
      </c>
      <c r="KF44" s="129">
        <v>13.518804190717598</v>
      </c>
      <c r="KG44" s="129">
        <v>22.358978528968983</v>
      </c>
      <c r="KH44" s="129">
        <v>21.819988250449658</v>
      </c>
      <c r="KI44" s="129">
        <v>16.678141986674362</v>
      </c>
      <c r="KJ44" s="129">
        <f>KJ43/KJ2</f>
        <v>16.713651790790781</v>
      </c>
      <c r="KK44" s="129">
        <v>18.248359408869174</v>
      </c>
      <c r="KL44" s="129">
        <v>17.976036103163242</v>
      </c>
      <c r="KM44" s="129">
        <v>18.065661421646848</v>
      </c>
      <c r="KN44" s="129">
        <v>18.227492299293154</v>
      </c>
      <c r="KO44" s="129">
        <v>19.406308203893531</v>
      </c>
      <c r="KP44" s="129">
        <v>19.84736431912458</v>
      </c>
      <c r="KQ44" s="129">
        <v>20.084758088517464</v>
      </c>
      <c r="KR44" s="129">
        <v>20.162152976022103</v>
      </c>
      <c r="KS44" s="129">
        <f>KS43/KS2</f>
        <v>19.297364828079122</v>
      </c>
      <c r="KT44" s="129">
        <v>19.275100852479309</v>
      </c>
      <c r="KU44" s="129">
        <f>KU43/KU2</f>
        <v>20.477876942765651</v>
      </c>
      <c r="KV44" s="129">
        <f>KV43/KV2</f>
        <v>20.285227745517339</v>
      </c>
      <c r="KW44" s="129">
        <f>KW43/KW2</f>
        <v>18.324568012731447</v>
      </c>
      <c r="KX44" s="129">
        <v>16.98910777016652</v>
      </c>
      <c r="KY44" s="129">
        <v>16.804822982545705</v>
      </c>
      <c r="KZ44" s="129">
        <v>18.033668267976157</v>
      </c>
      <c r="LA44" s="129">
        <v>18.125886796321641</v>
      </c>
      <c r="LB44" s="129">
        <v>18.298859973778203</v>
      </c>
      <c r="LC44" s="129">
        <v>18.321526772985852</v>
      </c>
      <c r="LD44" s="129">
        <v>18.148547364026449</v>
      </c>
      <c r="LE44" s="129">
        <f>LE43/LE2</f>
        <v>17.144864243531515</v>
      </c>
      <c r="LF44" s="968">
        <v>18.382314768270312</v>
      </c>
      <c r="LG44" s="968">
        <v>18.51864550936099</v>
      </c>
      <c r="LH44" s="968">
        <v>19.103069514005931</v>
      </c>
      <c r="LI44" s="968">
        <v>18.012270320016018</v>
      </c>
      <c r="LJ44" s="968">
        <v>17.871126140400079</v>
      </c>
      <c r="LK44" s="968">
        <v>17.875664248367752</v>
      </c>
      <c r="LL44" s="968">
        <v>19.405143527727571</v>
      </c>
      <c r="LM44" s="968">
        <v>19.413653771211443</v>
      </c>
      <c r="LN44" s="968">
        <v>17.400134847120263</v>
      </c>
      <c r="LO44" s="968">
        <v>17.261621523446216</v>
      </c>
      <c r="LP44" s="968">
        <v>17.219183044082463</v>
      </c>
      <c r="LQ44" s="968">
        <v>18.205332408058933</v>
      </c>
      <c r="LR44" s="968">
        <v>14.845373847867426</v>
      </c>
      <c r="LS44" s="968">
        <v>14.844341432784137</v>
      </c>
      <c r="LT44" s="968">
        <v>12.962370423277189</v>
      </c>
      <c r="LU44" s="968">
        <v>12.10768420261579</v>
      </c>
      <c r="LV44" s="968">
        <v>11.399814395583164</v>
      </c>
      <c r="LW44" s="968">
        <v>11.358926675703001</v>
      </c>
      <c r="LX44" s="968">
        <v>8.218651330877691</v>
      </c>
      <c r="LY44" s="968">
        <v>8.3392209249359901</v>
      </c>
      <c r="LZ44" s="968">
        <v>9.8080511773060124</v>
      </c>
      <c r="MA44" s="968">
        <v>9.6776680690856587</v>
      </c>
      <c r="MB44" s="968">
        <v>9.6594018428488102</v>
      </c>
      <c r="MC44" s="968">
        <v>9.6121313108870829</v>
      </c>
      <c r="MD44" s="968">
        <v>11.923752452631842</v>
      </c>
      <c r="ME44" s="968">
        <v>12.047204136095512</v>
      </c>
      <c r="MF44" s="968">
        <v>11.998126129819537</v>
      </c>
      <c r="MG44" s="968">
        <v>12.065686943384524</v>
      </c>
      <c r="MH44" s="968">
        <v>21.07464284067683</v>
      </c>
      <c r="MI44" s="968">
        <v>21.051912310495748</v>
      </c>
      <c r="MJ44" s="968">
        <v>16.686459972069191</v>
      </c>
      <c r="MK44" s="968">
        <v>15.866711663937823</v>
      </c>
      <c r="ML44" s="968">
        <v>15.784631579723261</v>
      </c>
      <c r="MM44" s="968">
        <v>15.717727155860459</v>
      </c>
      <c r="MN44" s="968">
        <v>15.547938642140162</v>
      </c>
      <c r="MO44" s="968">
        <v>15.424329117829865</v>
      </c>
      <c r="MP44" s="968">
        <v>15.395203639517169</v>
      </c>
      <c r="MQ44" s="968">
        <v>9.6728579830491128</v>
      </c>
      <c r="MR44" s="968">
        <v>9.5944190768137663</v>
      </c>
      <c r="MS44" s="968">
        <v>10.190663577966804</v>
      </c>
      <c r="MT44" s="968">
        <v>10.335866364503293</v>
      </c>
      <c r="MU44" s="968">
        <v>10.331121290787832</v>
      </c>
      <c r="MV44" s="968">
        <v>10.649166466140453</v>
      </c>
      <c r="MW44" s="968">
        <v>9.3735156452483093</v>
      </c>
      <c r="MX44" s="968">
        <v>11.635546591459246</v>
      </c>
      <c r="MY44" s="968">
        <v>11.628458582393899</v>
      </c>
      <c r="MZ44" s="968">
        <v>11.625281943035192</v>
      </c>
      <c r="NA44" s="968">
        <v>11.633047470901493</v>
      </c>
      <c r="NB44" s="968">
        <v>11.803118320572482</v>
      </c>
      <c r="NC44" s="968">
        <v>11.95232090465335</v>
      </c>
      <c r="ND44" s="968">
        <v>12.103855370157309</v>
      </c>
      <c r="NE44" s="968">
        <v>12.152153483226643</v>
      </c>
      <c r="NF44" s="968">
        <v>7.805584816954819</v>
      </c>
      <c r="NG44" s="968">
        <v>8.3591864151971631</v>
      </c>
      <c r="NH44" s="968">
        <v>10.330917217704183</v>
      </c>
      <c r="NI44" s="968">
        <v>9.8897875046999335</v>
      </c>
      <c r="NJ44" s="968">
        <v>9.756464236530622</v>
      </c>
      <c r="NK44" s="968">
        <v>9.6475581961512464</v>
      </c>
      <c r="NL44" s="968">
        <v>9.6618581568676767</v>
      </c>
      <c r="NM44" s="968">
        <v>11.075668006418866</v>
      </c>
      <c r="NN44" s="968">
        <v>11.101832335437155</v>
      </c>
      <c r="NO44" s="968">
        <v>11.134524352907647</v>
      </c>
      <c r="NP44" s="968">
        <v>11.584919557865804</v>
      </c>
      <c r="NQ44" s="968">
        <v>11.576745089422863</v>
      </c>
      <c r="NR44" s="968">
        <v>13.584607016776795</v>
      </c>
      <c r="NS44" s="968">
        <v>13.858025772638097</v>
      </c>
      <c r="NT44" s="968">
        <v>13.937469026696917</v>
      </c>
      <c r="NU44" s="968">
        <f>NU43/NU2</f>
        <v>14.151333674432276</v>
      </c>
      <c r="NV44" s="968">
        <v>15.174477646521742</v>
      </c>
      <c r="NW44" s="968">
        <v>15.282462056148796</v>
      </c>
      <c r="NX44" s="968">
        <v>15.23137883962761</v>
      </c>
      <c r="NY44" s="968">
        <v>15.149685374588918</v>
      </c>
      <c r="NZ44" s="968">
        <v>17.957742253919179</v>
      </c>
      <c r="OA44" s="968">
        <v>17.979768220552511</v>
      </c>
      <c r="OB44" s="968">
        <v>17.99890249790656</v>
      </c>
      <c r="OC44" s="968">
        <v>17.956629246513156</v>
      </c>
      <c r="OD44" s="968">
        <v>18.017888864542307</v>
      </c>
      <c r="OE44" s="968">
        <v>17.781027692261418</v>
      </c>
      <c r="OF44" s="968">
        <v>17.602399281923578</v>
      </c>
      <c r="OG44" s="968">
        <v>16.827551478178641</v>
      </c>
      <c r="OH44" s="968">
        <v>16.609858612929578</v>
      </c>
      <c r="OI44" s="968">
        <v>14.883854680690625</v>
      </c>
      <c r="OJ44" s="968">
        <v>15.98725703359443</v>
      </c>
      <c r="OK44" s="968">
        <v>16.102455052943029</v>
      </c>
      <c r="OL44" s="968">
        <v>18.048710584398741</v>
      </c>
      <c r="OM44" s="968">
        <v>18.113602947739857</v>
      </c>
      <c r="ON44" s="968">
        <v>18.157738570445648</v>
      </c>
      <c r="OO44" s="968">
        <v>15.274332850409044</v>
      </c>
      <c r="OP44" s="968">
        <v>16.77886223917838</v>
      </c>
      <c r="OQ44" s="968">
        <v>16.840176318336724</v>
      </c>
      <c r="OR44" s="968">
        <v>16.780829550271225</v>
      </c>
      <c r="OS44" s="968">
        <v>16.879904420311824</v>
      </c>
      <c r="OT44" s="968">
        <v>27.537767232259682</v>
      </c>
      <c r="OU44" s="968">
        <v>27.528754556317889</v>
      </c>
      <c r="OV44" s="968">
        <v>27.607432241085455</v>
      </c>
      <c r="OW44" s="968">
        <v>32.338535362046386</v>
      </c>
      <c r="OX44" s="968">
        <v>32.840243346979811</v>
      </c>
      <c r="OY44" s="968">
        <v>13.185640389326144</v>
      </c>
      <c r="OZ44" s="968">
        <v>13.081253826489979</v>
      </c>
      <c r="PA44" s="968">
        <v>13.22906452151657</v>
      </c>
      <c r="PB44" s="968">
        <v>11.711136181852586</v>
      </c>
      <c r="PC44" s="968">
        <v>11.797429211844905</v>
      </c>
      <c r="PD44" s="968">
        <v>11.858678770193391</v>
      </c>
      <c r="PE44" s="968">
        <v>13.827618053823516</v>
      </c>
      <c r="PF44" s="968">
        <v>13.991789773637869</v>
      </c>
      <c r="PG44" s="968">
        <v>13.943341420241147</v>
      </c>
      <c r="PH44" s="968">
        <v>13.95457924699965</v>
      </c>
      <c r="PI44" s="968">
        <v>15.329833602698116</v>
      </c>
      <c r="PJ44" s="968">
        <v>16.200020099431413</v>
      </c>
      <c r="PK44" s="968">
        <v>16.13340915556693</v>
      </c>
      <c r="PL44" s="968">
        <v>16.065477057893297</v>
      </c>
      <c r="PM44" s="968">
        <v>15.911186137211374</v>
      </c>
      <c r="PN44" s="968">
        <v>15.923288588088251</v>
      </c>
      <c r="PO44" s="968">
        <v>15.980409246522795</v>
      </c>
      <c r="PP44" s="968">
        <v>15.91284683119247</v>
      </c>
      <c r="PQ44" s="968">
        <v>11.050454661148908</v>
      </c>
      <c r="PR44" s="968">
        <v>10.997714813274712</v>
      </c>
      <c r="PS44" s="968">
        <v>14.602631873319057</v>
      </c>
      <c r="PT44" s="968">
        <v>14.69267833944612</v>
      </c>
      <c r="PU44" s="968">
        <v>15.316996342349103</v>
      </c>
      <c r="PV44" s="968">
        <v>15.299422837487027</v>
      </c>
      <c r="PW44" s="968">
        <v>15.361031183814298</v>
      </c>
      <c r="PX44" s="968">
        <v>15.871739773243824</v>
      </c>
      <c r="PY44" s="968">
        <v>22.937187898344074</v>
      </c>
      <c r="PZ44" s="968">
        <v>22.880517001780564</v>
      </c>
      <c r="QA44" s="968">
        <v>22.782814004445473</v>
      </c>
      <c r="QB44" s="968">
        <v>17.749285791125153</v>
      </c>
      <c r="QC44" s="968">
        <v>16.365308054305697</v>
      </c>
      <c r="QD44" s="968">
        <v>16.37615340025339</v>
      </c>
      <c r="QE44" s="968">
        <v>16.243092977183807</v>
      </c>
      <c r="QF44" s="968">
        <v>16.188244109177283</v>
      </c>
      <c r="QG44" s="968">
        <v>16.209180173935394</v>
      </c>
      <c r="QH44" s="968">
        <f>QH43/QH2</f>
        <v>16.313011910693437</v>
      </c>
      <c r="QI44" s="968">
        <v>17.786627869405635</v>
      </c>
      <c r="QJ44" s="968">
        <v>17.987691560649612</v>
      </c>
      <c r="QK44" s="968">
        <v>11.626622185154202</v>
      </c>
      <c r="QL44" s="968">
        <v>11.624102222905771</v>
      </c>
      <c r="QM44" s="968">
        <v>11.648712160214304</v>
      </c>
      <c r="QN44" s="968">
        <v>12.265988487312544</v>
      </c>
      <c r="QO44" s="968">
        <v>11.8120645899197</v>
      </c>
      <c r="QP44" s="968">
        <v>11.828239751084684</v>
      </c>
      <c r="QQ44" s="968">
        <v>12.904957672163185</v>
      </c>
      <c r="QR44" s="968">
        <v>12.811481384216927</v>
      </c>
      <c r="QS44" s="968">
        <v>11.649172534454287</v>
      </c>
      <c r="QT44" s="968">
        <v>12.106508193860888</v>
      </c>
      <c r="QU44" s="968">
        <v>12.091648640888685</v>
      </c>
      <c r="QV44" s="968">
        <v>14.049635825807298</v>
      </c>
      <c r="QW44" s="968">
        <v>11.999910534265654</v>
      </c>
      <c r="QX44" s="968">
        <v>12.095988225870826</v>
      </c>
      <c r="QY44" s="968">
        <v>18.266006515800363</v>
      </c>
      <c r="QZ44" s="968">
        <v>18.233658692702107</v>
      </c>
      <c r="RA44" s="968">
        <v>13.180449572182408</v>
      </c>
      <c r="RB44" s="968">
        <v>13.177972683571678</v>
      </c>
      <c r="RC44" s="968">
        <v>13.224978311085295</v>
      </c>
      <c r="RD44" s="968">
        <v>13.210202118961526</v>
      </c>
      <c r="RE44" s="968">
        <v>9.3766190717661662</v>
      </c>
      <c r="RF44" s="968">
        <v>9.3529052714173595</v>
      </c>
      <c r="RG44" s="968">
        <f>RG43/RG2</f>
        <v>9.3666933083087613</v>
      </c>
      <c r="RH44" s="968">
        <v>9.5707519666153136</v>
      </c>
      <c r="RI44" s="968">
        <v>8.390902340624681</v>
      </c>
      <c r="RJ44" s="968">
        <v>8.3759025638089888</v>
      </c>
      <c r="RK44" s="968">
        <v>10.223060038729304</v>
      </c>
      <c r="RL44" s="968">
        <v>10.171133099084097</v>
      </c>
      <c r="RM44" s="968">
        <v>8.8094632528307812</v>
      </c>
      <c r="RN44" s="968">
        <v>8.835644098311354</v>
      </c>
      <c r="RO44" s="968">
        <v>8.8217471080499728</v>
      </c>
      <c r="RP44" s="968">
        <v>8.7762571700848877</v>
      </c>
      <c r="RQ44" s="968">
        <v>10.431990163605944</v>
      </c>
      <c r="RR44" s="968">
        <v>10.457711973893689</v>
      </c>
      <c r="RS44" s="968">
        <v>9.6344377525259279</v>
      </c>
      <c r="RT44" s="968">
        <v>9.6539645260847227</v>
      </c>
      <c r="RU44" s="968">
        <v>9.6498356188861187</v>
      </c>
      <c r="RV44" s="968">
        <v>9.7318279998659545</v>
      </c>
      <c r="RW44" s="968">
        <v>9.7713758239861761</v>
      </c>
      <c r="RX44" s="968">
        <v>9.7839068504152653</v>
      </c>
      <c r="RY44" s="968">
        <v>12.566936355008927</v>
      </c>
      <c r="RZ44" s="968">
        <v>12.529435052328095</v>
      </c>
      <c r="SA44" s="968">
        <v>13.003408946274364</v>
      </c>
      <c r="SB44" s="968">
        <v>14.019659361598208</v>
      </c>
      <c r="SC44" s="968">
        <v>14.04878393612597</v>
      </c>
      <c r="SD44" s="968">
        <v>13.941563617859842</v>
      </c>
      <c r="SE44" s="968">
        <v>16.992328067508428</v>
      </c>
      <c r="SF44" s="968">
        <v>17.043272074812467</v>
      </c>
      <c r="SG44" s="968">
        <v>18.290191491749152</v>
      </c>
      <c r="SH44" s="968">
        <v>18.357258014889375</v>
      </c>
      <c r="SI44" s="968">
        <v>19.114462588954726</v>
      </c>
      <c r="SJ44" s="968">
        <v>19.184802627140431</v>
      </c>
      <c r="SK44" s="968">
        <v>22.891928786769345</v>
      </c>
      <c r="SL44" s="968">
        <v>22.947642843726545</v>
      </c>
      <c r="SM44" s="968">
        <v>18.089609527682423</v>
      </c>
      <c r="SN44" s="968">
        <v>18.199717002851642</v>
      </c>
      <c r="SO44" s="968">
        <v>18.408504851091276</v>
      </c>
      <c r="SP44" s="968">
        <v>20.524319787759719</v>
      </c>
      <c r="SQ44" s="968">
        <v>20.335445890885953</v>
      </c>
      <c r="SR44" s="968">
        <v>20.21586145896562</v>
      </c>
      <c r="SS44" s="968">
        <v>17.886028505014334</v>
      </c>
      <c r="ST44" s="968">
        <v>18.049328282471151</v>
      </c>
      <c r="SU44" s="968">
        <v>21.179008185796341</v>
      </c>
      <c r="SV44" s="968">
        <v>21.182301609918916</v>
      </c>
      <c r="SW44" s="968">
        <v>21.178292359543221</v>
      </c>
      <c r="SX44" s="968">
        <v>18.326403044143458</v>
      </c>
      <c r="SY44" s="968">
        <v>18.278257171687205</v>
      </c>
      <c r="SZ44" s="968">
        <v>18.272713415425951</v>
      </c>
      <c r="TA44" s="968">
        <v>20.693151488527121</v>
      </c>
      <c r="TB44" s="968">
        <v>20.493854055091855</v>
      </c>
      <c r="TC44" s="968">
        <v>22.312925888630989</v>
      </c>
      <c r="TD44" s="968">
        <v>22.82937539311591</v>
      </c>
      <c r="TE44" s="968">
        <f>TE43/TE2</f>
        <v>25.654556438479833</v>
      </c>
      <c r="TF44" s="968">
        <f>TF43/TF2</f>
        <v>20.800326671860862</v>
      </c>
      <c r="TG44" s="968">
        <v>14.859294257891435</v>
      </c>
      <c r="TH44" s="968">
        <v>14.38769637660941</v>
      </c>
      <c r="TI44" s="968">
        <v>13.145758235727875</v>
      </c>
      <c r="TJ44" s="968">
        <v>13.807257804953327</v>
      </c>
      <c r="TK44" s="968">
        <v>14.961163191027621</v>
      </c>
      <c r="TL44" s="968">
        <v>12.871001799807463</v>
      </c>
      <c r="TM44" s="968">
        <v>10.875604634605271</v>
      </c>
      <c r="TN44" s="968">
        <v>12.86303297266304</v>
      </c>
      <c r="TO44" s="968">
        <v>15.950860497955716</v>
      </c>
      <c r="TP44" s="968">
        <v>17.026141174717338</v>
      </c>
      <c r="TQ44" s="968">
        <v>17.697352834931486</v>
      </c>
      <c r="TR44" s="968">
        <v>15.604226942347045</v>
      </c>
      <c r="TS44" s="968">
        <v>16.130017385386239</v>
      </c>
      <c r="TT44" s="968">
        <v>15.558446281607351</v>
      </c>
      <c r="TU44" s="968">
        <v>16.02655421713003</v>
      </c>
      <c r="TV44" s="968">
        <v>17.182629778740218</v>
      </c>
      <c r="TW44" s="968">
        <v>13.828329113314645</v>
      </c>
      <c r="TX44" s="968">
        <v>16.973551922655901</v>
      </c>
      <c r="TY44" s="968">
        <v>17.219046005568501</v>
      </c>
      <c r="TZ44" s="968">
        <f t="shared" ref="TZ44:UE44" si="489">TZ43/TZ2</f>
        <v>15.32195756233763</v>
      </c>
      <c r="UA44" s="968">
        <f t="shared" si="489"/>
        <v>15.178028105710048</v>
      </c>
      <c r="UB44" s="968">
        <f t="shared" si="489"/>
        <v>18.512424527469683</v>
      </c>
      <c r="UC44" s="968">
        <f t="shared" si="489"/>
        <v>19.007520352031957</v>
      </c>
      <c r="UD44" s="968">
        <f t="shared" si="489"/>
        <v>17.43193221480492</v>
      </c>
      <c r="UE44" s="968">
        <f t="shared" si="489"/>
        <v>19.076541621287127</v>
      </c>
      <c r="UF44" s="968">
        <v>19.782183124431739</v>
      </c>
      <c r="UG44" s="968">
        <v>17.886457910143822</v>
      </c>
      <c r="UH44" s="968">
        <v>14.093184233566936</v>
      </c>
      <c r="UI44" s="968">
        <v>14.51434054441982</v>
      </c>
      <c r="UJ44" s="968">
        <v>10.842345507479481</v>
      </c>
      <c r="UK44" s="968">
        <v>10.989305705922643</v>
      </c>
      <c r="UL44" s="968">
        <v>10.104586988005465</v>
      </c>
      <c r="UM44" s="968">
        <v>14.261644181926728</v>
      </c>
      <c r="UN44" s="968">
        <v>13.975842196024921</v>
      </c>
      <c r="UO44" s="968">
        <v>14.031500624806622</v>
      </c>
      <c r="UP44" s="968">
        <v>11.802784718555472</v>
      </c>
      <c r="UQ44" s="968">
        <v>12.703243668758944</v>
      </c>
      <c r="UR44" s="968">
        <v>8.4113037187212072</v>
      </c>
      <c r="US44" s="968">
        <v>8.164966501813419</v>
      </c>
      <c r="UT44" s="968">
        <v>8.5722860973717037</v>
      </c>
      <c r="UU44" s="968">
        <v>9.8254811601813365</v>
      </c>
      <c r="UV44" s="968">
        <v>8.2363900475728666</v>
      </c>
      <c r="UW44" s="968">
        <v>8.8036203641638746</v>
      </c>
      <c r="UX44" s="968">
        <v>8.8717329800936717</v>
      </c>
      <c r="UY44" s="968">
        <v>8.4082573850215514</v>
      </c>
      <c r="UZ44" s="968">
        <v>10.615310938993231</v>
      </c>
      <c r="VA44" s="968">
        <v>10.939688982350688</v>
      </c>
      <c r="VB44" s="968">
        <v>11.074931452595028</v>
      </c>
      <c r="VC44" s="968">
        <v>9.3039682988039605</v>
      </c>
      <c r="VD44" s="968">
        <v>8.4095113675493725</v>
      </c>
      <c r="VE44" s="968">
        <v>8.4538517398517214</v>
      </c>
      <c r="VF44" s="968">
        <v>7.1609097363510879</v>
      </c>
      <c r="VG44" s="968">
        <v>8.6918576880954621</v>
      </c>
      <c r="VH44" s="968">
        <v>8.7626158994687255</v>
      </c>
      <c r="VI44" s="968">
        <v>11.538698801085463</v>
      </c>
      <c r="VJ44" s="968">
        <v>10.511909374187788</v>
      </c>
      <c r="VK44" s="968">
        <v>12.389034132463298</v>
      </c>
      <c r="VL44" s="968">
        <v>7.2459301119102451</v>
      </c>
      <c r="VM44" s="968">
        <v>6.8147843842786013</v>
      </c>
      <c r="VN44" s="968">
        <v>7.7575818890623029</v>
      </c>
      <c r="VO44" s="968">
        <v>6.514401036276011</v>
      </c>
      <c r="VP44" s="968">
        <v>6.9683636174652417</v>
      </c>
      <c r="VQ44" s="968">
        <v>8.5824656418308365</v>
      </c>
      <c r="VR44" s="968">
        <v>7.4428506492739954</v>
      </c>
      <c r="VS44" s="968">
        <v>7.9588459709261867</v>
      </c>
      <c r="VT44" s="968">
        <v>7.6812453488127765</v>
      </c>
      <c r="VU44" s="968">
        <v>6.8522452557300255</v>
      </c>
      <c r="VV44" s="968">
        <f t="shared" ref="VV44" si="490">VV43/VV2</f>
        <v>5.9559834515181027</v>
      </c>
      <c r="VW44" s="968">
        <v>6.2799755616481727</v>
      </c>
      <c r="VX44" s="968">
        <v>7.2483948262850255</v>
      </c>
      <c r="VY44" s="968">
        <v>8.7396701275336355</v>
      </c>
      <c r="VZ44" s="968">
        <v>10.424640299667796</v>
      </c>
      <c r="WA44" s="968">
        <v>10.624014758029027</v>
      </c>
      <c r="WB44" s="968">
        <v>12.809957828418668</v>
      </c>
      <c r="WC44" s="968">
        <v>11.198466083216358</v>
      </c>
      <c r="WD44" s="968">
        <v>8.3110632690083914</v>
      </c>
      <c r="WE44" s="968">
        <v>8.7393703406149292</v>
      </c>
      <c r="WF44" s="968">
        <v>9.9656296515180713</v>
      </c>
      <c r="WG44" s="968">
        <v>2.3122389412570383</v>
      </c>
      <c r="WH44" s="968">
        <v>4.1276390964371341</v>
      </c>
      <c r="WI44" s="968">
        <v>4.7215134103492282</v>
      </c>
      <c r="WJ44" s="968">
        <v>4.5503106482750475</v>
      </c>
      <c r="WK44" s="968">
        <v>4.0932755041392994</v>
      </c>
      <c r="WL44" s="968">
        <v>4.968871103893405</v>
      </c>
      <c r="WM44" s="968">
        <v>4.6978967413254891</v>
      </c>
      <c r="WN44" s="968">
        <v>3.9115003710102076</v>
      </c>
      <c r="WO44" s="968">
        <v>5.067821536045189</v>
      </c>
      <c r="WP44" s="968">
        <v>3.0517766836660836</v>
      </c>
      <c r="WQ44" s="968">
        <v>3.6952791175476016</v>
      </c>
      <c r="WR44" s="968">
        <f t="shared" ref="WR44:WS44" si="491">WR43/WR2</f>
        <v>4.2120504321222789</v>
      </c>
      <c r="WS44" s="968">
        <f t="shared" si="491"/>
        <v>4.8202786689400785</v>
      </c>
      <c r="WT44" s="968">
        <f t="shared" ref="WT44:WU44" si="492">WT43/WT2</f>
        <v>5.5642071742653014</v>
      </c>
      <c r="WU44" s="968">
        <f t="shared" si="492"/>
        <v>5.3344385634691012</v>
      </c>
      <c r="WV44" s="968">
        <f t="shared" ref="WV44" si="493">WV43/WV2</f>
        <v>3.6084563381726587</v>
      </c>
      <c r="WW44" s="968">
        <v>3.779753026136381</v>
      </c>
      <c r="WX44" s="968">
        <v>4.2045704845172232</v>
      </c>
      <c r="WY44" s="968">
        <v>4.3461425176057418</v>
      </c>
      <c r="WZ44" s="968">
        <v>5.4409681573412012</v>
      </c>
      <c r="XA44" s="968">
        <v>4.7495280032952758</v>
      </c>
      <c r="XB44" s="968">
        <v>3.5960003151078639</v>
      </c>
      <c r="XC44" s="968">
        <v>4.8203745248694805</v>
      </c>
      <c r="XD44" s="968">
        <v>7.0621898516273864</v>
      </c>
      <c r="XE44" s="968">
        <v>5.6535005850993052</v>
      </c>
      <c r="XF44" s="968">
        <v>7.4716687773500672</v>
      </c>
      <c r="XG44" s="968">
        <v>4.1490111753990675</v>
      </c>
      <c r="XH44" s="968">
        <v>4.9185777340356625</v>
      </c>
      <c r="XI44" s="968">
        <v>5.4177192793999636</v>
      </c>
      <c r="XJ44" s="968">
        <v>6.173871249598947</v>
      </c>
      <c r="XK44" s="968">
        <v>5.4859770091700453</v>
      </c>
      <c r="XL44" s="968">
        <v>4.3716636372478073</v>
      </c>
      <c r="XM44" s="968">
        <v>4.3892945672811612</v>
      </c>
      <c r="XN44" s="968">
        <v>6.1254729225658453</v>
      </c>
      <c r="XO44" s="968">
        <v>7.8972814712851047</v>
      </c>
      <c r="XP44" s="968">
        <v>4.6744308022628029</v>
      </c>
      <c r="XQ44" s="968">
        <v>5.9400826517264891</v>
      </c>
      <c r="XR44" s="968">
        <v>5.8270630206546707</v>
      </c>
      <c r="XS44" s="968">
        <v>7.3811543762558225</v>
      </c>
      <c r="XT44" s="968">
        <v>4.8900902810158886</v>
      </c>
      <c r="XU44" s="968">
        <v>5.5327243287156138</v>
      </c>
      <c r="XV44" s="968">
        <v>6.1757082803492995</v>
      </c>
      <c r="XW44" s="968">
        <v>7.0942669243866456</v>
      </c>
      <c r="XX44" s="968">
        <v>7.5765343780526786</v>
      </c>
      <c r="XY44" s="968">
        <v>7.4995470332592431</v>
      </c>
      <c r="XZ44" s="968">
        <v>6.0265061597020431</v>
      </c>
      <c r="YA44" s="968">
        <v>5.4128502456172614</v>
      </c>
      <c r="YB44" s="968">
        <v>7.100843184245508</v>
      </c>
      <c r="YC44" s="968">
        <v>5.3645412667396206</v>
      </c>
      <c r="YD44" s="968">
        <v>6.8487476411371002</v>
      </c>
      <c r="YE44" s="968">
        <v>5.4565145179745587</v>
      </c>
      <c r="YF44" s="968">
        <v>10.698034267511147</v>
      </c>
      <c r="YG44" s="968">
        <v>10.759245319074115</v>
      </c>
      <c r="YH44" s="968">
        <f>YH43/YH2</f>
        <v>10.157676442975395</v>
      </c>
    </row>
    <row r="45" spans="2:658" ht="15" thickTop="1">
      <c r="B45" s="917" t="s">
        <v>59</v>
      </c>
      <c r="C45" s="918">
        <v>296.55656800000003</v>
      </c>
      <c r="D45" s="130">
        <v>57.5</v>
      </c>
      <c r="E45" s="130">
        <v>113.915317</v>
      </c>
      <c r="F45" s="130">
        <v>131.26462900000001</v>
      </c>
      <c r="G45" s="130">
        <v>165.19282699999999</v>
      </c>
      <c r="H45" s="130">
        <v>42.728110999999998</v>
      </c>
      <c r="I45" s="130">
        <v>80.040464999999998</v>
      </c>
      <c r="J45" s="130">
        <v>131.27272500000001</v>
      </c>
      <c r="K45" s="130">
        <v>232.54825299999999</v>
      </c>
      <c r="L45" s="130">
        <v>279.52271400000001</v>
      </c>
      <c r="M45" s="130">
        <v>269.46699100000001</v>
      </c>
      <c r="N45" s="130">
        <v>80.587562000000005</v>
      </c>
      <c r="O45" s="130">
        <v>164.33484200000001</v>
      </c>
      <c r="P45" s="130">
        <v>183.82578000000001</v>
      </c>
      <c r="Q45" s="130">
        <v>186.949623</v>
      </c>
      <c r="R45" s="130">
        <v>248.48089999999999</v>
      </c>
      <c r="S45" s="130">
        <v>94.435789999999997</v>
      </c>
      <c r="T45" s="130">
        <v>178.50420399999999</v>
      </c>
      <c r="U45" s="130">
        <v>98.086059000000006</v>
      </c>
      <c r="V45" s="130">
        <v>207.72059400000001</v>
      </c>
      <c r="W45" s="130">
        <v>136.49818999999999</v>
      </c>
      <c r="X45" s="130">
        <v>79.526732999999993</v>
      </c>
      <c r="Y45" s="130">
        <v>189.35505800000001</v>
      </c>
      <c r="Z45" s="130">
        <v>250.754108</v>
      </c>
      <c r="AA45" s="130">
        <v>299.20628399999998</v>
      </c>
      <c r="AB45" s="130">
        <v>476.21573699999999</v>
      </c>
      <c r="AC45" s="130">
        <v>207.34311400000001</v>
      </c>
      <c r="AD45" s="130">
        <v>311.09919000000002</v>
      </c>
      <c r="AE45" s="130">
        <v>168.30001100000001</v>
      </c>
      <c r="AF45" s="130">
        <v>37.146092000000003</v>
      </c>
      <c r="AG45" s="130">
        <v>137.69220300000001</v>
      </c>
      <c r="AH45" s="130">
        <v>53.470280000000002</v>
      </c>
      <c r="AI45" s="130">
        <v>73.357097999999993</v>
      </c>
      <c r="AJ45" s="130">
        <v>229.636878</v>
      </c>
      <c r="AK45" s="130">
        <v>141.71554</v>
      </c>
      <c r="AL45" s="130">
        <v>133.05474599999999</v>
      </c>
      <c r="AM45" s="130">
        <v>190.29858999999999</v>
      </c>
      <c r="AN45" s="130">
        <v>282.89597199999997</v>
      </c>
      <c r="AO45" s="130">
        <v>317.319636</v>
      </c>
      <c r="AP45" s="130">
        <v>56.920909000000002</v>
      </c>
      <c r="AQ45" s="130">
        <v>90.340552000000002</v>
      </c>
      <c r="AR45" s="130">
        <v>114.681591</v>
      </c>
      <c r="AS45" s="130">
        <v>152.402231</v>
      </c>
      <c r="AT45" s="130">
        <v>205.02432999999999</v>
      </c>
      <c r="AU45" s="130">
        <v>258.51170100000002</v>
      </c>
      <c r="AV45" s="130">
        <v>285.38102099999998</v>
      </c>
      <c r="AW45" s="130">
        <v>184.033061</v>
      </c>
      <c r="AX45" s="130">
        <v>65.837295999999995</v>
      </c>
      <c r="AY45" s="130">
        <v>161.887438</v>
      </c>
      <c r="AZ45" s="130">
        <v>252.95798600000001</v>
      </c>
      <c r="BA45" s="130">
        <v>274.58374300000003</v>
      </c>
      <c r="BB45" s="130">
        <v>292.83529199999998</v>
      </c>
      <c r="BC45" s="130">
        <v>412.87611299999998</v>
      </c>
      <c r="BD45" s="130">
        <v>62.997765999999999</v>
      </c>
      <c r="BE45" s="130">
        <v>81.556571000000005</v>
      </c>
      <c r="BF45" s="130">
        <v>45.588788000000001</v>
      </c>
      <c r="BG45" s="130">
        <v>67.827001999999993</v>
      </c>
      <c r="BH45" s="130">
        <v>154.66774000000001</v>
      </c>
      <c r="BI45" s="130">
        <v>232.345843</v>
      </c>
      <c r="BJ45" s="130">
        <v>307.75812500000001</v>
      </c>
      <c r="BK45" s="130">
        <v>434.923744</v>
      </c>
      <c r="BL45" s="130">
        <v>121.93036600000001</v>
      </c>
      <c r="BM45" s="130">
        <v>153.31698499999999</v>
      </c>
      <c r="BN45" s="130">
        <v>563.34337900000003</v>
      </c>
      <c r="BO45" s="130">
        <v>39.479160999999998</v>
      </c>
      <c r="BP45" s="130">
        <v>62.042679999999997</v>
      </c>
      <c r="BQ45" s="130">
        <v>71.443427</v>
      </c>
      <c r="BR45" s="130">
        <v>77.3309</v>
      </c>
      <c r="BS45" s="130">
        <v>187.240861</v>
      </c>
      <c r="BT45" s="130">
        <v>2348.0957640000001</v>
      </c>
      <c r="BU45" s="130">
        <v>50.113419999999998</v>
      </c>
      <c r="BV45" s="130">
        <v>2281.2768999999998</v>
      </c>
      <c r="BW45" s="130">
        <v>49.297241</v>
      </c>
      <c r="BX45" s="130">
        <v>221.928225</v>
      </c>
      <c r="BY45" s="130">
        <v>111.034903</v>
      </c>
      <c r="BZ45" s="130">
        <v>140.40678199999999</v>
      </c>
      <c r="CA45" s="130">
        <v>198.426041</v>
      </c>
      <c r="CB45" s="130">
        <v>144.82948300000001</v>
      </c>
      <c r="CC45" s="130">
        <v>113.969261</v>
      </c>
      <c r="CD45" s="130">
        <v>155.55601999999999</v>
      </c>
      <c r="CE45" s="130">
        <v>628.757293</v>
      </c>
      <c r="CF45" s="130">
        <v>463.05956400000002</v>
      </c>
      <c r="CG45" s="130">
        <v>204.12825900000001</v>
      </c>
      <c r="CH45" s="130">
        <v>109.45100600000001</v>
      </c>
      <c r="CI45" s="130">
        <v>114.448015</v>
      </c>
      <c r="CJ45" s="130">
        <v>33.896802999999998</v>
      </c>
      <c r="CK45" s="130">
        <v>21.255237999999999</v>
      </c>
      <c r="CL45" s="130">
        <v>117.849284</v>
      </c>
      <c r="CM45" s="130">
        <v>129.70345499999999</v>
      </c>
      <c r="CN45" s="130">
        <v>316.07956300000001</v>
      </c>
      <c r="CO45" s="130">
        <v>178.537126</v>
      </c>
      <c r="CP45" s="130">
        <v>261.308874</v>
      </c>
      <c r="CQ45" s="130">
        <v>290.53599200000002</v>
      </c>
      <c r="CR45" s="130">
        <v>255.276141</v>
      </c>
      <c r="CS45" s="130">
        <v>183.27021999999999</v>
      </c>
      <c r="CT45" s="130">
        <v>85.227269000000007</v>
      </c>
      <c r="CU45" s="130">
        <v>27.927907000000001</v>
      </c>
      <c r="CV45" s="130">
        <v>101.049836</v>
      </c>
      <c r="CW45" s="130">
        <v>56.811611999999997</v>
      </c>
      <c r="CX45" s="130">
        <v>59.896299999999997</v>
      </c>
      <c r="CY45" s="130">
        <v>142.662802</v>
      </c>
      <c r="CZ45" s="130">
        <v>154.602529</v>
      </c>
      <c r="DA45" s="130">
        <v>278.26572299999998</v>
      </c>
      <c r="DB45" s="130">
        <v>92.246099999999998</v>
      </c>
      <c r="DC45" s="130">
        <v>31.693118999999999</v>
      </c>
      <c r="DD45" s="130">
        <v>491.60522099999997</v>
      </c>
      <c r="DE45" s="130">
        <v>36.995721000000003</v>
      </c>
      <c r="DF45" s="130">
        <v>127.928825</v>
      </c>
      <c r="DG45" s="130">
        <v>187.362775</v>
      </c>
      <c r="DH45" s="130">
        <v>266.77189600000003</v>
      </c>
      <c r="DI45" s="130">
        <v>190.39365100000001</v>
      </c>
      <c r="DJ45" s="130">
        <v>186.91874999999999</v>
      </c>
      <c r="DK45" s="130">
        <v>265.70528100000001</v>
      </c>
      <c r="DL45" s="130">
        <v>339.29807799999998</v>
      </c>
      <c r="DM45" s="130">
        <v>302.32960200000002</v>
      </c>
      <c r="DN45" s="130">
        <v>302.32960200000002</v>
      </c>
      <c r="DO45" s="130">
        <v>302.32960200000002</v>
      </c>
      <c r="DP45" s="130">
        <v>433.351</v>
      </c>
      <c r="DQ45" s="130">
        <v>141.48983200000001</v>
      </c>
      <c r="DR45" s="130">
        <v>260.500001</v>
      </c>
      <c r="DS45" s="130">
        <v>131.32560000000001</v>
      </c>
      <c r="DT45" s="130">
        <v>162.559012</v>
      </c>
      <c r="DU45" s="130">
        <v>178.57428999999999</v>
      </c>
      <c r="DV45" s="130">
        <v>250.968423</v>
      </c>
      <c r="DW45" s="130">
        <v>344.452766</v>
      </c>
      <c r="DX45" s="130">
        <v>322.58350200000001</v>
      </c>
      <c r="DY45" s="130">
        <v>317.68052499999999</v>
      </c>
      <c r="DZ45" s="130">
        <v>273.78379699999999</v>
      </c>
      <c r="EA45" s="130">
        <v>251.23406199999999</v>
      </c>
      <c r="EB45" s="130">
        <v>269.98772400000001</v>
      </c>
      <c r="EC45" s="130">
        <v>151.37772000000001</v>
      </c>
      <c r="ED45" s="130">
        <v>191.418645</v>
      </c>
      <c r="EE45" s="130">
        <v>92.877618999999996</v>
      </c>
      <c r="EF45" s="130">
        <v>114.45406199999999</v>
      </c>
      <c r="EG45" s="130">
        <v>200.411653</v>
      </c>
      <c r="EH45" s="130">
        <v>184.394429</v>
      </c>
      <c r="EI45" s="130">
        <v>196.96682200000001</v>
      </c>
      <c r="EJ45" s="130">
        <v>108.704621</v>
      </c>
      <c r="EK45" s="130">
        <v>163.35725600000001</v>
      </c>
      <c r="EL45" s="130">
        <v>153.372095</v>
      </c>
      <c r="EM45" s="130">
        <v>713.32894199999998</v>
      </c>
      <c r="EN45" s="130">
        <v>147.39264600000001</v>
      </c>
      <c r="EO45" s="130">
        <v>216.30153999999999</v>
      </c>
      <c r="EP45" s="130">
        <v>53.863404000000003</v>
      </c>
      <c r="EQ45" s="130">
        <v>138.383566</v>
      </c>
      <c r="ER45" s="130">
        <v>138.871601</v>
      </c>
      <c r="ES45" s="130">
        <v>317.80685999999997</v>
      </c>
      <c r="ET45" s="130">
        <v>209.73067499999999</v>
      </c>
      <c r="EU45" s="130">
        <v>264.06028800000001</v>
      </c>
      <c r="EV45" s="130">
        <v>330.26272699999998</v>
      </c>
      <c r="EW45" s="130">
        <v>110.983788</v>
      </c>
      <c r="EX45" s="130">
        <v>419.48138399999999</v>
      </c>
      <c r="EY45" s="130">
        <v>162.88524200000001</v>
      </c>
      <c r="EZ45" s="130">
        <v>171.13661999999999</v>
      </c>
      <c r="FA45" s="130">
        <v>249.47888699999999</v>
      </c>
      <c r="FB45" s="130">
        <v>258.485051</v>
      </c>
      <c r="FC45" s="130">
        <v>75.467539000000002</v>
      </c>
      <c r="FD45" s="130">
        <v>116.13346</v>
      </c>
      <c r="FE45" s="130">
        <v>156.69523899999999</v>
      </c>
      <c r="FF45" s="130">
        <v>177.75765699999999</v>
      </c>
      <c r="FG45" s="130">
        <v>234.510391</v>
      </c>
      <c r="FH45" s="130">
        <v>413.06809500000003</v>
      </c>
      <c r="FI45" s="130">
        <v>119.580297</v>
      </c>
      <c r="FJ45" s="130">
        <v>578.35932700000001</v>
      </c>
      <c r="FK45" s="130">
        <v>189.50700800000001</v>
      </c>
      <c r="FL45" s="130">
        <v>23.442356</v>
      </c>
      <c r="FM45" s="130">
        <v>237.761787</v>
      </c>
      <c r="FN45" s="130">
        <v>267.54086899999999</v>
      </c>
      <c r="FO45" s="130">
        <v>251.82208600000001</v>
      </c>
      <c r="FP45" s="130">
        <v>324.576482</v>
      </c>
      <c r="FQ45" s="130">
        <v>116.696235</v>
      </c>
      <c r="FR45" s="130">
        <v>141.237572</v>
      </c>
      <c r="FS45" s="130">
        <v>85.039490999999998</v>
      </c>
      <c r="FT45" s="130">
        <v>91.091817000000006</v>
      </c>
      <c r="FU45" s="130">
        <v>18.684106</v>
      </c>
      <c r="FV45" s="130">
        <v>5.6152730000000002</v>
      </c>
      <c r="FW45" s="130">
        <v>107.310908</v>
      </c>
      <c r="FX45" s="130">
        <v>52.317751999999999</v>
      </c>
      <c r="FY45" s="130">
        <v>23.409739999999999</v>
      </c>
      <c r="FZ45" s="130">
        <v>39.275267999999997</v>
      </c>
      <c r="GA45" s="130">
        <v>12.333284000000001</v>
      </c>
      <c r="GB45" s="130">
        <v>121.404923</v>
      </c>
      <c r="GC45" s="130">
        <v>121.404923</v>
      </c>
      <c r="GD45" s="130">
        <v>291.79855300000003</v>
      </c>
      <c r="GE45" s="130">
        <v>244.772121</v>
      </c>
      <c r="GF45" s="130">
        <v>205.644159</v>
      </c>
      <c r="GG45" s="130">
        <v>923.35351800000001</v>
      </c>
      <c r="GH45" s="130">
        <v>1066.5729940000001</v>
      </c>
      <c r="GI45" s="130">
        <v>566.34848899999997</v>
      </c>
      <c r="GJ45" s="130">
        <v>218.91590400000001</v>
      </c>
      <c r="GK45" s="130">
        <v>87.884696000000005</v>
      </c>
      <c r="GL45" s="130">
        <f>68153834/10^6</f>
        <v>68.153834000000003</v>
      </c>
      <c r="GM45" s="130">
        <v>43.793398000000003</v>
      </c>
      <c r="GN45" s="130">
        <v>253.309944</v>
      </c>
      <c r="GO45" s="130">
        <v>215.58558500000001</v>
      </c>
      <c r="GP45" s="130">
        <v>108.769937</v>
      </c>
      <c r="GQ45" s="130">
        <v>43.885717999999997</v>
      </c>
      <c r="GR45" s="130">
        <v>167.74894699999999</v>
      </c>
      <c r="GS45" s="130">
        <v>479.28642600000001</v>
      </c>
      <c r="GT45" s="130">
        <v>238.251836</v>
      </c>
      <c r="GU45" s="130">
        <v>340.96335699999997</v>
      </c>
      <c r="GV45" s="130">
        <v>57.937083000000001</v>
      </c>
      <c r="GW45" s="130">
        <v>199.126521</v>
      </c>
      <c r="GX45" s="130">
        <v>151.090474</v>
      </c>
      <c r="GY45" s="130">
        <v>259.38624800000002</v>
      </c>
      <c r="GZ45" s="130">
        <v>146.60693499999999</v>
      </c>
      <c r="HA45" s="130">
        <v>184.76683399999999</v>
      </c>
      <c r="HB45" s="130">
        <v>235.76156</v>
      </c>
      <c r="HC45" s="130">
        <v>222.443793</v>
      </c>
      <c r="HD45" s="130">
        <v>630.12031999999999</v>
      </c>
      <c r="HE45" s="130">
        <v>557.87228400000004</v>
      </c>
      <c r="HF45" s="130">
        <v>341.521164</v>
      </c>
      <c r="HG45" s="130">
        <v>1288.8315709999999</v>
      </c>
      <c r="HH45" s="130">
        <v>163.197506</v>
      </c>
      <c r="HI45" s="130">
        <v>248.528132</v>
      </c>
      <c r="HJ45" s="130">
        <v>218.27046300000001</v>
      </c>
      <c r="HK45" s="130">
        <v>214.108249</v>
      </c>
      <c r="HL45" s="130">
        <v>118.92717399999999</v>
      </c>
      <c r="HM45" s="130">
        <v>131.73124100000001</v>
      </c>
      <c r="HN45" s="130">
        <v>107.582954</v>
      </c>
      <c r="HO45" s="130">
        <v>273.32343100000003</v>
      </c>
      <c r="HP45" s="130">
        <v>365.03081300000002</v>
      </c>
      <c r="HQ45" s="950">
        <v>106.45637499999999</v>
      </c>
      <c r="HR45" s="950">
        <v>32.893594999999998</v>
      </c>
      <c r="HS45" s="950">
        <v>82.486169000000004</v>
      </c>
      <c r="HT45" s="950">
        <v>72.262420000000006</v>
      </c>
      <c r="HU45" s="950">
        <v>37.758544999999998</v>
      </c>
      <c r="HV45" s="950">
        <v>313.20221600000002</v>
      </c>
      <c r="HW45" s="950">
        <v>255.32441800000001</v>
      </c>
      <c r="HX45" s="950">
        <v>252.60570200000001</v>
      </c>
      <c r="HY45" s="950">
        <v>23.332798</v>
      </c>
      <c r="HZ45" s="950">
        <v>54.460603999999996</v>
      </c>
      <c r="IA45" s="950">
        <v>115.35914200000001</v>
      </c>
      <c r="IB45" s="950">
        <v>33.836458999999998</v>
      </c>
      <c r="IC45" s="950">
        <v>33.836459623652999</v>
      </c>
      <c r="ID45" s="950">
        <v>27.737452999999999</v>
      </c>
      <c r="IE45" s="950">
        <v>164.15737999999999</v>
      </c>
      <c r="IF45" s="950">
        <v>45.674971999999997</v>
      </c>
      <c r="IG45" s="950">
        <v>29.601479999999999</v>
      </c>
      <c r="IH45" s="950">
        <v>11.572341</v>
      </c>
      <c r="II45" s="950">
        <v>24.591419999999999</v>
      </c>
      <c r="IJ45" s="950">
        <v>73.600346000000002</v>
      </c>
      <c r="IK45" s="950">
        <v>644.33618000000001</v>
      </c>
      <c r="IL45" s="950">
        <v>18.546149</v>
      </c>
      <c r="IM45" s="950">
        <v>131.09795600000001</v>
      </c>
      <c r="IN45" s="130">
        <v>152.477812</v>
      </c>
      <c r="IO45" s="130">
        <v>143.35046600000001</v>
      </c>
      <c r="IP45" s="130">
        <v>378.485435</v>
      </c>
      <c r="IQ45" s="130">
        <v>182.82146800000001</v>
      </c>
      <c r="IR45" s="130">
        <v>137.335688</v>
      </c>
      <c r="IS45" s="130">
        <v>194.27503300000001</v>
      </c>
      <c r="IT45" s="130">
        <v>127.23701200000001</v>
      </c>
      <c r="IU45" s="130">
        <v>272.63434899999999</v>
      </c>
      <c r="IV45" s="130">
        <v>206.45383000000001</v>
      </c>
      <c r="IW45" s="130">
        <v>143.20241899999999</v>
      </c>
      <c r="IX45" s="130">
        <v>122.81549099999999</v>
      </c>
      <c r="IY45" s="130">
        <v>57.163933</v>
      </c>
      <c r="IZ45" s="130">
        <v>23.801997</v>
      </c>
      <c r="JA45" s="130">
        <v>465.31840799999998</v>
      </c>
      <c r="JB45" s="130">
        <v>353.03792600000003</v>
      </c>
      <c r="JC45" s="130">
        <v>285.56558200000001</v>
      </c>
      <c r="JD45" s="130">
        <v>324.39601399999998</v>
      </c>
      <c r="JE45" s="130">
        <v>168.861672</v>
      </c>
      <c r="JF45" s="130">
        <v>339.44752099999999</v>
      </c>
      <c r="JG45" s="130">
        <v>352.728272</v>
      </c>
      <c r="JH45" s="130">
        <v>326.83578399999999</v>
      </c>
      <c r="JI45" s="130">
        <v>140.13161199999999</v>
      </c>
      <c r="JJ45" s="130">
        <v>177.04455200000001</v>
      </c>
      <c r="JK45" s="130">
        <v>266.50315999999998</v>
      </c>
      <c r="JL45" s="130">
        <v>266.50315999999998</v>
      </c>
      <c r="JM45" s="130">
        <v>412.46498200000002</v>
      </c>
      <c r="JN45" s="130">
        <v>809.95440699999995</v>
      </c>
      <c r="JO45" s="130">
        <v>1519.2932149999999</v>
      </c>
      <c r="JP45" s="130">
        <v>1741.2528319999999</v>
      </c>
      <c r="JQ45" s="130">
        <v>806.60312399999998</v>
      </c>
      <c r="JR45" s="130">
        <v>161.69279700000001</v>
      </c>
      <c r="JS45" s="130">
        <v>278.93466000000001</v>
      </c>
      <c r="JT45" s="130">
        <v>325.99683800000003</v>
      </c>
      <c r="JU45" s="130">
        <v>244.50932599999999</v>
      </c>
      <c r="JV45" s="130">
        <v>470.71401600000002</v>
      </c>
      <c r="JW45" s="130">
        <v>494.02481699999998</v>
      </c>
      <c r="JX45" s="130">
        <v>365.42540500000001</v>
      </c>
      <c r="JY45" s="130">
        <v>158.891211</v>
      </c>
      <c r="JZ45" s="130">
        <v>406.28182299999997</v>
      </c>
      <c r="KA45" s="130">
        <v>212.01265799999999</v>
      </c>
      <c r="KB45" s="130">
        <v>377.25034299999999</v>
      </c>
      <c r="KC45" s="130">
        <v>458.83966600000002</v>
      </c>
      <c r="KD45" s="130">
        <v>411.85028599999998</v>
      </c>
      <c r="KE45" s="130">
        <v>441.77272499999998</v>
      </c>
      <c r="KF45" s="130">
        <v>508.21482500000002</v>
      </c>
      <c r="KG45" s="130">
        <v>93.452703</v>
      </c>
      <c r="KH45" s="130">
        <v>275.48867899999999</v>
      </c>
      <c r="KI45" s="130">
        <v>152.365206</v>
      </c>
      <c r="KJ45" s="130">
        <v>185.67557400000001</v>
      </c>
      <c r="KK45" s="130">
        <v>223.73033899999999</v>
      </c>
      <c r="KL45" s="130">
        <v>312.55905000000001</v>
      </c>
      <c r="KM45" s="130">
        <v>184.501104</v>
      </c>
      <c r="KN45" s="130">
        <v>204.65920299999999</v>
      </c>
      <c r="KO45" s="130">
        <v>79.192283000000003</v>
      </c>
      <c r="KP45" s="130">
        <v>881.69776200000001</v>
      </c>
      <c r="KQ45" s="130">
        <v>302.534201</v>
      </c>
      <c r="KR45" s="130">
        <v>415.53438699999998</v>
      </c>
      <c r="KS45" s="130">
        <v>441.49409600000001</v>
      </c>
      <c r="KT45" s="130">
        <v>104.813987</v>
      </c>
      <c r="KU45" s="130">
        <v>429.11679800000002</v>
      </c>
      <c r="KV45" s="130">
        <v>254.38815771</v>
      </c>
      <c r="KW45" s="130">
        <v>363.15812</v>
      </c>
      <c r="KX45" s="130">
        <v>111.22851199999999</v>
      </c>
      <c r="KY45" s="130">
        <v>951.84489399999995</v>
      </c>
      <c r="KZ45" s="130">
        <v>991.85192500000005</v>
      </c>
      <c r="LA45" s="130">
        <v>296.05600700000002</v>
      </c>
      <c r="LB45" s="130">
        <v>682.95963700000004</v>
      </c>
      <c r="LC45" s="130">
        <v>777.68042700000001</v>
      </c>
      <c r="LD45" s="130">
        <v>1845.7242000000001</v>
      </c>
      <c r="LE45" s="130">
        <v>1655.630602</v>
      </c>
      <c r="LF45" s="969">
        <v>849.34880699999997</v>
      </c>
      <c r="LG45" s="969">
        <v>286.81078200000002</v>
      </c>
      <c r="LH45" s="969">
        <v>588.17117399999995</v>
      </c>
      <c r="LI45" s="969">
        <v>735.44523800000002</v>
      </c>
      <c r="LJ45" s="969">
        <v>275.94892800000002</v>
      </c>
      <c r="LK45" s="969">
        <v>1159.7506539999999</v>
      </c>
      <c r="LL45" s="969">
        <v>312.13272999999998</v>
      </c>
      <c r="LM45" s="969">
        <v>365.49517800000001</v>
      </c>
      <c r="LN45" s="969">
        <v>373.110322</v>
      </c>
      <c r="LO45" s="969">
        <v>147.32952499999999</v>
      </c>
      <c r="LP45" s="969">
        <v>47.328360000000004</v>
      </c>
      <c r="LQ45" s="969">
        <v>227.16949299999999</v>
      </c>
      <c r="LR45" s="969">
        <v>839.71377199999995</v>
      </c>
      <c r="LS45" s="969">
        <v>1000.408125</v>
      </c>
      <c r="LT45" s="969">
        <v>1347.025247</v>
      </c>
      <c r="LU45" s="969">
        <v>1167.58662</v>
      </c>
      <c r="LV45" s="969">
        <v>497.56153699999999</v>
      </c>
      <c r="LW45" s="969">
        <v>24.138877999999998</v>
      </c>
      <c r="LX45" s="969">
        <v>28.124262000000002</v>
      </c>
      <c r="LY45" s="969">
        <v>574.24603200000001</v>
      </c>
      <c r="LZ45" s="969">
        <v>205.24137200000001</v>
      </c>
      <c r="MA45" s="969">
        <v>622.98142199999995</v>
      </c>
      <c r="MB45" s="969">
        <v>87.224734999999995</v>
      </c>
      <c r="MC45" s="969">
        <v>444.62793900000003</v>
      </c>
      <c r="MD45" s="969">
        <v>50.707616000000002</v>
      </c>
      <c r="ME45" s="969">
        <v>286.79066999999998</v>
      </c>
      <c r="MF45" s="969">
        <v>218.94224600000001</v>
      </c>
      <c r="MG45" s="969">
        <v>248.248052</v>
      </c>
      <c r="MH45" s="969">
        <v>495.34095100000002</v>
      </c>
      <c r="MI45" s="969">
        <v>513.97723900000005</v>
      </c>
      <c r="MJ45" s="969">
        <v>451.44305600000001</v>
      </c>
      <c r="MK45" s="969">
        <v>151.820198</v>
      </c>
      <c r="ML45" s="969">
        <v>390.248041</v>
      </c>
      <c r="MM45" s="969">
        <v>397.513463</v>
      </c>
      <c r="MN45" s="969">
        <v>324.91449640000002</v>
      </c>
      <c r="MO45" s="969">
        <v>101.92509</v>
      </c>
      <c r="MP45" s="969">
        <v>106.839561</v>
      </c>
      <c r="MQ45" s="969">
        <v>139.51396700000001</v>
      </c>
      <c r="MR45" s="969">
        <v>114.43213299999999</v>
      </c>
      <c r="MS45" s="969">
        <v>182.40508600000001</v>
      </c>
      <c r="MT45" s="969">
        <v>565.65350899999999</v>
      </c>
      <c r="MU45" s="969">
        <v>374.28303</v>
      </c>
      <c r="MV45" s="969">
        <v>371.46427999999997</v>
      </c>
      <c r="MW45" s="969">
        <v>497.16447499999998</v>
      </c>
      <c r="MX45" s="969">
        <v>369.929483</v>
      </c>
      <c r="MY45" s="969">
        <v>455.23136899999997</v>
      </c>
      <c r="MZ45" s="969">
        <v>307.12799799999999</v>
      </c>
      <c r="NA45" s="969">
        <v>253.693499</v>
      </c>
      <c r="NB45" s="969">
        <v>607.92708200000004</v>
      </c>
      <c r="NC45" s="969">
        <v>299.32732800000002</v>
      </c>
      <c r="ND45" s="969">
        <v>171.605998</v>
      </c>
      <c r="NE45" s="969">
        <v>541.729739</v>
      </c>
      <c r="NF45" s="969">
        <v>654.64605200000005</v>
      </c>
      <c r="NG45" s="969">
        <v>421.93032199999999</v>
      </c>
      <c r="NH45" s="969">
        <v>460.00218000000001</v>
      </c>
      <c r="NI45" s="969">
        <v>566.61497799999995</v>
      </c>
      <c r="NJ45" s="969">
        <v>755.69674499999996</v>
      </c>
      <c r="NK45" s="969">
        <v>567.77031599999998</v>
      </c>
      <c r="NL45" s="969">
        <v>357.37862000000001</v>
      </c>
      <c r="NM45" s="969">
        <v>837.75683100000003</v>
      </c>
      <c r="NN45" s="969">
        <v>574.95252100000005</v>
      </c>
      <c r="NO45" s="969">
        <v>562.57414700000004</v>
      </c>
      <c r="NP45" s="969">
        <v>254.260783</v>
      </c>
      <c r="NQ45" s="969">
        <v>254.26142400000001</v>
      </c>
      <c r="NR45" s="969">
        <v>304.52538700000002</v>
      </c>
      <c r="NS45" s="969">
        <v>408.31797899999998</v>
      </c>
      <c r="NT45" s="969">
        <v>602.33006</v>
      </c>
      <c r="NU45" s="969">
        <v>1054.185534</v>
      </c>
      <c r="NV45" s="969">
        <v>416.60988500000002</v>
      </c>
      <c r="NW45" s="969">
        <v>843.383871</v>
      </c>
      <c r="NX45" s="969">
        <v>382.11534999999998</v>
      </c>
      <c r="NY45" s="969">
        <v>494.12822299999999</v>
      </c>
      <c r="NZ45" s="969">
        <v>521.127207</v>
      </c>
      <c r="OA45" s="969">
        <v>354.20260500000001</v>
      </c>
      <c r="OB45" s="969">
        <v>735.79859199999999</v>
      </c>
      <c r="OC45" s="969">
        <v>646.97979499999997</v>
      </c>
      <c r="OD45" s="969">
        <v>891.34484699999996</v>
      </c>
      <c r="OE45" s="969">
        <v>1039.424514</v>
      </c>
      <c r="OF45" s="969">
        <v>1071.4960120000001</v>
      </c>
      <c r="OG45" s="969">
        <v>691.37640099999999</v>
      </c>
      <c r="OH45" s="969">
        <v>89.848434999999995</v>
      </c>
      <c r="OI45" s="969">
        <v>527.62943499999994</v>
      </c>
      <c r="OJ45" s="969">
        <v>578.82144200000005</v>
      </c>
      <c r="OK45" s="969">
        <v>660.63921600000003</v>
      </c>
      <c r="OL45" s="969">
        <v>469.34680800000001</v>
      </c>
      <c r="OM45" s="969">
        <v>546.00320099999999</v>
      </c>
      <c r="ON45" s="969">
        <v>784.45875000000001</v>
      </c>
      <c r="OO45" s="969">
        <v>802.44340999999997</v>
      </c>
      <c r="OP45" s="969">
        <v>333.234915</v>
      </c>
      <c r="OQ45" s="969">
        <v>328.32136300000002</v>
      </c>
      <c r="OR45" s="969">
        <v>792.09357899999998</v>
      </c>
      <c r="OS45" s="969">
        <v>153.487101</v>
      </c>
      <c r="OT45" s="969">
        <v>1568.4230709999999</v>
      </c>
      <c r="OU45" s="969">
        <v>689.71852899999999</v>
      </c>
      <c r="OV45" s="969">
        <v>1229.9895309999999</v>
      </c>
      <c r="OW45" s="969">
        <v>1139.162906</v>
      </c>
      <c r="OX45" s="969">
        <v>743.64534200000003</v>
      </c>
      <c r="OY45" s="969">
        <v>826.17887099999996</v>
      </c>
      <c r="OZ45" s="969">
        <v>1069.1088830000001</v>
      </c>
      <c r="PA45" s="969">
        <v>740.47913200000005</v>
      </c>
      <c r="PB45" s="969">
        <v>291.29235799999998</v>
      </c>
      <c r="PC45" s="969">
        <v>331.23620499999998</v>
      </c>
      <c r="PD45" s="969">
        <v>763.13059899999996</v>
      </c>
      <c r="PE45" s="969">
        <v>788.91162099999997</v>
      </c>
      <c r="PF45" s="969">
        <v>772.10927000000004</v>
      </c>
      <c r="PG45" s="969">
        <v>317.54986200000002</v>
      </c>
      <c r="PH45" s="969">
        <v>993.44516499999997</v>
      </c>
      <c r="PI45" s="969">
        <v>1092.741368</v>
      </c>
      <c r="PJ45" s="969">
        <v>1516.988423</v>
      </c>
      <c r="PK45" s="969">
        <v>911.80839000000003</v>
      </c>
      <c r="PL45" s="969">
        <v>327.30642699999999</v>
      </c>
      <c r="PM45" s="969">
        <v>223.31066300000001</v>
      </c>
      <c r="PN45" s="969">
        <v>699.23557300000004</v>
      </c>
      <c r="PO45" s="969">
        <v>1149.827722</v>
      </c>
      <c r="PP45" s="969">
        <v>1253.5150269999999</v>
      </c>
      <c r="PQ45" s="969">
        <v>872.134142</v>
      </c>
      <c r="PR45" s="969">
        <v>920.68585700000006</v>
      </c>
      <c r="PS45" s="969">
        <v>942.62841600000002</v>
      </c>
      <c r="PT45" s="969">
        <v>1027.7278040000001</v>
      </c>
      <c r="PU45" s="969">
        <v>717.95427400000005</v>
      </c>
      <c r="PV45" s="969">
        <v>335.26975800000002</v>
      </c>
      <c r="PW45" s="969">
        <v>382.12709599999999</v>
      </c>
      <c r="PX45" s="969">
        <v>823.34805900000003</v>
      </c>
      <c r="PY45" s="969">
        <v>260.28877899999998</v>
      </c>
      <c r="PZ45" s="969">
        <v>20.487576000000001</v>
      </c>
      <c r="QA45" s="969">
        <v>25.852277000000001</v>
      </c>
      <c r="QB45" s="969">
        <v>127.817393</v>
      </c>
      <c r="QC45" s="969">
        <v>289.94016599999998</v>
      </c>
      <c r="QD45" s="969">
        <v>209.482381</v>
      </c>
      <c r="QE45" s="969">
        <v>110.491286</v>
      </c>
      <c r="QF45" s="969">
        <v>459.570448</v>
      </c>
      <c r="QG45" s="969">
        <v>342.29877099999999</v>
      </c>
      <c r="QH45" s="969">
        <v>189.004077</v>
      </c>
      <c r="QI45" s="969">
        <v>870.87212499999998</v>
      </c>
      <c r="QJ45" s="969">
        <v>576.518686</v>
      </c>
      <c r="QK45" s="969">
        <v>945.76865699999996</v>
      </c>
      <c r="QL45" s="969">
        <v>85.170520999999994</v>
      </c>
      <c r="QM45" s="969">
        <v>18.729657</v>
      </c>
      <c r="QN45" s="969">
        <v>76.980451000000002</v>
      </c>
      <c r="QO45" s="969">
        <v>692.32006799999999</v>
      </c>
      <c r="QP45" s="969">
        <v>195.47673399999999</v>
      </c>
      <c r="QQ45" s="969">
        <v>224.011571</v>
      </c>
      <c r="QR45" s="969">
        <v>357.27991100000003</v>
      </c>
      <c r="QS45" s="969">
        <v>400.47415799999999</v>
      </c>
      <c r="QT45" s="969">
        <v>367.521233</v>
      </c>
      <c r="QU45" s="969">
        <v>187.69272900000001</v>
      </c>
      <c r="QV45" s="969">
        <v>330.19277799999998</v>
      </c>
      <c r="QW45" s="969">
        <v>272.09976399999999</v>
      </c>
      <c r="QX45" s="969">
        <v>300.339628</v>
      </c>
      <c r="QY45" s="969">
        <v>334.286878</v>
      </c>
      <c r="QZ45" s="969">
        <v>432.94254799999999</v>
      </c>
      <c r="RA45" s="969">
        <v>469.19846699999999</v>
      </c>
      <c r="RB45" s="969">
        <v>358.17251700000003</v>
      </c>
      <c r="RC45" s="969">
        <v>432.02369399999998</v>
      </c>
      <c r="RD45" s="969">
        <v>656.02198699999997</v>
      </c>
      <c r="RE45" s="969">
        <v>592.42777599999999</v>
      </c>
      <c r="RF45" s="969">
        <v>387.472419</v>
      </c>
      <c r="RG45" s="969">
        <v>234.47959700000001</v>
      </c>
      <c r="RH45" s="969">
        <v>254.526816</v>
      </c>
      <c r="RI45" s="969">
        <v>254.526816</v>
      </c>
      <c r="RJ45" s="969">
        <v>152.98213000000001</v>
      </c>
      <c r="RK45" s="969">
        <v>231.31943200000001</v>
      </c>
      <c r="RL45" s="969">
        <v>166.759602</v>
      </c>
      <c r="RM45" s="969">
        <v>166.759602</v>
      </c>
      <c r="RN45" s="969">
        <v>154.41130699999999</v>
      </c>
      <c r="RO45" s="969">
        <v>175.11532</v>
      </c>
      <c r="RP45" s="969">
        <v>259.53460200000001</v>
      </c>
      <c r="RQ45" s="969">
        <v>163.785098</v>
      </c>
      <c r="RR45" s="969">
        <v>210.524325</v>
      </c>
      <c r="RS45" s="969">
        <v>2557.8983119999998</v>
      </c>
      <c r="RT45" s="969">
        <v>3017.361461</v>
      </c>
      <c r="RU45" s="969">
        <v>2064.082273</v>
      </c>
      <c r="RV45" s="969">
        <v>2104.0609690000001</v>
      </c>
      <c r="RW45" s="969">
        <v>508.97831400000001</v>
      </c>
      <c r="RX45" s="969">
        <v>771.04054399999995</v>
      </c>
      <c r="RY45" s="969">
        <v>844.10998900000004</v>
      </c>
      <c r="RZ45" s="969">
        <v>449.646884</v>
      </c>
      <c r="SA45" s="969">
        <v>1036.7081800000001</v>
      </c>
      <c r="SB45" s="969">
        <v>343.93651499999999</v>
      </c>
      <c r="SC45" s="969">
        <v>431.2611</v>
      </c>
      <c r="SD45" s="969">
        <v>572.06618400000002</v>
      </c>
      <c r="SE45" s="969">
        <v>474.89398999999997</v>
      </c>
      <c r="SF45" s="969">
        <v>1111.383221</v>
      </c>
      <c r="SG45" s="969">
        <v>743.73977400000001</v>
      </c>
      <c r="SH45" s="969">
        <v>246.508374</v>
      </c>
      <c r="SI45" s="969">
        <v>346.957134</v>
      </c>
      <c r="SJ45" s="969">
        <v>424.53479399999998</v>
      </c>
      <c r="SK45" s="969">
        <v>507.70191699999998</v>
      </c>
      <c r="SL45" s="969">
        <v>500.37048800000002</v>
      </c>
      <c r="SM45" s="969">
        <v>301.58804800000001</v>
      </c>
      <c r="SN45" s="969">
        <v>363.47639500000002</v>
      </c>
      <c r="SO45" s="969">
        <v>472.933761</v>
      </c>
      <c r="SP45" s="969">
        <v>234.699881</v>
      </c>
      <c r="SQ45" s="969">
        <v>192.92513199999999</v>
      </c>
      <c r="SR45" s="969">
        <v>299.55914999999999</v>
      </c>
      <c r="SS45" s="969">
        <v>279.65929499999999</v>
      </c>
      <c r="ST45" s="969">
        <v>302.82027199999999</v>
      </c>
      <c r="SU45" s="969">
        <v>362.82556299999999</v>
      </c>
      <c r="SV45" s="969">
        <v>104.25731</v>
      </c>
      <c r="SW45" s="969">
        <v>116.474943</v>
      </c>
      <c r="SX45" s="969">
        <v>292.25070399999998</v>
      </c>
      <c r="SY45" s="969">
        <v>174.690911</v>
      </c>
      <c r="SZ45" s="969">
        <v>256.25384400000002</v>
      </c>
      <c r="TA45" s="969">
        <v>402.63620800000001</v>
      </c>
      <c r="TB45" s="969">
        <v>409.40078999999997</v>
      </c>
      <c r="TC45" s="969">
        <v>423.55608999999998</v>
      </c>
      <c r="TD45" s="969">
        <v>616.78322100000003</v>
      </c>
      <c r="TE45" s="969">
        <v>626.95421199999998</v>
      </c>
      <c r="TF45" s="969">
        <v>368.61409300000003</v>
      </c>
      <c r="TG45" s="969">
        <v>267.23267600000003</v>
      </c>
      <c r="TH45" s="969">
        <v>216.78208900000001</v>
      </c>
      <c r="TI45" s="969">
        <v>430.480233</v>
      </c>
      <c r="TJ45" s="969">
        <v>127.470376</v>
      </c>
      <c r="TK45" s="969">
        <v>131.49856500000001</v>
      </c>
      <c r="TL45" s="969">
        <v>539.69621700000005</v>
      </c>
      <c r="TM45" s="969">
        <v>792.62522100000001</v>
      </c>
      <c r="TN45" s="969">
        <v>332.89237900000001</v>
      </c>
      <c r="TO45" s="969">
        <v>448.14079299999997</v>
      </c>
      <c r="TP45" s="969">
        <v>795.96331299999997</v>
      </c>
      <c r="TQ45" s="969">
        <v>161.59621298999997</v>
      </c>
      <c r="TR45" s="969">
        <v>259.15640200000001</v>
      </c>
      <c r="TS45" s="969">
        <v>78.044398999999999</v>
      </c>
      <c r="TT45" s="969">
        <v>417.26182999999997</v>
      </c>
      <c r="TU45" s="969">
        <v>397.280193</v>
      </c>
      <c r="TV45" s="969">
        <v>656.14594199999999</v>
      </c>
      <c r="TW45" s="969">
        <v>467.53651200000002</v>
      </c>
      <c r="TX45" s="969">
        <v>244.43908200000001</v>
      </c>
      <c r="TY45" s="969">
        <v>117.048866</v>
      </c>
      <c r="TZ45" s="969">
        <v>117.048866</v>
      </c>
      <c r="UA45" s="969">
        <f>380488710/1000000</f>
        <v>380.48871000000003</v>
      </c>
      <c r="UB45" s="969">
        <f>334078371/1000000</f>
        <v>334.078371</v>
      </c>
      <c r="UC45" s="969">
        <f>102385096/1000000</f>
        <v>102.385096</v>
      </c>
      <c r="UD45" s="969">
        <f>453647180/1000000</f>
        <v>453.64717999999999</v>
      </c>
      <c r="UE45" s="969">
        <f>492012221/1000000</f>
        <v>492.01222100000001</v>
      </c>
      <c r="UF45" s="969">
        <v>59.827053999999997</v>
      </c>
      <c r="UG45" s="969">
        <v>682.87230899999997</v>
      </c>
      <c r="UH45" s="969">
        <v>699.17330700000002</v>
      </c>
      <c r="UI45" s="969">
        <v>121.585201</v>
      </c>
      <c r="UJ45" s="969">
        <v>372.58718099999999</v>
      </c>
      <c r="UK45" s="969">
        <v>424.27770900000002</v>
      </c>
      <c r="UL45" s="969">
        <v>646.31490599999995</v>
      </c>
      <c r="UM45" s="969">
        <v>325.27070200000003</v>
      </c>
      <c r="UN45" s="969">
        <v>417.81620299999997</v>
      </c>
      <c r="UO45" s="969">
        <v>264.41708299999999</v>
      </c>
      <c r="UP45" s="969">
        <v>204.70357200000001</v>
      </c>
      <c r="UQ45" s="969">
        <v>96.368420999999998</v>
      </c>
      <c r="UR45" s="969">
        <v>188.31182200000001</v>
      </c>
      <c r="US45" s="969">
        <v>91.741784999999993</v>
      </c>
      <c r="UT45" s="969">
        <v>202.269059</v>
      </c>
      <c r="UU45" s="969">
        <v>265.30584399999998</v>
      </c>
      <c r="UV45" s="969">
        <v>236.94040000000001</v>
      </c>
      <c r="UW45" s="969">
        <v>252.88558499999999</v>
      </c>
      <c r="UX45" s="969">
        <v>194.17655400000001</v>
      </c>
      <c r="UY45" s="969">
        <v>287.194413</v>
      </c>
      <c r="UZ45" s="969">
        <v>41.637163999999999</v>
      </c>
      <c r="VA45" s="969">
        <v>56.605459000000003</v>
      </c>
      <c r="VB45" s="969">
        <v>315.37661100000003</v>
      </c>
      <c r="VC45" s="969">
        <v>336.88905399999999</v>
      </c>
      <c r="VD45" s="969">
        <v>340.44693899999999</v>
      </c>
      <c r="VE45" s="969">
        <v>541.67674099999999</v>
      </c>
      <c r="VF45" s="969">
        <v>367.010516</v>
      </c>
      <c r="VG45" s="969">
        <v>257.48822799999999</v>
      </c>
      <c r="VH45" s="969">
        <v>285.79259300000001</v>
      </c>
      <c r="VI45" s="969">
        <v>706.53393400000004</v>
      </c>
      <c r="VJ45" s="969">
        <v>1003.41144</v>
      </c>
      <c r="VK45" s="969">
        <v>697.14243499999998</v>
      </c>
      <c r="VL45" s="969">
        <v>225.12420599999999</v>
      </c>
      <c r="VM45" s="969">
        <v>1125.144779</v>
      </c>
      <c r="VN45" s="969">
        <v>1189.129619</v>
      </c>
      <c r="VO45" s="969">
        <v>391.57644399999998</v>
      </c>
      <c r="VP45" s="969">
        <v>436.08852400000001</v>
      </c>
      <c r="VQ45" s="969">
        <v>408.551267</v>
      </c>
      <c r="VR45" s="969">
        <v>147.63363899999999</v>
      </c>
      <c r="VS45" s="969">
        <v>127.478027</v>
      </c>
      <c r="VT45" s="969">
        <v>313.907892</v>
      </c>
      <c r="VU45" s="969">
        <v>326.67757599999999</v>
      </c>
      <c r="VV45" s="969">
        <v>104.919439</v>
      </c>
      <c r="VW45" s="969">
        <v>94.111276000000004</v>
      </c>
      <c r="VX45" s="969">
        <v>542.32782599999996</v>
      </c>
      <c r="VY45" s="969">
        <v>280.54888899999997</v>
      </c>
      <c r="VZ45" s="969">
        <v>264.86116921000001</v>
      </c>
      <c r="WA45" s="969">
        <v>450.23747700000001</v>
      </c>
      <c r="WB45" s="969">
        <v>133.83815200000001</v>
      </c>
      <c r="WC45" s="969">
        <v>238.851968</v>
      </c>
      <c r="WD45" s="969">
        <v>418.87156299999998</v>
      </c>
      <c r="WE45" s="969">
        <v>294.21088228000002</v>
      </c>
      <c r="WF45" s="969">
        <v>293.01883099999998</v>
      </c>
      <c r="WG45" s="969">
        <v>227.86918600000001</v>
      </c>
      <c r="WH45" s="969">
        <v>133.38426999999999</v>
      </c>
      <c r="WI45" s="969">
        <v>249.568825</v>
      </c>
      <c r="WJ45" s="969">
        <v>691.90118900000004</v>
      </c>
      <c r="WK45" s="969">
        <v>625.00354600000003</v>
      </c>
      <c r="WL45" s="969">
        <v>508.13034099999999</v>
      </c>
      <c r="WM45" s="969">
        <v>295.89167400000002</v>
      </c>
      <c r="WN45" s="969">
        <v>508.84107299999999</v>
      </c>
      <c r="WO45" s="969">
        <v>505.44723399999998</v>
      </c>
      <c r="WP45" s="969">
        <v>506.17248999999998</v>
      </c>
      <c r="WQ45" s="969">
        <v>987.49048700000003</v>
      </c>
      <c r="WR45" s="969">
        <v>732.90536799999995</v>
      </c>
      <c r="WS45" s="969">
        <v>469.59443199999998</v>
      </c>
      <c r="WT45" s="969">
        <v>565.86716899999999</v>
      </c>
      <c r="WU45" s="969">
        <v>503.525059</v>
      </c>
      <c r="WV45" s="969">
        <v>430.86854599999998</v>
      </c>
      <c r="WW45" s="969">
        <v>459.44776999999999</v>
      </c>
      <c r="WX45" s="969">
        <v>438.05361526000002</v>
      </c>
      <c r="WY45" s="969">
        <v>425.22601400000002</v>
      </c>
      <c r="WZ45" s="969">
        <v>392.414534</v>
      </c>
      <c r="XA45" s="969">
        <v>397.52936999999997</v>
      </c>
      <c r="XB45" s="969">
        <v>818.45130400000005</v>
      </c>
      <c r="XC45" s="969">
        <v>214.857775</v>
      </c>
      <c r="XD45" s="969">
        <v>383.542734</v>
      </c>
      <c r="XE45" s="969">
        <v>323.728362</v>
      </c>
      <c r="XF45" s="969">
        <v>397.39166299999999</v>
      </c>
      <c r="XG45" s="969">
        <v>408.57670200000001</v>
      </c>
      <c r="XH45" s="969">
        <v>592.39777600000002</v>
      </c>
      <c r="XI45" s="969">
        <v>566.90415599999994</v>
      </c>
      <c r="XJ45" s="969">
        <v>1195.764201</v>
      </c>
      <c r="XK45" s="969">
        <v>297.28358500000002</v>
      </c>
      <c r="XL45" s="969">
        <v>433.09358300000002</v>
      </c>
      <c r="XM45" s="969">
        <v>838.40965000000006</v>
      </c>
      <c r="XN45" s="969">
        <v>303.21549499999998</v>
      </c>
      <c r="XO45" s="969">
        <v>303.33377000000002</v>
      </c>
      <c r="XP45" s="969">
        <v>1182.72767</v>
      </c>
      <c r="XQ45" s="969">
        <v>1838.346755</v>
      </c>
      <c r="XR45" s="969">
        <v>2234.3094249999999</v>
      </c>
      <c r="XS45" s="969">
        <v>2246.989971</v>
      </c>
      <c r="XT45" s="969">
        <v>569.41872699999999</v>
      </c>
      <c r="XU45" s="969">
        <v>672.37431100000003</v>
      </c>
      <c r="XV45" s="969">
        <v>523.32068500000003</v>
      </c>
      <c r="XW45" s="969">
        <v>700.77821200000005</v>
      </c>
      <c r="XX45" s="969">
        <v>207.33428799999999</v>
      </c>
      <c r="XY45" s="969">
        <v>392.53072900000001</v>
      </c>
      <c r="XZ45" s="969">
        <v>376.21501799999999</v>
      </c>
      <c r="YA45" s="969">
        <v>457.17703899999998</v>
      </c>
      <c r="YB45" s="969">
        <v>364.82444900000002</v>
      </c>
      <c r="YC45" s="969">
        <v>183.309675</v>
      </c>
      <c r="YD45" s="969">
        <v>2164.4918520000001</v>
      </c>
      <c r="YE45" s="969">
        <v>241.604422</v>
      </c>
      <c r="YF45" s="969">
        <v>666.09524899999997</v>
      </c>
      <c r="YG45" s="969">
        <v>265.17607199999998</v>
      </c>
      <c r="YH45" s="969">
        <v>568.421201</v>
      </c>
    </row>
    <row r="46" spans="2:658">
      <c r="B46" s="917" t="s">
        <v>60</v>
      </c>
      <c r="C46" s="918">
        <v>2.53261717</v>
      </c>
      <c r="D46" s="130">
        <v>2.2599999999999998</v>
      </c>
      <c r="E46" s="130">
        <v>2.3178040000000002</v>
      </c>
      <c r="F46" s="130">
        <v>2.3847239099999999</v>
      </c>
      <c r="G46" s="130">
        <v>32.996283519999999</v>
      </c>
      <c r="H46" s="130">
        <v>13.8177939</v>
      </c>
      <c r="I46" s="130">
        <v>14.569042980000001</v>
      </c>
      <c r="J46" s="130">
        <v>14.38306461</v>
      </c>
      <c r="K46" s="130">
        <v>3.72793763</v>
      </c>
      <c r="L46" s="130">
        <v>2.3094151100000002</v>
      </c>
      <c r="M46" s="130">
        <v>2.29952296</v>
      </c>
      <c r="N46" s="130">
        <v>2.16586802</v>
      </c>
      <c r="O46" s="130">
        <v>1.508176</v>
      </c>
      <c r="P46" s="130">
        <v>1.7366459999999999</v>
      </c>
      <c r="Q46" s="130">
        <v>7.5650079999999997</v>
      </c>
      <c r="R46" s="130">
        <v>10.280233000000001</v>
      </c>
      <c r="S46" s="130">
        <v>6.1389829999999996</v>
      </c>
      <c r="T46" s="130">
        <v>1.274286</v>
      </c>
      <c r="U46" s="130">
        <v>36.085726999999999</v>
      </c>
      <c r="V46" s="130">
        <v>12.623455</v>
      </c>
      <c r="W46" s="130">
        <v>5.4702120000000001</v>
      </c>
      <c r="X46" s="130">
        <v>1.1996770000000001</v>
      </c>
      <c r="Y46" s="130">
        <v>4.4583300000000001</v>
      </c>
      <c r="Z46" s="130">
        <v>18.265544999999999</v>
      </c>
      <c r="AA46" s="130">
        <v>17.387830000000001</v>
      </c>
      <c r="AB46" s="130">
        <v>18.084949999999999</v>
      </c>
      <c r="AC46" s="130">
        <v>9.6923680000000001</v>
      </c>
      <c r="AD46" s="130">
        <v>10.173750999999999</v>
      </c>
      <c r="AE46" s="130">
        <v>9.7361249999999995</v>
      </c>
      <c r="AF46" s="130">
        <v>22.243791000000002</v>
      </c>
      <c r="AG46" s="130">
        <v>37.042164999999997</v>
      </c>
      <c r="AH46" s="130">
        <v>33.298803999999997</v>
      </c>
      <c r="AI46" s="130">
        <v>5.532114</v>
      </c>
      <c r="AJ46" s="130">
        <v>181.909965</v>
      </c>
      <c r="AK46" s="130">
        <v>55.994492000000001</v>
      </c>
      <c r="AL46" s="130">
        <v>59.303494999999998</v>
      </c>
      <c r="AM46" s="130">
        <v>71.093790999999996</v>
      </c>
      <c r="AN46" s="130">
        <v>27.954478999999999</v>
      </c>
      <c r="AO46" s="130">
        <v>28.343567</v>
      </c>
      <c r="AP46" s="130">
        <v>94.889055999999997</v>
      </c>
      <c r="AQ46" s="130">
        <v>94.294636999999994</v>
      </c>
      <c r="AR46" s="130">
        <v>38.579382000000003</v>
      </c>
      <c r="AS46" s="130">
        <v>53.985286000000002</v>
      </c>
      <c r="AT46" s="130">
        <v>52.894457000000003</v>
      </c>
      <c r="AU46" s="130">
        <v>38.125311000000004</v>
      </c>
      <c r="AV46" s="130">
        <v>70.500140000000002</v>
      </c>
      <c r="AW46" s="130">
        <v>46.418692</v>
      </c>
      <c r="AX46" s="130">
        <v>17.863826</v>
      </c>
      <c r="AY46" s="130">
        <v>102.340637</v>
      </c>
      <c r="AZ46" s="130">
        <v>68.923133000000007</v>
      </c>
      <c r="BA46" s="130">
        <v>125.117728</v>
      </c>
      <c r="BB46" s="130">
        <v>107.260964</v>
      </c>
      <c r="BC46" s="130">
        <v>296.41683</v>
      </c>
      <c r="BD46" s="130">
        <v>263.45878699999997</v>
      </c>
      <c r="BE46" s="130">
        <v>253.80856</v>
      </c>
      <c r="BF46" s="130">
        <v>196.79246699999999</v>
      </c>
      <c r="BG46" s="130">
        <v>195.28511900000001</v>
      </c>
      <c r="BH46" s="130">
        <v>183.28647599999999</v>
      </c>
      <c r="BI46" s="130">
        <v>186.01104100000001</v>
      </c>
      <c r="BJ46" s="130">
        <v>154.461029</v>
      </c>
      <c r="BK46" s="130">
        <v>146.35486499999999</v>
      </c>
      <c r="BL46" s="130">
        <v>146.363327</v>
      </c>
      <c r="BM46" s="130">
        <v>104.43911</v>
      </c>
      <c r="BN46" s="130">
        <v>99.063901999999999</v>
      </c>
      <c r="BO46" s="130">
        <v>67.038217000000003</v>
      </c>
      <c r="BP46" s="130">
        <v>55.351080000000003</v>
      </c>
      <c r="BQ46" s="130">
        <v>47.273926000000003</v>
      </c>
      <c r="BR46" s="130">
        <v>6.147983</v>
      </c>
      <c r="BS46" s="130">
        <v>4.189438</v>
      </c>
      <c r="BT46" s="130">
        <v>5.1038449999999997</v>
      </c>
      <c r="BU46" s="130">
        <v>126.29083900000001</v>
      </c>
      <c r="BV46" s="130">
        <v>111.29083900000001</v>
      </c>
      <c r="BW46" s="130">
        <v>81.081293000000002</v>
      </c>
      <c r="BX46" s="130">
        <v>51.577156000000002</v>
      </c>
      <c r="BY46" s="130">
        <v>47.821271000000003</v>
      </c>
      <c r="BZ46" s="130">
        <v>22.231159000000002</v>
      </c>
      <c r="CA46" s="130">
        <v>18.849404</v>
      </c>
      <c r="CB46" s="130">
        <v>18.138584000000002</v>
      </c>
      <c r="CC46" s="130">
        <v>13.472651000000001</v>
      </c>
      <c r="CD46" s="130">
        <v>12.878252</v>
      </c>
      <c r="CE46" s="130">
        <v>41.170996000000002</v>
      </c>
      <c r="CF46" s="130">
        <v>39.269623000000003</v>
      </c>
      <c r="CG46" s="130">
        <v>34.635959</v>
      </c>
      <c r="CH46" s="130">
        <v>12.008597999999999</v>
      </c>
      <c r="CI46" s="130">
        <v>21.768450999999999</v>
      </c>
      <c r="CJ46" s="130">
        <v>19.254536999999999</v>
      </c>
      <c r="CK46" s="130">
        <v>16.291751999999999</v>
      </c>
      <c r="CL46" s="130">
        <v>12.088851</v>
      </c>
      <c r="CM46" s="130">
        <v>11.005792</v>
      </c>
      <c r="CN46" s="130">
        <v>9.2950739999999996</v>
      </c>
      <c r="CO46" s="130">
        <v>34.466619000000001</v>
      </c>
      <c r="CP46" s="130">
        <v>33.322974000000002</v>
      </c>
      <c r="CQ46" s="130">
        <v>9.6373420000000003</v>
      </c>
      <c r="CR46" s="130">
        <v>8.2474439999999998</v>
      </c>
      <c r="CS46" s="130">
        <v>29.542909999999999</v>
      </c>
      <c r="CT46" s="130">
        <v>28.886604999999999</v>
      </c>
      <c r="CU46" s="130">
        <v>24.305050000000001</v>
      </c>
      <c r="CV46" s="130">
        <v>6.0153280000000002</v>
      </c>
      <c r="CW46" s="130">
        <v>7.0140919999999998</v>
      </c>
      <c r="CX46" s="130">
        <v>59.330399999999997</v>
      </c>
      <c r="CY46" s="130">
        <v>6.0209419999999998</v>
      </c>
      <c r="CZ46" s="130">
        <v>178.24851000000001</v>
      </c>
      <c r="DA46" s="130">
        <v>176.023966</v>
      </c>
      <c r="DB46" s="130">
        <v>57.206631000000002</v>
      </c>
      <c r="DC46" s="130">
        <v>54.649658000000002</v>
      </c>
      <c r="DD46" s="130">
        <v>53.841493</v>
      </c>
      <c r="DE46" s="130">
        <v>51.619953000000002</v>
      </c>
      <c r="DF46" s="130">
        <v>51.860061999999999</v>
      </c>
      <c r="DG46" s="130">
        <v>50.198438000000003</v>
      </c>
      <c r="DH46" s="130">
        <v>50.197687999999999</v>
      </c>
      <c r="DI46" s="130">
        <v>35.580877999999998</v>
      </c>
      <c r="DJ46" s="130">
        <v>35.406114000000002</v>
      </c>
      <c r="DK46" s="130">
        <v>35.112729999999999</v>
      </c>
      <c r="DL46" s="130">
        <v>27.885227</v>
      </c>
      <c r="DM46" s="130">
        <v>27.805015999999998</v>
      </c>
      <c r="DN46" s="130">
        <v>27.805015999999998</v>
      </c>
      <c r="DO46" s="130">
        <v>27.805015999999998</v>
      </c>
      <c r="DP46" s="130">
        <v>27.154121</v>
      </c>
      <c r="DQ46" s="130">
        <v>22.349444999999999</v>
      </c>
      <c r="DR46" s="130">
        <v>22.019297000000002</v>
      </c>
      <c r="DS46" s="130">
        <v>2.9529019999999999</v>
      </c>
      <c r="DT46" s="130">
        <v>2.7696049999999999</v>
      </c>
      <c r="DU46" s="130">
        <v>2.5539909999999999</v>
      </c>
      <c r="DV46" s="130">
        <v>16.632829999999998</v>
      </c>
      <c r="DW46" s="130">
        <v>15.107889</v>
      </c>
      <c r="DX46" s="130">
        <v>16.707777</v>
      </c>
      <c r="DY46" s="130">
        <v>15.088342000000001</v>
      </c>
      <c r="DZ46" s="130">
        <v>11.003558</v>
      </c>
      <c r="EA46" s="130">
        <v>10.725992</v>
      </c>
      <c r="EB46" s="130">
        <v>73.504839000000004</v>
      </c>
      <c r="EC46" s="130">
        <v>152.47291300000001</v>
      </c>
      <c r="ED46" s="130">
        <v>51.640582999999999</v>
      </c>
      <c r="EE46" s="130">
        <v>46.736741000000002</v>
      </c>
      <c r="EF46" s="130">
        <v>48.919527000000002</v>
      </c>
      <c r="EG46" s="130">
        <v>48.712403000000002</v>
      </c>
      <c r="EH46" s="130">
        <v>33.789282</v>
      </c>
      <c r="EI46" s="130">
        <v>33.238982</v>
      </c>
      <c r="EJ46" s="130">
        <v>18.5016</v>
      </c>
      <c r="EK46" s="130">
        <v>18.034382000000001</v>
      </c>
      <c r="EL46" s="130">
        <v>17.974381999999999</v>
      </c>
      <c r="EM46" s="130">
        <v>7.4979940000000003</v>
      </c>
      <c r="EN46" s="130">
        <v>7.3480790000000002</v>
      </c>
      <c r="EO46" s="130">
        <v>5.1095379999999997</v>
      </c>
      <c r="EP46" s="130">
        <v>3.5947179999999999</v>
      </c>
      <c r="EQ46" s="130">
        <v>2.8095569999999999</v>
      </c>
      <c r="ER46" s="130">
        <v>16.412835999999999</v>
      </c>
      <c r="ES46" s="130">
        <v>19.062743999999999</v>
      </c>
      <c r="ET46" s="130">
        <v>17.712782000000001</v>
      </c>
      <c r="EU46" s="130">
        <v>100.16619300000001</v>
      </c>
      <c r="EV46" s="130">
        <v>99.130792999999997</v>
      </c>
      <c r="EW46" s="130">
        <v>80.932319000000007</v>
      </c>
      <c r="EX46" s="130">
        <v>90.516604999999998</v>
      </c>
      <c r="EY46" s="130">
        <v>88.390827000000002</v>
      </c>
      <c r="EZ46" s="130">
        <v>87.665524000000005</v>
      </c>
      <c r="FA46" s="130">
        <v>89.444106000000005</v>
      </c>
      <c r="FB46" s="130">
        <v>88.721771000000004</v>
      </c>
      <c r="FC46" s="130">
        <v>8.7913709999999998</v>
      </c>
      <c r="FD46" s="130">
        <v>8.5012790000000003</v>
      </c>
      <c r="FE46" s="130">
        <v>88.349777000000003</v>
      </c>
      <c r="FF46" s="130">
        <v>21.349777</v>
      </c>
      <c r="FG46" s="130">
        <v>21.138252999999999</v>
      </c>
      <c r="FH46" s="130">
        <v>14.187161</v>
      </c>
      <c r="FI46" s="130">
        <v>12.002386</v>
      </c>
      <c r="FJ46" s="130">
        <v>12.002386</v>
      </c>
      <c r="FK46" s="130">
        <v>16.247737000000001</v>
      </c>
      <c r="FL46" s="130">
        <v>16.229334000000001</v>
      </c>
      <c r="FM46" s="130">
        <v>13.487107999999999</v>
      </c>
      <c r="FN46" s="130">
        <v>13.934236</v>
      </c>
      <c r="FO46" s="130">
        <v>13.537941999999999</v>
      </c>
      <c r="FP46" s="130">
        <v>13.133751</v>
      </c>
      <c r="FQ46" s="130">
        <v>8.4045959999999997</v>
      </c>
      <c r="FR46" s="130">
        <v>8.0280699999999996</v>
      </c>
      <c r="FS46" s="130">
        <v>10.851659</v>
      </c>
      <c r="FT46" s="130">
        <v>10.504846000000001</v>
      </c>
      <c r="FU46" s="130">
        <v>345.30653100000001</v>
      </c>
      <c r="FV46" s="130">
        <v>18.699445000000001</v>
      </c>
      <c r="FW46" s="130">
        <v>19.926546999999999</v>
      </c>
      <c r="FX46" s="130">
        <v>18.846896999999998</v>
      </c>
      <c r="FY46" s="130">
        <v>18.806297000000001</v>
      </c>
      <c r="FZ46" s="130">
        <v>18.856622999999999</v>
      </c>
      <c r="GA46" s="130">
        <v>17.498525000000001</v>
      </c>
      <c r="GB46" s="130">
        <v>14.929504</v>
      </c>
      <c r="GC46" s="130">
        <v>22.861882000000001</v>
      </c>
      <c r="GD46" s="130">
        <v>21.471679999999999</v>
      </c>
      <c r="GE46" s="130">
        <v>-1.8450789999999999</v>
      </c>
      <c r="GF46" s="130">
        <v>50.681336999999999</v>
      </c>
      <c r="GG46" s="130">
        <v>61.245247999999997</v>
      </c>
      <c r="GH46" s="130">
        <v>34.408627000000003</v>
      </c>
      <c r="GI46" s="130">
        <v>5.0144724099999998</v>
      </c>
      <c r="GJ46" s="130">
        <v>4.7627902000000004</v>
      </c>
      <c r="GK46" s="130">
        <v>10.730213279999999</v>
      </c>
      <c r="GL46" s="130">
        <f>22755202.91/10^6</f>
        <v>22.755202910000001</v>
      </c>
      <c r="GM46" s="130">
        <v>17.54560244</v>
      </c>
      <c r="GN46" s="130">
        <v>3.6503263599999993</v>
      </c>
      <c r="GO46" s="130">
        <f>3637777.94/1000000</f>
        <v>3.6377779399999999</v>
      </c>
      <c r="GP46" s="130">
        <v>3.51119425</v>
      </c>
      <c r="GQ46" s="130">
        <v>2.5224683199999998</v>
      </c>
      <c r="GR46" s="130">
        <v>2.0906039399999998</v>
      </c>
      <c r="GS46" s="130">
        <v>2.2276539799999999</v>
      </c>
      <c r="GT46" s="130">
        <v>3.1945790400000003</v>
      </c>
      <c r="GU46" s="130">
        <v>42.144984669999999</v>
      </c>
      <c r="GV46" s="130">
        <v>46.72950866</v>
      </c>
      <c r="GW46" s="130">
        <v>4.6442871200000004</v>
      </c>
      <c r="GX46" s="130">
        <v>5.0906772999999994</v>
      </c>
      <c r="GY46" s="130">
        <v>6.9959824299999989</v>
      </c>
      <c r="GZ46" s="130">
        <v>158.33600393</v>
      </c>
      <c r="HA46" s="130">
        <v>17.251883419999999</v>
      </c>
      <c r="HB46" s="130">
        <v>20.256773640000002</v>
      </c>
      <c r="HC46" s="130">
        <v>15.079415539999999</v>
      </c>
      <c r="HD46" s="130">
        <v>17.710610559999999</v>
      </c>
      <c r="HE46" s="130">
        <v>15.813330150000001</v>
      </c>
      <c r="HF46" s="130">
        <v>17.856342719999997</v>
      </c>
      <c r="HG46" s="130">
        <v>17.594884799999999</v>
      </c>
      <c r="HH46" s="130">
        <v>17.643372260000003</v>
      </c>
      <c r="HI46" s="130">
        <v>12.490458230000002</v>
      </c>
      <c r="HJ46" s="130">
        <v>13.2855548</v>
      </c>
      <c r="HK46" s="130">
        <v>13.109115100000002</v>
      </c>
      <c r="HL46" s="130">
        <v>13.660639189999999</v>
      </c>
      <c r="HM46" s="130">
        <v>13.660639189999999</v>
      </c>
      <c r="HN46" s="130">
        <v>17.207018999999999</v>
      </c>
      <c r="HO46" s="130">
        <v>19.04618116</v>
      </c>
      <c r="HP46" s="130">
        <v>17.736549489999998</v>
      </c>
      <c r="HQ46" s="950">
        <v>22.428052209999997</v>
      </c>
      <c r="HR46" s="950">
        <v>47.156620570000008</v>
      </c>
      <c r="HS46" s="950">
        <v>14.40225188</v>
      </c>
      <c r="HT46" s="950">
        <v>46.035759599999999</v>
      </c>
      <c r="HU46" s="950">
        <v>46.087140280000007</v>
      </c>
      <c r="HV46" s="950">
        <v>47.235136620000006</v>
      </c>
      <c r="HW46" s="950">
        <v>47.174286620000004</v>
      </c>
      <c r="HX46" s="950">
        <v>58.754992150000007</v>
      </c>
      <c r="HY46" s="950">
        <v>58.288907000000002</v>
      </c>
      <c r="HZ46" s="950">
        <v>16.089719700000003</v>
      </c>
      <c r="IA46" s="950">
        <v>19.686326379999993</v>
      </c>
      <c r="IB46" s="950">
        <v>19.676170379999999</v>
      </c>
      <c r="IC46" s="950">
        <v>17.01515848</v>
      </c>
      <c r="ID46" s="950">
        <v>28.642319229999998</v>
      </c>
      <c r="IE46" s="950">
        <v>27.665385000000001</v>
      </c>
      <c r="IF46" s="950">
        <v>27.536942</v>
      </c>
      <c r="IG46" s="950">
        <v>27.616952000000001</v>
      </c>
      <c r="IH46" s="950">
        <v>27.479147999999999</v>
      </c>
      <c r="II46" s="950">
        <v>12.153841999999999</v>
      </c>
      <c r="IJ46" s="950">
        <v>11.962457000000001</v>
      </c>
      <c r="IK46" s="950">
        <v>13.495352</v>
      </c>
      <c r="IL46" s="950">
        <v>13.495352</v>
      </c>
      <c r="IM46" s="950">
        <v>68.334732000000002</v>
      </c>
      <c r="IN46" s="130">
        <v>20.008118</v>
      </c>
      <c r="IO46" s="130">
        <v>22.250758999999999</v>
      </c>
      <c r="IP46" s="130">
        <v>44.785615</v>
      </c>
      <c r="IQ46" s="130">
        <v>40.301152000000002</v>
      </c>
      <c r="IR46" s="130">
        <v>39.361097999999998</v>
      </c>
      <c r="IS46" s="130">
        <v>19.657989000000001</v>
      </c>
      <c r="IT46" s="130">
        <v>18.657254999999999</v>
      </c>
      <c r="IU46" s="130">
        <v>18.355398999999998</v>
      </c>
      <c r="IV46" s="130">
        <v>6.934018</v>
      </c>
      <c r="IW46" s="130">
        <v>28.404554000000001</v>
      </c>
      <c r="IX46" s="130">
        <v>28.315814</v>
      </c>
      <c r="IY46" s="130">
        <v>26.934585999999999</v>
      </c>
      <c r="IZ46" s="130">
        <v>19.534555000000001</v>
      </c>
      <c r="JA46" s="130">
        <v>9.9741680000000006</v>
      </c>
      <c r="JB46" s="130">
        <v>22.282385000000001</v>
      </c>
      <c r="JC46" s="130">
        <v>21.919255</v>
      </c>
      <c r="JD46" s="130">
        <v>48.689698</v>
      </c>
      <c r="JE46" s="130">
        <v>21.71161</v>
      </c>
      <c r="JF46" s="130">
        <v>21.561239</v>
      </c>
      <c r="JG46" s="130">
        <v>19.394926000000002</v>
      </c>
      <c r="JH46" s="130">
        <v>22.125522</v>
      </c>
      <c r="JI46" s="130">
        <v>26.370595999999999</v>
      </c>
      <c r="JJ46" s="130">
        <v>25.670414999999998</v>
      </c>
      <c r="JK46" s="130">
        <v>24.253865000000001</v>
      </c>
      <c r="JL46" s="130">
        <v>24.253865000000001</v>
      </c>
      <c r="JM46" s="130">
        <v>20.089016999999998</v>
      </c>
      <c r="JN46" s="130">
        <v>57.733052000000001</v>
      </c>
      <c r="JO46" s="130">
        <v>6.0500309999999997</v>
      </c>
      <c r="JP46" s="130">
        <v>12.778010999999999</v>
      </c>
      <c r="JQ46" s="130">
        <v>11.706158</v>
      </c>
      <c r="JR46" s="130">
        <v>11.148122000000001</v>
      </c>
      <c r="JS46" s="130">
        <v>8.6844199999999994</v>
      </c>
      <c r="JT46" s="130">
        <v>8.0749420000000001</v>
      </c>
      <c r="JU46" s="130">
        <v>12.251317999999999</v>
      </c>
      <c r="JV46" s="130">
        <v>12.083646999999999</v>
      </c>
      <c r="JW46" s="130">
        <v>19.783374999999999</v>
      </c>
      <c r="JX46" s="130">
        <v>17.686471000000001</v>
      </c>
      <c r="JY46" s="130">
        <v>17.654731000000002</v>
      </c>
      <c r="JZ46" s="130">
        <v>85.480556000000007</v>
      </c>
      <c r="KA46" s="130">
        <v>13.650555000000001</v>
      </c>
      <c r="KB46" s="130">
        <v>172.73954699999999</v>
      </c>
      <c r="KC46" s="130">
        <v>18.295845</v>
      </c>
      <c r="KD46" s="130">
        <v>16.462671</v>
      </c>
      <c r="KE46" s="130">
        <v>40.613435000000003</v>
      </c>
      <c r="KF46" s="130">
        <v>39.844455000000004</v>
      </c>
      <c r="KG46" s="130">
        <v>46.311036000000001</v>
      </c>
      <c r="KH46" s="130">
        <v>15.975832</v>
      </c>
      <c r="KI46" s="130">
        <v>19.026762000000002</v>
      </c>
      <c r="KJ46" s="130">
        <v>15.77047</v>
      </c>
      <c r="KK46" s="130">
        <v>9.0696759999999994</v>
      </c>
      <c r="KL46" s="130">
        <v>15.535729999999999</v>
      </c>
      <c r="KM46" s="130">
        <v>20.845469999999999</v>
      </c>
      <c r="KN46" s="130">
        <v>16.247032999999998</v>
      </c>
      <c r="KO46" s="130">
        <v>82.098202000000001</v>
      </c>
      <c r="KP46" s="130">
        <v>82.017040769999994</v>
      </c>
      <c r="KQ46" s="130">
        <v>64.131613000000002</v>
      </c>
      <c r="KR46" s="130">
        <v>9.1009567600000008</v>
      </c>
      <c r="KS46" s="130">
        <v>9.0864055600000011</v>
      </c>
      <c r="KT46" s="130">
        <v>7.1908371700000009</v>
      </c>
      <c r="KU46" s="130">
        <v>6.4754634500000003</v>
      </c>
      <c r="KV46" s="130">
        <v>13.973518410000001</v>
      </c>
      <c r="KW46" s="130">
        <v>10.075262290000001</v>
      </c>
      <c r="KX46" s="130">
        <v>8.8547610700000003</v>
      </c>
      <c r="KY46" s="130">
        <v>37.578541000000001</v>
      </c>
      <c r="KZ46" s="130">
        <v>36.582579000000003</v>
      </c>
      <c r="LA46" s="130">
        <v>36.616472999999999</v>
      </c>
      <c r="LB46" s="130">
        <v>43.597790000000003</v>
      </c>
      <c r="LC46" s="130">
        <v>42.455438000000001</v>
      </c>
      <c r="LD46" s="130">
        <v>43.139516999999998</v>
      </c>
      <c r="LE46" s="130">
        <v>13.826366999999999</v>
      </c>
      <c r="LF46" s="969">
        <v>12.29575</v>
      </c>
      <c r="LG46" s="969">
        <v>11.543676</v>
      </c>
      <c r="LH46" s="969">
        <v>23.016529999999999</v>
      </c>
      <c r="LI46" s="969">
        <v>40.930363</v>
      </c>
      <c r="LJ46" s="969">
        <v>9.0806330000000006</v>
      </c>
      <c r="LK46" s="969">
        <v>12.148152</v>
      </c>
      <c r="LL46" s="969">
        <v>2.418282</v>
      </c>
      <c r="LM46" s="969">
        <v>2.1311819999999999</v>
      </c>
      <c r="LN46" s="969">
        <v>8.1694999999999993</v>
      </c>
      <c r="LO46" s="969">
        <v>6.449802</v>
      </c>
      <c r="LP46" s="969">
        <v>7.7127290000000004</v>
      </c>
      <c r="LQ46" s="969">
        <v>6.4072870000000002</v>
      </c>
      <c r="LR46" s="969">
        <v>23.486048</v>
      </c>
      <c r="LS46" s="969">
        <v>30.031652000000001</v>
      </c>
      <c r="LT46" s="969">
        <v>3.922504</v>
      </c>
      <c r="LU46" s="969">
        <v>3.2894800000000002</v>
      </c>
      <c r="LV46" s="969">
        <v>2.9894799999999999</v>
      </c>
      <c r="LW46" s="969">
        <v>6.5525880000000001</v>
      </c>
      <c r="LX46" s="969">
        <v>2.9769920000000001</v>
      </c>
      <c r="LY46" s="969">
        <v>5.8557920000000001</v>
      </c>
      <c r="LZ46" s="969">
        <v>18.531001</v>
      </c>
      <c r="MA46" s="969">
        <v>14.434566</v>
      </c>
      <c r="MB46" s="969">
        <v>22.159652999999999</v>
      </c>
      <c r="MC46" s="969">
        <v>37.110267</v>
      </c>
      <c r="MD46" s="969">
        <v>37.110267</v>
      </c>
      <c r="ME46" s="969">
        <v>24.811315</v>
      </c>
      <c r="MF46" s="969">
        <v>11.996264999999999</v>
      </c>
      <c r="MG46" s="969">
        <v>7.7835390000000002</v>
      </c>
      <c r="MH46" s="969">
        <v>6.9773690000000004</v>
      </c>
      <c r="MI46" s="969">
        <v>8.7762639999999994</v>
      </c>
      <c r="MJ46" s="969">
        <v>11.097002</v>
      </c>
      <c r="MK46" s="969">
        <v>18.365494000000002</v>
      </c>
      <c r="ML46" s="969">
        <v>18.581479999999999</v>
      </c>
      <c r="MM46" s="969">
        <v>14.297143</v>
      </c>
      <c r="MN46" s="969">
        <v>42.082732999999998</v>
      </c>
      <c r="MO46" s="969">
        <v>34.556673000000004</v>
      </c>
      <c r="MP46" s="969">
        <v>5.9512530000000003</v>
      </c>
      <c r="MQ46" s="969">
        <v>11.070577</v>
      </c>
      <c r="MR46" s="969">
        <v>6.4057940000000002</v>
      </c>
      <c r="MS46" s="969">
        <v>5.9822639999999998</v>
      </c>
      <c r="MT46" s="969">
        <v>9.5856239999999993</v>
      </c>
      <c r="MU46" s="969">
        <v>9.5856239999999993</v>
      </c>
      <c r="MV46" s="969">
        <v>9.8648749999999996</v>
      </c>
      <c r="MW46" s="969">
        <v>23.501221000000001</v>
      </c>
      <c r="MX46" s="969">
        <v>22.610628999999999</v>
      </c>
      <c r="MY46" s="969">
        <v>36.235280000000003</v>
      </c>
      <c r="MZ46" s="969">
        <v>25.934334</v>
      </c>
      <c r="NA46" s="969">
        <v>15.319509999999999</v>
      </c>
      <c r="NB46" s="969">
        <v>13.232922</v>
      </c>
      <c r="NC46" s="969">
        <v>6.3326640000000003</v>
      </c>
      <c r="ND46" s="969">
        <v>6.2744289999999996</v>
      </c>
      <c r="NE46" s="969">
        <v>48.758823</v>
      </c>
      <c r="NF46" s="969">
        <v>42.693756999999998</v>
      </c>
      <c r="NG46" s="969">
        <v>38.402334000000003</v>
      </c>
      <c r="NH46" s="969">
        <v>10.964677</v>
      </c>
      <c r="NI46" s="969">
        <v>11.782883999999999</v>
      </c>
      <c r="NJ46" s="969">
        <v>39.290933000000003</v>
      </c>
      <c r="NK46" s="969">
        <v>31.029575000000001</v>
      </c>
      <c r="NL46" s="969">
        <v>37.217106999999999</v>
      </c>
      <c r="NM46" s="969">
        <v>77.979145000000003</v>
      </c>
      <c r="NN46" s="969">
        <v>29.519262000000001</v>
      </c>
      <c r="NO46" s="969">
        <v>25.021910999999999</v>
      </c>
      <c r="NP46" s="969">
        <v>12.300583</v>
      </c>
      <c r="NQ46" s="969">
        <v>12.833550000000001</v>
      </c>
      <c r="NR46" s="969">
        <v>20.142821000000001</v>
      </c>
      <c r="NS46" s="969">
        <v>20.141921</v>
      </c>
      <c r="NT46" s="969">
        <v>18.339459999999999</v>
      </c>
      <c r="NU46" s="969">
        <v>17.520432</v>
      </c>
      <c r="NV46" s="969">
        <v>10.806219</v>
      </c>
      <c r="NW46" s="969">
        <v>15.83351</v>
      </c>
      <c r="NX46" s="969">
        <v>4.8892129999999998</v>
      </c>
      <c r="NY46" s="969">
        <v>3.031857</v>
      </c>
      <c r="NZ46" s="969">
        <v>3.3703560000000001</v>
      </c>
      <c r="OA46" s="969">
        <v>1.797051</v>
      </c>
      <c r="OB46" s="969">
        <v>9.2048590000000008</v>
      </c>
      <c r="OC46" s="969">
        <v>6.3179020000000001</v>
      </c>
      <c r="OD46" s="969">
        <v>2.2922799999999999</v>
      </c>
      <c r="OE46" s="969">
        <v>2.1221779999999999</v>
      </c>
      <c r="OF46" s="969">
        <v>4.9104109999999999</v>
      </c>
      <c r="OG46" s="969">
        <v>5.9842029999999999</v>
      </c>
      <c r="OH46" s="969">
        <v>5.7405790000000003</v>
      </c>
      <c r="OI46" s="969">
        <v>27.631758000000001</v>
      </c>
      <c r="OJ46" s="969">
        <v>18.349366199999999</v>
      </c>
      <c r="OK46" s="969">
        <v>25.929508079999998</v>
      </c>
      <c r="OL46" s="969">
        <v>24.465831089999998</v>
      </c>
      <c r="OM46" s="969">
        <v>78.866602409999999</v>
      </c>
      <c r="ON46" s="969">
        <v>71.045606939999999</v>
      </c>
      <c r="OO46" s="969">
        <v>83.982170390000007</v>
      </c>
      <c r="OP46" s="969">
        <v>81.053957389999994</v>
      </c>
      <c r="OQ46" s="969">
        <v>71.92425179</v>
      </c>
      <c r="OR46" s="969">
        <v>16.953894139999996</v>
      </c>
      <c r="OS46" s="969">
        <v>16.774542959999998</v>
      </c>
      <c r="OT46" s="969">
        <v>12.170506810000001</v>
      </c>
      <c r="OU46" s="969">
        <v>21.991737069999999</v>
      </c>
      <c r="OV46" s="969">
        <v>4.3938150899999995</v>
      </c>
      <c r="OW46" s="969">
        <v>48.437760450000006</v>
      </c>
      <c r="OX46" s="969">
        <v>3.6638971600000003</v>
      </c>
      <c r="OY46" s="969">
        <v>22.836185929999999</v>
      </c>
      <c r="OZ46" s="969">
        <v>22.72959032</v>
      </c>
      <c r="PA46" s="969">
        <v>17.455594489999999</v>
      </c>
      <c r="PB46" s="969">
        <v>18.484436880000001</v>
      </c>
      <c r="PC46" s="969">
        <v>18.054579050000001</v>
      </c>
      <c r="PD46" s="969">
        <v>52.067938460000001</v>
      </c>
      <c r="PE46" s="969">
        <v>51.643923100000002</v>
      </c>
      <c r="PF46" s="969">
        <v>57.533208980000005</v>
      </c>
      <c r="PG46" s="969">
        <v>81.136921980000011</v>
      </c>
      <c r="PH46" s="969">
        <v>81.136921980000011</v>
      </c>
      <c r="PI46" s="969">
        <v>67.639627390000001</v>
      </c>
      <c r="PJ46" s="969">
        <v>64.771665839999997</v>
      </c>
      <c r="PK46" s="969">
        <v>55.757023719999999</v>
      </c>
      <c r="PL46" s="969">
        <v>58.793907240000003</v>
      </c>
      <c r="PM46" s="969">
        <v>57.444191869999997</v>
      </c>
      <c r="PN46" s="969">
        <v>60.865844770000002</v>
      </c>
      <c r="PO46" s="969">
        <v>60.577973480000004</v>
      </c>
      <c r="PP46" s="969">
        <v>62.04962562</v>
      </c>
      <c r="PQ46" s="969">
        <v>10.08977325</v>
      </c>
      <c r="PR46" s="969">
        <v>9.5829284000000001</v>
      </c>
      <c r="PS46" s="969">
        <v>102.51621077999999</v>
      </c>
      <c r="PT46" s="969">
        <v>49.432882859999999</v>
      </c>
      <c r="PU46" s="969">
        <v>8.1937900500000005</v>
      </c>
      <c r="PV46" s="969">
        <v>7.0160079700000004</v>
      </c>
      <c r="PW46" s="969">
        <v>10.109508570000001</v>
      </c>
      <c r="PX46" s="969">
        <v>11.79827199</v>
      </c>
      <c r="PY46" s="969">
        <v>18.402767090000001</v>
      </c>
      <c r="PZ46" s="969">
        <v>27.390272880000001</v>
      </c>
      <c r="QA46" s="969">
        <v>42.716384170000005</v>
      </c>
      <c r="QB46" s="969">
        <v>42.716384170000005</v>
      </c>
      <c r="QC46" s="969">
        <v>41.844410859999996</v>
      </c>
      <c r="QD46" s="969">
        <v>35.425626810000004</v>
      </c>
      <c r="QE46" s="969">
        <v>20.928635490000001</v>
      </c>
      <c r="QF46" s="969">
        <v>20.707901310000004</v>
      </c>
      <c r="QG46" s="969">
        <v>19.432877800000004</v>
      </c>
      <c r="QH46" s="969">
        <v>18.947504050000003</v>
      </c>
      <c r="QI46" s="969">
        <v>17.750237800000001</v>
      </c>
      <c r="QJ46" s="969">
        <v>18.057748950000004</v>
      </c>
      <c r="QK46" s="969">
        <v>53.5168015</v>
      </c>
      <c r="QL46" s="969">
        <v>49.667149800000004</v>
      </c>
      <c r="QM46" s="969">
        <v>48.277575900000009</v>
      </c>
      <c r="QN46" s="969">
        <v>18.117367480000002</v>
      </c>
      <c r="QO46" s="969">
        <v>18.75783418</v>
      </c>
      <c r="QP46" s="969">
        <v>16.989085320000001</v>
      </c>
      <c r="QQ46" s="969">
        <v>16.681787749999998</v>
      </c>
      <c r="QR46" s="969">
        <v>22.388907750000001</v>
      </c>
      <c r="QS46" s="969">
        <v>21.333243460000002</v>
      </c>
      <c r="QT46" s="969">
        <v>20.253368120000001</v>
      </c>
      <c r="QU46" s="969">
        <v>19.230327190000001</v>
      </c>
      <c r="QV46" s="969">
        <v>28.863501500000002</v>
      </c>
      <c r="QW46" s="969">
        <v>17.94581273</v>
      </c>
      <c r="QX46" s="969">
        <v>17.94581273</v>
      </c>
      <c r="QY46" s="969">
        <v>15.24737564</v>
      </c>
      <c r="QZ46" s="969">
        <v>15.236781659999998</v>
      </c>
      <c r="RA46" s="969">
        <v>15.207749269999997</v>
      </c>
      <c r="RB46" s="969">
        <v>43.937437269999997</v>
      </c>
      <c r="RC46" s="969">
        <v>44.692175800000001</v>
      </c>
      <c r="RD46" s="969">
        <v>41.892071200000004</v>
      </c>
      <c r="RE46" s="969">
        <v>7.6227679200000003</v>
      </c>
      <c r="RF46" s="969">
        <v>44.249360500000002</v>
      </c>
      <c r="RG46" s="969">
        <v>9.3554733399999996</v>
      </c>
      <c r="RH46" s="969">
        <v>7.3177008899999993</v>
      </c>
      <c r="RI46" s="969">
        <v>7.9939188099999994</v>
      </c>
      <c r="RJ46" s="969">
        <v>9.6519645700000005</v>
      </c>
      <c r="RK46" s="969">
        <v>7.7253889600000001</v>
      </c>
      <c r="RL46" s="969">
        <v>15.531564660000001</v>
      </c>
      <c r="RM46" s="969">
        <v>15.171722109999999</v>
      </c>
      <c r="RN46" s="969">
        <v>17.900374389999996</v>
      </c>
      <c r="RO46" s="969">
        <v>32.293762279999996</v>
      </c>
      <c r="RP46" s="969">
        <v>31.730620239999993</v>
      </c>
      <c r="RQ46" s="969">
        <v>15.648796340000001</v>
      </c>
      <c r="RR46" s="969">
        <v>64.831798419999998</v>
      </c>
      <c r="RS46" s="969">
        <v>14.556703740000001</v>
      </c>
      <c r="RT46" s="969">
        <v>12.152062010000002</v>
      </c>
      <c r="RU46" s="969">
        <v>8.0427949200000004</v>
      </c>
      <c r="RV46" s="969">
        <v>6.2346975699999998</v>
      </c>
      <c r="RW46" s="969">
        <v>12.745060350000001</v>
      </c>
      <c r="RX46" s="969">
        <v>5.18920972</v>
      </c>
      <c r="RY46" s="969">
        <v>13.562065169999999</v>
      </c>
      <c r="RZ46" s="969">
        <v>11.378830989999999</v>
      </c>
      <c r="SA46" s="969">
        <v>48.324654559999999</v>
      </c>
      <c r="SB46" s="969">
        <v>49.075861240000002</v>
      </c>
      <c r="SC46" s="969">
        <v>80.003480109999998</v>
      </c>
      <c r="SD46" s="969">
        <v>78.803618270000001</v>
      </c>
      <c r="SE46" s="969">
        <v>20.706397809999999</v>
      </c>
      <c r="SF46" s="969">
        <v>77.159919810000005</v>
      </c>
      <c r="SG46" s="969">
        <v>73.902680520000004</v>
      </c>
      <c r="SH46" s="969">
        <v>74.492120520000014</v>
      </c>
      <c r="SI46" s="969">
        <v>17.356167710000001</v>
      </c>
      <c r="SJ46" s="969">
        <v>28.038116179999999</v>
      </c>
      <c r="SK46" s="969">
        <v>29.722412300000002</v>
      </c>
      <c r="SL46" s="969">
        <v>19.504744540000004</v>
      </c>
      <c r="SM46" s="969">
        <v>132.44111471999997</v>
      </c>
      <c r="SN46" s="969">
        <v>12.811844730000001</v>
      </c>
      <c r="SO46" s="969">
        <v>12.733098690000002</v>
      </c>
      <c r="SP46" s="969">
        <v>10.441345350000001</v>
      </c>
      <c r="SQ46" s="969">
        <v>13.850570780000002</v>
      </c>
      <c r="SR46" s="969">
        <v>12.681833270000002</v>
      </c>
      <c r="SS46" s="969">
        <v>9.7503726800000017</v>
      </c>
      <c r="ST46" s="969">
        <v>8.3434228199999989</v>
      </c>
      <c r="SU46" s="969">
        <v>41.995644689999999</v>
      </c>
      <c r="SV46" s="969">
        <v>10.047476</v>
      </c>
      <c r="SW46" s="969">
        <v>10.302948580000001</v>
      </c>
      <c r="SX46" s="969">
        <v>67.645041379999995</v>
      </c>
      <c r="SY46" s="969">
        <v>63.119084749999999</v>
      </c>
      <c r="SZ46" s="969">
        <v>109.65462030943</v>
      </c>
      <c r="TA46" s="969">
        <v>72.85250846000001</v>
      </c>
      <c r="TB46" s="969">
        <v>71.850000059999999</v>
      </c>
      <c r="TC46" s="969">
        <v>15.668088580000001</v>
      </c>
      <c r="TD46" s="969">
        <v>82.814887970000001</v>
      </c>
      <c r="TE46" s="969">
        <v>19.752500259999998</v>
      </c>
      <c r="TF46" s="969">
        <f>14728787.49/1000000</f>
        <v>14.72878749</v>
      </c>
      <c r="TG46" s="969">
        <v>14.82777141</v>
      </c>
      <c r="TH46" s="969">
        <v>15.289248300000001</v>
      </c>
      <c r="TI46" s="969">
        <v>48.899037340000007</v>
      </c>
      <c r="TJ46" s="969">
        <v>47.165405100000001</v>
      </c>
      <c r="TK46" s="969">
        <v>47.112535990000005</v>
      </c>
      <c r="TL46" s="969">
        <v>28.557259359999996</v>
      </c>
      <c r="TM46" s="969">
        <v>45.243688840000004</v>
      </c>
      <c r="TN46" s="969">
        <v>20.456156119999999</v>
      </c>
      <c r="TO46" s="969">
        <v>20.342750250000002</v>
      </c>
      <c r="TP46" s="969">
        <v>25.25260278</v>
      </c>
      <c r="TQ46" s="969">
        <v>23.104736039999995</v>
      </c>
      <c r="TR46" s="969">
        <v>78.968958060000006</v>
      </c>
      <c r="TS46" s="969">
        <v>83.928018260000002</v>
      </c>
      <c r="TT46" s="969">
        <v>87.407864970000006</v>
      </c>
      <c r="TU46" s="969">
        <v>33.1349011</v>
      </c>
      <c r="TV46" s="969">
        <v>35.315393749999998</v>
      </c>
      <c r="TW46" s="969">
        <v>41.165216270000002</v>
      </c>
      <c r="TX46" s="969">
        <v>82.071141920000002</v>
      </c>
      <c r="TY46" s="969">
        <v>49.13379461000001</v>
      </c>
      <c r="TZ46" s="969">
        <v>49.13379461000001</v>
      </c>
      <c r="UA46" s="969">
        <v>18.31646499</v>
      </c>
      <c r="UB46" s="969">
        <f>30163475.38/1000000</f>
        <v>30.163475379999998</v>
      </c>
      <c r="UC46" s="969">
        <f>40711371.18/1000000</f>
        <v>40.71137118</v>
      </c>
      <c r="UD46" s="969">
        <v>41.736062730000008</v>
      </c>
      <c r="UE46" s="969">
        <v>42.88249038</v>
      </c>
      <c r="UF46" s="969">
        <v>14.610398680000001</v>
      </c>
      <c r="UG46" s="969">
        <v>30.77325226</v>
      </c>
      <c r="UH46" s="969">
        <v>37.875268349999999</v>
      </c>
      <c r="UI46" s="969">
        <v>6.15659051</v>
      </c>
      <c r="UJ46" s="969">
        <v>29.454741759999997</v>
      </c>
      <c r="UK46" s="969">
        <v>28.15545431</v>
      </c>
      <c r="UL46" s="969">
        <v>28.640249649999998</v>
      </c>
      <c r="UM46" s="969">
        <v>8.3745639799999996</v>
      </c>
      <c r="UN46" s="969">
        <v>27.650895769999998</v>
      </c>
      <c r="UO46" s="969">
        <v>16.54045271</v>
      </c>
      <c r="UP46" s="969">
        <v>11.714230290000001</v>
      </c>
      <c r="UQ46" s="969">
        <v>22.279555210000002</v>
      </c>
      <c r="UR46" s="969">
        <v>22.556970569999997</v>
      </c>
      <c r="US46" s="969">
        <v>14.7088386</v>
      </c>
      <c r="UT46" s="969">
        <v>44.143587860000004</v>
      </c>
      <c r="UU46" s="969">
        <v>19.104381009999997</v>
      </c>
      <c r="UV46" s="969">
        <v>21.940787209999996</v>
      </c>
      <c r="UW46" s="969">
        <v>19.247262629999998</v>
      </c>
      <c r="UX46" s="969">
        <v>28.689383029999998</v>
      </c>
      <c r="UY46" s="969">
        <v>110.23098495999999</v>
      </c>
      <c r="UZ46" s="969">
        <v>52.306538290000006</v>
      </c>
      <c r="VA46" s="969">
        <v>44.745423900000006</v>
      </c>
      <c r="VB46" s="969">
        <v>13.259408580000001</v>
      </c>
      <c r="VC46" s="969">
        <v>200.75180455</v>
      </c>
      <c r="VD46" s="969">
        <v>203.07196042000001</v>
      </c>
      <c r="VE46" s="969">
        <v>63.734879880000001</v>
      </c>
      <c r="VF46" s="969">
        <v>335.18994578000002</v>
      </c>
      <c r="VG46" s="969">
        <v>551.54659776999995</v>
      </c>
      <c r="VH46" s="969">
        <v>496.58172283000005</v>
      </c>
      <c r="VI46" s="969">
        <v>447.89185082000006</v>
      </c>
      <c r="VJ46" s="969">
        <v>354.05532696000006</v>
      </c>
      <c r="VK46" s="969">
        <v>60.750699279999999</v>
      </c>
      <c r="VL46" s="969">
        <v>21.903888689999999</v>
      </c>
      <c r="VM46" s="969">
        <v>10.058639150000001</v>
      </c>
      <c r="VN46" s="969">
        <v>19.900398579999997</v>
      </c>
      <c r="VO46" s="969">
        <v>21.018185240000001</v>
      </c>
      <c r="VP46" s="969">
        <v>67.392684029999998</v>
      </c>
      <c r="VQ46" s="969">
        <v>40.608179860000007</v>
      </c>
      <c r="VR46" s="969">
        <v>179.36156139000002</v>
      </c>
      <c r="VS46" s="969">
        <v>13.810434510000002</v>
      </c>
      <c r="VT46" s="969">
        <v>9.7718795100000015</v>
      </c>
      <c r="VU46" s="969">
        <v>10.732192590000004</v>
      </c>
      <c r="VV46" s="969">
        <v>20.643945409999997</v>
      </c>
      <c r="VW46" s="969">
        <v>20.346377009999998</v>
      </c>
      <c r="VX46" s="969">
        <v>167.36561229000003</v>
      </c>
      <c r="VY46" s="969">
        <v>156.79781106999999</v>
      </c>
      <c r="VZ46" s="969">
        <v>26.086638649999998</v>
      </c>
      <c r="WA46" s="969">
        <v>21.746563149999997</v>
      </c>
      <c r="WB46" s="969">
        <v>22.766216199999995</v>
      </c>
      <c r="WC46" s="969">
        <v>17.586238679999997</v>
      </c>
      <c r="WD46" s="969">
        <v>2.046548429999997</v>
      </c>
      <c r="WE46" s="969">
        <v>2.8361599899999965</v>
      </c>
      <c r="WF46" s="969">
        <v>47.001310940000003</v>
      </c>
      <c r="WG46" s="969">
        <v>2.8782218500000014</v>
      </c>
      <c r="WH46" s="969">
        <v>2.7680686400000241</v>
      </c>
      <c r="WI46" s="969">
        <v>25.403479559999997</v>
      </c>
      <c r="WJ46" s="969">
        <v>53.054755839000002</v>
      </c>
      <c r="WK46" s="969">
        <v>61.334004039999996</v>
      </c>
      <c r="WL46" s="969">
        <v>60.388011670000012</v>
      </c>
      <c r="WM46" s="969">
        <v>33.712977550000005</v>
      </c>
      <c r="WN46" s="969">
        <v>12.245424199999999</v>
      </c>
      <c r="WO46" s="969">
        <v>5.4707417600000081</v>
      </c>
      <c r="WP46" s="969">
        <v>4.6477383999999997</v>
      </c>
      <c r="WQ46" s="969">
        <v>3.2670419176160004</v>
      </c>
      <c r="WR46" s="969">
        <v>14.634291269999999</v>
      </c>
      <c r="WS46" s="969">
        <v>41.176490059999999</v>
      </c>
      <c r="WT46" s="969">
        <v>35.764125859999993</v>
      </c>
      <c r="WU46" s="969">
        <v>44.684492689999999</v>
      </c>
      <c r="WV46" s="969">
        <v>40.165488769999996</v>
      </c>
      <c r="WW46" s="969">
        <v>35.670008859999989</v>
      </c>
      <c r="WX46" s="969">
        <v>31.52573799</v>
      </c>
      <c r="WY46" s="969">
        <v>106.80019828</v>
      </c>
      <c r="WZ46" s="969">
        <v>66.828934689999997</v>
      </c>
      <c r="XA46" s="969">
        <v>46.570611769999999</v>
      </c>
      <c r="XB46" s="969">
        <v>24.775392960000001</v>
      </c>
      <c r="XC46" s="969">
        <v>35.665343380000003</v>
      </c>
      <c r="XD46" s="969">
        <v>33.505060020000002</v>
      </c>
      <c r="XE46" s="969">
        <v>54.367909479999994</v>
      </c>
      <c r="XF46" s="969">
        <v>42.217467409999998</v>
      </c>
      <c r="XG46" s="969">
        <v>34.864423119999998</v>
      </c>
      <c r="XH46" s="969">
        <v>34.787970689999995</v>
      </c>
      <c r="XI46" s="969">
        <v>15.17013105</v>
      </c>
      <c r="XJ46" s="969">
        <v>96.613111410000002</v>
      </c>
      <c r="XK46" s="969">
        <v>33.001116970000005</v>
      </c>
      <c r="XL46" s="969">
        <v>42.565015199999991</v>
      </c>
      <c r="XM46" s="969">
        <v>42.565015199999991</v>
      </c>
      <c r="XN46" s="969">
        <v>42.565015199999991</v>
      </c>
      <c r="XO46" s="969">
        <v>45.467824149999998</v>
      </c>
      <c r="XP46" s="969">
        <v>31.05828747</v>
      </c>
      <c r="XQ46" s="969">
        <v>20.546530330000003</v>
      </c>
      <c r="XR46" s="969">
        <v>13.068939240000001</v>
      </c>
      <c r="XS46" s="969">
        <v>54.250429459999992</v>
      </c>
      <c r="XT46" s="969">
        <v>42.685829119999994</v>
      </c>
      <c r="XU46" s="969">
        <v>65.484493049999998</v>
      </c>
      <c r="XV46" s="969">
        <v>65.693064839999991</v>
      </c>
      <c r="XW46" s="969">
        <v>23.49932394</v>
      </c>
      <c r="XX46" s="969">
        <v>26.201496640000006</v>
      </c>
      <c r="XY46" s="969">
        <v>52.873784540000003</v>
      </c>
      <c r="XZ46" s="969">
        <v>73.966537029999998</v>
      </c>
      <c r="YA46" s="969">
        <v>24.886128100000001</v>
      </c>
      <c r="YB46" s="969">
        <v>34.443306400000004</v>
      </c>
      <c r="YC46" s="969">
        <v>64.108461849999998</v>
      </c>
      <c r="YD46" s="969">
        <v>67.757736230000006</v>
      </c>
      <c r="YE46" s="969">
        <v>63.019680270000002</v>
      </c>
      <c r="YF46" s="969">
        <v>126.47766616</v>
      </c>
      <c r="YG46" s="969">
        <v>130.40317332999999</v>
      </c>
      <c r="YH46" s="969">
        <v>113.60801106787001</v>
      </c>
    </row>
    <row r="47" spans="2:658">
      <c r="B47" s="917" t="s">
        <v>212</v>
      </c>
      <c r="C47" s="969">
        <v>0</v>
      </c>
      <c r="D47" s="969">
        <v>0</v>
      </c>
      <c r="E47" s="969">
        <v>0</v>
      </c>
      <c r="F47" s="969">
        <v>0</v>
      </c>
      <c r="G47" s="969">
        <v>0</v>
      </c>
      <c r="H47" s="969">
        <v>0</v>
      </c>
      <c r="I47" s="969">
        <v>0</v>
      </c>
      <c r="J47" s="969">
        <v>0</v>
      </c>
      <c r="K47" s="969">
        <v>0</v>
      </c>
      <c r="L47" s="969">
        <v>0</v>
      </c>
      <c r="M47" s="969">
        <v>0</v>
      </c>
      <c r="N47" s="969">
        <v>0</v>
      </c>
      <c r="O47" s="969">
        <v>0</v>
      </c>
      <c r="P47" s="969">
        <v>0</v>
      </c>
      <c r="Q47" s="969">
        <v>0</v>
      </c>
      <c r="R47" s="969">
        <v>0</v>
      </c>
      <c r="S47" s="969">
        <v>0</v>
      </c>
      <c r="T47" s="969">
        <v>0</v>
      </c>
      <c r="U47" s="969">
        <v>0</v>
      </c>
      <c r="V47" s="969">
        <v>0</v>
      </c>
      <c r="W47" s="969">
        <v>0</v>
      </c>
      <c r="X47" s="969">
        <v>0</v>
      </c>
      <c r="Y47" s="969">
        <v>0</v>
      </c>
      <c r="Z47" s="969">
        <v>0</v>
      </c>
      <c r="AA47" s="969">
        <v>0</v>
      </c>
      <c r="AB47" s="969">
        <v>0</v>
      </c>
      <c r="AC47" s="969">
        <v>0</v>
      </c>
      <c r="AD47" s="969">
        <v>0</v>
      </c>
      <c r="AE47" s="969">
        <v>0</v>
      </c>
      <c r="AF47" s="969">
        <v>0</v>
      </c>
      <c r="AG47" s="969">
        <v>0</v>
      </c>
      <c r="AH47" s="969">
        <v>0</v>
      </c>
      <c r="AI47" s="969">
        <v>0</v>
      </c>
      <c r="AJ47" s="969">
        <v>0</v>
      </c>
      <c r="AK47" s="969">
        <v>0</v>
      </c>
      <c r="AL47" s="969">
        <v>0</v>
      </c>
      <c r="AM47" s="969">
        <v>0</v>
      </c>
      <c r="AN47" s="969">
        <v>0</v>
      </c>
      <c r="AO47" s="969">
        <v>0</v>
      </c>
      <c r="AP47" s="969">
        <v>0</v>
      </c>
      <c r="AQ47" s="969">
        <v>0</v>
      </c>
      <c r="AR47" s="969">
        <v>0</v>
      </c>
      <c r="AS47" s="969">
        <v>0</v>
      </c>
      <c r="AT47" s="969">
        <v>0</v>
      </c>
      <c r="AU47" s="969">
        <v>0</v>
      </c>
      <c r="AV47" s="969">
        <v>0</v>
      </c>
      <c r="AW47" s="969">
        <v>0</v>
      </c>
      <c r="AX47" s="969">
        <v>0</v>
      </c>
      <c r="AY47" s="969">
        <v>0</v>
      </c>
      <c r="AZ47" s="969">
        <v>0</v>
      </c>
      <c r="BA47" s="969">
        <v>0</v>
      </c>
      <c r="BB47" s="969">
        <v>0</v>
      </c>
      <c r="BC47" s="969">
        <v>0</v>
      </c>
      <c r="BD47" s="969">
        <v>0</v>
      </c>
      <c r="BE47" s="969">
        <v>0</v>
      </c>
      <c r="BF47" s="969">
        <v>0</v>
      </c>
      <c r="BG47" s="969">
        <v>0</v>
      </c>
      <c r="BH47" s="969">
        <v>0</v>
      </c>
      <c r="BI47" s="969">
        <v>0</v>
      </c>
      <c r="BJ47" s="969">
        <v>0</v>
      </c>
      <c r="BK47" s="969">
        <v>0</v>
      </c>
      <c r="BL47" s="969">
        <v>0</v>
      </c>
      <c r="BM47" s="969">
        <v>0</v>
      </c>
      <c r="BN47" s="969">
        <v>0</v>
      </c>
      <c r="BO47" s="969">
        <v>0</v>
      </c>
      <c r="BP47" s="969">
        <v>0</v>
      </c>
      <c r="BQ47" s="969">
        <v>0</v>
      </c>
      <c r="BR47" s="969">
        <v>0</v>
      </c>
      <c r="BS47" s="969">
        <v>0</v>
      </c>
      <c r="BT47" s="969">
        <v>0</v>
      </c>
      <c r="BU47" s="969">
        <v>0</v>
      </c>
      <c r="BV47" s="969">
        <v>0</v>
      </c>
      <c r="BW47" s="969">
        <v>0</v>
      </c>
      <c r="BX47" s="969">
        <v>0</v>
      </c>
      <c r="BY47" s="969">
        <v>0</v>
      </c>
      <c r="BZ47" s="969">
        <v>0</v>
      </c>
      <c r="CA47" s="969">
        <v>0</v>
      </c>
      <c r="CB47" s="969">
        <v>0</v>
      </c>
      <c r="CC47" s="969">
        <v>0</v>
      </c>
      <c r="CD47" s="969">
        <v>0</v>
      </c>
      <c r="CE47" s="969">
        <v>0</v>
      </c>
      <c r="CF47" s="969">
        <v>0</v>
      </c>
      <c r="CG47" s="969">
        <v>0</v>
      </c>
      <c r="CH47" s="969">
        <v>0</v>
      </c>
      <c r="CI47" s="969">
        <v>0</v>
      </c>
      <c r="CJ47" s="969">
        <v>0</v>
      </c>
      <c r="CK47" s="969">
        <v>0</v>
      </c>
      <c r="CL47" s="969">
        <v>0</v>
      </c>
      <c r="CM47" s="969">
        <v>0</v>
      </c>
      <c r="CN47" s="969">
        <v>0</v>
      </c>
      <c r="CO47" s="969">
        <v>0</v>
      </c>
      <c r="CP47" s="969">
        <v>0</v>
      </c>
      <c r="CQ47" s="969">
        <v>0</v>
      </c>
      <c r="CR47" s="969">
        <v>0</v>
      </c>
      <c r="CS47" s="969">
        <v>0</v>
      </c>
      <c r="CT47" s="969">
        <v>0</v>
      </c>
      <c r="CU47" s="969">
        <v>0</v>
      </c>
      <c r="CV47" s="969">
        <v>0</v>
      </c>
      <c r="CW47" s="969">
        <v>0</v>
      </c>
      <c r="CX47" s="969">
        <v>0</v>
      </c>
      <c r="CY47" s="969">
        <v>0</v>
      </c>
      <c r="CZ47" s="969">
        <v>0</v>
      </c>
      <c r="DA47" s="969">
        <v>0</v>
      </c>
      <c r="DB47" s="969">
        <v>0</v>
      </c>
      <c r="DC47" s="969">
        <v>0</v>
      </c>
      <c r="DD47" s="969">
        <v>0</v>
      </c>
      <c r="DE47" s="969">
        <v>0</v>
      </c>
      <c r="DF47" s="969">
        <v>0</v>
      </c>
      <c r="DG47" s="969">
        <v>0</v>
      </c>
      <c r="DH47" s="969">
        <v>0</v>
      </c>
      <c r="DI47" s="969">
        <v>0</v>
      </c>
      <c r="DJ47" s="969">
        <v>0</v>
      </c>
      <c r="DK47" s="969">
        <v>0</v>
      </c>
      <c r="DL47" s="969">
        <v>0</v>
      </c>
      <c r="DM47" s="969">
        <v>0</v>
      </c>
      <c r="DN47" s="969">
        <v>0</v>
      </c>
      <c r="DO47" s="969">
        <v>0</v>
      </c>
      <c r="DP47" s="969">
        <v>0</v>
      </c>
      <c r="DQ47" s="969">
        <v>0</v>
      </c>
      <c r="DR47" s="969">
        <v>0</v>
      </c>
      <c r="DS47" s="969">
        <v>0</v>
      </c>
      <c r="DT47" s="969">
        <v>0</v>
      </c>
      <c r="DU47" s="969">
        <v>0</v>
      </c>
      <c r="DV47" s="969">
        <v>0</v>
      </c>
      <c r="DW47" s="969">
        <v>0</v>
      </c>
      <c r="DX47" s="969">
        <v>0</v>
      </c>
      <c r="DY47" s="969">
        <v>0</v>
      </c>
      <c r="DZ47" s="969">
        <v>0</v>
      </c>
      <c r="EA47" s="969">
        <v>0</v>
      </c>
      <c r="EB47" s="969">
        <v>0</v>
      </c>
      <c r="EC47" s="969">
        <v>0</v>
      </c>
      <c r="ED47" s="969">
        <v>0</v>
      </c>
      <c r="EE47" s="969">
        <v>0</v>
      </c>
      <c r="EF47" s="969">
        <v>0</v>
      </c>
      <c r="EG47" s="969">
        <v>0</v>
      </c>
      <c r="EH47" s="969">
        <v>0</v>
      </c>
      <c r="EI47" s="969">
        <v>0</v>
      </c>
      <c r="EJ47" s="969">
        <v>0</v>
      </c>
      <c r="EK47" s="969">
        <v>0</v>
      </c>
      <c r="EL47" s="969">
        <v>0</v>
      </c>
      <c r="EM47" s="969">
        <v>0</v>
      </c>
      <c r="EN47" s="969">
        <v>0</v>
      </c>
      <c r="EO47" s="969">
        <v>0</v>
      </c>
      <c r="EP47" s="969">
        <v>0</v>
      </c>
      <c r="EQ47" s="969">
        <v>0</v>
      </c>
      <c r="ER47" s="969">
        <v>0</v>
      </c>
      <c r="ES47" s="969">
        <v>0</v>
      </c>
      <c r="ET47" s="969">
        <v>0</v>
      </c>
      <c r="EU47" s="969">
        <v>0</v>
      </c>
      <c r="EV47" s="969">
        <v>0</v>
      </c>
      <c r="EW47" s="969">
        <v>0</v>
      </c>
      <c r="EX47" s="969">
        <v>0</v>
      </c>
      <c r="EY47" s="969">
        <v>0</v>
      </c>
      <c r="EZ47" s="969">
        <v>0</v>
      </c>
      <c r="FA47" s="969">
        <v>0</v>
      </c>
      <c r="FB47" s="969">
        <v>0</v>
      </c>
      <c r="FC47" s="969">
        <v>0</v>
      </c>
      <c r="FD47" s="969">
        <v>0</v>
      </c>
      <c r="FE47" s="969">
        <v>0</v>
      </c>
      <c r="FF47" s="969">
        <v>0</v>
      </c>
      <c r="FG47" s="969">
        <v>0</v>
      </c>
      <c r="FH47" s="969">
        <v>0</v>
      </c>
      <c r="FI47" s="969">
        <v>0</v>
      </c>
      <c r="FJ47" s="969">
        <v>0</v>
      </c>
      <c r="FK47" s="969">
        <v>0</v>
      </c>
      <c r="FL47" s="969">
        <v>0</v>
      </c>
      <c r="FM47" s="969">
        <v>0</v>
      </c>
      <c r="FN47" s="969">
        <v>0</v>
      </c>
      <c r="FO47" s="969">
        <v>0</v>
      </c>
      <c r="FP47" s="969">
        <v>0</v>
      </c>
      <c r="FQ47" s="969">
        <v>0</v>
      </c>
      <c r="FR47" s="969">
        <v>0</v>
      </c>
      <c r="FS47" s="969">
        <v>0</v>
      </c>
      <c r="FT47" s="969">
        <v>0</v>
      </c>
      <c r="FU47" s="969">
        <v>0</v>
      </c>
      <c r="FV47" s="969">
        <v>0</v>
      </c>
      <c r="FW47" s="969">
        <v>0</v>
      </c>
      <c r="FX47" s="969">
        <v>0</v>
      </c>
      <c r="FY47" s="969">
        <v>0</v>
      </c>
      <c r="FZ47" s="969">
        <v>0</v>
      </c>
      <c r="GA47" s="969">
        <v>0</v>
      </c>
      <c r="GB47" s="969">
        <v>0</v>
      </c>
      <c r="GC47" s="969">
        <v>0</v>
      </c>
      <c r="GD47" s="969">
        <v>0</v>
      </c>
      <c r="GE47" s="969">
        <v>0</v>
      </c>
      <c r="GF47" s="969">
        <v>0</v>
      </c>
      <c r="GG47" s="969">
        <v>0</v>
      </c>
      <c r="GH47" s="969">
        <v>0</v>
      </c>
      <c r="GI47" s="969">
        <v>0</v>
      </c>
      <c r="GJ47" s="969">
        <v>0</v>
      </c>
      <c r="GK47" s="969">
        <v>0</v>
      </c>
      <c r="GL47" s="969">
        <v>0</v>
      </c>
      <c r="GM47" s="969">
        <v>0</v>
      </c>
      <c r="GN47" s="969">
        <v>0</v>
      </c>
      <c r="GO47" s="969">
        <v>0</v>
      </c>
      <c r="GP47" s="969">
        <v>0</v>
      </c>
      <c r="GQ47" s="969">
        <v>0</v>
      </c>
      <c r="GR47" s="969">
        <v>0</v>
      </c>
      <c r="GS47" s="969">
        <v>0</v>
      </c>
      <c r="GT47" s="969">
        <v>0</v>
      </c>
      <c r="GU47" s="969">
        <v>0</v>
      </c>
      <c r="GV47" s="969">
        <v>0</v>
      </c>
      <c r="GW47" s="969">
        <v>0</v>
      </c>
      <c r="GX47" s="969">
        <v>0</v>
      </c>
      <c r="GY47" s="969">
        <v>0</v>
      </c>
      <c r="GZ47" s="969">
        <v>0</v>
      </c>
      <c r="HA47" s="969">
        <v>0</v>
      </c>
      <c r="HB47" s="969">
        <v>0</v>
      </c>
      <c r="HC47" s="969">
        <v>0</v>
      </c>
      <c r="HD47" s="969">
        <v>0</v>
      </c>
      <c r="HE47" s="969">
        <v>0</v>
      </c>
      <c r="HF47" s="969">
        <v>0</v>
      </c>
      <c r="HG47" s="969">
        <v>0</v>
      </c>
      <c r="HH47" s="969">
        <v>0</v>
      </c>
      <c r="HI47" s="969">
        <v>0</v>
      </c>
      <c r="HJ47" s="969">
        <v>0</v>
      </c>
      <c r="HK47" s="969">
        <v>0</v>
      </c>
      <c r="HL47" s="969">
        <v>0</v>
      </c>
      <c r="HM47" s="969">
        <v>0</v>
      </c>
      <c r="HN47" s="969">
        <v>0</v>
      </c>
      <c r="HO47" s="969">
        <v>0</v>
      </c>
      <c r="HP47" s="969">
        <v>0</v>
      </c>
      <c r="HQ47" s="969">
        <v>0</v>
      </c>
      <c r="HR47" s="969">
        <v>0</v>
      </c>
      <c r="HS47" s="969">
        <v>0</v>
      </c>
      <c r="HT47" s="969">
        <v>0</v>
      </c>
      <c r="HU47" s="969">
        <v>0</v>
      </c>
      <c r="HV47" s="969">
        <v>0</v>
      </c>
      <c r="HW47" s="969">
        <v>0</v>
      </c>
      <c r="HX47" s="969">
        <v>0</v>
      </c>
      <c r="HY47" s="969">
        <v>0</v>
      </c>
      <c r="HZ47" s="969">
        <v>0</v>
      </c>
      <c r="IA47" s="969">
        <v>0</v>
      </c>
      <c r="IB47" s="969">
        <v>0</v>
      </c>
      <c r="IC47" s="969">
        <v>0</v>
      </c>
      <c r="ID47" s="969">
        <v>0</v>
      </c>
      <c r="IE47" s="969">
        <v>0</v>
      </c>
      <c r="IF47" s="969">
        <v>0</v>
      </c>
      <c r="IG47" s="969">
        <v>0</v>
      </c>
      <c r="IH47" s="969">
        <v>0</v>
      </c>
      <c r="II47" s="969">
        <v>0</v>
      </c>
      <c r="IJ47" s="969">
        <v>0</v>
      </c>
      <c r="IK47" s="969">
        <v>0</v>
      </c>
      <c r="IL47" s="969">
        <v>0</v>
      </c>
      <c r="IM47" s="969">
        <v>0</v>
      </c>
      <c r="IN47" s="969">
        <v>0</v>
      </c>
      <c r="IO47" s="969">
        <v>0</v>
      </c>
      <c r="IP47" s="969">
        <v>0</v>
      </c>
      <c r="IQ47" s="969">
        <v>0</v>
      </c>
      <c r="IR47" s="969">
        <v>0</v>
      </c>
      <c r="IS47" s="969">
        <v>0</v>
      </c>
      <c r="IT47" s="969">
        <v>0</v>
      </c>
      <c r="IU47" s="969">
        <v>0</v>
      </c>
      <c r="IV47" s="969">
        <v>0</v>
      </c>
      <c r="IW47" s="969">
        <v>0</v>
      </c>
      <c r="IX47" s="969">
        <v>0</v>
      </c>
      <c r="IY47" s="969">
        <v>0</v>
      </c>
      <c r="IZ47" s="969">
        <v>0</v>
      </c>
      <c r="JA47" s="969">
        <v>0</v>
      </c>
      <c r="JB47" s="969">
        <v>0</v>
      </c>
      <c r="JC47" s="969">
        <v>0</v>
      </c>
      <c r="JD47" s="969">
        <v>0</v>
      </c>
      <c r="JE47" s="969">
        <v>0</v>
      </c>
      <c r="JF47" s="969">
        <v>0</v>
      </c>
      <c r="JG47" s="969">
        <v>0</v>
      </c>
      <c r="JH47" s="969">
        <v>0</v>
      </c>
      <c r="JI47" s="969">
        <v>0</v>
      </c>
      <c r="JJ47" s="969">
        <v>0</v>
      </c>
      <c r="JK47" s="969">
        <v>0</v>
      </c>
      <c r="JL47" s="969">
        <v>0</v>
      </c>
      <c r="JM47" s="969">
        <v>0</v>
      </c>
      <c r="JN47" s="969">
        <v>0</v>
      </c>
      <c r="JO47" s="969">
        <v>0</v>
      </c>
      <c r="JP47" s="969">
        <v>0</v>
      </c>
      <c r="JQ47" s="969">
        <v>0</v>
      </c>
      <c r="JR47" s="969">
        <v>0</v>
      </c>
      <c r="JS47" s="969">
        <v>0</v>
      </c>
      <c r="JT47" s="969">
        <v>0</v>
      </c>
      <c r="JU47" s="969">
        <v>0</v>
      </c>
      <c r="JV47" s="969">
        <v>0</v>
      </c>
      <c r="JW47" s="969">
        <v>0</v>
      </c>
      <c r="JX47" s="969">
        <v>0</v>
      </c>
      <c r="JY47" s="969">
        <v>0</v>
      </c>
      <c r="JZ47" s="969">
        <v>0</v>
      </c>
      <c r="KA47" s="969">
        <v>0</v>
      </c>
      <c r="KB47" s="969">
        <v>0</v>
      </c>
      <c r="KC47" s="969">
        <v>0</v>
      </c>
      <c r="KD47" s="969">
        <v>0</v>
      </c>
      <c r="KE47" s="969">
        <v>0</v>
      </c>
      <c r="KF47" s="969">
        <v>0</v>
      </c>
      <c r="KG47" s="969">
        <v>0</v>
      </c>
      <c r="KH47" s="969">
        <v>0</v>
      </c>
      <c r="KI47" s="969">
        <v>0</v>
      </c>
      <c r="KJ47" s="969">
        <v>0</v>
      </c>
      <c r="KK47" s="969">
        <v>0</v>
      </c>
      <c r="KL47" s="969">
        <v>0</v>
      </c>
      <c r="KM47" s="969">
        <v>0</v>
      </c>
      <c r="KN47" s="969">
        <v>0</v>
      </c>
      <c r="KO47" s="969">
        <v>0</v>
      </c>
      <c r="KP47" s="969">
        <v>0</v>
      </c>
      <c r="KQ47" s="969">
        <v>0</v>
      </c>
      <c r="KR47" s="969">
        <v>0</v>
      </c>
      <c r="KS47" s="969">
        <v>0</v>
      </c>
      <c r="KT47" s="969">
        <v>0</v>
      </c>
      <c r="KU47" s="969">
        <v>0</v>
      </c>
      <c r="KV47" s="969">
        <v>0</v>
      </c>
      <c r="KW47" s="969">
        <v>0</v>
      </c>
      <c r="KX47" s="969">
        <v>0</v>
      </c>
      <c r="KY47" s="969">
        <v>0</v>
      </c>
      <c r="KZ47" s="969">
        <v>0</v>
      </c>
      <c r="LA47" s="969">
        <v>0</v>
      </c>
      <c r="LB47" s="969">
        <v>0</v>
      </c>
      <c r="LC47" s="969">
        <v>0</v>
      </c>
      <c r="LD47" s="969">
        <v>0</v>
      </c>
      <c r="LE47" s="969">
        <v>0</v>
      </c>
      <c r="LF47" s="969">
        <v>0</v>
      </c>
      <c r="LG47" s="969">
        <v>0</v>
      </c>
      <c r="LH47" s="969">
        <v>0</v>
      </c>
      <c r="LI47" s="969">
        <v>0</v>
      </c>
      <c r="LJ47" s="969">
        <v>0</v>
      </c>
      <c r="LK47" s="969">
        <v>4.7883800000000001</v>
      </c>
      <c r="LL47" s="969">
        <v>4.7703660000000001</v>
      </c>
      <c r="LM47" s="969">
        <v>4.7703660000000001</v>
      </c>
      <c r="LN47" s="969">
        <v>4.7703660000000001</v>
      </c>
      <c r="LO47" s="969">
        <v>4.7703660000000001</v>
      </c>
      <c r="LP47" s="969">
        <v>4.7703660000000001</v>
      </c>
      <c r="LQ47" s="969">
        <v>4.7703660000000001</v>
      </c>
      <c r="LR47" s="969">
        <v>4.5945200000000002</v>
      </c>
      <c r="LS47" s="969">
        <v>4.5945200000000002</v>
      </c>
      <c r="LT47" s="969">
        <v>4.5945200000000002</v>
      </c>
      <c r="LU47" s="969">
        <v>4.5945200000000002</v>
      </c>
      <c r="LV47" s="969">
        <v>4.5343450000000001</v>
      </c>
      <c r="LW47" s="969">
        <v>4.5343450000000001</v>
      </c>
      <c r="LX47" s="969">
        <v>4.5343450000000001</v>
      </c>
      <c r="LY47" s="969">
        <v>4.5343450000000001</v>
      </c>
      <c r="LZ47" s="969">
        <v>2.7651409999999998</v>
      </c>
      <c r="MA47" s="969">
        <v>2.7736640000000001</v>
      </c>
      <c r="MB47" s="969">
        <v>2.7736640000000001</v>
      </c>
      <c r="MC47" s="969">
        <v>2.7736640000000001</v>
      </c>
      <c r="MD47" s="969">
        <v>2.6664949999999998</v>
      </c>
      <c r="ME47" s="969">
        <v>2.6664949999999998</v>
      </c>
      <c r="MF47" s="969">
        <v>2.6393779999999998</v>
      </c>
      <c r="MG47" s="969">
        <v>2.6393779999999998</v>
      </c>
      <c r="MH47" s="969">
        <v>2.6393779999999998</v>
      </c>
      <c r="MI47" s="969">
        <v>2.6393779999999998</v>
      </c>
      <c r="MJ47" s="969">
        <v>2.6393779999999998</v>
      </c>
      <c r="MK47" s="969">
        <v>2.4049909999999999</v>
      </c>
      <c r="ML47" s="969">
        <v>1.9895240000000001</v>
      </c>
      <c r="MM47" s="969">
        <v>1.9895240000000001</v>
      </c>
      <c r="MN47" s="969">
        <v>1.9895240000000001</v>
      </c>
      <c r="MO47" s="969">
        <v>1.9895240000000001</v>
      </c>
      <c r="MP47" s="969">
        <v>1.949249</v>
      </c>
      <c r="MQ47" s="969">
        <v>1.929249</v>
      </c>
      <c r="MR47" s="969">
        <v>1.929249</v>
      </c>
      <c r="MS47" s="969">
        <v>1.929249</v>
      </c>
      <c r="MT47" s="969">
        <v>1.929249</v>
      </c>
      <c r="MU47" s="969">
        <v>1.929249</v>
      </c>
      <c r="MV47" s="969">
        <v>1.8980859999999999</v>
      </c>
      <c r="MW47" s="969">
        <v>1.8980859999999999</v>
      </c>
      <c r="MX47" s="969">
        <v>1.8980859999999999</v>
      </c>
      <c r="MY47" s="969">
        <v>1.8980859999999999</v>
      </c>
      <c r="MZ47" s="969">
        <v>1.8980859999999999</v>
      </c>
      <c r="NA47" s="969">
        <v>1.854457</v>
      </c>
      <c r="NB47" s="969">
        <v>1.854457</v>
      </c>
      <c r="NC47" s="969">
        <v>1.854457</v>
      </c>
      <c r="ND47" s="969">
        <v>1.8489370000000001</v>
      </c>
      <c r="NE47" s="969">
        <v>1.8489370000000001</v>
      </c>
      <c r="NF47" s="969">
        <v>1.8489370000000001</v>
      </c>
      <c r="NG47" s="969">
        <v>1.8489370000000001</v>
      </c>
      <c r="NH47" s="969">
        <v>0.20150899999999999</v>
      </c>
      <c r="NI47" s="969">
        <v>0.20150899999999999</v>
      </c>
      <c r="NJ47" s="969">
        <v>0.20150899999999999</v>
      </c>
      <c r="NK47" s="969">
        <v>0.20150899999999999</v>
      </c>
      <c r="NL47" s="969">
        <v>0.42996000000000001</v>
      </c>
      <c r="NM47" s="969">
        <v>0.42996000000000001</v>
      </c>
      <c r="NN47" s="969">
        <v>0.54152900000000004</v>
      </c>
      <c r="NO47" s="969">
        <v>0.54152900000000004</v>
      </c>
      <c r="NP47" s="969">
        <v>0.54152900000000004</v>
      </c>
      <c r="NQ47" s="969">
        <v>0.25114599999999998</v>
      </c>
      <c r="NR47" s="969">
        <v>0.25114599999999998</v>
      </c>
      <c r="NS47" s="969">
        <v>0.25114599999999998</v>
      </c>
      <c r="NT47" s="969">
        <v>0.25114599999999998</v>
      </c>
      <c r="NU47" s="969">
        <v>0.25114599999999998</v>
      </c>
      <c r="NV47" s="969">
        <v>0.25114599999999998</v>
      </c>
      <c r="NW47" s="969">
        <v>0.25114599999999998</v>
      </c>
      <c r="NX47" s="969">
        <v>0.25114599999999998</v>
      </c>
      <c r="NY47" s="969">
        <v>0.25114599999999998</v>
      </c>
      <c r="NZ47" s="969">
        <v>0.25114599999999998</v>
      </c>
      <c r="OA47" s="969">
        <v>0.22345999999999999</v>
      </c>
      <c r="OB47" s="969">
        <v>0.22345999999999999</v>
      </c>
      <c r="OC47" s="969">
        <v>0.22345999999999999</v>
      </c>
      <c r="OD47" s="969">
        <v>0.22345999999999999</v>
      </c>
      <c r="OE47" s="969">
        <v>0.22345999999999999</v>
      </c>
      <c r="OF47" s="969">
        <v>0.22345999999999999</v>
      </c>
      <c r="OG47" s="969">
        <v>0.22345999999999999</v>
      </c>
      <c r="OH47" s="969">
        <v>0.22345999999999999</v>
      </c>
      <c r="OI47" s="969">
        <v>0.22345999999999999</v>
      </c>
      <c r="OJ47" s="969">
        <v>0.13714792000000001</v>
      </c>
      <c r="OK47" s="969">
        <v>0.13714792000000001</v>
      </c>
      <c r="OL47" s="969">
        <v>0.13714792000000001</v>
      </c>
      <c r="OM47" s="969">
        <v>0.13714792000000001</v>
      </c>
      <c r="ON47" s="969">
        <v>0.13714792000000001</v>
      </c>
      <c r="OO47" s="969">
        <v>0.13714792000000001</v>
      </c>
      <c r="OP47" s="969">
        <v>0.13714792000000001</v>
      </c>
      <c r="OQ47" s="969">
        <v>0.20328228000000001</v>
      </c>
      <c r="OR47" s="969">
        <v>0.20328228000000001</v>
      </c>
      <c r="OS47" s="969">
        <v>0.20328228000000001</v>
      </c>
      <c r="OT47" s="969">
        <v>0.20328228000000001</v>
      </c>
      <c r="OU47" s="969">
        <v>0.20328228000000001</v>
      </c>
      <c r="OV47" s="969">
        <v>0.20328228000000001</v>
      </c>
      <c r="OW47" s="969">
        <v>0.20328228000000001</v>
      </c>
      <c r="OX47" s="969">
        <v>0.13714791999999998</v>
      </c>
      <c r="OY47" s="969">
        <v>0.13714791999999998</v>
      </c>
      <c r="OZ47" s="969">
        <v>0.13714791999999998</v>
      </c>
      <c r="PA47" s="969">
        <v>5.5029229999999998E-2</v>
      </c>
      <c r="PB47" s="969">
        <v>5.5029229999999998E-2</v>
      </c>
      <c r="PC47" s="969">
        <v>5.5029229999999998E-2</v>
      </c>
      <c r="PD47" s="969">
        <v>5.5029229999999998E-2</v>
      </c>
      <c r="PE47" s="969">
        <v>5.5029229999999998E-2</v>
      </c>
      <c r="PF47" s="969">
        <v>5.5029229999999998E-2</v>
      </c>
      <c r="PG47" s="969">
        <v>5.5029229999999998E-2</v>
      </c>
      <c r="PH47" s="969">
        <v>5.5029229999999998E-2</v>
      </c>
      <c r="PI47" s="969">
        <v>5.5029229999999998E-2</v>
      </c>
      <c r="PJ47" s="969">
        <v>5.5029229999999998E-2</v>
      </c>
      <c r="PK47" s="969">
        <v>5.5029229999999998E-2</v>
      </c>
      <c r="PL47" s="969">
        <v>5.5029229999999998E-2</v>
      </c>
      <c r="PM47" s="969">
        <v>5.5029229999999998E-2</v>
      </c>
      <c r="PN47" s="969">
        <v>5.5029229999999998E-2</v>
      </c>
      <c r="PO47" s="969">
        <v>5.5029229999999998E-2</v>
      </c>
      <c r="PP47" s="969">
        <v>5.5029229999999998E-2</v>
      </c>
      <c r="PQ47" s="969">
        <v>3.3465000000000002E-2</v>
      </c>
      <c r="PR47" s="969">
        <v>3.3465000000000002E-2</v>
      </c>
      <c r="PS47" s="969">
        <v>3.3465000000000002E-2</v>
      </c>
      <c r="PT47" s="969">
        <v>3.3465000000000002E-2</v>
      </c>
      <c r="PU47" s="969">
        <v>3.3465000000000002E-2</v>
      </c>
      <c r="PV47" s="969">
        <v>2.651411E-2</v>
      </c>
      <c r="PW47" s="969">
        <v>2.651411E-2</v>
      </c>
      <c r="PX47" s="969">
        <v>2.651411E-2</v>
      </c>
      <c r="PY47" s="969">
        <v>2.651411E-2</v>
      </c>
      <c r="PZ47" s="969">
        <v>2.651411E-2</v>
      </c>
      <c r="QA47" s="969">
        <v>2.651411E-2</v>
      </c>
      <c r="QB47" s="969">
        <v>2.651411E-2</v>
      </c>
      <c r="QC47" s="969">
        <v>2.651411E-2</v>
      </c>
      <c r="QD47" s="969">
        <v>2.651411E-2</v>
      </c>
      <c r="QE47" s="969">
        <v>7.5606599999999996E-2</v>
      </c>
      <c r="QF47" s="969">
        <v>7.5606599999999996E-2</v>
      </c>
      <c r="QG47" s="969">
        <v>7.5606599999999996E-2</v>
      </c>
      <c r="QH47" s="969">
        <v>7.5606599999999996E-2</v>
      </c>
      <c r="QI47" s="969">
        <v>7.5606599999999996E-2</v>
      </c>
      <c r="QJ47" s="969">
        <v>7.5606599999999996E-2</v>
      </c>
      <c r="QK47" s="969">
        <v>7.5606599999999996E-2</v>
      </c>
      <c r="QL47" s="969">
        <v>7.5606599999999996E-2</v>
      </c>
      <c r="QM47" s="969">
        <v>7.5606599999999996E-2</v>
      </c>
      <c r="QN47" s="969">
        <v>7.5606599999999996E-2</v>
      </c>
      <c r="QO47" s="969">
        <v>6.8064479999999997E-2</v>
      </c>
      <c r="QP47" s="969">
        <v>6.8064479999999997E-2</v>
      </c>
      <c r="QQ47" s="969">
        <v>6.8064479999999997E-2</v>
      </c>
      <c r="QR47" s="969">
        <v>6.8064479999999997E-2</v>
      </c>
      <c r="QS47" s="969">
        <v>6.8064479999999997E-2</v>
      </c>
      <c r="QT47" s="969">
        <v>6.8064479999999997E-2</v>
      </c>
      <c r="QU47" s="969">
        <v>6.8064479999999997E-2</v>
      </c>
      <c r="QV47" s="969">
        <v>6.8064479999999997E-2</v>
      </c>
      <c r="QW47" s="969">
        <v>9.1336749999999994E-2</v>
      </c>
      <c r="QX47" s="969">
        <v>9.1336749999999994E-2</v>
      </c>
      <c r="QY47" s="969">
        <v>9.1336749999999994E-2</v>
      </c>
      <c r="QZ47" s="969">
        <v>9.1336749999999994E-2</v>
      </c>
      <c r="RA47" s="969">
        <v>9.1136770000000006E-2</v>
      </c>
      <c r="RB47" s="969">
        <v>0.17577999999999999</v>
      </c>
      <c r="RC47" s="969">
        <v>0.17577999999999999</v>
      </c>
      <c r="RD47" s="969">
        <v>0.17577999999999999</v>
      </c>
      <c r="RE47" s="969">
        <v>0.20914283</v>
      </c>
      <c r="RF47" s="969">
        <v>0.20914283</v>
      </c>
      <c r="RG47" s="969">
        <v>0.16524183000000001</v>
      </c>
      <c r="RH47" s="969">
        <v>0.16524183000000001</v>
      </c>
      <c r="RI47" s="969">
        <v>0.16805295000000001</v>
      </c>
      <c r="RJ47" s="969">
        <v>0.16805295000000001</v>
      </c>
      <c r="RK47" s="969">
        <v>0.16805295000000001</v>
      </c>
      <c r="RL47" s="969">
        <v>0.16805295000000001</v>
      </c>
      <c r="RM47" s="969">
        <v>0.16805295000000001</v>
      </c>
      <c r="RN47" s="969">
        <v>0.16805295000000001</v>
      </c>
      <c r="RO47" s="969">
        <v>0.16805295000000001</v>
      </c>
      <c r="RP47" s="969">
        <v>0.16805295000000001</v>
      </c>
      <c r="RQ47" s="969">
        <v>0.12517363000000001</v>
      </c>
      <c r="RR47" s="969">
        <v>9.5173630000000009E-2</v>
      </c>
      <c r="RS47" s="969">
        <v>9.5173630000000009E-2</v>
      </c>
      <c r="RT47" s="969">
        <v>9.5173630000000009E-2</v>
      </c>
      <c r="RU47" s="969">
        <v>9.5173630000000009E-2</v>
      </c>
      <c r="RV47" s="969">
        <v>9.5173630000000009E-2</v>
      </c>
      <c r="RW47" s="969">
        <v>9.5173630000000009E-2</v>
      </c>
      <c r="RX47" s="969">
        <v>9.5173630000000009E-2</v>
      </c>
      <c r="RY47" s="969">
        <v>9.5173630000000009E-2</v>
      </c>
      <c r="RZ47" s="969">
        <v>9.5173630000000009E-2</v>
      </c>
      <c r="SA47" s="969">
        <v>9.5173630000000009E-2</v>
      </c>
      <c r="SB47" s="969">
        <v>9.5173630000000009E-2</v>
      </c>
      <c r="SC47" s="969">
        <v>9.5173630000000009E-2</v>
      </c>
      <c r="SD47" s="969">
        <v>2.604399E-2</v>
      </c>
      <c r="SE47" s="969">
        <v>6.1198748399999996</v>
      </c>
      <c r="SF47" s="969">
        <v>6.1198748399999996</v>
      </c>
      <c r="SG47" s="969">
        <v>6.1031633599999999</v>
      </c>
      <c r="SH47" s="969">
        <v>6.1031633599999999</v>
      </c>
      <c r="SI47" s="969">
        <v>6.0887158399999999</v>
      </c>
      <c r="SJ47" s="969">
        <v>6.0887158399999999</v>
      </c>
      <c r="SK47" s="969">
        <v>6.0887158399999999</v>
      </c>
      <c r="SL47" s="969">
        <v>5.8494997499999997</v>
      </c>
      <c r="SM47" s="969">
        <v>5.8494997499999997</v>
      </c>
      <c r="SN47" s="969">
        <v>5.8494997499999997</v>
      </c>
      <c r="SO47" s="969">
        <v>5.8494997499999997</v>
      </c>
      <c r="SP47" s="969">
        <v>5.8494997499999997</v>
      </c>
      <c r="SQ47" s="969">
        <v>5.8494997499999997</v>
      </c>
      <c r="SR47" s="969">
        <v>5.2420703</v>
      </c>
      <c r="SS47" s="969">
        <v>5.2420703</v>
      </c>
      <c r="ST47" s="969">
        <v>5.2420703</v>
      </c>
      <c r="SU47" s="969">
        <v>5.2420703</v>
      </c>
      <c r="SV47" s="969">
        <v>5.2420703</v>
      </c>
      <c r="SW47" s="969">
        <v>5.0415519199999999</v>
      </c>
      <c r="SX47" s="969">
        <v>5.0415519199999999</v>
      </c>
      <c r="SY47" s="969">
        <v>5.0415519199999999</v>
      </c>
      <c r="SZ47" s="969">
        <v>5.0237997999999999</v>
      </c>
      <c r="TA47" s="969">
        <v>5.0237997999999999</v>
      </c>
      <c r="TB47" s="969">
        <v>5.0237997999999999</v>
      </c>
      <c r="TC47" s="969">
        <v>5.0237997999999999</v>
      </c>
      <c r="TD47" s="969">
        <v>5.0237997999999999</v>
      </c>
      <c r="TE47" s="969">
        <v>5.0237997999999999</v>
      </c>
      <c r="TF47" s="969">
        <f>4999275.48/1000000</f>
        <v>4.9992754800000005</v>
      </c>
      <c r="TG47" s="969">
        <v>4.5793152699999995</v>
      </c>
      <c r="TH47" s="969">
        <v>4.5793152699999995</v>
      </c>
      <c r="TI47" s="969">
        <v>4.5793152699999995</v>
      </c>
      <c r="TJ47" s="969">
        <v>4.5793152699999995</v>
      </c>
      <c r="TK47" s="969">
        <v>4.5793152699999995</v>
      </c>
      <c r="TL47" s="969">
        <v>4.5793152699999995</v>
      </c>
      <c r="TM47" s="969">
        <v>4.5793152699999995</v>
      </c>
      <c r="TN47" s="969">
        <v>4.5793152699999995</v>
      </c>
      <c r="TO47" s="969">
        <v>4.4352517899999997</v>
      </c>
      <c r="TP47" s="969">
        <v>4.35613779</v>
      </c>
      <c r="TQ47" s="969">
        <v>4.35613779</v>
      </c>
      <c r="TR47" s="969">
        <v>4.35613779</v>
      </c>
      <c r="TS47" s="969">
        <v>4.35613779</v>
      </c>
      <c r="TT47" s="969">
        <v>4.35613779</v>
      </c>
      <c r="TU47" s="969">
        <v>4.2788154299999999</v>
      </c>
      <c r="TV47" s="969">
        <v>4.2788154299999999</v>
      </c>
      <c r="TW47" s="969">
        <v>4.2788154299999999</v>
      </c>
      <c r="TX47" s="969">
        <v>4.2788154299999999</v>
      </c>
      <c r="TY47" s="969">
        <v>4.2788154299999999</v>
      </c>
      <c r="TZ47" s="969">
        <v>4.2788154299999999</v>
      </c>
      <c r="UA47" s="969">
        <v>4.2788154299999999</v>
      </c>
      <c r="UB47" s="969">
        <v>4.2788154299999999</v>
      </c>
      <c r="UC47" s="969">
        <f>4185663.63/1000000</f>
        <v>4.1856636299999996</v>
      </c>
      <c r="UD47" s="969">
        <f>4185663.63/1000000</f>
        <v>4.1856636299999996</v>
      </c>
      <c r="UE47" s="969">
        <f>4185663.63/1000000</f>
        <v>4.1856636299999996</v>
      </c>
      <c r="UF47" s="969">
        <v>3.7226313799999997</v>
      </c>
      <c r="UG47" s="969">
        <v>3.7226313799999997</v>
      </c>
      <c r="UH47" s="969">
        <v>3.7226313799999997</v>
      </c>
      <c r="UI47" s="969">
        <v>3.7226313799999997</v>
      </c>
      <c r="UJ47" s="969">
        <v>3.6912717700000002</v>
      </c>
      <c r="UK47" s="969">
        <v>3.6912717700000002</v>
      </c>
      <c r="UL47" s="969">
        <v>3.6912717700000002</v>
      </c>
      <c r="UM47" s="969">
        <v>3.6912717700000002</v>
      </c>
      <c r="UN47" s="969">
        <v>3.6912717700000002</v>
      </c>
      <c r="UO47" s="969">
        <v>3.6912717700000002</v>
      </c>
      <c r="UP47" s="969">
        <v>3.6912717700000002</v>
      </c>
      <c r="UQ47" s="969">
        <v>3.6912717700000002</v>
      </c>
      <c r="UR47" s="969">
        <v>3.5205417200000002</v>
      </c>
      <c r="US47" s="969">
        <v>3.5205417200000002</v>
      </c>
      <c r="UT47" s="969">
        <v>3.5205417200000002</v>
      </c>
      <c r="UU47" s="969">
        <v>3.5205417200000002</v>
      </c>
      <c r="UV47" s="969">
        <v>3.5205417200000002</v>
      </c>
      <c r="UW47" s="969">
        <v>3.5205417200000002</v>
      </c>
      <c r="UX47" s="969">
        <v>3.5205417200000002</v>
      </c>
      <c r="UY47" s="969">
        <v>3.5205417200000002</v>
      </c>
      <c r="UZ47" s="969">
        <v>3.5205417200000002</v>
      </c>
      <c r="VA47" s="969">
        <v>3.5205417200000002</v>
      </c>
      <c r="VB47" s="969">
        <v>3.5205417200000002</v>
      </c>
      <c r="VC47" s="969">
        <v>3.5205417200000002</v>
      </c>
      <c r="VD47" s="969">
        <v>3.5205417200000002</v>
      </c>
      <c r="VE47" s="969">
        <v>3.5205417200000002</v>
      </c>
      <c r="VF47" s="969">
        <v>3.3465373200000004</v>
      </c>
      <c r="VG47" s="969">
        <v>3.3465373200000004</v>
      </c>
      <c r="VH47" s="969">
        <v>3.2526839300000003</v>
      </c>
      <c r="VI47" s="969">
        <v>3.2526839300000003</v>
      </c>
      <c r="VJ47" s="969">
        <v>3.2526839300000003</v>
      </c>
      <c r="VK47" s="969">
        <v>3.2526839300000003</v>
      </c>
      <c r="VL47" s="969">
        <v>2.7343866800000001</v>
      </c>
      <c r="VM47" s="969">
        <v>2.7026041899999997</v>
      </c>
      <c r="VN47" s="969">
        <v>2.7026041899999997</v>
      </c>
      <c r="VO47" s="969">
        <v>2.7026041899999997</v>
      </c>
      <c r="VP47" s="969">
        <v>2.7026041899999997</v>
      </c>
      <c r="VQ47" s="969">
        <v>2.7026041899999997</v>
      </c>
      <c r="VR47" s="969">
        <v>2.7026041899999997</v>
      </c>
      <c r="VS47" s="969">
        <v>2.7026041899999997</v>
      </c>
      <c r="VT47" s="969">
        <v>2.6893459599999998</v>
      </c>
      <c r="VU47" s="969">
        <v>2.6893459599999998</v>
      </c>
      <c r="VV47" s="969">
        <v>2.6893459599999998</v>
      </c>
      <c r="VW47" s="969">
        <v>2.6893459599999998</v>
      </c>
      <c r="VX47" s="969">
        <v>2.6893459599999998</v>
      </c>
      <c r="VY47" s="969">
        <v>2.6893459599999998</v>
      </c>
      <c r="VZ47" s="969">
        <v>2.6893459599999998</v>
      </c>
      <c r="WA47" s="969">
        <v>2.6893459599999998</v>
      </c>
      <c r="WB47" s="969">
        <v>2.6893459599999998</v>
      </c>
      <c r="WC47" s="969">
        <v>2.6495632000000002</v>
      </c>
      <c r="WD47" s="969">
        <v>2.6495632000000002</v>
      </c>
      <c r="WE47" s="969">
        <v>2.6495632000000002</v>
      </c>
      <c r="WF47" s="969">
        <v>2.6495632000000002</v>
      </c>
      <c r="WG47" s="969">
        <v>2.6495632000000002</v>
      </c>
      <c r="WH47" s="969">
        <v>2.6495632000000002</v>
      </c>
      <c r="WI47" s="969">
        <v>2.6495632000000002</v>
      </c>
      <c r="WJ47" s="969">
        <v>2.6495632000000002</v>
      </c>
      <c r="WK47" s="969">
        <v>2.6495632000000002</v>
      </c>
      <c r="WL47" s="969">
        <v>2.6495632000000002</v>
      </c>
      <c r="WM47" s="969">
        <v>2.6495632000000002</v>
      </c>
      <c r="WN47" s="969">
        <v>2.05052127</v>
      </c>
      <c r="WO47" s="969">
        <v>2.05052127</v>
      </c>
      <c r="WP47" s="969">
        <v>2.05052127</v>
      </c>
      <c r="WQ47" s="969">
        <v>2.05052127</v>
      </c>
      <c r="WR47" s="969">
        <v>2.05052127</v>
      </c>
      <c r="WS47" s="969">
        <v>2.05052127</v>
      </c>
      <c r="WT47" s="969">
        <v>2.05052127</v>
      </c>
      <c r="WU47" s="969">
        <v>2.05052127</v>
      </c>
      <c r="WV47" s="969">
        <v>2.05052127</v>
      </c>
      <c r="WW47" s="969">
        <v>1.9940128000000001</v>
      </c>
      <c r="WX47" s="969">
        <v>1.9940128000000001</v>
      </c>
      <c r="WY47" s="969">
        <v>1.9940128000000001</v>
      </c>
      <c r="WZ47" s="969">
        <v>1.9940128000000001</v>
      </c>
      <c r="XA47" s="969">
        <v>1.9940128000000001</v>
      </c>
      <c r="XB47" s="969">
        <v>1.9940128000000001</v>
      </c>
      <c r="XC47" s="969">
        <v>1.9940128000000001</v>
      </c>
      <c r="XD47" s="969">
        <v>1.9940128000000001</v>
      </c>
      <c r="XE47" s="969">
        <v>1.9940128000000001</v>
      </c>
      <c r="XF47" s="969">
        <v>1.9940128000000001</v>
      </c>
      <c r="XG47" s="969">
        <v>1.9940128000000001</v>
      </c>
      <c r="XH47" s="969">
        <v>1.9940128000000001</v>
      </c>
      <c r="XI47" s="969">
        <v>1.9464879000000002</v>
      </c>
      <c r="XJ47" s="969">
        <v>1.9464879000000002</v>
      </c>
      <c r="XK47" s="969">
        <v>1.9464879000000002</v>
      </c>
      <c r="XL47" s="969">
        <v>1.9464879000000002</v>
      </c>
      <c r="XM47" s="969">
        <v>1.9464879000000002</v>
      </c>
      <c r="XN47" s="969">
        <v>1.9464879000000002</v>
      </c>
      <c r="XO47" s="969">
        <v>1.9464879000000002</v>
      </c>
      <c r="XP47" s="969">
        <v>1.9464879000000002</v>
      </c>
      <c r="XQ47" s="969">
        <v>1.9464879000000002</v>
      </c>
      <c r="XR47" s="969">
        <v>1.41859157</v>
      </c>
      <c r="XS47" s="969">
        <v>1.41859157</v>
      </c>
      <c r="XT47" s="969">
        <v>1.41859157</v>
      </c>
      <c r="XU47" s="969">
        <v>1.41859157</v>
      </c>
      <c r="XV47" s="969">
        <v>1.41859157</v>
      </c>
      <c r="XW47" s="969">
        <v>1.41859157</v>
      </c>
      <c r="XX47" s="969">
        <v>1.41859157</v>
      </c>
      <c r="XY47" s="969">
        <v>1.41859157</v>
      </c>
      <c r="XZ47" s="969">
        <v>1.41859157</v>
      </c>
      <c r="YA47" s="969">
        <v>1.41859157</v>
      </c>
      <c r="YB47" s="969">
        <v>1.41859157</v>
      </c>
      <c r="YC47" s="969">
        <v>1.41859157</v>
      </c>
      <c r="YD47" s="969">
        <v>1.2869185999999999</v>
      </c>
      <c r="YE47" s="969">
        <v>1.2869185999999999</v>
      </c>
      <c r="YF47" s="969">
        <v>1.2869185999999999</v>
      </c>
      <c r="YG47" s="969">
        <v>1.2869185999999999</v>
      </c>
      <c r="YH47" s="969">
        <v>1.2869185999999999</v>
      </c>
    </row>
    <row r="48" spans="2:658">
      <c r="B48" s="917" t="s">
        <v>558</v>
      </c>
      <c r="C48" s="918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30"/>
      <c r="BP48" s="130"/>
      <c r="BQ48" s="130"/>
      <c r="BR48" s="130"/>
      <c r="BS48" s="130"/>
      <c r="BT48" s="130"/>
      <c r="BU48" s="130"/>
      <c r="BV48" s="130"/>
      <c r="BW48" s="130"/>
      <c r="BX48" s="130"/>
      <c r="BY48" s="130"/>
      <c r="BZ48" s="130"/>
      <c r="CA48" s="130"/>
      <c r="CB48" s="130"/>
      <c r="CC48" s="130"/>
      <c r="CD48" s="130"/>
      <c r="CE48" s="130"/>
      <c r="CF48" s="130"/>
      <c r="CG48" s="130"/>
      <c r="CH48" s="130"/>
      <c r="CI48" s="130"/>
      <c r="CJ48" s="130"/>
      <c r="CK48" s="130"/>
      <c r="CL48" s="130"/>
      <c r="CM48" s="130"/>
      <c r="CN48" s="130"/>
      <c r="CO48" s="130"/>
      <c r="CP48" s="130"/>
      <c r="CQ48" s="130"/>
      <c r="CR48" s="130"/>
      <c r="CS48" s="130"/>
      <c r="CT48" s="130"/>
      <c r="CU48" s="130"/>
      <c r="CV48" s="130"/>
      <c r="CW48" s="130"/>
      <c r="CX48" s="130"/>
      <c r="CY48" s="130"/>
      <c r="CZ48" s="130"/>
      <c r="DA48" s="130"/>
      <c r="DB48" s="130"/>
      <c r="DC48" s="130"/>
      <c r="DD48" s="130"/>
      <c r="DE48" s="130"/>
      <c r="DF48" s="130"/>
      <c r="DG48" s="130"/>
      <c r="DH48" s="130"/>
      <c r="DI48" s="130"/>
      <c r="DJ48" s="130"/>
      <c r="DK48" s="130"/>
      <c r="DL48" s="130"/>
      <c r="DM48" s="130"/>
      <c r="DN48" s="130"/>
      <c r="DO48" s="130"/>
      <c r="DP48" s="130"/>
      <c r="DQ48" s="130"/>
      <c r="DR48" s="130"/>
      <c r="DS48" s="130"/>
      <c r="DT48" s="130"/>
      <c r="DU48" s="130"/>
      <c r="DV48" s="130"/>
      <c r="DW48" s="130"/>
      <c r="DX48" s="130"/>
      <c r="DY48" s="130"/>
      <c r="DZ48" s="130"/>
      <c r="EA48" s="130"/>
      <c r="EB48" s="130"/>
      <c r="EC48" s="130"/>
      <c r="ED48" s="130"/>
      <c r="EE48" s="130"/>
      <c r="EF48" s="130"/>
      <c r="EG48" s="130"/>
      <c r="EH48" s="130"/>
      <c r="EI48" s="130"/>
      <c r="EJ48" s="130"/>
      <c r="EK48" s="130"/>
      <c r="EL48" s="130"/>
      <c r="EM48" s="130"/>
      <c r="EN48" s="130"/>
      <c r="EO48" s="130"/>
      <c r="EP48" s="130"/>
      <c r="EQ48" s="130"/>
      <c r="ER48" s="130"/>
      <c r="ES48" s="130"/>
      <c r="ET48" s="130"/>
      <c r="EU48" s="130"/>
      <c r="EV48" s="130"/>
      <c r="EW48" s="130"/>
      <c r="EX48" s="130"/>
      <c r="EY48" s="130"/>
      <c r="EZ48" s="130"/>
      <c r="FA48" s="130"/>
      <c r="FB48" s="130"/>
      <c r="FC48" s="130"/>
      <c r="FD48" s="130"/>
      <c r="FE48" s="130"/>
      <c r="FF48" s="130"/>
      <c r="FG48" s="130"/>
      <c r="FH48" s="130"/>
      <c r="FI48" s="130"/>
      <c r="FJ48" s="130"/>
      <c r="FK48" s="130"/>
      <c r="FL48" s="130"/>
      <c r="FM48" s="130"/>
      <c r="FN48" s="130"/>
      <c r="FO48" s="130"/>
      <c r="FP48" s="130"/>
      <c r="FQ48" s="130"/>
      <c r="FR48" s="130"/>
      <c r="FS48" s="130"/>
      <c r="FT48" s="130"/>
      <c r="FU48" s="130"/>
      <c r="FV48" s="130"/>
      <c r="FW48" s="130"/>
      <c r="FX48" s="130"/>
      <c r="FY48" s="130"/>
      <c r="FZ48" s="130"/>
      <c r="GA48" s="130"/>
      <c r="GB48" s="130"/>
      <c r="GC48" s="130"/>
      <c r="GD48" s="130"/>
      <c r="GE48" s="130"/>
      <c r="GF48" s="130"/>
      <c r="GG48" s="130"/>
      <c r="GH48" s="130"/>
      <c r="GI48" s="130"/>
      <c r="GJ48" s="130"/>
      <c r="GK48" s="130"/>
      <c r="GL48" s="130"/>
      <c r="GM48" s="130"/>
      <c r="GN48" s="130"/>
      <c r="GO48" s="130"/>
      <c r="GP48" s="130"/>
      <c r="GQ48" s="130"/>
      <c r="GR48" s="130"/>
      <c r="GS48" s="130"/>
      <c r="GT48" s="130"/>
      <c r="GU48" s="130"/>
      <c r="GV48" s="130"/>
      <c r="GW48" s="130"/>
      <c r="GX48" s="130"/>
      <c r="GY48" s="130"/>
      <c r="GZ48" s="130"/>
      <c r="HA48" s="130"/>
      <c r="HB48" s="130"/>
      <c r="HC48" s="130"/>
      <c r="HD48" s="130"/>
      <c r="HE48" s="130"/>
      <c r="HF48" s="130"/>
      <c r="HG48" s="130"/>
      <c r="HH48" s="130"/>
      <c r="HI48" s="130"/>
      <c r="HJ48" s="130"/>
      <c r="HK48" s="130"/>
      <c r="HL48" s="130"/>
      <c r="HM48" s="130"/>
      <c r="HN48" s="130"/>
      <c r="HO48" s="130"/>
      <c r="HP48" s="130"/>
      <c r="HQ48" s="950"/>
      <c r="HR48" s="950"/>
      <c r="HS48" s="950"/>
      <c r="HT48" s="950"/>
      <c r="HU48" s="950"/>
      <c r="HV48" s="950"/>
      <c r="HW48" s="950"/>
      <c r="HX48" s="950"/>
      <c r="HY48" s="950"/>
      <c r="HZ48" s="950"/>
      <c r="IA48" s="950"/>
      <c r="IB48" s="950"/>
      <c r="IC48" s="950"/>
      <c r="ID48" s="950"/>
      <c r="IE48" s="950"/>
      <c r="IF48" s="950"/>
      <c r="IG48" s="950"/>
      <c r="IH48" s="950"/>
      <c r="II48" s="950"/>
      <c r="IJ48" s="950"/>
      <c r="IK48" s="950"/>
      <c r="IL48" s="950"/>
      <c r="IM48" s="950"/>
      <c r="IN48" s="130"/>
      <c r="IO48" s="130"/>
      <c r="IP48" s="130"/>
      <c r="IQ48" s="130"/>
      <c r="IR48" s="130"/>
      <c r="IS48" s="130"/>
      <c r="IT48" s="130"/>
      <c r="IU48" s="130"/>
      <c r="IV48" s="130"/>
      <c r="IW48" s="130"/>
      <c r="IX48" s="130"/>
      <c r="IY48" s="130"/>
      <c r="IZ48" s="130"/>
      <c r="JA48" s="130">
        <v>20.100000000000001</v>
      </c>
      <c r="JB48" s="130">
        <v>20.100000000000001</v>
      </c>
      <c r="JC48" s="130">
        <v>1248.8</v>
      </c>
      <c r="JD48" s="130">
        <v>31.4</v>
      </c>
      <c r="JE48" s="130">
        <v>31.4</v>
      </c>
      <c r="JF48" s="130">
        <v>30.3</v>
      </c>
      <c r="JG48" s="130">
        <v>30.3</v>
      </c>
      <c r="JH48" s="130">
        <v>30.3</v>
      </c>
      <c r="JI48" s="130">
        <v>30.3</v>
      </c>
      <c r="JJ48" s="130">
        <v>30.3</v>
      </c>
      <c r="JK48" s="130">
        <v>30.3</v>
      </c>
      <c r="JL48" s="130">
        <v>30.3</v>
      </c>
      <c r="JM48" s="130">
        <v>30.3</v>
      </c>
      <c r="JN48" s="130">
        <v>682.1</v>
      </c>
      <c r="JO48" s="130">
        <v>30.3</v>
      </c>
      <c r="JP48" s="130">
        <v>30.3</v>
      </c>
      <c r="JQ48" s="130">
        <v>30.3</v>
      </c>
      <c r="JR48" s="130">
        <v>632.66031154999996</v>
      </c>
      <c r="JS48" s="130">
        <v>32.700000000000003</v>
      </c>
      <c r="JT48" s="130">
        <v>32.700000000000003</v>
      </c>
      <c r="JU48" s="130">
        <v>32.700000000000003</v>
      </c>
      <c r="JV48" s="130">
        <v>33.9</v>
      </c>
      <c r="JW48" s="130">
        <v>1204</v>
      </c>
      <c r="JX48" s="130">
        <v>32.9</v>
      </c>
      <c r="JY48" s="130">
        <v>31.7</v>
      </c>
      <c r="JZ48" s="130">
        <v>31.7</v>
      </c>
      <c r="KA48" s="130">
        <v>32.200000000000003</v>
      </c>
      <c r="KB48" s="130">
        <v>32.200000000000003</v>
      </c>
      <c r="KC48" s="130">
        <v>43.8</v>
      </c>
      <c r="KD48" s="130">
        <v>43.8</v>
      </c>
      <c r="KE48" s="130">
        <v>43.708583650000001</v>
      </c>
      <c r="KF48" s="130">
        <v>43.708583650000001</v>
      </c>
      <c r="KG48" s="130">
        <v>43.708583650000001</v>
      </c>
      <c r="KH48" s="130">
        <v>42.5</v>
      </c>
      <c r="KI48" s="130">
        <v>42.5</v>
      </c>
      <c r="KJ48" s="130">
        <v>42.55434176</v>
      </c>
      <c r="KK48" s="130">
        <v>42.55434176</v>
      </c>
      <c r="KL48" s="130">
        <v>42.55434176</v>
      </c>
      <c r="KM48" s="130">
        <v>42.032088999999999</v>
      </c>
      <c r="KN48" s="130">
        <v>42.032088999999999</v>
      </c>
      <c r="KO48" s="130">
        <v>42.032088999999999</v>
      </c>
      <c r="KP48" s="130">
        <v>42.032088999999999</v>
      </c>
      <c r="KQ48" s="130">
        <v>41.815976829999997</v>
      </c>
      <c r="KR48" s="130">
        <v>41.815976829999997</v>
      </c>
      <c r="KS48" s="130">
        <v>40.592664229999997</v>
      </c>
      <c r="KT48" s="130">
        <v>40.592664229999997</v>
      </c>
      <c r="KU48" s="130">
        <v>38.241068929999997</v>
      </c>
      <c r="KV48" s="130">
        <v>38.102327109999997</v>
      </c>
      <c r="KW48" s="130">
        <v>38.084426260000001</v>
      </c>
      <c r="KX48" s="130">
        <v>38.084426260000001</v>
      </c>
      <c r="KY48" s="130">
        <v>37.954558119999994</v>
      </c>
      <c r="KZ48" s="130">
        <v>38.74167319</v>
      </c>
      <c r="LA48" s="130">
        <v>37.492281859999999</v>
      </c>
      <c r="LB48" s="130">
        <v>37.396903130000005</v>
      </c>
      <c r="LC48" s="130">
        <v>37.426903129999999</v>
      </c>
      <c r="LD48" s="130">
        <v>36.226376700000003</v>
      </c>
      <c r="LE48" s="130">
        <v>41.010109579999998</v>
      </c>
      <c r="LF48" s="969">
        <v>40.439719020000005</v>
      </c>
      <c r="LG48" s="969">
        <v>40.436485020000006</v>
      </c>
      <c r="LH48" s="969">
        <v>40.42529502</v>
      </c>
      <c r="LI48" s="969">
        <v>40.42529502</v>
      </c>
      <c r="LJ48" s="969">
        <v>40.42529502</v>
      </c>
      <c r="LK48" s="969">
        <v>40.42529502</v>
      </c>
      <c r="LL48" s="969">
        <v>39.416046460000004</v>
      </c>
      <c r="LM48" s="969">
        <v>39.416046460000004</v>
      </c>
      <c r="LN48" s="969">
        <v>39.416046460000004</v>
      </c>
      <c r="LO48" s="969">
        <v>39.416046460000004</v>
      </c>
      <c r="LP48" s="969">
        <v>39.416046460000004</v>
      </c>
      <c r="LQ48" s="969">
        <v>39.416046460000004</v>
      </c>
      <c r="LR48" s="969">
        <v>39.414246460000001</v>
      </c>
      <c r="LS48" s="969">
        <v>42.553039409999997</v>
      </c>
      <c r="LT48" s="969">
        <v>42.583039409999998</v>
      </c>
      <c r="LU48" s="969">
        <v>42.207318239999999</v>
      </c>
      <c r="LV48" s="969">
        <v>41.693366679999997</v>
      </c>
      <c r="LW48" s="969">
        <v>39.810879119999996</v>
      </c>
      <c r="LX48" s="969">
        <v>38.908979119999998</v>
      </c>
      <c r="LY48" s="969">
        <v>38.885637930000001</v>
      </c>
      <c r="LZ48" s="969">
        <v>37.159567439999996</v>
      </c>
      <c r="MA48" s="969">
        <v>37.159567439999996</v>
      </c>
      <c r="MB48" s="969">
        <v>37.159567439999996</v>
      </c>
      <c r="MC48" s="969">
        <v>37.066818299999994</v>
      </c>
      <c r="MD48" s="969">
        <v>37.066818299999994</v>
      </c>
      <c r="ME48" s="969">
        <v>37.0628283</v>
      </c>
      <c r="MF48" s="969">
        <v>37.0628283</v>
      </c>
      <c r="MG48" s="969">
        <v>35.775011110000001</v>
      </c>
      <c r="MH48" s="969">
        <v>34.376472310000004</v>
      </c>
      <c r="MI48" s="969">
        <v>34.376472310000004</v>
      </c>
      <c r="MJ48" s="969">
        <v>34.356572310000004</v>
      </c>
      <c r="MK48" s="969">
        <v>40.888789289999998</v>
      </c>
      <c r="ML48" s="969">
        <v>82.223975699999997</v>
      </c>
      <c r="MM48" s="969">
        <v>82.223975699999997</v>
      </c>
      <c r="MN48" s="969">
        <v>82.203043559999998</v>
      </c>
      <c r="MO48" s="969">
        <v>82.203043559999998</v>
      </c>
      <c r="MP48" s="969">
        <v>40.938264320000002</v>
      </c>
      <c r="MQ48" s="969">
        <v>40.932264320000002</v>
      </c>
      <c r="MR48" s="969">
        <v>42.841994829999997</v>
      </c>
      <c r="MS48" s="969">
        <v>42.595107579999997</v>
      </c>
      <c r="MT48" s="969">
        <v>42.595107579999997</v>
      </c>
      <c r="MU48" s="969">
        <v>42.595107579999997</v>
      </c>
      <c r="MV48" s="969">
        <v>42.586407579999999</v>
      </c>
      <c r="MW48" s="969">
        <v>47.761234680000001</v>
      </c>
      <c r="MX48" s="969">
        <v>47.761234680000001</v>
      </c>
      <c r="MY48" s="969">
        <v>47.761234680000001</v>
      </c>
      <c r="MZ48" s="969">
        <v>47.761234680000001</v>
      </c>
      <c r="NA48" s="969">
        <v>36.56111336</v>
      </c>
      <c r="NB48" s="969">
        <v>36.56111336</v>
      </c>
      <c r="NC48" s="969">
        <v>34.117370610000002</v>
      </c>
      <c r="ND48" s="969">
        <v>33.934370610000002</v>
      </c>
      <c r="NE48" s="969">
        <v>33.934370610000002</v>
      </c>
      <c r="NF48" s="969">
        <v>33.825887610000002</v>
      </c>
      <c r="NG48" s="969">
        <v>33.712687609999996</v>
      </c>
      <c r="NH48" s="969">
        <v>33.709121609999997</v>
      </c>
      <c r="NI48" s="969">
        <v>33.688261609999998</v>
      </c>
      <c r="NJ48" s="969">
        <v>33.63959423</v>
      </c>
      <c r="NK48" s="969">
        <v>33.587334229999996</v>
      </c>
      <c r="NL48" s="969">
        <v>44.475978070000004</v>
      </c>
      <c r="NM48" s="969">
        <v>44.505978069999998</v>
      </c>
      <c r="NN48" s="969">
        <v>30.009498669999999</v>
      </c>
      <c r="NO48" s="969">
        <v>29.997599770000001</v>
      </c>
      <c r="NP48" s="969">
        <v>29.972113480000001</v>
      </c>
      <c r="NQ48" s="969">
        <v>29.234788479999999</v>
      </c>
      <c r="NR48" s="969">
        <v>29.202074639999999</v>
      </c>
      <c r="NS48" s="969">
        <v>29.13420764</v>
      </c>
      <c r="NT48" s="969">
        <v>29.12302064</v>
      </c>
      <c r="NU48" s="969">
        <v>29.119030639999998</v>
      </c>
      <c r="NV48" s="969">
        <v>29.119030639999998</v>
      </c>
      <c r="NW48" s="969">
        <v>29.119030639999998</v>
      </c>
      <c r="NX48" s="969">
        <v>29.119030639999998</v>
      </c>
      <c r="NY48" s="969">
        <v>27.87479085</v>
      </c>
      <c r="NZ48" s="969">
        <v>26.024692680000001</v>
      </c>
      <c r="OA48" s="969">
        <v>26.003664579999999</v>
      </c>
      <c r="OB48" s="969">
        <v>26.003664579999999</v>
      </c>
      <c r="OC48" s="969">
        <v>25.97447163</v>
      </c>
      <c r="OD48" s="969">
        <v>25.910113670000001</v>
      </c>
      <c r="OE48" s="969">
        <v>25.82468867</v>
      </c>
      <c r="OF48" s="969">
        <v>26.866808890000001</v>
      </c>
      <c r="OG48" s="969">
        <v>26.866808890000001</v>
      </c>
      <c r="OH48" s="969">
        <v>26.866808890000001</v>
      </c>
      <c r="OI48" s="969">
        <v>25.216180219999998</v>
      </c>
      <c r="OJ48" s="969">
        <v>26.42689077</v>
      </c>
      <c r="OK48" s="969">
        <v>26.42689077</v>
      </c>
      <c r="OL48" s="969">
        <v>26.42689077</v>
      </c>
      <c r="OM48" s="969">
        <v>26.320955980000001</v>
      </c>
      <c r="ON48" s="969">
        <v>26.283773920000002</v>
      </c>
      <c r="OO48" s="969">
        <v>26.283773920000002</v>
      </c>
      <c r="OP48" s="969">
        <v>26.283773920000002</v>
      </c>
      <c r="OQ48" s="969">
        <v>26.283773920000002</v>
      </c>
      <c r="OR48" s="969">
        <v>26.283773920000002</v>
      </c>
      <c r="OS48" s="969">
        <v>22.645322610000001</v>
      </c>
      <c r="OT48" s="969">
        <v>18.384520250000001</v>
      </c>
      <c r="OU48" s="969">
        <v>18.364086649999997</v>
      </c>
      <c r="OV48" s="969">
        <v>38.627726780000003</v>
      </c>
      <c r="OW48" s="969">
        <v>38.627726780000003</v>
      </c>
      <c r="OX48" s="969">
        <v>87.316317189999992</v>
      </c>
      <c r="OY48" s="969">
        <v>89.776243620000002</v>
      </c>
      <c r="OZ48" s="969">
        <v>89.706143620000006</v>
      </c>
      <c r="PA48" s="969">
        <v>89.686264719999997</v>
      </c>
      <c r="PB48" s="969">
        <v>89.656801150000007</v>
      </c>
      <c r="PC48" s="969">
        <v>89.644430389999997</v>
      </c>
      <c r="PD48" s="969">
        <v>89.644430389999997</v>
      </c>
      <c r="PE48" s="969">
        <v>89.158544340000006</v>
      </c>
      <c r="PF48" s="969">
        <v>88.766151340000008</v>
      </c>
      <c r="PG48" s="969">
        <v>28.610958580000002</v>
      </c>
      <c r="PH48" s="969">
        <v>28.610958580000002</v>
      </c>
      <c r="PI48" s="969">
        <v>28.610958580000002</v>
      </c>
      <c r="PJ48" s="969">
        <v>27.088888600000001</v>
      </c>
      <c r="PK48" s="969">
        <v>27.088888600000001</v>
      </c>
      <c r="PL48" s="969">
        <v>27.088888600000001</v>
      </c>
      <c r="PM48" s="969">
        <v>31.354917219999997</v>
      </c>
      <c r="PN48" s="969">
        <v>31.237000219999999</v>
      </c>
      <c r="PO48" s="969">
        <v>31.237000219999999</v>
      </c>
      <c r="PP48" s="969">
        <v>31.237000219999999</v>
      </c>
      <c r="PQ48" s="969">
        <v>31.210519829999999</v>
      </c>
      <c r="PR48" s="969">
        <v>31.210519829999999</v>
      </c>
      <c r="PS48" s="969">
        <v>30.720822780000002</v>
      </c>
      <c r="PT48" s="969">
        <v>30.720822780000002</v>
      </c>
      <c r="PU48" s="969">
        <v>30.720822780000002</v>
      </c>
      <c r="PV48" s="969">
        <v>28.84423765</v>
      </c>
      <c r="PW48" s="969">
        <v>28.818812649999998</v>
      </c>
      <c r="PX48" s="969">
        <v>28.73419342</v>
      </c>
      <c r="PY48" s="969">
        <v>28.73419342</v>
      </c>
      <c r="PZ48" s="969">
        <v>28.73419342</v>
      </c>
      <c r="QA48" s="969">
        <v>28.490350639999999</v>
      </c>
      <c r="QB48" s="969">
        <v>28.490350639999999</v>
      </c>
      <c r="QC48" s="969">
        <v>27.794347640000002</v>
      </c>
      <c r="QD48" s="969">
        <v>27.794347640000002</v>
      </c>
      <c r="QE48" s="969">
        <v>26.37634444</v>
      </c>
      <c r="QF48" s="969">
        <v>25.009985050000001</v>
      </c>
      <c r="QG48" s="969">
        <v>24.947952760000003</v>
      </c>
      <c r="QH48" s="969">
        <v>24.947952760000003</v>
      </c>
      <c r="QI48" s="969">
        <v>24.932699789999997</v>
      </c>
      <c r="QJ48" s="969">
        <v>24.93116779</v>
      </c>
      <c r="QK48" s="969">
        <v>24.843381789999999</v>
      </c>
      <c r="QL48" s="969">
        <v>24.843381789999999</v>
      </c>
      <c r="QM48" s="969">
        <v>24.87338179</v>
      </c>
      <c r="QN48" s="969">
        <v>23.613208159999999</v>
      </c>
      <c r="QO48" s="969">
        <v>23.613208159999999</v>
      </c>
      <c r="QP48" s="969">
        <v>22.314648440000003</v>
      </c>
      <c r="QQ48" s="969">
        <v>22.314648440000003</v>
      </c>
      <c r="QR48" s="969">
        <v>22.314648440000003</v>
      </c>
      <c r="QS48" s="969">
        <v>22.314648440000003</v>
      </c>
      <c r="QT48" s="969">
        <v>22.236665500000001</v>
      </c>
      <c r="QU48" s="969">
        <v>41.838444189999997</v>
      </c>
      <c r="QV48" s="969">
        <v>23.788050680000001</v>
      </c>
      <c r="QW48" s="969">
        <v>23.59431163</v>
      </c>
      <c r="QX48" s="969">
        <v>22.355380589999999</v>
      </c>
      <c r="QY48" s="969">
        <v>20.969534260000003</v>
      </c>
      <c r="QZ48" s="969">
        <v>20.965829329999998</v>
      </c>
      <c r="RA48" s="969">
        <v>20.965829329999998</v>
      </c>
      <c r="RB48" s="969">
        <v>45.720235850000002</v>
      </c>
      <c r="RC48" s="969">
        <v>46.110640220000001</v>
      </c>
      <c r="RD48" s="969">
        <v>46.108948220000002</v>
      </c>
      <c r="RE48" s="969">
        <v>46.108948220000002</v>
      </c>
      <c r="RF48" s="969">
        <v>46.108948220000002</v>
      </c>
      <c r="RG48" s="969">
        <v>45.999116539999996</v>
      </c>
      <c r="RH48" s="969">
        <v>45.999116539999996</v>
      </c>
      <c r="RI48" s="969">
        <v>45.999116539999996</v>
      </c>
      <c r="RJ48" s="969">
        <v>44.461549290000001</v>
      </c>
      <c r="RK48" s="969">
        <v>44.454326560000005</v>
      </c>
      <c r="RL48" s="969">
        <v>43.71284052</v>
      </c>
      <c r="RM48" s="969">
        <v>43.71284052</v>
      </c>
      <c r="RN48" s="969">
        <v>43.71284052</v>
      </c>
      <c r="RO48" s="969">
        <v>27.551669520000001</v>
      </c>
      <c r="RP48" s="969">
        <v>27.435982600000003</v>
      </c>
      <c r="RQ48" s="969">
        <v>27.435982600000003</v>
      </c>
      <c r="RR48" s="969">
        <v>27.85169664</v>
      </c>
      <c r="RS48" s="969">
        <v>27.85169664</v>
      </c>
      <c r="RT48" s="969">
        <v>27.85169664</v>
      </c>
      <c r="RU48" s="969">
        <v>25.323186339999999</v>
      </c>
      <c r="RV48" s="969">
        <v>25.323186339999999</v>
      </c>
      <c r="RW48" s="969">
        <v>625.73704583000006</v>
      </c>
      <c r="RX48" s="969">
        <v>25.706645829999999</v>
      </c>
      <c r="RY48" s="969">
        <v>25.61576488</v>
      </c>
      <c r="RZ48" s="969">
        <v>24.84223888</v>
      </c>
      <c r="SA48" s="969">
        <v>24.84223888</v>
      </c>
      <c r="SB48" s="969">
        <v>24.84223888</v>
      </c>
      <c r="SC48" s="969">
        <v>22.9983103</v>
      </c>
      <c r="SD48" s="969">
        <v>23.99473107</v>
      </c>
      <c r="SE48" s="969">
        <v>23.99473107</v>
      </c>
      <c r="SF48" s="969">
        <v>23.99473107</v>
      </c>
      <c r="SG48" s="969">
        <v>23.99473107</v>
      </c>
      <c r="SH48" s="969">
        <v>23.972967269999998</v>
      </c>
      <c r="SI48" s="969">
        <v>23.96897727</v>
      </c>
      <c r="SJ48" s="969">
        <v>23.960485039999998</v>
      </c>
      <c r="SK48" s="969">
        <v>26.467785039999999</v>
      </c>
      <c r="SL48" s="969">
        <v>26.467785039999999</v>
      </c>
      <c r="SM48" s="969">
        <v>23.78669124</v>
      </c>
      <c r="SN48" s="969">
        <v>37.592702170000003</v>
      </c>
      <c r="SO48" s="969">
        <v>351.82312222000002</v>
      </c>
      <c r="SP48" s="969">
        <v>336.62004571</v>
      </c>
      <c r="SQ48" s="969">
        <v>29.577745710000002</v>
      </c>
      <c r="SR48" s="969">
        <v>29.507203370000003</v>
      </c>
      <c r="SS48" s="969">
        <v>29.31608164</v>
      </c>
      <c r="ST48" s="969">
        <v>29.31608164</v>
      </c>
      <c r="SU48" s="969">
        <v>29.231081639999999</v>
      </c>
      <c r="SV48" s="969">
        <v>28.990410839999999</v>
      </c>
      <c r="SW48" s="969">
        <v>26.891901280000003</v>
      </c>
      <c r="SX48" s="969">
        <v>26.86690128</v>
      </c>
      <c r="SY48" s="969">
        <v>26.896476280000002</v>
      </c>
      <c r="SZ48" s="969">
        <v>26.878769030000001</v>
      </c>
      <c r="TA48" s="969">
        <v>31.591337339999999</v>
      </c>
      <c r="TB48" s="969">
        <v>31.570997339999998</v>
      </c>
      <c r="TC48" s="969">
        <v>31.016670340000001</v>
      </c>
      <c r="TD48" s="969">
        <v>24.808224539999998</v>
      </c>
      <c r="TE48" s="969">
        <v>77.904023120000005</v>
      </c>
      <c r="TF48" s="969">
        <v>19.7088967</v>
      </c>
      <c r="TG48" s="969">
        <v>32.162218719999998</v>
      </c>
      <c r="TH48" s="969">
        <v>30.45577355</v>
      </c>
      <c r="TI48" s="969">
        <v>30.373589170000002</v>
      </c>
      <c r="TJ48" s="969">
        <v>55.359654740000003</v>
      </c>
      <c r="TK48" s="969">
        <v>53.957620740000003</v>
      </c>
      <c r="TL48" s="969">
        <v>31.653156339999999</v>
      </c>
      <c r="TM48" s="969">
        <v>340.73275266000002</v>
      </c>
      <c r="TN48" s="969">
        <v>26.7389002</v>
      </c>
      <c r="TO48" s="969">
        <v>30.483149000000001</v>
      </c>
      <c r="TP48" s="969">
        <v>28.675104480000002</v>
      </c>
      <c r="TQ48" s="969">
        <v>28.675104480000002</v>
      </c>
      <c r="TR48" s="969">
        <v>28.162614480000002</v>
      </c>
      <c r="TS48" s="969">
        <v>28.162614480000002</v>
      </c>
      <c r="TT48" s="969">
        <v>25.921718640000002</v>
      </c>
      <c r="TU48" s="969">
        <v>24.835687510000003</v>
      </c>
      <c r="TV48" s="969">
        <v>24.420823300000002</v>
      </c>
      <c r="TW48" s="969">
        <v>29.65334266</v>
      </c>
      <c r="TX48" s="969">
        <v>28.672450659999999</v>
      </c>
      <c r="TY48" s="969">
        <v>28.30486544</v>
      </c>
      <c r="TZ48" s="969">
        <v>28.30486544</v>
      </c>
      <c r="UA48" s="969">
        <v>28.30486544</v>
      </c>
      <c r="UB48" s="969">
        <v>33.132308190000003</v>
      </c>
      <c r="UC48" s="969">
        <v>33.093558940000001</v>
      </c>
      <c r="UD48" s="969">
        <v>33.071039140000003</v>
      </c>
      <c r="UE48" s="969">
        <v>33.071039140000003</v>
      </c>
      <c r="UF48" s="969">
        <v>24.730687919999998</v>
      </c>
      <c r="UG48" s="969">
        <v>406.67918881000003</v>
      </c>
      <c r="UH48" s="969">
        <v>29.504068619999998</v>
      </c>
      <c r="UI48" s="969">
        <v>29.504068619999998</v>
      </c>
      <c r="UJ48" s="969">
        <v>22.421828949999998</v>
      </c>
      <c r="UK48" s="969">
        <v>22.421828949999998</v>
      </c>
      <c r="UL48" s="969">
        <v>22.421828949999998</v>
      </c>
      <c r="UM48" s="969">
        <v>20.752765969999999</v>
      </c>
      <c r="UN48" s="969">
        <v>32.81572259</v>
      </c>
      <c r="UO48" s="969">
        <v>24.97441757</v>
      </c>
      <c r="UP48" s="969">
        <v>24.97441757</v>
      </c>
      <c r="UQ48" s="969">
        <v>24.96051757</v>
      </c>
      <c r="UR48" s="969">
        <v>26.413532010000001</v>
      </c>
      <c r="US48" s="969">
        <v>26.413532010000001</v>
      </c>
      <c r="UT48" s="969">
        <v>29.405370699999999</v>
      </c>
      <c r="UU48" s="969">
        <v>27.827511140000002</v>
      </c>
      <c r="UV48" s="969">
        <v>26.620722300000001</v>
      </c>
      <c r="UW48" s="969">
        <v>26.620722300000001</v>
      </c>
      <c r="UX48" s="969">
        <v>26.568687059999998</v>
      </c>
      <c r="UY48" s="969">
        <v>26.548347059999998</v>
      </c>
      <c r="UZ48" s="969">
        <v>26.407999449999998</v>
      </c>
      <c r="VA48" s="969">
        <v>26.407999449999998</v>
      </c>
      <c r="VB48" s="969">
        <v>22.083323620000002</v>
      </c>
      <c r="VC48" s="969">
        <v>22.007897359999998</v>
      </c>
      <c r="VD48" s="969">
        <v>32.723809070000001</v>
      </c>
      <c r="VE48" s="969">
        <v>32.501909070000004</v>
      </c>
      <c r="VF48" s="969">
        <v>32.029211119999999</v>
      </c>
      <c r="VG48" s="969">
        <v>30.56433809</v>
      </c>
      <c r="VH48" s="969">
        <v>30.56433809</v>
      </c>
      <c r="VI48" s="969">
        <v>30.56433809</v>
      </c>
      <c r="VJ48" s="969">
        <v>27.22254045</v>
      </c>
      <c r="VK48" s="969">
        <v>19.60425656</v>
      </c>
      <c r="VL48" s="969">
        <v>31.954414410000002</v>
      </c>
      <c r="VM48" s="969">
        <v>31.443551620000001</v>
      </c>
      <c r="VN48" s="969">
        <v>31.35553964</v>
      </c>
      <c r="VO48" s="969">
        <v>39.256903780000002</v>
      </c>
      <c r="VP48" s="969">
        <v>39.256903780000002</v>
      </c>
      <c r="VQ48" s="969">
        <v>39.256903780000002</v>
      </c>
      <c r="VR48" s="969">
        <v>36.385491850000001</v>
      </c>
      <c r="VS48" s="969">
        <v>34.705190389999999</v>
      </c>
      <c r="VT48" s="969">
        <v>34.271350179999999</v>
      </c>
      <c r="VU48" s="969">
        <v>34.271350179999999</v>
      </c>
      <c r="VV48" s="969">
        <v>32.110212099999998</v>
      </c>
      <c r="VW48" s="969">
        <v>32.110212099999998</v>
      </c>
      <c r="VX48" s="969">
        <v>16.968335760000002</v>
      </c>
      <c r="VY48" s="969">
        <v>27.919749420000002</v>
      </c>
      <c r="VZ48" s="969">
        <v>30.47464961</v>
      </c>
      <c r="WA48" s="969">
        <v>27.634729370000002</v>
      </c>
      <c r="WB48" s="969">
        <v>27.5392224</v>
      </c>
      <c r="WC48" s="969">
        <v>27.5392224</v>
      </c>
      <c r="WD48" s="969">
        <v>29.637708230000001</v>
      </c>
      <c r="WE48" s="969">
        <v>25.763087039999998</v>
      </c>
      <c r="WF48" s="969">
        <v>25.766350129999999</v>
      </c>
      <c r="WG48" s="969">
        <v>25.688136530000001</v>
      </c>
      <c r="WH48" s="969">
        <v>25.21207682</v>
      </c>
      <c r="WI48" s="969">
        <v>24.745879420000001</v>
      </c>
      <c r="WJ48" s="969">
        <v>21.787977210000001</v>
      </c>
      <c r="WK48" s="969">
        <v>26.33411941</v>
      </c>
      <c r="WL48" s="969">
        <v>26.315776890000002</v>
      </c>
      <c r="WM48" s="969">
        <v>26.159226889999999</v>
      </c>
      <c r="WN48" s="969">
        <v>55.071976429999999</v>
      </c>
      <c r="WO48" s="969">
        <v>29.789103829999998</v>
      </c>
      <c r="WP48" s="969">
        <v>29.383840510000002</v>
      </c>
      <c r="WQ48" s="969">
        <v>22.460301949999998</v>
      </c>
      <c r="WR48" s="969">
        <v>22.422889670000004</v>
      </c>
      <c r="WS48" s="969">
        <v>28.728493370000002</v>
      </c>
      <c r="WT48" s="969">
        <v>28.728493370000002</v>
      </c>
      <c r="WU48" s="969">
        <v>28.71762082</v>
      </c>
      <c r="WV48" s="969">
        <v>25.409207760000001</v>
      </c>
      <c r="WW48" s="969">
        <v>25.299123039999998</v>
      </c>
      <c r="WX48" s="969">
        <v>42.745777279999999</v>
      </c>
      <c r="WY48" s="969">
        <v>42.275206279999999</v>
      </c>
      <c r="WZ48" s="969">
        <v>42.275206279999999</v>
      </c>
      <c r="XA48" s="969">
        <v>40.432078740000001</v>
      </c>
      <c r="XB48" s="969">
        <v>42.702273170000005</v>
      </c>
      <c r="XC48" s="969">
        <v>42.702273170000005</v>
      </c>
      <c r="XD48" s="969">
        <v>42.633298200000006</v>
      </c>
      <c r="XE48" s="969">
        <v>38.013534770000007</v>
      </c>
      <c r="XF48" s="969">
        <v>30.32123477</v>
      </c>
      <c r="XG48" s="969">
        <v>34.845271520000004</v>
      </c>
      <c r="XH48" s="969">
        <v>31.063257280000002</v>
      </c>
      <c r="XI48" s="969">
        <v>20.08590135</v>
      </c>
      <c r="XJ48" s="969">
        <v>22.333249930000001</v>
      </c>
      <c r="XK48" s="969">
        <v>42.462062580000001</v>
      </c>
      <c r="XL48" s="969">
        <v>30.567845949999999</v>
      </c>
      <c r="XM48" s="969">
        <v>28.017707719999997</v>
      </c>
      <c r="XN48" s="969">
        <v>28.017707719999997</v>
      </c>
      <c r="XO48" s="969">
        <v>49.431041049999997</v>
      </c>
      <c r="XP48" s="969">
        <v>27.164592510000002</v>
      </c>
      <c r="XQ48" s="969">
        <v>51.817165469999999</v>
      </c>
      <c r="XR48" s="969">
        <v>21.048618999999999</v>
      </c>
      <c r="XS48" s="969">
        <v>41.512358999999996</v>
      </c>
      <c r="XT48" s="969">
        <v>29.344687760000003</v>
      </c>
      <c r="XU48" s="969">
        <v>29.040187760000002</v>
      </c>
      <c r="XV48" s="969">
        <v>27.456922780000003</v>
      </c>
      <c r="XW48" s="969">
        <v>48.311958259999997</v>
      </c>
      <c r="XX48" s="969">
        <v>48.311958259999997</v>
      </c>
      <c r="XY48" s="969">
        <v>31.55191189</v>
      </c>
      <c r="XZ48" s="969">
        <v>54.454913179999998</v>
      </c>
      <c r="YA48" s="969">
        <v>29.704871430000001</v>
      </c>
      <c r="YB48" s="969">
        <v>29.606069429999998</v>
      </c>
      <c r="YC48" s="969">
        <v>27.197619100000001</v>
      </c>
      <c r="YD48" s="969">
        <v>47.547562810000002</v>
      </c>
      <c r="YE48" s="969">
        <v>47.000986900000001</v>
      </c>
      <c r="YF48" s="969">
        <v>22.595973870000002</v>
      </c>
      <c r="YG48" s="969">
        <v>22.352796010000002</v>
      </c>
      <c r="YH48" s="969">
        <v>19.50282503</v>
      </c>
    </row>
    <row r="49" spans="2:658" s="948" customFormat="1">
      <c r="B49" s="919" t="s">
        <v>67</v>
      </c>
      <c r="C49" s="920">
        <f t="shared" ref="C49:H49" si="494">SUM(C45:C46)</f>
        <v>299.08918517000001</v>
      </c>
      <c r="D49" s="128">
        <f t="shared" si="494"/>
        <v>59.76</v>
      </c>
      <c r="E49" s="128">
        <f t="shared" si="494"/>
        <v>116.233121</v>
      </c>
      <c r="F49" s="128">
        <f t="shared" si="494"/>
        <v>133.64935291</v>
      </c>
      <c r="G49" s="128">
        <f t="shared" si="494"/>
        <v>198.18911051999999</v>
      </c>
      <c r="H49" s="128">
        <f t="shared" si="494"/>
        <v>56.545904899999996</v>
      </c>
      <c r="I49" s="128">
        <f t="shared" ref="I49:P49" si="495">SUM(I45:I46)</f>
        <v>94.609507980000004</v>
      </c>
      <c r="J49" s="128">
        <f t="shared" si="495"/>
        <v>145.65578961</v>
      </c>
      <c r="K49" s="128">
        <f t="shared" si="495"/>
        <v>236.27619063</v>
      </c>
      <c r="L49" s="128">
        <f t="shared" si="495"/>
        <v>281.83212910999998</v>
      </c>
      <c r="M49" s="128">
        <f t="shared" si="495"/>
        <v>271.76651396</v>
      </c>
      <c r="N49" s="128">
        <f t="shared" si="495"/>
        <v>82.75343002000001</v>
      </c>
      <c r="O49" s="128">
        <f t="shared" si="495"/>
        <v>165.843018</v>
      </c>
      <c r="P49" s="128">
        <f t="shared" si="495"/>
        <v>185.56242600000002</v>
      </c>
      <c r="Q49" s="128">
        <f>SUM(Q45:Q46)</f>
        <v>194.51463100000001</v>
      </c>
      <c r="R49" s="128">
        <f>SUM(R45:R46)</f>
        <v>258.76113299999997</v>
      </c>
      <c r="S49" s="128">
        <f>SUM(S45:S46)</f>
        <v>100.57477299999999</v>
      </c>
      <c r="T49" s="128">
        <f>SUM(T45:T46)</f>
        <v>179.77848999999998</v>
      </c>
      <c r="U49" s="128">
        <f>SUM(U45:U46)</f>
        <v>134.171786</v>
      </c>
      <c r="V49" s="128">
        <f t="shared" ref="V49:X49" si="496">SUM(V45:V46)</f>
        <v>220.34404900000001</v>
      </c>
      <c r="W49" s="128">
        <f t="shared" si="496"/>
        <v>141.968402</v>
      </c>
      <c r="X49" s="128">
        <f t="shared" si="496"/>
        <v>80.726409999999987</v>
      </c>
      <c r="Y49" s="128">
        <f t="shared" ref="Y49:Z49" si="497">SUM(Y45:Y46)</f>
        <v>193.813388</v>
      </c>
      <c r="Z49" s="128">
        <f t="shared" si="497"/>
        <v>269.01965300000001</v>
      </c>
      <c r="AA49" s="128">
        <f t="shared" ref="AA49:AB49" si="498">SUM(AA45:AA46)</f>
        <v>316.59411399999999</v>
      </c>
      <c r="AB49" s="128">
        <f t="shared" si="498"/>
        <v>494.30068699999998</v>
      </c>
      <c r="AC49" s="128">
        <f t="shared" ref="AC49:AE49" si="499">SUM(AC45:AC46)</f>
        <v>217.035482</v>
      </c>
      <c r="AD49" s="128">
        <f t="shared" si="499"/>
        <v>321.272941</v>
      </c>
      <c r="AE49" s="128">
        <f t="shared" si="499"/>
        <v>178.036136</v>
      </c>
      <c r="AF49" s="128">
        <f t="shared" ref="AF49:AG49" si="500">SUM(AF45:AF46)</f>
        <v>59.389883000000005</v>
      </c>
      <c r="AG49" s="128">
        <f t="shared" si="500"/>
        <v>174.73436800000002</v>
      </c>
      <c r="AH49" s="128">
        <f t="shared" ref="AH49:AI49" si="501">SUM(AH45:AH46)</f>
        <v>86.769083999999992</v>
      </c>
      <c r="AI49" s="128">
        <f t="shared" si="501"/>
        <v>78.889211999999986</v>
      </c>
      <c r="AJ49" s="128">
        <f t="shared" ref="AJ49:AK49" si="502">SUM(AJ45:AJ46)</f>
        <v>411.54684299999997</v>
      </c>
      <c r="AK49" s="128">
        <f t="shared" si="502"/>
        <v>197.71003200000001</v>
      </c>
      <c r="AL49" s="128">
        <f t="shared" ref="AL49:AM49" si="503">SUM(AL45:AL46)</f>
        <v>192.35824099999999</v>
      </c>
      <c r="AM49" s="128">
        <f t="shared" si="503"/>
        <v>261.392381</v>
      </c>
      <c r="AN49" s="128">
        <f t="shared" ref="AN49:AP49" si="504">SUM(AN45:AN46)</f>
        <v>310.85045099999996</v>
      </c>
      <c r="AO49" s="128">
        <f t="shared" si="504"/>
        <v>345.66320300000001</v>
      </c>
      <c r="AP49" s="128">
        <f t="shared" si="504"/>
        <v>151.80996500000001</v>
      </c>
      <c r="AQ49" s="128">
        <f t="shared" ref="AQ49:AR49" si="505">SUM(AQ45:AQ46)</f>
        <v>184.635189</v>
      </c>
      <c r="AR49" s="128">
        <f t="shared" si="505"/>
        <v>153.26097300000001</v>
      </c>
      <c r="AS49" s="128">
        <f t="shared" ref="AS49:AU49" si="506">SUM(AS45:AS46)</f>
        <v>206.387517</v>
      </c>
      <c r="AT49" s="128">
        <f t="shared" si="506"/>
        <v>257.91878700000001</v>
      </c>
      <c r="AU49" s="128">
        <f t="shared" si="506"/>
        <v>296.63701200000003</v>
      </c>
      <c r="AV49" s="128">
        <f t="shared" ref="AV49:AW49" si="507">SUM(AV45:AV46)</f>
        <v>355.88116099999996</v>
      </c>
      <c r="AW49" s="128">
        <f t="shared" si="507"/>
        <v>230.451753</v>
      </c>
      <c r="AX49" s="128">
        <f t="shared" ref="AX49:AY49" si="508">SUM(AX45:AX46)</f>
        <v>83.701121999999998</v>
      </c>
      <c r="AY49" s="128">
        <f t="shared" si="508"/>
        <v>264.22807499999999</v>
      </c>
      <c r="AZ49" s="128">
        <f t="shared" ref="AZ49:BA49" si="509">SUM(AZ45:AZ46)</f>
        <v>321.88111900000001</v>
      </c>
      <c r="BA49" s="128">
        <f t="shared" si="509"/>
        <v>399.70147100000003</v>
      </c>
      <c r="BB49" s="128">
        <f t="shared" ref="BB49:BC49" si="510">SUM(BB45:BB46)</f>
        <v>400.09625599999998</v>
      </c>
      <c r="BC49" s="128">
        <f t="shared" si="510"/>
        <v>709.29294299999992</v>
      </c>
      <c r="BD49" s="128">
        <f t="shared" ref="BD49:BE49" si="511">SUM(BD45:BD46)</f>
        <v>326.45655299999999</v>
      </c>
      <c r="BE49" s="128">
        <f t="shared" si="511"/>
        <v>335.36513100000002</v>
      </c>
      <c r="BF49" s="128">
        <f t="shared" ref="BF49:BG49" si="512">SUM(BF45:BF46)</f>
        <v>242.38125499999998</v>
      </c>
      <c r="BG49" s="128">
        <f t="shared" si="512"/>
        <v>263.112121</v>
      </c>
      <c r="BH49" s="128">
        <f t="shared" ref="BH49:BI49" si="513">SUM(BH45:BH46)</f>
        <v>337.95421599999997</v>
      </c>
      <c r="BI49" s="128">
        <f t="shared" si="513"/>
        <v>418.35688400000004</v>
      </c>
      <c r="BJ49" s="128">
        <f t="shared" ref="BJ49" si="514">SUM(BJ45:BJ46)</f>
        <v>462.219154</v>
      </c>
      <c r="BK49" s="128">
        <f t="shared" ref="BK49" si="515">SUM(BK45:BK46)</f>
        <v>581.27860899999996</v>
      </c>
      <c r="BL49" s="128">
        <f t="shared" ref="BL49:BM49" si="516">SUM(BL45:BL46)</f>
        <v>268.29369300000002</v>
      </c>
      <c r="BM49" s="128">
        <f t="shared" si="516"/>
        <v>257.75609499999996</v>
      </c>
      <c r="BN49" s="128">
        <f t="shared" ref="BN49:BO49" si="517">SUM(BN45:BN46)</f>
        <v>662.40728100000001</v>
      </c>
      <c r="BO49" s="128">
        <f t="shared" si="517"/>
        <v>106.51737800000001</v>
      </c>
      <c r="BP49" s="128">
        <f t="shared" ref="BP49:BQ49" si="518">SUM(BP45:BP46)</f>
        <v>117.39376</v>
      </c>
      <c r="BQ49" s="128">
        <f t="shared" si="518"/>
        <v>118.717353</v>
      </c>
      <c r="BR49" s="128">
        <f t="shared" ref="BR49:BS49" si="519">SUM(BR45:BR46)</f>
        <v>83.478882999999996</v>
      </c>
      <c r="BS49" s="128">
        <f t="shared" si="519"/>
        <v>191.43029899999999</v>
      </c>
      <c r="BT49" s="128">
        <f t="shared" ref="BT49:BU49" si="520">SUM(BT45:BT46)</f>
        <v>2353.1996090000002</v>
      </c>
      <c r="BU49" s="128">
        <f t="shared" si="520"/>
        <v>176.404259</v>
      </c>
      <c r="BV49" s="128">
        <f t="shared" ref="BV49:BW49" si="521">SUM(BV45:BV46)</f>
        <v>2392.5677390000001</v>
      </c>
      <c r="BW49" s="128">
        <f t="shared" si="521"/>
        <v>130.378534</v>
      </c>
      <c r="BX49" s="128">
        <f t="shared" ref="BX49:BY49" si="522">SUM(BX45:BX46)</f>
        <v>273.505381</v>
      </c>
      <c r="BY49" s="128">
        <f t="shared" si="522"/>
        <v>158.85617400000001</v>
      </c>
      <c r="BZ49" s="128">
        <f t="shared" ref="BZ49:CB49" si="523">SUM(BZ45:BZ46)</f>
        <v>162.63794099999998</v>
      </c>
      <c r="CA49" s="128">
        <f t="shared" ref="CA49" si="524">SUM(CA45:CA46)</f>
        <v>217.27544499999999</v>
      </c>
      <c r="CB49" s="128">
        <f t="shared" si="523"/>
        <v>162.96806700000002</v>
      </c>
      <c r="CC49" s="128">
        <f t="shared" ref="CC49:CD49" si="525">SUM(CC45:CC46)</f>
        <v>127.441912</v>
      </c>
      <c r="CD49" s="128">
        <f t="shared" si="525"/>
        <v>168.43427199999999</v>
      </c>
      <c r="CE49" s="128">
        <f t="shared" ref="CE49:CF49" si="526">SUM(CE45:CE46)</f>
        <v>669.92828899999995</v>
      </c>
      <c r="CF49" s="128">
        <f t="shared" si="526"/>
        <v>502.32918700000005</v>
      </c>
      <c r="CG49" s="128">
        <f t="shared" ref="CG49:CH49" si="527">SUM(CG45:CG46)</f>
        <v>238.76421800000003</v>
      </c>
      <c r="CH49" s="128">
        <f t="shared" si="527"/>
        <v>121.45960400000001</v>
      </c>
      <c r="CI49" s="128">
        <f t="shared" ref="CI49:CJ49" si="528">SUM(CI45:CI46)</f>
        <v>136.216466</v>
      </c>
      <c r="CJ49" s="128">
        <f t="shared" si="528"/>
        <v>53.151339999999998</v>
      </c>
      <c r="CK49" s="128">
        <f t="shared" ref="CK49:CL49" si="529">SUM(CK45:CK46)</f>
        <v>37.546989999999994</v>
      </c>
      <c r="CL49" s="128">
        <f t="shared" si="529"/>
        <v>129.93813499999999</v>
      </c>
      <c r="CM49" s="128">
        <f t="shared" ref="CM49:CN49" si="530">SUM(CM45:CM46)</f>
        <v>140.709247</v>
      </c>
      <c r="CN49" s="128">
        <f t="shared" si="530"/>
        <v>325.37463700000001</v>
      </c>
      <c r="CO49" s="128">
        <f t="shared" ref="CO49:CP49" si="531">SUM(CO45:CO46)</f>
        <v>213.00374500000001</v>
      </c>
      <c r="CP49" s="128">
        <f t="shared" si="531"/>
        <v>294.63184799999999</v>
      </c>
      <c r="CQ49" s="128">
        <f t="shared" ref="CQ49:CR49" si="532">SUM(CQ45:CQ46)</f>
        <v>300.17333400000001</v>
      </c>
      <c r="CR49" s="128">
        <f t="shared" si="532"/>
        <v>263.52358499999997</v>
      </c>
      <c r="CS49" s="128">
        <f t="shared" ref="CS49:CT49" si="533">SUM(CS45:CS46)</f>
        <v>212.81313</v>
      </c>
      <c r="CT49" s="128">
        <f t="shared" si="533"/>
        <v>114.11387400000001</v>
      </c>
      <c r="CU49" s="128">
        <f t="shared" ref="CU49:CV49" si="534">SUM(CU45:CU46)</f>
        <v>52.232956999999999</v>
      </c>
      <c r="CV49" s="128">
        <f t="shared" si="534"/>
        <v>107.065164</v>
      </c>
      <c r="CW49" s="128">
        <f t="shared" ref="CW49:CX49" si="535">SUM(CW45:CW46)</f>
        <v>63.825703999999995</v>
      </c>
      <c r="CX49" s="128">
        <f t="shared" si="535"/>
        <v>119.22669999999999</v>
      </c>
      <c r="CY49" s="128">
        <f t="shared" ref="CY49:CZ49" si="536">SUM(CY45:CY46)</f>
        <v>148.68374399999999</v>
      </c>
      <c r="CZ49" s="128">
        <f t="shared" si="536"/>
        <v>332.85103900000001</v>
      </c>
      <c r="DA49" s="128">
        <f t="shared" ref="DA49:DB49" si="537">SUM(DA45:DA46)</f>
        <v>454.28968899999995</v>
      </c>
      <c r="DB49" s="128">
        <f t="shared" si="537"/>
        <v>149.452731</v>
      </c>
      <c r="DC49" s="128">
        <f t="shared" ref="DC49:DD49" si="538">SUM(DC45:DC46)</f>
        <v>86.342776999999998</v>
      </c>
      <c r="DD49" s="128">
        <f t="shared" si="538"/>
        <v>545.44671399999993</v>
      </c>
      <c r="DE49" s="128">
        <f t="shared" ref="DE49:DF49" si="539">SUM(DE45:DE46)</f>
        <v>88.615674000000013</v>
      </c>
      <c r="DF49" s="128">
        <f t="shared" si="539"/>
        <v>179.78888699999999</v>
      </c>
      <c r="DG49" s="128">
        <f t="shared" ref="DG49:DH49" si="540">SUM(DG45:DG46)</f>
        <v>237.56121300000001</v>
      </c>
      <c r="DH49" s="128">
        <f t="shared" si="540"/>
        <v>316.96958400000005</v>
      </c>
      <c r="DI49" s="128">
        <f t="shared" ref="DI49:DJ49" si="541">SUM(DI45:DI46)</f>
        <v>225.97452900000002</v>
      </c>
      <c r="DJ49" s="128">
        <f t="shared" si="541"/>
        <v>222.32486399999999</v>
      </c>
      <c r="DK49" s="128">
        <f t="shared" ref="DK49:DL49" si="542">SUM(DK45:DK46)</f>
        <v>300.81801100000001</v>
      </c>
      <c r="DL49" s="128">
        <f t="shared" si="542"/>
        <v>367.18330499999996</v>
      </c>
      <c r="DM49" s="128">
        <f t="shared" ref="DM49:DN49" si="543">SUM(DM45:DM46)</f>
        <v>330.13461800000005</v>
      </c>
      <c r="DN49" s="128">
        <f t="shared" si="543"/>
        <v>330.13461800000005</v>
      </c>
      <c r="DO49" s="128">
        <f t="shared" ref="DO49:DP49" si="544">SUM(DO45:DO46)</f>
        <v>330.13461800000005</v>
      </c>
      <c r="DP49" s="128">
        <f t="shared" si="544"/>
        <v>460.50512099999997</v>
      </c>
      <c r="DQ49" s="128">
        <f t="shared" ref="DQ49:DR49" si="545">SUM(DQ45:DQ46)</f>
        <v>163.83927700000001</v>
      </c>
      <c r="DR49" s="128">
        <f t="shared" si="545"/>
        <v>282.51929799999999</v>
      </c>
      <c r="DS49" s="128">
        <f t="shared" ref="DS49:DT49" si="546">SUM(DS45:DS46)</f>
        <v>134.278502</v>
      </c>
      <c r="DT49" s="128">
        <f t="shared" si="546"/>
        <v>165.32861700000001</v>
      </c>
      <c r="DU49" s="128">
        <f t="shared" ref="DU49:DV49" si="547">SUM(DU45:DU46)</f>
        <v>181.12828099999999</v>
      </c>
      <c r="DV49" s="128">
        <f t="shared" si="547"/>
        <v>267.60125299999999</v>
      </c>
      <c r="DW49" s="128">
        <f t="shared" ref="DW49:DX49" si="548">SUM(DW45:DW46)</f>
        <v>359.560655</v>
      </c>
      <c r="DX49" s="128">
        <f t="shared" si="548"/>
        <v>339.29127900000003</v>
      </c>
      <c r="DY49" s="128">
        <f t="shared" ref="DY49:DZ49" si="549">SUM(DY45:DY46)</f>
        <v>332.768867</v>
      </c>
      <c r="DZ49" s="128">
        <f t="shared" si="549"/>
        <v>284.78735499999999</v>
      </c>
      <c r="EA49" s="128">
        <f t="shared" ref="EA49:EB49" si="550">SUM(EA45:EA46)</f>
        <v>261.96005400000001</v>
      </c>
      <c r="EB49" s="128">
        <f t="shared" si="550"/>
        <v>343.49256300000002</v>
      </c>
      <c r="EC49" s="128">
        <f t="shared" ref="EC49:ED49" si="551">SUM(EC45:EC46)</f>
        <v>303.85063300000002</v>
      </c>
      <c r="ED49" s="128">
        <f t="shared" si="551"/>
        <v>243.05922799999999</v>
      </c>
      <c r="EE49" s="128">
        <f t="shared" ref="EE49:EF49" si="552">SUM(EE45:EE46)</f>
        <v>139.61436</v>
      </c>
      <c r="EF49" s="128">
        <f t="shared" si="552"/>
        <v>163.37358899999998</v>
      </c>
      <c r="EG49" s="128">
        <f t="shared" ref="EG49:EH49" si="553">SUM(EG45:EG46)</f>
        <v>249.124056</v>
      </c>
      <c r="EH49" s="128">
        <f t="shared" si="553"/>
        <v>218.18371100000002</v>
      </c>
      <c r="EI49" s="128">
        <f t="shared" ref="EI49:EJ49" si="554">SUM(EI45:EI46)</f>
        <v>230.205804</v>
      </c>
      <c r="EJ49" s="128">
        <f t="shared" si="554"/>
        <v>127.206221</v>
      </c>
      <c r="EK49" s="128">
        <f t="shared" ref="EK49:EL49" si="555">SUM(EK45:EK46)</f>
        <v>181.391638</v>
      </c>
      <c r="EL49" s="128">
        <f t="shared" si="555"/>
        <v>171.34647699999999</v>
      </c>
      <c r="EM49" s="128">
        <f t="shared" ref="EM49:EN49" si="556">SUM(EM45:EM46)</f>
        <v>720.82693599999993</v>
      </c>
      <c r="EN49" s="128">
        <f t="shared" si="556"/>
        <v>154.74072500000003</v>
      </c>
      <c r="EO49" s="128">
        <f t="shared" ref="EO49:EP49" si="557">SUM(EO45:EO46)</f>
        <v>221.41107799999997</v>
      </c>
      <c r="EP49" s="128">
        <f t="shared" si="557"/>
        <v>57.458122000000003</v>
      </c>
      <c r="EQ49" s="128">
        <f t="shared" ref="EQ49:ER49" si="558">SUM(EQ45:EQ46)</f>
        <v>141.19312300000001</v>
      </c>
      <c r="ER49" s="128">
        <f t="shared" si="558"/>
        <v>155.284437</v>
      </c>
      <c r="ES49" s="128">
        <f t="shared" ref="ES49:ET49" si="559">SUM(ES45:ES46)</f>
        <v>336.86960399999998</v>
      </c>
      <c r="ET49" s="128">
        <f t="shared" si="559"/>
        <v>227.443457</v>
      </c>
      <c r="EU49" s="128">
        <f t="shared" ref="EU49:EV49" si="560">SUM(EU45:EU46)</f>
        <v>364.22648100000004</v>
      </c>
      <c r="EV49" s="128">
        <f t="shared" si="560"/>
        <v>429.39351999999997</v>
      </c>
      <c r="EW49" s="128">
        <f t="shared" ref="EW49:EX49" si="561">SUM(EW45:EW46)</f>
        <v>191.91610700000001</v>
      </c>
      <c r="EX49" s="128">
        <f t="shared" si="561"/>
        <v>509.99798899999996</v>
      </c>
      <c r="EY49" s="128">
        <f t="shared" ref="EY49:EZ49" si="562">SUM(EY45:EY46)</f>
        <v>251.27606900000001</v>
      </c>
      <c r="EZ49" s="128">
        <f t="shared" si="562"/>
        <v>258.802144</v>
      </c>
      <c r="FA49" s="128">
        <f t="shared" ref="FA49:FB49" si="563">SUM(FA45:FA46)</f>
        <v>338.92299300000002</v>
      </c>
      <c r="FB49" s="128">
        <f t="shared" si="563"/>
        <v>347.20682199999999</v>
      </c>
      <c r="FC49" s="128">
        <f t="shared" ref="FC49:FD49" si="564">SUM(FC45:FC46)</f>
        <v>84.25891</v>
      </c>
      <c r="FD49" s="128">
        <f t="shared" si="564"/>
        <v>124.634739</v>
      </c>
      <c r="FE49" s="128">
        <f t="shared" ref="FE49:FF49" si="565">SUM(FE45:FE46)</f>
        <v>245.04501599999998</v>
      </c>
      <c r="FF49" s="128">
        <f t="shared" si="565"/>
        <v>199.10743399999998</v>
      </c>
      <c r="FG49" s="128">
        <f t="shared" ref="FG49:FI49" si="566">SUM(FG45:FG46)</f>
        <v>255.64864399999999</v>
      </c>
      <c r="FH49" s="128">
        <f t="shared" si="566"/>
        <v>427.25525600000003</v>
      </c>
      <c r="FI49" s="128">
        <f t="shared" si="566"/>
        <v>131.582683</v>
      </c>
      <c r="FJ49" s="128">
        <f t="shared" ref="FJ49" si="567">SUM(FJ45:FJ46)</f>
        <v>590.36171300000001</v>
      </c>
      <c r="FK49" s="128">
        <f t="shared" ref="FK49:FL49" si="568">SUM(FK45:FK46)</f>
        <v>205.75474500000001</v>
      </c>
      <c r="FL49" s="128">
        <f t="shared" si="568"/>
        <v>39.671689999999998</v>
      </c>
      <c r="FM49" s="128">
        <f t="shared" ref="FM49:FN49" si="569">SUM(FM45:FM46)</f>
        <v>251.248895</v>
      </c>
      <c r="FN49" s="128">
        <f t="shared" si="569"/>
        <v>281.47510499999999</v>
      </c>
      <c r="FO49" s="128">
        <f t="shared" ref="FO49:FP49" si="570">SUM(FO45:FO46)</f>
        <v>265.360028</v>
      </c>
      <c r="FP49" s="128">
        <f t="shared" si="570"/>
        <v>337.71023300000002</v>
      </c>
      <c r="FQ49" s="128">
        <f t="shared" ref="FQ49:FR49" si="571">SUM(FQ45:FQ46)</f>
        <v>125.100831</v>
      </c>
      <c r="FR49" s="128">
        <f t="shared" si="571"/>
        <v>149.26564200000001</v>
      </c>
      <c r="FS49" s="128">
        <f t="shared" ref="FS49:FT49" si="572">SUM(FS45:FS46)</f>
        <v>95.891149999999996</v>
      </c>
      <c r="FT49" s="128">
        <f t="shared" si="572"/>
        <v>101.59666300000001</v>
      </c>
      <c r="FU49" s="128">
        <f t="shared" ref="FU49:FV49" si="573">SUM(FU45:FU46)</f>
        <v>363.99063699999999</v>
      </c>
      <c r="FV49" s="128">
        <f t="shared" si="573"/>
        <v>24.314717999999999</v>
      </c>
      <c r="FW49" s="128">
        <f t="shared" ref="FW49:FX49" si="574">SUM(FW45:FW46)</f>
        <v>127.237455</v>
      </c>
      <c r="FX49" s="128">
        <f t="shared" si="574"/>
        <v>71.164648999999997</v>
      </c>
      <c r="FY49" s="128">
        <f t="shared" ref="FY49:FZ49" si="575">SUM(FY45:FY46)</f>
        <v>42.216037</v>
      </c>
      <c r="FZ49" s="128">
        <f t="shared" si="575"/>
        <v>58.131890999999996</v>
      </c>
      <c r="GA49" s="128">
        <f t="shared" ref="GA49:GB49" si="576">SUM(GA45:GA46)</f>
        <v>29.831809</v>
      </c>
      <c r="GB49" s="128">
        <f t="shared" si="576"/>
        <v>136.33442700000001</v>
      </c>
      <c r="GC49" s="128">
        <f t="shared" ref="GC49:GD49" si="577">SUM(GC45:GC46)</f>
        <v>144.26680500000001</v>
      </c>
      <c r="GD49" s="128">
        <f t="shared" si="577"/>
        <v>313.27023300000002</v>
      </c>
      <c r="GE49" s="128">
        <f t="shared" ref="GE49:GF49" si="578">SUM(GE45:GE46)</f>
        <v>242.927042</v>
      </c>
      <c r="GF49" s="128">
        <f t="shared" si="578"/>
        <v>256.32549599999999</v>
      </c>
      <c r="GG49" s="128">
        <f t="shared" ref="GG49:GH49" si="579">SUM(GG45:GG46)</f>
        <v>984.59876599999996</v>
      </c>
      <c r="GH49" s="128">
        <f t="shared" si="579"/>
        <v>1100.9816210000001</v>
      </c>
      <c r="GI49" s="128">
        <f t="shared" ref="GI49:GJ49" si="580">SUM(GI45:GI46)</f>
        <v>571.36296141000003</v>
      </c>
      <c r="GJ49" s="128">
        <f t="shared" si="580"/>
        <v>223.67869420000002</v>
      </c>
      <c r="GK49" s="128">
        <f t="shared" ref="GK49" si="581">SUM(GK45:GK46)</f>
        <v>98.614909280000006</v>
      </c>
      <c r="GL49" s="128">
        <f t="shared" ref="GL49:GQ49" si="582">SUM(GL45:GL46)</f>
        <v>90.909036909999998</v>
      </c>
      <c r="GM49" s="128">
        <f t="shared" si="582"/>
        <v>61.339000440000007</v>
      </c>
      <c r="GN49" s="128">
        <f t="shared" si="582"/>
        <v>256.96027035999998</v>
      </c>
      <c r="GO49" s="128">
        <f t="shared" si="582"/>
        <v>219.22336294000002</v>
      </c>
      <c r="GP49" s="128">
        <f t="shared" si="582"/>
        <v>112.28113125</v>
      </c>
      <c r="GQ49" s="128">
        <f t="shared" si="582"/>
        <v>46.408186319999999</v>
      </c>
      <c r="GR49" s="128">
        <f t="shared" ref="GR49:GS49" si="583">SUM(GR45:GR46)</f>
        <v>169.83955093999998</v>
      </c>
      <c r="GS49" s="128">
        <f t="shared" si="583"/>
        <v>481.51407998000002</v>
      </c>
      <c r="GT49" s="128">
        <f t="shared" ref="GT49:GU49" si="584">SUM(GT45:GT46)</f>
        <v>241.44641504000001</v>
      </c>
      <c r="GU49" s="128">
        <f t="shared" si="584"/>
        <v>383.10834166999996</v>
      </c>
      <c r="GV49" s="128">
        <f t="shared" ref="GV49:GW49" si="585">SUM(GV45:GV46)</f>
        <v>104.66659165999999</v>
      </c>
      <c r="GW49" s="128">
        <f t="shared" si="585"/>
        <v>203.77080812</v>
      </c>
      <c r="GX49" s="128">
        <f t="shared" ref="GX49:GY49" si="586">SUM(GX45:GX46)</f>
        <v>156.18115130000001</v>
      </c>
      <c r="GY49" s="128">
        <f t="shared" si="586"/>
        <v>266.38223043000005</v>
      </c>
      <c r="GZ49" s="128">
        <f t="shared" ref="GZ49:HA49" si="587">SUM(GZ45:GZ46)</f>
        <v>304.94293892999997</v>
      </c>
      <c r="HA49" s="128">
        <f t="shared" si="587"/>
        <v>202.01871741999997</v>
      </c>
      <c r="HB49" s="128">
        <f t="shared" ref="HB49:HC49" si="588">SUM(HB45:HB46)</f>
        <v>256.01833363999998</v>
      </c>
      <c r="HC49" s="128">
        <f t="shared" si="588"/>
        <v>237.52320853999998</v>
      </c>
      <c r="HD49" s="128">
        <f t="shared" ref="HD49:HE49" si="589">SUM(HD45:HD46)</f>
        <v>647.83093055999996</v>
      </c>
      <c r="HE49" s="128">
        <f t="shared" si="589"/>
        <v>573.68561414999999</v>
      </c>
      <c r="HF49" s="128">
        <f t="shared" ref="HF49:HG49" si="590">SUM(HF45:HF46)</f>
        <v>359.37750671999999</v>
      </c>
      <c r="HG49" s="128">
        <f t="shared" si="590"/>
        <v>1306.4264558</v>
      </c>
      <c r="HH49" s="128">
        <f t="shared" ref="HH49:HJ49" si="591">SUM(HH45:HH46)</f>
        <v>180.84087826000001</v>
      </c>
      <c r="HI49" s="128">
        <f t="shared" si="591"/>
        <v>261.01859022999997</v>
      </c>
      <c r="HJ49" s="128">
        <f t="shared" si="591"/>
        <v>231.55601780000001</v>
      </c>
      <c r="HK49" s="128">
        <f t="shared" ref="HK49:HL49" si="592">SUM(HK45:HK46)</f>
        <v>227.2173641</v>
      </c>
      <c r="HL49" s="128">
        <f t="shared" si="592"/>
        <v>132.58781318999999</v>
      </c>
      <c r="HM49" s="128">
        <f t="shared" ref="HM49" si="593">SUM(HM45:HM46)</f>
        <v>145.39188019000002</v>
      </c>
      <c r="HN49" s="128">
        <f>SUM(HN45:HN46)</f>
        <v>124.789973</v>
      </c>
      <c r="HO49" s="128">
        <v>292.36961216000003</v>
      </c>
      <c r="HP49" s="128">
        <v>382.76736249000004</v>
      </c>
      <c r="HQ49" s="128">
        <v>128.88442720999998</v>
      </c>
      <c r="HR49" s="128">
        <f>SUM(HR45:HR46)</f>
        <v>80.050215570000006</v>
      </c>
      <c r="HS49" s="128">
        <f>SUM(HS45:HS46)</f>
        <v>96.888420879999998</v>
      </c>
      <c r="HT49" s="128">
        <f>SUM(HT45:HT46)</f>
        <v>118.2981796</v>
      </c>
      <c r="HU49" s="128">
        <f>SUM(HU45:HU46)</f>
        <v>83.845685279999998</v>
      </c>
      <c r="HV49" s="128">
        <v>360.43735262000001</v>
      </c>
      <c r="HW49" s="128">
        <v>302.49870462000001</v>
      </c>
      <c r="HX49" s="128">
        <v>311.36069415000003</v>
      </c>
      <c r="HY49" s="128">
        <v>81.621705000000006</v>
      </c>
      <c r="HZ49" s="128">
        <v>70.550323700000007</v>
      </c>
      <c r="IA49" s="128">
        <v>135.04546837999999</v>
      </c>
      <c r="IB49" s="128">
        <v>53.512629379999993</v>
      </c>
      <c r="IC49" s="128">
        <v>50.851618103652996</v>
      </c>
      <c r="ID49" s="128">
        <v>56.37977223</v>
      </c>
      <c r="IE49" s="128">
        <v>191.822765</v>
      </c>
      <c r="IF49" s="128">
        <v>73.211913999999993</v>
      </c>
      <c r="IG49" s="128">
        <v>57.218432</v>
      </c>
      <c r="IH49" s="128">
        <v>39.051488999999997</v>
      </c>
      <c r="II49" s="128">
        <v>36.745261999999997</v>
      </c>
      <c r="IJ49" s="128">
        <v>85.562803000000002</v>
      </c>
      <c r="IK49" s="128">
        <v>657.83153200000004</v>
      </c>
      <c r="IL49" s="128">
        <v>32.041500999999997</v>
      </c>
      <c r="IM49" s="128">
        <v>199.43268800000001</v>
      </c>
      <c r="IN49" s="128">
        <v>172.48593</v>
      </c>
      <c r="IO49" s="128">
        <v>165.601225</v>
      </c>
      <c r="IP49" s="128">
        <v>423.27105</v>
      </c>
      <c r="IQ49" s="128">
        <v>223.12262000000001</v>
      </c>
      <c r="IR49" s="128">
        <v>176.696786</v>
      </c>
      <c r="IS49" s="128">
        <v>213.93302199999999</v>
      </c>
      <c r="IT49" s="128">
        <v>145.89426700000001</v>
      </c>
      <c r="IU49" s="128">
        <v>213.38784800000002</v>
      </c>
      <c r="IV49" s="128">
        <v>213.38784800000002</v>
      </c>
      <c r="IW49" s="128">
        <v>171.60697299999998</v>
      </c>
      <c r="IX49" s="128">
        <v>151.131305</v>
      </c>
      <c r="IY49" s="128">
        <f>SUM(IY45:IY46)</f>
        <v>84.098518999999996</v>
      </c>
      <c r="IZ49" s="128">
        <v>43.336551999999998</v>
      </c>
      <c r="JA49" s="128">
        <v>495.39257600000002</v>
      </c>
      <c r="JB49" s="128">
        <v>395.42031100000003</v>
      </c>
      <c r="JC49" s="128">
        <v>1556.2848369999999</v>
      </c>
      <c r="JD49" s="128">
        <v>404.48571199999998</v>
      </c>
      <c r="JE49" s="128">
        <v>221.97328200000001</v>
      </c>
      <c r="JF49" s="128">
        <v>391.30876000000001</v>
      </c>
      <c r="JG49" s="128">
        <v>402.42319800000001</v>
      </c>
      <c r="JH49" s="128">
        <v>379.26130599999999</v>
      </c>
      <c r="JI49" s="128">
        <v>196.80220800000001</v>
      </c>
      <c r="JJ49" s="128">
        <v>233.01496700000001</v>
      </c>
      <c r="JK49" s="128">
        <v>321.05702500000001</v>
      </c>
      <c r="JL49" s="128">
        <v>321.05702500000001</v>
      </c>
      <c r="JM49" s="128">
        <v>462.85399900000004</v>
      </c>
      <c r="JN49" s="128">
        <v>1549.7874590000001</v>
      </c>
      <c r="JO49" s="128">
        <v>1555.6432459999999</v>
      </c>
      <c r="JP49" s="128">
        <v>1784.330843</v>
      </c>
      <c r="JQ49" s="128">
        <v>848.60928199999989</v>
      </c>
      <c r="JR49" s="128">
        <v>805.50123054999995</v>
      </c>
      <c r="JS49" s="128">
        <f>SUM(JS45:JS48)</f>
        <v>320.31907999999999</v>
      </c>
      <c r="JT49" s="128">
        <v>366.77178000000004</v>
      </c>
      <c r="JU49" s="128">
        <v>289.460644</v>
      </c>
      <c r="JV49" s="128">
        <v>516.69766300000003</v>
      </c>
      <c r="JW49" s="128">
        <v>1717.808192</v>
      </c>
      <c r="JX49" s="128">
        <v>416.01187599999997</v>
      </c>
      <c r="JY49" s="128">
        <v>208.24594199999999</v>
      </c>
      <c r="JZ49" s="128">
        <v>523.46237900000006</v>
      </c>
      <c r="KA49" s="128">
        <v>257.86321299999997</v>
      </c>
      <c r="KB49" s="128">
        <v>582.18988999999999</v>
      </c>
      <c r="KC49" s="128">
        <v>520.93551100000002</v>
      </c>
      <c r="KD49" s="128">
        <v>472.11295699999999</v>
      </c>
      <c r="KE49" s="128">
        <v>526.09474364999994</v>
      </c>
      <c r="KF49" s="128">
        <v>591.76786365000009</v>
      </c>
      <c r="KG49" s="128">
        <v>183.47232265</v>
      </c>
      <c r="KH49" s="128">
        <v>333.96451100000002</v>
      </c>
      <c r="KI49" s="128">
        <v>213.89196799999999</v>
      </c>
      <c r="KJ49" s="128">
        <f>SUM(KJ45:KJ48)</f>
        <v>244.00038576</v>
      </c>
      <c r="KK49" s="128">
        <v>275.35435675999997</v>
      </c>
      <c r="KL49" s="128">
        <v>370.64912176000001</v>
      </c>
      <c r="KM49" s="128">
        <v>247.37866300000002</v>
      </c>
      <c r="KN49" s="128">
        <v>262.93832499999996</v>
      </c>
      <c r="KO49" s="128">
        <v>203.32257399999997</v>
      </c>
      <c r="KP49" s="128">
        <v>1005.74689177</v>
      </c>
      <c r="KQ49" s="128">
        <v>408.48179083000002</v>
      </c>
      <c r="KR49" s="128">
        <v>466.45132058999997</v>
      </c>
      <c r="KS49" s="128">
        <f>SUM(KS45:KS48)</f>
        <v>491.17316578999998</v>
      </c>
      <c r="KT49" s="128">
        <v>152.59748839999997</v>
      </c>
      <c r="KU49" s="128">
        <f>SUM(KU45:KU48)</f>
        <v>473.83333038000001</v>
      </c>
      <c r="KV49" s="128">
        <f>SUM(KV45:KV48)</f>
        <v>306.46400323</v>
      </c>
      <c r="KW49" s="128">
        <f>SUM(KW45:KW48)</f>
        <v>411.31780855</v>
      </c>
      <c r="KX49" s="128">
        <v>158.16769933</v>
      </c>
      <c r="KY49" s="128">
        <v>1027.3779931199999</v>
      </c>
      <c r="KZ49" s="128">
        <v>1067.1761771900001</v>
      </c>
      <c r="LA49" s="128">
        <v>370.16476186</v>
      </c>
      <c r="LB49" s="128">
        <v>763.95433013000013</v>
      </c>
      <c r="LC49" s="128">
        <v>857.56276812999999</v>
      </c>
      <c r="LD49" s="128">
        <v>1925.0900937000001</v>
      </c>
      <c r="LE49" s="128">
        <f>SUM(LE45:LE48)</f>
        <v>1710.4670785799999</v>
      </c>
      <c r="LF49" s="967">
        <v>902.08427601999995</v>
      </c>
      <c r="LG49" s="967">
        <v>338.79094302000004</v>
      </c>
      <c r="LH49" s="967">
        <v>651.61299901999996</v>
      </c>
      <c r="LI49" s="967">
        <v>816.80089601999998</v>
      </c>
      <c r="LJ49" s="967">
        <v>325.45485602000002</v>
      </c>
      <c r="LK49" s="967">
        <v>1217.1124810199999</v>
      </c>
      <c r="LL49" s="967">
        <v>358.73742446</v>
      </c>
      <c r="LM49" s="967">
        <v>411.81277246000008</v>
      </c>
      <c r="LN49" s="967">
        <v>425.46623446000001</v>
      </c>
      <c r="LO49" s="967">
        <v>197.96573946000001</v>
      </c>
      <c r="LP49" s="967">
        <v>99.227501460000013</v>
      </c>
      <c r="LQ49" s="967">
        <v>277.76319245999997</v>
      </c>
      <c r="LR49" s="967">
        <v>907.20858645999988</v>
      </c>
      <c r="LS49" s="967">
        <v>1077.5873364100003</v>
      </c>
      <c r="LT49" s="967">
        <v>1398.1253104100001</v>
      </c>
      <c r="LU49" s="967">
        <v>1217.67793824</v>
      </c>
      <c r="LV49" s="967">
        <v>546.77872867999997</v>
      </c>
      <c r="LW49" s="967">
        <v>75.036690120000003</v>
      </c>
      <c r="LX49" s="967">
        <v>74.544578119999997</v>
      </c>
      <c r="LY49" s="967">
        <v>623.52180693000003</v>
      </c>
      <c r="LZ49" s="967">
        <v>263.69708144000003</v>
      </c>
      <c r="MA49" s="967">
        <v>677.34921944000007</v>
      </c>
      <c r="MB49" s="967">
        <v>149.31761943999999</v>
      </c>
      <c r="MC49" s="967">
        <v>521.57868830000007</v>
      </c>
      <c r="MD49" s="967">
        <v>127.55119629999999</v>
      </c>
      <c r="ME49" s="967">
        <v>351.33130829999993</v>
      </c>
      <c r="MF49" s="967">
        <v>270.64071730000001</v>
      </c>
      <c r="MG49" s="967">
        <v>294.44598010999999</v>
      </c>
      <c r="MH49" s="967">
        <v>539.3341703100001</v>
      </c>
      <c r="MI49" s="967">
        <v>559.76935331000004</v>
      </c>
      <c r="MJ49" s="967">
        <v>499.53600831</v>
      </c>
      <c r="MK49" s="967">
        <v>213.47947229000002</v>
      </c>
      <c r="ML49" s="967">
        <v>493.0430207</v>
      </c>
      <c r="MM49" s="967">
        <v>496.02410570000001</v>
      </c>
      <c r="MN49" s="967">
        <v>451.18979696000008</v>
      </c>
      <c r="MO49" s="967">
        <v>220.67433055999999</v>
      </c>
      <c r="MP49" s="967">
        <v>155.67832731999999</v>
      </c>
      <c r="MQ49" s="967">
        <v>193.44605731999999</v>
      </c>
      <c r="MR49" s="967">
        <v>165.60917082999998</v>
      </c>
      <c r="MS49" s="967">
        <v>232.91170657999999</v>
      </c>
      <c r="MT49" s="967">
        <v>619.76348958000005</v>
      </c>
      <c r="MU49" s="967">
        <v>428.39301058000001</v>
      </c>
      <c r="MV49" s="967">
        <v>425.81364857999995</v>
      </c>
      <c r="MW49" s="967">
        <v>570.32501668000009</v>
      </c>
      <c r="MX49" s="967">
        <v>442.19943267999997</v>
      </c>
      <c r="MY49" s="967">
        <v>541.12596967999991</v>
      </c>
      <c r="MZ49" s="967">
        <v>382.72165267999992</v>
      </c>
      <c r="NA49" s="967">
        <v>307.42857936000001</v>
      </c>
      <c r="NB49" s="967">
        <v>659.57557436000013</v>
      </c>
      <c r="NC49" s="967">
        <v>341.63181961000009</v>
      </c>
      <c r="ND49" s="967">
        <v>213.66373461000001</v>
      </c>
      <c r="NE49" s="967">
        <v>626.27186960999995</v>
      </c>
      <c r="NF49" s="967">
        <v>733.01463361000003</v>
      </c>
      <c r="NG49" s="967">
        <v>495.89428060999995</v>
      </c>
      <c r="NH49" s="967">
        <v>504.87748761</v>
      </c>
      <c r="NI49" s="967">
        <v>612.28763260999995</v>
      </c>
      <c r="NJ49" s="967">
        <v>828.82878123</v>
      </c>
      <c r="NK49" s="967">
        <v>632.58873423</v>
      </c>
      <c r="NL49" s="967">
        <v>439.50166507</v>
      </c>
      <c r="NM49" s="967">
        <v>960.67191407000007</v>
      </c>
      <c r="NN49" s="967">
        <v>635.02281067000001</v>
      </c>
      <c r="NO49" s="967">
        <v>618.13518677000002</v>
      </c>
      <c r="NP49" s="967">
        <v>297.07500848000006</v>
      </c>
      <c r="NQ49" s="967">
        <v>296.58090848000001</v>
      </c>
      <c r="NR49" s="967">
        <v>354.12142864000003</v>
      </c>
      <c r="NS49" s="967">
        <v>457.84525364000001</v>
      </c>
      <c r="NT49" s="967">
        <v>650.04368664000003</v>
      </c>
      <c r="NU49" s="967">
        <f>SUM(NU45:NU48)</f>
        <v>1101.0761426399999</v>
      </c>
      <c r="NV49" s="967">
        <v>456.78628064000003</v>
      </c>
      <c r="NW49" s="967">
        <v>888.58755764</v>
      </c>
      <c r="NX49" s="967">
        <v>416.37473963999997</v>
      </c>
      <c r="NY49" s="967">
        <v>525.28601685000001</v>
      </c>
      <c r="NZ49" s="967">
        <v>550.77340168000001</v>
      </c>
      <c r="OA49" s="967">
        <v>382.22678058000002</v>
      </c>
      <c r="OB49" s="967">
        <v>771.23057558000005</v>
      </c>
      <c r="OC49" s="967">
        <v>679.49562863000006</v>
      </c>
      <c r="OD49" s="967">
        <v>919.77070067</v>
      </c>
      <c r="OE49" s="967">
        <v>1067.5948406699999</v>
      </c>
      <c r="OF49" s="967">
        <v>1103.49669189</v>
      </c>
      <c r="OG49" s="967">
        <v>724.45087289000003</v>
      </c>
      <c r="OH49" s="967">
        <v>122.67928289</v>
      </c>
      <c r="OI49" s="967">
        <v>580.70083321999994</v>
      </c>
      <c r="OJ49" s="967">
        <v>623.73484688999997</v>
      </c>
      <c r="OK49" s="967">
        <v>713.13276277</v>
      </c>
      <c r="OL49" s="967">
        <v>520.37667778000002</v>
      </c>
      <c r="OM49" s="967">
        <v>651.32790731</v>
      </c>
      <c r="ON49" s="967">
        <v>881.92527877999999</v>
      </c>
      <c r="OO49" s="967">
        <v>912.84650222999994</v>
      </c>
      <c r="OP49" s="967">
        <v>440.70979423</v>
      </c>
      <c r="OQ49" s="967">
        <v>426.73267098999997</v>
      </c>
      <c r="OR49" s="967">
        <v>835.53452934000006</v>
      </c>
      <c r="OS49" s="967">
        <v>193.11024884999998</v>
      </c>
      <c r="OT49" s="967">
        <v>1599.1813803399998</v>
      </c>
      <c r="OU49" s="967">
        <v>730.27763500000003</v>
      </c>
      <c r="OV49" s="967">
        <v>1273.2143551500001</v>
      </c>
      <c r="OW49" s="967">
        <v>1226.4316755100001</v>
      </c>
      <c r="OX49" s="967">
        <v>834.76270426999997</v>
      </c>
      <c r="OY49" s="967">
        <v>938.92844846999992</v>
      </c>
      <c r="OZ49" s="967">
        <v>1181.6817648599999</v>
      </c>
      <c r="PA49" s="967">
        <v>847.67602044</v>
      </c>
      <c r="PB49" s="967">
        <v>399.48862525999994</v>
      </c>
      <c r="PC49" s="967">
        <v>438.99024366999993</v>
      </c>
      <c r="PD49" s="967">
        <v>904.89799707999998</v>
      </c>
      <c r="PE49" s="967">
        <v>929.76911767000001</v>
      </c>
      <c r="PF49" s="967">
        <v>918.46365954999999</v>
      </c>
      <c r="PG49" s="967">
        <v>427.35277179000002</v>
      </c>
      <c r="PH49" s="967">
        <v>1103.2480747899999</v>
      </c>
      <c r="PI49" s="967">
        <v>1189.0469831999999</v>
      </c>
      <c r="PJ49" s="967">
        <v>1608.9040066699999</v>
      </c>
      <c r="PK49" s="967">
        <v>994.70933155</v>
      </c>
      <c r="PL49" s="967">
        <v>413.24425207000002</v>
      </c>
      <c r="PM49" s="967">
        <v>312.16480132000004</v>
      </c>
      <c r="PN49" s="967">
        <v>791.39344721999998</v>
      </c>
      <c r="PO49" s="967">
        <v>1241.69772493</v>
      </c>
      <c r="PP49" s="967">
        <v>1346.8566820699998</v>
      </c>
      <c r="PQ49" s="967">
        <v>913.46790007999994</v>
      </c>
      <c r="PR49" s="967">
        <v>961.51277023</v>
      </c>
      <c r="PS49" s="967">
        <v>1075.8989145599999</v>
      </c>
      <c r="PT49" s="967">
        <v>1107.9149746400001</v>
      </c>
      <c r="PU49" s="967">
        <v>756.90235183000004</v>
      </c>
      <c r="PV49" s="967">
        <v>371.15651773000002</v>
      </c>
      <c r="PW49" s="967">
        <v>421.08193132999997</v>
      </c>
      <c r="PX49" s="967">
        <v>863.90703852000001</v>
      </c>
      <c r="PY49" s="967">
        <v>307.45225361999996</v>
      </c>
      <c r="PZ49" s="967">
        <v>76.638556410000007</v>
      </c>
      <c r="QA49" s="967">
        <v>97.085525920000009</v>
      </c>
      <c r="QB49" s="967">
        <v>199.05064192</v>
      </c>
      <c r="QC49" s="967">
        <v>359.60543860999996</v>
      </c>
      <c r="QD49" s="967">
        <v>272.72886956000002</v>
      </c>
      <c r="QE49" s="967">
        <v>157.87187252999999</v>
      </c>
      <c r="QF49" s="967">
        <v>505.36394096000004</v>
      </c>
      <c r="QG49" s="967">
        <v>386.75520816000005</v>
      </c>
      <c r="QH49" s="967">
        <f>SUM(QH45:QH48)</f>
        <v>232.97514040999997</v>
      </c>
      <c r="QI49" s="967">
        <v>913.63066919000005</v>
      </c>
      <c r="QJ49" s="967">
        <v>619.58320934000005</v>
      </c>
      <c r="QK49" s="967">
        <v>1024.2044468900001</v>
      </c>
      <c r="QL49" s="967">
        <v>159.75665918999999</v>
      </c>
      <c r="QM49" s="967">
        <v>91.956221290000002</v>
      </c>
      <c r="QN49" s="967">
        <v>118.78663324</v>
      </c>
      <c r="QO49" s="967">
        <v>734.75917482</v>
      </c>
      <c r="QP49" s="967">
        <v>234.84853224</v>
      </c>
      <c r="QQ49" s="967">
        <v>263.07607167000003</v>
      </c>
      <c r="QR49" s="967">
        <v>402.05153166999997</v>
      </c>
      <c r="QS49" s="967">
        <v>444.19011437999995</v>
      </c>
      <c r="QT49" s="967">
        <v>410.07933109999999</v>
      </c>
      <c r="QU49" s="967">
        <v>248.82956486</v>
      </c>
      <c r="QV49" s="967">
        <v>382.91239465999996</v>
      </c>
      <c r="QW49" s="967">
        <v>313.73122510999997</v>
      </c>
      <c r="QX49" s="967">
        <v>340.73215806999997</v>
      </c>
      <c r="QY49" s="967">
        <v>370.59512464999995</v>
      </c>
      <c r="QZ49" s="967">
        <v>469.23649574000001</v>
      </c>
      <c r="RA49" s="967">
        <v>505.46318237000003</v>
      </c>
      <c r="RB49" s="967">
        <v>448.00597011999997</v>
      </c>
      <c r="RC49" s="967">
        <v>523.00229001999992</v>
      </c>
      <c r="RD49" s="967">
        <v>744.19878642000003</v>
      </c>
      <c r="RE49" s="967">
        <v>646.36863497000002</v>
      </c>
      <c r="RF49" s="967">
        <v>478.03987055000005</v>
      </c>
      <c r="RG49" s="967">
        <f>SUM(RG45:RG48)</f>
        <v>289.99942871000002</v>
      </c>
      <c r="RH49" s="967">
        <v>308.00887526000002</v>
      </c>
      <c r="RI49" s="967">
        <v>308.68790430000001</v>
      </c>
      <c r="RJ49" s="967">
        <v>207.26369681</v>
      </c>
      <c r="RK49" s="967">
        <v>283.66720047000001</v>
      </c>
      <c r="RL49" s="967">
        <v>226.17206012999998</v>
      </c>
      <c r="RM49" s="967">
        <v>225.81221757999998</v>
      </c>
      <c r="RN49" s="967">
        <v>216.19257485999998</v>
      </c>
      <c r="RO49" s="967">
        <v>235.12880475</v>
      </c>
      <c r="RP49" s="967">
        <v>318.86925779000001</v>
      </c>
      <c r="RQ49" s="967">
        <v>206.99505056999999</v>
      </c>
      <c r="RR49" s="967">
        <v>303.30299368999999</v>
      </c>
      <c r="RS49" s="967">
        <v>2600.4018860099995</v>
      </c>
      <c r="RT49" s="967">
        <v>3057.4603932800001</v>
      </c>
      <c r="RU49" s="967">
        <v>2097.5434278899997</v>
      </c>
      <c r="RV49" s="967">
        <v>2135.7140265400003</v>
      </c>
      <c r="RW49" s="967">
        <v>1147.5555938100001</v>
      </c>
      <c r="RX49" s="967">
        <v>802.0315731799999</v>
      </c>
      <c r="RY49" s="967">
        <v>883.38299268000003</v>
      </c>
      <c r="RZ49" s="967">
        <v>485.96312749999998</v>
      </c>
      <c r="SA49" s="967">
        <v>1109.9702470700001</v>
      </c>
      <c r="SB49" s="967">
        <v>417.94978874999998</v>
      </c>
      <c r="SC49" s="967">
        <v>534.35806403999993</v>
      </c>
      <c r="SD49" s="967">
        <v>674.89057733000004</v>
      </c>
      <c r="SE49" s="967">
        <v>525.71499371999994</v>
      </c>
      <c r="SF49" s="967">
        <v>1218.65774672</v>
      </c>
      <c r="SG49" s="967">
        <v>847.74034895</v>
      </c>
      <c r="SH49" s="967">
        <v>351.07662515000004</v>
      </c>
      <c r="SI49" s="967">
        <v>394.37099482000002</v>
      </c>
      <c r="SJ49" s="967">
        <v>482.62211105999995</v>
      </c>
      <c r="SK49" s="967">
        <v>569.98083017999988</v>
      </c>
      <c r="SL49" s="967">
        <v>552.19251732999999</v>
      </c>
      <c r="SM49" s="967">
        <v>463.66535370999998</v>
      </c>
      <c r="SN49" s="967">
        <v>419.73044165000005</v>
      </c>
      <c r="SO49" s="967">
        <v>843.33948166000005</v>
      </c>
      <c r="SP49" s="967">
        <v>587.61077180999996</v>
      </c>
      <c r="SQ49" s="967">
        <v>242.20294824000001</v>
      </c>
      <c r="SR49" s="967">
        <v>346.99025694000005</v>
      </c>
      <c r="SS49" s="967">
        <v>323.96781962</v>
      </c>
      <c r="ST49" s="967">
        <v>345.72184676000001</v>
      </c>
      <c r="SU49" s="967">
        <v>439.29435963000003</v>
      </c>
      <c r="SV49" s="967">
        <v>148.53726714000001</v>
      </c>
      <c r="SW49" s="967">
        <v>158.71134478000002</v>
      </c>
      <c r="SX49" s="967">
        <v>391.80419857999999</v>
      </c>
      <c r="SY49" s="967">
        <v>269.74802394999995</v>
      </c>
      <c r="SZ49" s="967">
        <v>397.81103313943004</v>
      </c>
      <c r="TA49" s="967">
        <v>512.10385360000009</v>
      </c>
      <c r="TB49" s="967">
        <v>517.84558719999995</v>
      </c>
      <c r="TC49" s="967">
        <v>475.26464872000003</v>
      </c>
      <c r="TD49" s="967">
        <v>729.43013330999997</v>
      </c>
      <c r="TE49" s="967">
        <f>SUM(TE45:TE48)</f>
        <v>729.63453518000006</v>
      </c>
      <c r="TF49" s="967">
        <f>SUM(TF45:TF48)</f>
        <v>408.05105267000005</v>
      </c>
      <c r="TG49" s="967">
        <v>318.80198140000005</v>
      </c>
      <c r="TH49" s="967">
        <v>267.10642611999998</v>
      </c>
      <c r="TI49" s="967">
        <v>514.33217478000006</v>
      </c>
      <c r="TJ49" s="967">
        <v>234.57475110999999</v>
      </c>
      <c r="TK49" s="967">
        <v>237.14803700000002</v>
      </c>
      <c r="TL49" s="967">
        <v>604.4859479700001</v>
      </c>
      <c r="TM49" s="967">
        <v>1183.18097777</v>
      </c>
      <c r="TN49" s="967">
        <v>384.66675058999999</v>
      </c>
      <c r="TO49" s="967">
        <v>503.40194403999999</v>
      </c>
      <c r="TP49" s="967">
        <v>854.24715804999994</v>
      </c>
      <c r="TQ49" s="967">
        <v>217.73219129999995</v>
      </c>
      <c r="TR49" s="967">
        <v>370.64411233000004</v>
      </c>
      <c r="TS49" s="967">
        <v>194.49116952999998</v>
      </c>
      <c r="TT49" s="967">
        <v>534.94755139999995</v>
      </c>
      <c r="TU49" s="967">
        <v>459.52959704</v>
      </c>
      <c r="TV49" s="967">
        <v>720.16097448000005</v>
      </c>
      <c r="TW49" s="967">
        <v>542.63388636000002</v>
      </c>
      <c r="TX49" s="967">
        <v>359.46149001000003</v>
      </c>
      <c r="TY49" s="967">
        <v>198.76634148000005</v>
      </c>
      <c r="TZ49" s="967">
        <f t="shared" ref="TZ49:UE49" si="594">SUM(TZ45:TZ48)</f>
        <v>198.76634148000005</v>
      </c>
      <c r="UA49" s="967">
        <f t="shared" si="594"/>
        <v>431.38885586000004</v>
      </c>
      <c r="UB49" s="967">
        <f t="shared" si="594"/>
        <v>401.65297000000004</v>
      </c>
      <c r="UC49" s="967">
        <f t="shared" si="594"/>
        <v>180.37568974999999</v>
      </c>
      <c r="UD49" s="967">
        <f t="shared" si="594"/>
        <v>532.63994550000007</v>
      </c>
      <c r="UE49" s="967">
        <f t="shared" si="594"/>
        <v>572.15141415000005</v>
      </c>
      <c r="UF49" s="967">
        <v>102.89077197999998</v>
      </c>
      <c r="UG49" s="967">
        <v>1124.0473814500001</v>
      </c>
      <c r="UH49" s="967">
        <v>770.27527535000002</v>
      </c>
      <c r="UI49" s="967">
        <v>160.96849151000001</v>
      </c>
      <c r="UJ49" s="967">
        <v>428.15502348000001</v>
      </c>
      <c r="UK49" s="967">
        <v>478.54626403000003</v>
      </c>
      <c r="UL49" s="967">
        <v>701.06825636999986</v>
      </c>
      <c r="UM49" s="967">
        <v>358.08930372000003</v>
      </c>
      <c r="UN49" s="967">
        <v>481.97409312999997</v>
      </c>
      <c r="UO49" s="967">
        <v>309.62322505000003</v>
      </c>
      <c r="UP49" s="967">
        <v>245.08349163000003</v>
      </c>
      <c r="UQ49" s="967">
        <v>147.29976554999999</v>
      </c>
      <c r="UR49" s="967">
        <v>240.80286630000003</v>
      </c>
      <c r="US49" s="967">
        <v>136.38469732999999</v>
      </c>
      <c r="UT49" s="967">
        <v>279.33855928000003</v>
      </c>
      <c r="UU49" s="967">
        <v>315.75827786999997</v>
      </c>
      <c r="UV49" s="967">
        <v>289.02245123</v>
      </c>
      <c r="UW49" s="967">
        <v>302.27411165000001</v>
      </c>
      <c r="UX49" s="967">
        <v>252.95516581000001</v>
      </c>
      <c r="UY49" s="967">
        <v>427.49428674000001</v>
      </c>
      <c r="UZ49" s="967">
        <v>123.87224345999999</v>
      </c>
      <c r="VA49" s="967">
        <v>131.27942407</v>
      </c>
      <c r="VB49" s="967">
        <v>354.23988492000001</v>
      </c>
      <c r="VC49" s="967">
        <v>563.16929762999996</v>
      </c>
      <c r="VD49" s="967">
        <f t="shared" ref="VD49" si="595">SUM(VD45:VD48)</f>
        <v>579.76325021000002</v>
      </c>
      <c r="VE49" s="967">
        <v>641.43407166999998</v>
      </c>
      <c r="VF49" s="967">
        <v>737.57621022000012</v>
      </c>
      <c r="VG49" s="967">
        <v>842.94570118000001</v>
      </c>
      <c r="VH49" s="967">
        <v>816.19133785000008</v>
      </c>
      <c r="VI49" s="967">
        <v>1188.2428068400002</v>
      </c>
      <c r="VJ49" s="967">
        <v>1387.9419913400002</v>
      </c>
      <c r="VK49" s="967">
        <v>780.75007476999997</v>
      </c>
      <c r="VL49" s="967">
        <v>281.71689578000002</v>
      </c>
      <c r="VM49" s="967">
        <v>1169.3495739600003</v>
      </c>
      <c r="VN49" s="967">
        <v>1243.0881614100001</v>
      </c>
      <c r="VO49" s="967">
        <v>454.55413720999996</v>
      </c>
      <c r="VP49" s="967">
        <v>545.44071599999995</v>
      </c>
      <c r="VQ49" s="967">
        <v>491.11895483000001</v>
      </c>
      <c r="VR49" s="967">
        <v>366.08329643000002</v>
      </c>
      <c r="VS49" s="967">
        <v>178.69625608999996</v>
      </c>
      <c r="VT49" s="967">
        <v>360.64046765000006</v>
      </c>
      <c r="VU49" s="967">
        <v>374.37046473000004</v>
      </c>
      <c r="VV49" s="967">
        <f t="shared" ref="VV49" si="596">SUM(VV45:VV48)</f>
        <v>160.36294247000001</v>
      </c>
      <c r="VW49" s="967">
        <v>149.25721106999998</v>
      </c>
      <c r="VX49" s="967">
        <v>729.35112000999993</v>
      </c>
      <c r="VY49" s="967">
        <v>467.95579545000004</v>
      </c>
      <c r="VZ49" s="967">
        <v>324.11180343000001</v>
      </c>
      <c r="WA49" s="967">
        <v>502.30811548000003</v>
      </c>
      <c r="WB49" s="967">
        <v>186.83293656000001</v>
      </c>
      <c r="WC49" s="967">
        <v>286.62699227999997</v>
      </c>
      <c r="WD49" s="967">
        <v>453.20538285999993</v>
      </c>
      <c r="WE49" s="967">
        <v>325.45969251000002</v>
      </c>
      <c r="WF49" s="967">
        <v>368.43605526999994</v>
      </c>
      <c r="WG49" s="967">
        <v>259.08510758</v>
      </c>
      <c r="WH49" s="967">
        <v>164.01397865999999</v>
      </c>
      <c r="WI49" s="967">
        <v>302.36774717999998</v>
      </c>
      <c r="WJ49" s="967">
        <v>769.39348524900004</v>
      </c>
      <c r="WK49" s="967">
        <v>715.32123264999996</v>
      </c>
      <c r="WL49" s="967">
        <v>597.48369276000005</v>
      </c>
      <c r="WM49" s="967">
        <v>358.41344164000003</v>
      </c>
      <c r="WN49" s="967">
        <v>578.20899489999988</v>
      </c>
      <c r="WO49" s="967">
        <v>542.75760086000003</v>
      </c>
      <c r="WP49" s="967">
        <v>542.25459018000004</v>
      </c>
      <c r="WQ49" s="967">
        <v>1015.268352137616</v>
      </c>
      <c r="WR49" s="967">
        <f t="shared" ref="WR49:WS49" si="597">SUM(WR45:WR48)</f>
        <v>772.01307020999991</v>
      </c>
      <c r="WS49" s="967">
        <f t="shared" si="597"/>
        <v>541.54993669999999</v>
      </c>
      <c r="WT49" s="967">
        <f t="shared" ref="WT49:WU49" si="598">SUM(WT45:WT48)</f>
        <v>632.41030950000004</v>
      </c>
      <c r="WU49" s="967">
        <f t="shared" si="598"/>
        <v>578.97769377999998</v>
      </c>
      <c r="WV49" s="967">
        <f t="shared" ref="WV49" si="599">SUM(WV45:WV48)</f>
        <v>498.49376379999995</v>
      </c>
      <c r="WW49" s="967">
        <v>522.41091470000003</v>
      </c>
      <c r="WX49" s="967">
        <v>514.31914332999997</v>
      </c>
      <c r="WY49" s="967">
        <v>576.29543135999995</v>
      </c>
      <c r="WZ49" s="967">
        <v>503.51268777000001</v>
      </c>
      <c r="XA49" s="967">
        <v>486.52607331000002</v>
      </c>
      <c r="XB49" s="967">
        <v>887.92298292999999</v>
      </c>
      <c r="XC49" s="967">
        <v>295.21940434999999</v>
      </c>
      <c r="XD49" s="967">
        <v>461.67510501999999</v>
      </c>
      <c r="XE49" s="967">
        <v>418.10381904999997</v>
      </c>
      <c r="XF49" s="967">
        <v>471.92437797999997</v>
      </c>
      <c r="XG49" s="967">
        <v>480.28040944000003</v>
      </c>
      <c r="XH49" s="967">
        <v>660.24301676999994</v>
      </c>
      <c r="XI49" s="967">
        <v>604.10667629999989</v>
      </c>
      <c r="XJ49" s="967">
        <v>1316.65705024</v>
      </c>
      <c r="XK49" s="967">
        <v>374.69325245000005</v>
      </c>
      <c r="XL49" s="967">
        <v>508.17293205000004</v>
      </c>
      <c r="XM49" s="967">
        <v>910.93886081999995</v>
      </c>
      <c r="XN49" s="967">
        <v>375.74470581999998</v>
      </c>
      <c r="XO49" s="967">
        <v>400.17912310000003</v>
      </c>
      <c r="XP49" s="967">
        <v>1242.89703788</v>
      </c>
      <c r="XQ49" s="967">
        <v>1912.6569387</v>
      </c>
      <c r="XR49" s="967">
        <v>2269.84557481</v>
      </c>
      <c r="XS49" s="967">
        <v>2344.1713510299996</v>
      </c>
      <c r="XT49" s="967">
        <v>642.86783545000003</v>
      </c>
      <c r="XU49" s="967">
        <v>768.31758337999997</v>
      </c>
      <c r="XV49" s="967">
        <v>617.88926419000006</v>
      </c>
      <c r="XW49" s="967">
        <v>774.00808576999998</v>
      </c>
      <c r="XX49" s="967">
        <v>283.26633447</v>
      </c>
      <c r="XY49" s="967">
        <v>478.37501700000001</v>
      </c>
      <c r="XZ49" s="967">
        <v>506.05505977999997</v>
      </c>
      <c r="YA49" s="967">
        <v>513.1866301</v>
      </c>
      <c r="YB49" s="967">
        <v>430.29241639999998</v>
      </c>
      <c r="YC49" s="967">
        <v>276.03434751999998</v>
      </c>
      <c r="YD49" s="967">
        <v>2281.0840696399996</v>
      </c>
      <c r="YE49" s="967">
        <v>352.91200776999995</v>
      </c>
      <c r="YF49" s="967">
        <v>816.45580762999998</v>
      </c>
      <c r="YG49" s="967">
        <v>419.21895993999993</v>
      </c>
      <c r="YH49" s="967">
        <f>SUM(YH45:YH48)</f>
        <v>702.81895569787014</v>
      </c>
    </row>
    <row r="50" spans="2:658" s="948" customFormat="1" ht="15" thickBot="1">
      <c r="B50" s="921" t="s">
        <v>63</v>
      </c>
      <c r="C50" s="922">
        <f t="shared" ref="C50:BN50" si="600">C49/C2</f>
        <v>3.55698197623598</v>
      </c>
      <c r="D50" s="129">
        <f t="shared" si="600"/>
        <v>0.71646343291008119</v>
      </c>
      <c r="E50" s="129">
        <f t="shared" si="600"/>
        <v>1.3932064102794608</v>
      </c>
      <c r="F50" s="129">
        <f t="shared" si="600"/>
        <v>1.5988065166783902</v>
      </c>
      <c r="G50" s="129">
        <f t="shared" si="600"/>
        <v>2.3777367132162395</v>
      </c>
      <c r="H50" s="129">
        <f t="shared" si="600"/>
        <v>0.68460661507430121</v>
      </c>
      <c r="I50" s="129">
        <f t="shared" si="600"/>
        <v>1.2407039563462974</v>
      </c>
      <c r="J50" s="129">
        <f t="shared" si="600"/>
        <v>1.9459665332444447</v>
      </c>
      <c r="K50" s="129">
        <f t="shared" si="600"/>
        <v>2.9848077886952438</v>
      </c>
      <c r="L50" s="129">
        <f t="shared" si="600"/>
        <v>3.5393863055933008</v>
      </c>
      <c r="M50" s="129">
        <f t="shared" si="600"/>
        <v>3.4035865292540368</v>
      </c>
      <c r="N50" s="129">
        <f t="shared" si="600"/>
        <v>1.0180276304005513</v>
      </c>
      <c r="O50" s="129">
        <f t="shared" si="600"/>
        <v>2.0719059463767917</v>
      </c>
      <c r="P50" s="129">
        <f t="shared" si="600"/>
        <v>2.3355022409502992</v>
      </c>
      <c r="Q50" s="129">
        <f t="shared" si="600"/>
        <v>2.4613163445684925</v>
      </c>
      <c r="R50" s="129">
        <f t="shared" si="600"/>
        <v>3.357007157415131</v>
      </c>
      <c r="S50" s="129">
        <f t="shared" si="600"/>
        <v>1.3410148535313804</v>
      </c>
      <c r="T50" s="129">
        <f t="shared" si="600"/>
        <v>2.4457994694238487</v>
      </c>
      <c r="U50" s="129">
        <f t="shared" si="600"/>
        <v>1.8289227669705064</v>
      </c>
      <c r="V50" s="129">
        <f t="shared" si="600"/>
        <v>3.0304962528658805</v>
      </c>
      <c r="W50" s="129">
        <f t="shared" si="600"/>
        <v>1.9480710078983043</v>
      </c>
      <c r="X50" s="129">
        <f t="shared" si="600"/>
        <v>1.1166204442059164</v>
      </c>
      <c r="Y50" s="129">
        <f t="shared" si="600"/>
        <v>2.7288551286401579</v>
      </c>
      <c r="Z50" s="129">
        <f t="shared" si="600"/>
        <v>3.8754703958741503</v>
      </c>
      <c r="AA50" s="129">
        <f t="shared" si="600"/>
        <v>4.7796592580067578</v>
      </c>
      <c r="AB50" s="129">
        <f t="shared" si="600"/>
        <v>7.3355468113492313</v>
      </c>
      <c r="AC50" s="129">
        <f t="shared" si="600"/>
        <v>3.1528028774428414</v>
      </c>
      <c r="AD50" s="129">
        <f t="shared" si="600"/>
        <v>4.883190878470808</v>
      </c>
      <c r="AE50" s="129">
        <f t="shared" si="600"/>
        <v>2.7914144738389366</v>
      </c>
      <c r="AF50" s="129">
        <f t="shared" si="600"/>
        <v>0.93609190709990631</v>
      </c>
      <c r="AG50" s="129">
        <f t="shared" si="600"/>
        <v>2.7498688757813632</v>
      </c>
      <c r="AH50" s="129">
        <f t="shared" si="600"/>
        <v>1.3650600101000088</v>
      </c>
      <c r="AI50" s="129">
        <f t="shared" si="600"/>
        <v>1.2641873881265511</v>
      </c>
      <c r="AJ50" s="129">
        <f t="shared" si="600"/>
        <v>6.988850409773427</v>
      </c>
      <c r="AK50" s="129">
        <f t="shared" si="600"/>
        <v>3.3965718526612005</v>
      </c>
      <c r="AL50" s="129">
        <f t="shared" si="600"/>
        <v>3.37654234759255</v>
      </c>
      <c r="AM50" s="129">
        <f t="shared" si="600"/>
        <v>4.6428816723387021</v>
      </c>
      <c r="AN50" s="129">
        <f t="shared" si="600"/>
        <v>5.0097172579956322</v>
      </c>
      <c r="AO50" s="129">
        <f t="shared" si="600"/>
        <v>5.2055437789614611</v>
      </c>
      <c r="AP50" s="129">
        <f t="shared" si="600"/>
        <v>2.4059584769602602</v>
      </c>
      <c r="AQ50" s="129">
        <f t="shared" si="600"/>
        <v>2.9969887950862644</v>
      </c>
      <c r="AR50" s="129">
        <f t="shared" si="600"/>
        <v>2.4931307250464836</v>
      </c>
      <c r="AS50" s="129">
        <f t="shared" si="600"/>
        <v>3.351807015834348</v>
      </c>
      <c r="AT50" s="129">
        <f t="shared" si="600"/>
        <v>4.1622696838099671</v>
      </c>
      <c r="AU50" s="129">
        <f t="shared" si="600"/>
        <v>4.8541961138548251</v>
      </c>
      <c r="AV50" s="129">
        <f t="shared" si="600"/>
        <v>5.8382807575894278</v>
      </c>
      <c r="AW50" s="129">
        <f t="shared" si="600"/>
        <v>3.8263098183243063</v>
      </c>
      <c r="AX50" s="129">
        <f t="shared" si="600"/>
        <v>1.4334961251594893</v>
      </c>
      <c r="AY50" s="129">
        <f t="shared" si="600"/>
        <v>4.573160632074492</v>
      </c>
      <c r="AZ50" s="129">
        <f t="shared" si="600"/>
        <v>5.637878096285684</v>
      </c>
      <c r="BA50" s="129">
        <f t="shared" si="600"/>
        <v>7.0540865018071957</v>
      </c>
      <c r="BB50" s="129">
        <f t="shared" si="600"/>
        <v>7.0353892711507644</v>
      </c>
      <c r="BC50" s="129">
        <f t="shared" si="600"/>
        <v>12.50734777402967</v>
      </c>
      <c r="BD50" s="129">
        <f t="shared" si="600"/>
        <v>5.8116585636795097</v>
      </c>
      <c r="BE50" s="129">
        <f t="shared" si="600"/>
        <v>6.1300818525958682</v>
      </c>
      <c r="BF50" s="129">
        <f t="shared" si="600"/>
        <v>4.5493001906949857</v>
      </c>
      <c r="BG50" s="129">
        <f t="shared" si="600"/>
        <v>4.9310901311523345</v>
      </c>
      <c r="BH50" s="129">
        <f t="shared" si="600"/>
        <v>6.3378219693417899</v>
      </c>
      <c r="BI50" s="129">
        <f t="shared" si="600"/>
        <v>7.8396690659076054</v>
      </c>
      <c r="BJ50" s="129">
        <f t="shared" si="600"/>
        <v>8.7260718634545285</v>
      </c>
      <c r="BK50" s="129">
        <f t="shared" si="600"/>
        <v>11.362418566011179</v>
      </c>
      <c r="BL50" s="129">
        <f t="shared" si="600"/>
        <v>5.1091590541644534</v>
      </c>
      <c r="BM50" s="129">
        <f t="shared" si="600"/>
        <v>4.7938925114753115</v>
      </c>
      <c r="BN50" s="129">
        <f t="shared" si="600"/>
        <v>12.025009730275316</v>
      </c>
      <c r="BO50" s="129">
        <f t="shared" ref="BO50:DZ50" si="601">BO49/BO2</f>
        <v>1.820442679938064</v>
      </c>
      <c r="BP50" s="129">
        <f t="shared" si="601"/>
        <v>1.8660291522945112</v>
      </c>
      <c r="BQ50" s="129">
        <f t="shared" si="601"/>
        <v>1.8801437537514234</v>
      </c>
      <c r="BR50" s="129">
        <f t="shared" si="601"/>
        <v>1.3625557075330035</v>
      </c>
      <c r="BS50" s="129">
        <f t="shared" si="601"/>
        <v>3.1226141474116909</v>
      </c>
      <c r="BT50" s="129">
        <f t="shared" si="601"/>
        <v>39.983613868872347</v>
      </c>
      <c r="BU50" s="129">
        <f t="shared" si="601"/>
        <v>3.0137985416574122</v>
      </c>
      <c r="BV50" s="129">
        <f t="shared" si="601"/>
        <v>41.069329915134375</v>
      </c>
      <c r="BW50" s="129">
        <f t="shared" si="601"/>
        <v>2.2544241539762382</v>
      </c>
      <c r="BX50" s="129">
        <f t="shared" si="601"/>
        <v>4.8355311907725387</v>
      </c>
      <c r="BY50" s="129">
        <f t="shared" si="601"/>
        <v>2.8655261648357597</v>
      </c>
      <c r="BZ50" s="129">
        <f t="shared" si="601"/>
        <v>2.9651888727435818</v>
      </c>
      <c r="CA50" s="129">
        <f t="shared" si="601"/>
        <v>3.847060640989548</v>
      </c>
      <c r="CB50" s="129">
        <f t="shared" si="601"/>
        <v>2.8395755309565671</v>
      </c>
      <c r="CC50" s="129">
        <f t="shared" si="601"/>
        <v>2.2055604071156987</v>
      </c>
      <c r="CD50" s="129">
        <f t="shared" si="601"/>
        <v>2.8713405443185787</v>
      </c>
      <c r="CE50" s="129">
        <f t="shared" si="601"/>
        <v>11.124717933304328</v>
      </c>
      <c r="CF50" s="129">
        <f t="shared" si="601"/>
        <v>8.343908984753277</v>
      </c>
      <c r="CG50" s="129">
        <f t="shared" si="601"/>
        <v>3.8943700630075639</v>
      </c>
      <c r="CH50" s="129">
        <f t="shared" si="601"/>
        <v>1.9574283568571458</v>
      </c>
      <c r="CI50" s="129">
        <f t="shared" si="601"/>
        <v>2.2642552880259976</v>
      </c>
      <c r="CJ50" s="129">
        <f t="shared" si="601"/>
        <v>0.8823644446805472</v>
      </c>
      <c r="CK50" s="129">
        <f t="shared" si="601"/>
        <v>0.62310382023963606</v>
      </c>
      <c r="CL50" s="129">
        <f t="shared" si="601"/>
        <v>2.1523769413744667</v>
      </c>
      <c r="CM50" s="129">
        <f t="shared" si="601"/>
        <v>2.3328522093493644</v>
      </c>
      <c r="CN50" s="129">
        <f t="shared" si="601"/>
        <v>5.388656722103164</v>
      </c>
      <c r="CO50" s="129">
        <f t="shared" si="601"/>
        <v>3.5233903517042657</v>
      </c>
      <c r="CP50" s="129">
        <f t="shared" si="601"/>
        <v>4.8600751201278722</v>
      </c>
      <c r="CQ50" s="129">
        <f t="shared" si="601"/>
        <v>4.9290112365823582</v>
      </c>
      <c r="CR50" s="129">
        <f t="shared" si="601"/>
        <v>4.2936842868478378</v>
      </c>
      <c r="CS50" s="129">
        <f t="shared" si="601"/>
        <v>3.4646181422131486</v>
      </c>
      <c r="CT50" s="129">
        <f t="shared" si="601"/>
        <v>1.8782569064047194</v>
      </c>
      <c r="CU50" s="129">
        <f t="shared" si="601"/>
        <v>0.87117362443084212</v>
      </c>
      <c r="CV50" s="129">
        <f t="shared" si="601"/>
        <v>1.8106098717955221</v>
      </c>
      <c r="CW50" s="129">
        <f t="shared" si="601"/>
        <v>1.0683574509682483</v>
      </c>
      <c r="CX50" s="129">
        <f t="shared" si="601"/>
        <v>1.9905520040469946</v>
      </c>
      <c r="CY50" s="129">
        <f t="shared" si="601"/>
        <v>2.478169787357452</v>
      </c>
      <c r="CZ50" s="129">
        <f t="shared" si="601"/>
        <v>5.5688739482582372</v>
      </c>
      <c r="DA50" s="129">
        <f t="shared" si="601"/>
        <v>7.5598526435955291</v>
      </c>
      <c r="DB50" s="129">
        <f t="shared" si="601"/>
        <v>2.4758750472138837</v>
      </c>
      <c r="DC50" s="129">
        <f t="shared" si="601"/>
        <v>1.4302810443333107</v>
      </c>
      <c r="DD50" s="129">
        <f t="shared" si="601"/>
        <v>9.0547707616046846</v>
      </c>
      <c r="DE50" s="129">
        <f t="shared" si="601"/>
        <v>1.4711169878978039</v>
      </c>
      <c r="DF50" s="129">
        <f t="shared" si="601"/>
        <v>2.9780522698699547</v>
      </c>
      <c r="DG50" s="129">
        <f t="shared" si="601"/>
        <v>3.9006295717966024</v>
      </c>
      <c r="DH50" s="129">
        <f t="shared" si="601"/>
        <v>5.2086551506546783</v>
      </c>
      <c r="DI50" s="129">
        <f t="shared" si="601"/>
        <v>3.693516804126745</v>
      </c>
      <c r="DJ50" s="129">
        <f t="shared" si="601"/>
        <v>3.6565988059406913</v>
      </c>
      <c r="DK50" s="129">
        <f t="shared" si="601"/>
        <v>4.9746982119941263</v>
      </c>
      <c r="DL50" s="129">
        <f t="shared" si="601"/>
        <v>6.0734823047200637</v>
      </c>
      <c r="DM50" s="129">
        <f t="shared" si="601"/>
        <v>5.4960514154053106</v>
      </c>
      <c r="DN50" s="129">
        <f t="shared" si="601"/>
        <v>5.4960514154053106</v>
      </c>
      <c r="DO50" s="129">
        <f t="shared" si="601"/>
        <v>5.4960514154053106</v>
      </c>
      <c r="DP50" s="129">
        <f t="shared" si="601"/>
        <v>7.6710452661598225</v>
      </c>
      <c r="DQ50" s="129">
        <f t="shared" si="601"/>
        <v>2.7231115975414766</v>
      </c>
      <c r="DR50" s="129">
        <f t="shared" si="601"/>
        <v>4.7074153472918798</v>
      </c>
      <c r="DS50" s="129">
        <f t="shared" si="601"/>
        <v>2.2060425671734971</v>
      </c>
      <c r="DT50" s="129">
        <f t="shared" si="601"/>
        <v>2.763223185663811</v>
      </c>
      <c r="DU50" s="129">
        <f t="shared" si="601"/>
        <v>3.1174941566868499</v>
      </c>
      <c r="DV50" s="129">
        <f t="shared" si="601"/>
        <v>4.613894256797531</v>
      </c>
      <c r="DW50" s="129">
        <f t="shared" si="601"/>
        <v>6.1806093104325521</v>
      </c>
      <c r="DX50" s="129">
        <f t="shared" si="601"/>
        <v>5.8049612735998357</v>
      </c>
      <c r="DY50" s="129">
        <f t="shared" si="601"/>
        <v>5.79605432567537</v>
      </c>
      <c r="DZ50" s="129">
        <f t="shared" si="601"/>
        <v>5.1499828205726352</v>
      </c>
      <c r="EA50" s="129">
        <f t="shared" ref="EA50:GL50" si="602">EA49/EA2</f>
        <v>4.5505721045609944</v>
      </c>
      <c r="EB50" s="129">
        <f t="shared" si="602"/>
        <v>5.8425747176878211</v>
      </c>
      <c r="EC50" s="129">
        <f t="shared" si="602"/>
        <v>5.114960246985488</v>
      </c>
      <c r="ED50" s="129">
        <f t="shared" si="602"/>
        <v>4.033950416076105</v>
      </c>
      <c r="EE50" s="129">
        <f t="shared" si="602"/>
        <v>2.2795111637209682</v>
      </c>
      <c r="EF50" s="129">
        <f t="shared" si="602"/>
        <v>2.6218387452938887</v>
      </c>
      <c r="EG50" s="129">
        <f t="shared" si="602"/>
        <v>3.9118782739777651</v>
      </c>
      <c r="EH50" s="129">
        <f t="shared" si="602"/>
        <v>3.4221728655700887</v>
      </c>
      <c r="EI50" s="129">
        <f t="shared" si="602"/>
        <v>3.625762170488426</v>
      </c>
      <c r="EJ50" s="129">
        <f t="shared" si="602"/>
        <v>2.0173595608968564</v>
      </c>
      <c r="EK50" s="129">
        <f t="shared" si="602"/>
        <v>2.9368790902055264</v>
      </c>
      <c r="EL50" s="129">
        <f t="shared" si="602"/>
        <v>2.7769463658286764</v>
      </c>
      <c r="EM50" s="129">
        <f t="shared" si="602"/>
        <v>11.703540903223711</v>
      </c>
      <c r="EN50" s="129">
        <f t="shared" si="602"/>
        <v>2.5160357095239494</v>
      </c>
      <c r="EO50" s="129">
        <f t="shared" si="602"/>
        <v>3.6180763712542361</v>
      </c>
      <c r="EP50" s="129">
        <f t="shared" si="602"/>
        <v>0.93942769227750811</v>
      </c>
      <c r="EQ50" s="129">
        <f t="shared" si="602"/>
        <v>2.3020893130243949</v>
      </c>
      <c r="ER50" s="129">
        <f t="shared" si="602"/>
        <v>2.5279220449406372</v>
      </c>
      <c r="ES50" s="129">
        <f t="shared" si="602"/>
        <v>5.4901506382937111</v>
      </c>
      <c r="ET50" s="129">
        <f t="shared" si="602"/>
        <v>3.6962061321896891</v>
      </c>
      <c r="EU50" s="129">
        <f t="shared" si="602"/>
        <v>5.9105702750114002</v>
      </c>
      <c r="EV50" s="129">
        <f t="shared" si="602"/>
        <v>6.9902489927149887</v>
      </c>
      <c r="EW50" s="129">
        <f t="shared" si="602"/>
        <v>3.1146363776524528</v>
      </c>
      <c r="EX50" s="129">
        <f t="shared" si="602"/>
        <v>8.2131231570725731</v>
      </c>
      <c r="EY50" s="129">
        <f t="shared" si="602"/>
        <v>4.103357447413071</v>
      </c>
      <c r="EZ50" s="129">
        <f t="shared" si="602"/>
        <v>4.2442305509910225</v>
      </c>
      <c r="FA50" s="129">
        <f t="shared" si="602"/>
        <v>5.5505549850887066</v>
      </c>
      <c r="FB50" s="129">
        <f t="shared" si="602"/>
        <v>5.669293703484783</v>
      </c>
      <c r="FC50" s="129">
        <f t="shared" si="602"/>
        <v>1.353700312000951</v>
      </c>
      <c r="FD50" s="129">
        <f t="shared" si="602"/>
        <v>2.0635505528310443</v>
      </c>
      <c r="FE50" s="129">
        <f t="shared" si="602"/>
        <v>4.0629831740494362</v>
      </c>
      <c r="FF50" s="129">
        <f t="shared" si="602"/>
        <v>3.2992993020527468</v>
      </c>
      <c r="FG50" s="129">
        <f t="shared" si="602"/>
        <v>4.2333363802256683</v>
      </c>
      <c r="FH50" s="129">
        <f t="shared" si="602"/>
        <v>7.0767971033936741</v>
      </c>
      <c r="FI50" s="129">
        <f t="shared" si="602"/>
        <v>2.1664015878059661</v>
      </c>
      <c r="FJ50" s="129">
        <f t="shared" si="602"/>
        <v>9.7328520391845252</v>
      </c>
      <c r="FK50" s="129">
        <f t="shared" si="602"/>
        <v>3.4006631760056725</v>
      </c>
      <c r="FL50" s="129">
        <f t="shared" si="602"/>
        <v>0.65696180940804738</v>
      </c>
      <c r="FM50" s="129">
        <f t="shared" si="602"/>
        <v>4.1542682090023595</v>
      </c>
      <c r="FN50" s="129">
        <f t="shared" si="602"/>
        <v>4.6331825289702389</v>
      </c>
      <c r="FO50" s="129">
        <f t="shared" si="602"/>
        <v>4.3448793107400512</v>
      </c>
      <c r="FP50" s="129">
        <f t="shared" si="602"/>
        <v>5.5471184110459379</v>
      </c>
      <c r="FQ50" s="129">
        <f t="shared" si="602"/>
        <v>2.0458728917918685</v>
      </c>
      <c r="FR50" s="129">
        <f t="shared" si="602"/>
        <v>2.4162830210975654</v>
      </c>
      <c r="FS50" s="129">
        <f t="shared" si="602"/>
        <v>1.5420327121214314</v>
      </c>
      <c r="FT50" s="129">
        <f t="shared" si="602"/>
        <v>1.6149448182571058</v>
      </c>
      <c r="FU50" s="129">
        <f t="shared" si="602"/>
        <v>5.7833941929415351</v>
      </c>
      <c r="FV50" s="129">
        <f t="shared" si="602"/>
        <v>0.38858659276803437</v>
      </c>
      <c r="FW50" s="129">
        <f t="shared" si="602"/>
        <v>2.0396730270129027</v>
      </c>
      <c r="FX50" s="129">
        <f t="shared" si="602"/>
        <v>1.1337836042276723</v>
      </c>
      <c r="FY50" s="129">
        <f t="shared" si="602"/>
        <v>0.66784846231728145</v>
      </c>
      <c r="FZ50" s="129">
        <f t="shared" si="602"/>
        <v>0.91750013415615772</v>
      </c>
      <c r="GA50" s="129">
        <f t="shared" si="602"/>
        <v>0.46393644005194279</v>
      </c>
      <c r="GB50" s="129">
        <f t="shared" si="602"/>
        <v>2.110185256269367</v>
      </c>
      <c r="GC50" s="129">
        <f t="shared" si="602"/>
        <v>2.198927642749795</v>
      </c>
      <c r="GD50" s="129">
        <f t="shared" si="602"/>
        <v>4.7032064262744004</v>
      </c>
      <c r="GE50" s="129">
        <f t="shared" si="602"/>
        <v>3.4445228682917977</v>
      </c>
      <c r="GF50" s="129">
        <f t="shared" si="602"/>
        <v>3.5536304425583594</v>
      </c>
      <c r="GG50" s="129">
        <f t="shared" si="602"/>
        <v>14.336868280039605</v>
      </c>
      <c r="GH50" s="129">
        <f t="shared" si="602"/>
        <v>16.084770360868799</v>
      </c>
      <c r="GI50" s="129">
        <f t="shared" si="602"/>
        <v>8.2081293820949472</v>
      </c>
      <c r="GJ50" s="129">
        <f t="shared" si="602"/>
        <v>3.2407714582107849</v>
      </c>
      <c r="GK50" s="129">
        <f t="shared" si="602"/>
        <v>1.4440776767043693</v>
      </c>
      <c r="GL50" s="129">
        <f t="shared" si="602"/>
        <v>1.3239617168430802</v>
      </c>
      <c r="GM50" s="129">
        <f t="shared" ref="GM50:HN50" si="603">GM49/GM2</f>
        <v>0.89061284629055315</v>
      </c>
      <c r="GN50" s="129">
        <f t="shared" si="603"/>
        <v>3.742197990842576</v>
      </c>
      <c r="GO50" s="129">
        <f t="shared" si="603"/>
        <v>3.1943347827734132</v>
      </c>
      <c r="GP50" s="129">
        <f t="shared" si="603"/>
        <v>1.6331112033092423</v>
      </c>
      <c r="GQ50" s="129">
        <f t="shared" si="603"/>
        <v>0.67299888945767883</v>
      </c>
      <c r="GR50" s="129">
        <f t="shared" si="603"/>
        <v>2.4569454887647679</v>
      </c>
      <c r="GS50" s="129">
        <f t="shared" si="603"/>
        <v>6.9445273241492309</v>
      </c>
      <c r="GT50" s="129">
        <f t="shared" si="603"/>
        <v>3.4239267902673669</v>
      </c>
      <c r="GU50" s="129">
        <f t="shared" si="603"/>
        <v>5.4697413482597437</v>
      </c>
      <c r="GV50" s="129">
        <f t="shared" si="603"/>
        <v>1.4870645418677639</v>
      </c>
      <c r="GW50" s="129">
        <f t="shared" si="603"/>
        <v>2.8863088639940164</v>
      </c>
      <c r="GX50" s="129">
        <f t="shared" si="603"/>
        <v>2.182023257698428</v>
      </c>
      <c r="GY50" s="129">
        <f t="shared" si="603"/>
        <v>3.6594836326094939</v>
      </c>
      <c r="GZ50" s="129">
        <f t="shared" si="603"/>
        <v>4.1284099794894695</v>
      </c>
      <c r="HA50" s="129">
        <f t="shared" si="603"/>
        <v>2.722341716829924</v>
      </c>
      <c r="HB50" s="129">
        <f t="shared" si="603"/>
        <v>3.4245912673825689</v>
      </c>
      <c r="HC50" s="129">
        <f t="shared" si="603"/>
        <v>3.1729158122672305</v>
      </c>
      <c r="HD50" s="129">
        <f t="shared" si="603"/>
        <v>8.6714255576659749</v>
      </c>
      <c r="HE50" s="129">
        <f t="shared" si="603"/>
        <v>7.6053045465934357</v>
      </c>
      <c r="HF50" s="129">
        <f t="shared" si="603"/>
        <v>4.798533200878051</v>
      </c>
      <c r="HG50" s="129">
        <f t="shared" si="603"/>
        <v>17.309874879592542</v>
      </c>
      <c r="HH50" s="129">
        <f t="shared" si="603"/>
        <v>2.3965385037212164</v>
      </c>
      <c r="HI50" s="129">
        <f t="shared" si="603"/>
        <v>3.4584458272384215</v>
      </c>
      <c r="HJ50" s="129">
        <f t="shared" si="603"/>
        <v>3.0506913816091106</v>
      </c>
      <c r="HK50" s="129">
        <f t="shared" si="603"/>
        <v>2.9920406752119417</v>
      </c>
      <c r="HL50" s="129">
        <f t="shared" si="603"/>
        <v>1.7633069857845241</v>
      </c>
      <c r="HM50" s="129">
        <f t="shared" si="603"/>
        <v>1.9194737152075962</v>
      </c>
      <c r="HN50" s="129">
        <f t="shared" si="603"/>
        <v>1.6331735320869789</v>
      </c>
      <c r="HO50" s="129">
        <v>3.7851020835760769</v>
      </c>
      <c r="HP50" s="129">
        <v>4.981530617161197</v>
      </c>
      <c r="HQ50" s="129">
        <v>1.6890205276828398</v>
      </c>
      <c r="HR50" s="129">
        <f>HR49/HR2</f>
        <v>1.045503310468588</v>
      </c>
      <c r="HS50" s="129">
        <f>HS49/HS2</f>
        <v>1.2649626260054652</v>
      </c>
      <c r="HT50" s="129">
        <f>HT49/HT2</f>
        <v>1.5367770781559951</v>
      </c>
      <c r="HU50" s="129">
        <f>HU49/HU2</f>
        <v>1.0876859478273053</v>
      </c>
      <c r="HV50" s="129">
        <v>4.6614326163006492</v>
      </c>
      <c r="HW50" s="129">
        <v>3.8806263501430389</v>
      </c>
      <c r="HX50" s="129">
        <v>3.9235787725738223</v>
      </c>
      <c r="HY50" s="129">
        <v>1.0267384815104139</v>
      </c>
      <c r="HZ50" s="129">
        <v>0.87454055779440776</v>
      </c>
      <c r="IA50" s="129">
        <v>1.638925183133735</v>
      </c>
      <c r="IB50" s="129">
        <v>0.65463598449307037</v>
      </c>
      <c r="IC50" s="129">
        <v>0.6187841321740839</v>
      </c>
      <c r="ID50" s="129">
        <v>0.68677594337669046</v>
      </c>
      <c r="IE50" s="129">
        <v>2.3485875253134956</v>
      </c>
      <c r="IF50" s="129">
        <v>0.89825609628916192</v>
      </c>
      <c r="IG50" s="129">
        <v>0.70096660578062164</v>
      </c>
      <c r="IH50" s="129">
        <v>0.47855574808707541</v>
      </c>
      <c r="II50" s="129">
        <v>0.4500068213910004</v>
      </c>
      <c r="IJ50" s="129">
        <v>1.0483222370336247</v>
      </c>
      <c r="IK50" s="129">
        <v>8.072909581119772</v>
      </c>
      <c r="IL50" s="129">
        <v>0.39423805744729273</v>
      </c>
      <c r="IM50" s="129">
        <v>2.4455295224151108</v>
      </c>
      <c r="IN50" s="129">
        <v>2.113088619752681</v>
      </c>
      <c r="IO50" s="129">
        <v>2.030419592423256</v>
      </c>
      <c r="IP50" s="129">
        <v>5.2574180871029812</v>
      </c>
      <c r="IQ50" s="129">
        <v>2.7903965563169004</v>
      </c>
      <c r="IR50" s="129">
        <v>2.2280071519447815</v>
      </c>
      <c r="IS50" s="129">
        <v>2.7213129230326953</v>
      </c>
      <c r="IT50" s="129">
        <v>1.8991530537993015</v>
      </c>
      <c r="IU50" s="129">
        <v>2.7823677028773202</v>
      </c>
      <c r="IV50" s="129">
        <v>2.8120046491646526</v>
      </c>
      <c r="IW50" s="129">
        <v>2.2227702026187726</v>
      </c>
      <c r="IX50" s="129">
        <v>1.9106263053031338</v>
      </c>
      <c r="IY50" s="129">
        <f>IY49/IY2</f>
        <v>1.0514969904900988</v>
      </c>
      <c r="IZ50" s="129">
        <v>0.5414591824240409</v>
      </c>
      <c r="JA50" s="129">
        <v>6.1994358103499847</v>
      </c>
      <c r="JB50" s="129">
        <v>4.9465936808447557</v>
      </c>
      <c r="JC50" s="129">
        <v>19.413156829847878</v>
      </c>
      <c r="JD50" s="129">
        <v>5.0581642154441404</v>
      </c>
      <c r="JE50" s="129">
        <v>2.7752175994979003</v>
      </c>
      <c r="JF50" s="129">
        <v>4.8933963762416104</v>
      </c>
      <c r="JG50" s="129">
        <v>5.02680263067497</v>
      </c>
      <c r="JH50" s="129">
        <v>4.7003899751137723</v>
      </c>
      <c r="JI50" s="129">
        <v>2.4298308767788308</v>
      </c>
      <c r="JJ50" s="129">
        <v>2.8779466737149191</v>
      </c>
      <c r="JK50" s="129">
        <v>3.9697637482751285</v>
      </c>
      <c r="JL50" s="129">
        <v>3.9476133476946833</v>
      </c>
      <c r="JM50" s="129">
        <v>5.6966505805524168</v>
      </c>
      <c r="JN50" s="129">
        <v>19.025578291170554</v>
      </c>
      <c r="JO50" s="129">
        <v>18.949767288319343</v>
      </c>
      <c r="JP50" s="129">
        <v>21.591168175388454</v>
      </c>
      <c r="JQ50" s="129">
        <v>10.145913546666984</v>
      </c>
      <c r="JR50" s="129">
        <v>9.5523532260340644</v>
      </c>
      <c r="JS50" s="129">
        <f>JS49/JS2</f>
        <v>3.8150891305616526</v>
      </c>
      <c r="JT50" s="129">
        <v>4.3846103636828779</v>
      </c>
      <c r="JU50" s="129">
        <v>3.4465098479995619</v>
      </c>
      <c r="JV50" s="129">
        <v>6.134104003628007</v>
      </c>
      <c r="JW50" s="129">
        <v>20.390213408952516</v>
      </c>
      <c r="JX50" s="129">
        <v>4.9757603187266248</v>
      </c>
      <c r="JY50" s="129">
        <v>2.4767801587311022</v>
      </c>
      <c r="JZ50" s="129">
        <v>6.1831133829435396</v>
      </c>
      <c r="KA50" s="129">
        <v>3.0318871281028659</v>
      </c>
      <c r="KB50" s="129">
        <v>6.799758582187172</v>
      </c>
      <c r="KC50" s="129">
        <v>5.9854184853982524</v>
      </c>
      <c r="KD50" s="129">
        <v>5.3415869429446827</v>
      </c>
      <c r="KE50" s="129">
        <v>5.889636706763465</v>
      </c>
      <c r="KF50" s="129">
        <v>6.6086086732927587</v>
      </c>
      <c r="KG50" s="129">
        <v>2.0309540021917689</v>
      </c>
      <c r="KH50" s="129">
        <v>3.6077164832909325</v>
      </c>
      <c r="KI50" s="129">
        <v>2.3328265561758967</v>
      </c>
      <c r="KJ50" s="129">
        <f>KJ49/KJ2</f>
        <v>2.6668719910026004</v>
      </c>
      <c r="KK50" s="129">
        <v>3.0424382959963316</v>
      </c>
      <c r="KL50" s="129">
        <v>4.0899078045534747</v>
      </c>
      <c r="KM50" s="129">
        <v>2.743296287137222</v>
      </c>
      <c r="KN50" s="129">
        <v>2.9176791242690219</v>
      </c>
      <c r="KO50" s="129">
        <v>2.2486037533025809</v>
      </c>
      <c r="KP50" s="129">
        <v>11.089869201107943</v>
      </c>
      <c r="KQ50" s="129">
        <v>4.4787411032996145</v>
      </c>
      <c r="KR50" s="129">
        <v>5.134047522026977</v>
      </c>
      <c r="KS50" s="129">
        <f>KS49/KS2</f>
        <v>5.4342572273374001</v>
      </c>
      <c r="KT50" s="129">
        <v>1.6863650653670608</v>
      </c>
      <c r="KU50" s="129">
        <f>KU49/KU2</f>
        <v>5.2592925248489086</v>
      </c>
      <c r="KV50" s="129">
        <f>KV49/KV2</f>
        <v>3.3685395663581312</v>
      </c>
      <c r="KW50" s="129">
        <f>KW49/KW2</f>
        <v>4.430346598485583</v>
      </c>
      <c r="KX50" s="129">
        <v>1.6865968075010236</v>
      </c>
      <c r="KY50" s="129">
        <v>10.836451857446027</v>
      </c>
      <c r="KZ50" s="129">
        <v>11.051170559550489</v>
      </c>
      <c r="LA50" s="129">
        <v>3.852852827828114</v>
      </c>
      <c r="LB50" s="129">
        <v>7.8434816681536645</v>
      </c>
      <c r="LC50" s="129">
        <v>8.8154611164336956</v>
      </c>
      <c r="LD50" s="129">
        <v>19.602451298588896</v>
      </c>
      <c r="LE50" s="129">
        <f>LE49/LE2</f>
        <v>16.928629962816668</v>
      </c>
      <c r="LF50" s="968">
        <v>9.2595825778035064</v>
      </c>
      <c r="LG50" s="968">
        <v>3.503362749613514</v>
      </c>
      <c r="LH50" s="968">
        <v>6.9508352251829413</v>
      </c>
      <c r="LI50" s="968">
        <v>8.7447515598251471</v>
      </c>
      <c r="LJ50" s="968">
        <v>3.4570486414198069</v>
      </c>
      <c r="LK50" s="968">
        <v>12.931702917279811</v>
      </c>
      <c r="LL50" s="968">
        <v>3.798490550930147</v>
      </c>
      <c r="LM50" s="968">
        <v>4.3623910888372661</v>
      </c>
      <c r="LN50" s="968">
        <v>4.4922246613670751</v>
      </c>
      <c r="LO50" s="968">
        <v>2.0735541470404319</v>
      </c>
      <c r="LP50" s="968">
        <v>1.0367841585255</v>
      </c>
      <c r="LQ50" s="968">
        <v>2.8955291864861565</v>
      </c>
      <c r="LR50" s="968">
        <v>9.4172858964191377</v>
      </c>
      <c r="LS50" s="968">
        <v>11.185125937009234</v>
      </c>
      <c r="LT50" s="968">
        <v>14.470365943351215</v>
      </c>
      <c r="LU50" s="968">
        <v>12.484100484014997</v>
      </c>
      <c r="LV50" s="968">
        <v>5.5882761079638072</v>
      </c>
      <c r="LW50" s="968">
        <v>0.76415142882456633</v>
      </c>
      <c r="LX50" s="968">
        <v>0.76124853963426775</v>
      </c>
      <c r="LY50" s="968">
        <v>6.4608101782955458</v>
      </c>
      <c r="LZ50" s="968">
        <v>2.7844491643920239</v>
      </c>
      <c r="MA50" s="968">
        <v>7.057235400929784</v>
      </c>
      <c r="MB50" s="968">
        <v>1.552789329550784</v>
      </c>
      <c r="MC50" s="968">
        <v>5.3974767451968164</v>
      </c>
      <c r="MD50" s="968">
        <v>1.319760906679138</v>
      </c>
      <c r="ME50" s="968">
        <v>3.651196882053882</v>
      </c>
      <c r="MF50" s="968">
        <v>2.8011649820114846</v>
      </c>
      <c r="MG50" s="968">
        <v>3.0647130101939917</v>
      </c>
      <c r="MH50" s="968">
        <v>5.6156132928440616</v>
      </c>
      <c r="MI50" s="968">
        <v>5.8221005777695503</v>
      </c>
      <c r="MJ50" s="968">
        <v>5.1906424327031582</v>
      </c>
      <c r="MK50" s="968">
        <v>2.2122225107772024</v>
      </c>
      <c r="ML50" s="968">
        <v>5.0828234187406833</v>
      </c>
      <c r="MM50" s="968">
        <v>5.0918814686079212</v>
      </c>
      <c r="MN50" s="968">
        <v>4.5816071219606318</v>
      </c>
      <c r="MO50" s="968">
        <v>2.2230224993628336</v>
      </c>
      <c r="MP50" s="968">
        <v>1.5653063663648565</v>
      </c>
      <c r="MQ50" s="968">
        <v>1.9407447045533437</v>
      </c>
      <c r="MR50" s="968">
        <v>1.6479983882154736</v>
      </c>
      <c r="MS50" s="968">
        <v>2.2978706210943587</v>
      </c>
      <c r="MT50" s="968">
        <v>6.2016721843920397</v>
      </c>
      <c r="MU50" s="968">
        <v>4.2847527783334396</v>
      </c>
      <c r="MV50" s="968">
        <v>4.3900667724455325</v>
      </c>
      <c r="MW50" s="968">
        <v>5.8610591853659795</v>
      </c>
      <c r="MX50" s="968">
        <v>4.545331908127026</v>
      </c>
      <c r="MY50" s="968">
        <v>5.5588014036558322</v>
      </c>
      <c r="MZ50" s="968">
        <v>3.9304941921940912</v>
      </c>
      <c r="NA50" s="968">
        <v>3.1593545748833081</v>
      </c>
      <c r="NB50" s="968">
        <v>6.8773631317560149</v>
      </c>
      <c r="NC50" s="968">
        <v>3.6072080382776139</v>
      </c>
      <c r="ND50" s="968">
        <v>2.2846262992609256</v>
      </c>
      <c r="NE50" s="968">
        <v>6.7232116302937062</v>
      </c>
      <c r="NF50" s="968">
        <v>7.8345671045599907</v>
      </c>
      <c r="NG50" s="968">
        <v>5.3197609095512206</v>
      </c>
      <c r="NH50" s="968">
        <v>5.4146132181867905</v>
      </c>
      <c r="NI50" s="968">
        <v>6.6536658669718083</v>
      </c>
      <c r="NJ50" s="968">
        <v>8.8853762081086956</v>
      </c>
      <c r="NK50" s="968">
        <v>6.7893996568748456</v>
      </c>
      <c r="NL50" s="968">
        <v>4.7240414109298534</v>
      </c>
      <c r="NM50" s="968">
        <v>10.395183406932418</v>
      </c>
      <c r="NN50" s="968">
        <v>6.8876508386905044</v>
      </c>
      <c r="NO50" s="968">
        <v>6.7242254882699903</v>
      </c>
      <c r="NP50" s="968">
        <v>3.2271994924690541</v>
      </c>
      <c r="NQ50" s="968">
        <v>3.2195585955047035</v>
      </c>
      <c r="NR50" s="968">
        <v>3.8804850985677812</v>
      </c>
      <c r="NS50" s="968">
        <v>5.1180769831146984</v>
      </c>
      <c r="NT50" s="968">
        <v>7.308246595597808</v>
      </c>
      <c r="NU50" s="968">
        <f>NU49/NU2</f>
        <v>12.354470725968513</v>
      </c>
      <c r="NV50" s="968">
        <v>5.1616951913884792</v>
      </c>
      <c r="NW50" s="968">
        <v>10.11251333092827</v>
      </c>
      <c r="NX50" s="968">
        <v>4.722686827849663</v>
      </c>
      <c r="NY50" s="968">
        <v>5.9609900165228114</v>
      </c>
      <c r="NZ50" s="968">
        <v>6.2014743476483813</v>
      </c>
      <c r="OA50" s="968">
        <v>4.3089897421213132</v>
      </c>
      <c r="OB50" s="968">
        <v>8.7036320376209506</v>
      </c>
      <c r="OC50" s="968">
        <v>7.6447376823301356</v>
      </c>
      <c r="OD50" s="968">
        <v>10.383280339098619</v>
      </c>
      <c r="OE50" s="968">
        <v>11.893630155667381</v>
      </c>
      <c r="OF50" s="968">
        <v>12.170096124637157</v>
      </c>
      <c r="OG50" s="968">
        <v>7.9103808584191491</v>
      </c>
      <c r="OH50" s="968">
        <v>1.322222947944981</v>
      </c>
      <c r="OI50" s="968">
        <v>6.2734113742283828</v>
      </c>
      <c r="OJ50" s="968">
        <v>6.8063453254139565</v>
      </c>
      <c r="OK50" s="968">
        <v>7.8379501890429806</v>
      </c>
      <c r="OL50" s="968">
        <v>5.7681323867881238</v>
      </c>
      <c r="OM50" s="968">
        <v>7.2456231915641549</v>
      </c>
      <c r="ON50" s="968">
        <v>9.8347826047877813</v>
      </c>
      <c r="OO50" s="968">
        <v>10.177046869446555</v>
      </c>
      <c r="OP50" s="968">
        <v>4.8742348631108143</v>
      </c>
      <c r="OQ50" s="968">
        <v>4.7368951234917356</v>
      </c>
      <c r="OR50" s="968">
        <v>9.2420660815259232</v>
      </c>
      <c r="OS50" s="968">
        <v>2.1057491080210498</v>
      </c>
      <c r="OT50" s="968">
        <v>17.393958165042214</v>
      </c>
      <c r="OU50" s="968">
        <v>7.9404759756004752</v>
      </c>
      <c r="OV50" s="968">
        <v>13.883517545026601</v>
      </c>
      <c r="OW50" s="968">
        <v>13.373647436293075</v>
      </c>
      <c r="OX50" s="968">
        <v>9.2439070238228371</v>
      </c>
      <c r="OY50" s="968">
        <v>10.468795243861239</v>
      </c>
      <c r="OZ50" s="968">
        <v>13.071122570461483</v>
      </c>
      <c r="PA50" s="968">
        <v>9.4824816955071878</v>
      </c>
      <c r="PB50" s="968">
        <v>4.4996680092090937</v>
      </c>
      <c r="PC50" s="968">
        <v>4.9810313082362434</v>
      </c>
      <c r="PD50" s="968">
        <v>10.320790320402567</v>
      </c>
      <c r="PE50" s="968">
        <v>10.608268490867207</v>
      </c>
      <c r="PF50" s="968">
        <v>10.395269705389682</v>
      </c>
      <c r="PG50" s="968">
        <v>4.8200761528744316</v>
      </c>
      <c r="PH50" s="968">
        <v>12.453471680535863</v>
      </c>
      <c r="PI50" s="968">
        <v>13.516136688324975</v>
      </c>
      <c r="PJ50" s="968">
        <v>18.299656922607966</v>
      </c>
      <c r="PK50" s="968">
        <v>11.267293343897856</v>
      </c>
      <c r="PL50" s="968">
        <v>4.6611996912793465</v>
      </c>
      <c r="PM50" s="968">
        <v>3.4872553515073861</v>
      </c>
      <c r="PN50" s="968">
        <v>8.8316290464127487</v>
      </c>
      <c r="PO50" s="968">
        <v>13.906549484201248</v>
      </c>
      <c r="PP50" s="968">
        <v>15.020516641090779</v>
      </c>
      <c r="PQ50" s="968">
        <v>10.123782693763374</v>
      </c>
      <c r="PR50" s="968">
        <v>10.605395943090095</v>
      </c>
      <c r="PS50" s="968">
        <v>11.791525902805024</v>
      </c>
      <c r="PT50" s="968">
        <v>12.217287847717685</v>
      </c>
      <c r="PU50" s="968">
        <v>8.3037929404265878</v>
      </c>
      <c r="PV50" s="968">
        <v>4.0671967981318513</v>
      </c>
      <c r="PW50" s="968">
        <v>4.6328690509747483</v>
      </c>
      <c r="PX50" s="968">
        <v>9.4855827620509512</v>
      </c>
      <c r="PY50" s="968">
        <v>3.3709763054282789</v>
      </c>
      <c r="PZ50" s="968">
        <v>0.83820644514587961</v>
      </c>
      <c r="QA50" s="968">
        <v>1.0573035710824112</v>
      </c>
      <c r="QB50" s="968">
        <v>2.1507548624947597</v>
      </c>
      <c r="QC50" s="968">
        <v>3.8914041805991109</v>
      </c>
      <c r="QD50" s="968">
        <v>2.9532411781394492</v>
      </c>
      <c r="QE50" s="968">
        <v>1.7078547462264182</v>
      </c>
      <c r="QF50" s="968">
        <v>5.4485562124333837</v>
      </c>
      <c r="QG50" s="968">
        <v>4.1751747845509284</v>
      </c>
      <c r="QH50" s="968">
        <f>QH49/QH2</f>
        <v>2.5311691926012436</v>
      </c>
      <c r="QI50" s="968">
        <v>9.9449072070944347</v>
      </c>
      <c r="QJ50" s="968">
        <v>6.8204262699205112</v>
      </c>
      <c r="QK50" s="968">
        <v>11.213884560446539</v>
      </c>
      <c r="QL50" s="968">
        <v>1.7487762818898913</v>
      </c>
      <c r="QM50" s="968">
        <v>1.0087299012509818</v>
      </c>
      <c r="QN50" s="968">
        <v>1.314866674784041</v>
      </c>
      <c r="QO50" s="968">
        <v>8.0965822857035814</v>
      </c>
      <c r="QP50" s="968">
        <v>2.5914263608797552</v>
      </c>
      <c r="QQ50" s="968">
        <v>2.8947057790448696</v>
      </c>
      <c r="QR50" s="968">
        <v>4.3918506838720672</v>
      </c>
      <c r="QS50" s="968">
        <v>4.8473372813493389</v>
      </c>
      <c r="QT50" s="968">
        <v>4.4636914237509524</v>
      </c>
      <c r="QU50" s="968">
        <v>2.7051719924029358</v>
      </c>
      <c r="QV50" s="968">
        <v>4.1519685664190451</v>
      </c>
      <c r="QW50" s="968">
        <v>3.3848789096746974</v>
      </c>
      <c r="QX50" s="968">
        <v>3.705628370123295</v>
      </c>
      <c r="QY50" s="968">
        <v>4.0015972548854455</v>
      </c>
      <c r="QZ50" s="968">
        <v>5.0577303393869757</v>
      </c>
      <c r="RA50" s="968">
        <v>5.4600692671307973</v>
      </c>
      <c r="RB50" s="968">
        <v>4.8385006692810064</v>
      </c>
      <c r="RC50" s="968">
        <v>5.6686149783011128</v>
      </c>
      <c r="RD50" s="968">
        <v>8.0570641407011241</v>
      </c>
      <c r="RE50" s="968">
        <v>7.0035630077125282</v>
      </c>
      <c r="RF50" s="968">
        <v>5.1665798856314051</v>
      </c>
      <c r="RG50" s="968">
        <f>RG49/RG2</f>
        <v>3.1388888388469649</v>
      </c>
      <c r="RH50" s="968">
        <v>3.3368312203566841</v>
      </c>
      <c r="RI50" s="968">
        <v>3.3402178671326781</v>
      </c>
      <c r="RJ50" s="968">
        <v>2.238728214320433</v>
      </c>
      <c r="RK50" s="968">
        <v>3.0585284854490151</v>
      </c>
      <c r="RL50" s="968">
        <v>2.4262234002862049</v>
      </c>
      <c r="RM50" s="968">
        <v>2.4094449568713481</v>
      </c>
      <c r="RN50" s="968">
        <v>2.3136577366256463</v>
      </c>
      <c r="RO50" s="968">
        <v>2.5123524507661683</v>
      </c>
      <c r="RP50" s="968">
        <v>3.3895505652984559</v>
      </c>
      <c r="RQ50" s="968">
        <v>2.1945062939309317</v>
      </c>
      <c r="RR50" s="968">
        <v>3.2234658525361293</v>
      </c>
      <c r="RS50" s="968">
        <v>27.829375423502981</v>
      </c>
      <c r="RT50" s="968">
        <v>32.787110968033893</v>
      </c>
      <c r="RU50" s="968">
        <v>22.48368482428252</v>
      </c>
      <c r="RV50" s="968">
        <v>23.087352647509675</v>
      </c>
      <c r="RW50" s="968">
        <v>12.455640463620439</v>
      </c>
      <c r="RX50" s="968">
        <v>8.7164649190226626</v>
      </c>
      <c r="RY50" s="968">
        <v>9.6250997523401303</v>
      </c>
      <c r="RZ50" s="968">
        <v>5.2791207695934332</v>
      </c>
      <c r="SA50" s="968">
        <v>12.105447238139071</v>
      </c>
      <c r="SB50" s="968">
        <v>4.5771416450558737</v>
      </c>
      <c r="SC50" s="968">
        <v>5.8641339467160352</v>
      </c>
      <c r="SD50" s="968">
        <v>7.3498356890744141</v>
      </c>
      <c r="SE50" s="968">
        <v>5.7371797684240393</v>
      </c>
      <c r="SF50" s="968">
        <v>13.339204816159528</v>
      </c>
      <c r="SG50" s="968">
        <v>9.2895620290102823</v>
      </c>
      <c r="SH50" s="968">
        <v>3.8612138849081488</v>
      </c>
      <c r="SI50" s="968">
        <v>4.3343520999084486</v>
      </c>
      <c r="SJ50" s="968">
        <v>5.3237993712336058</v>
      </c>
      <c r="SK50" s="968">
        <v>6.3045258082784521</v>
      </c>
      <c r="SL50" s="968">
        <v>6.1226352894542222</v>
      </c>
      <c r="SM50" s="968">
        <v>5.1376459436489874</v>
      </c>
      <c r="SN50" s="968">
        <v>4.6791335106228811</v>
      </c>
      <c r="SO50" s="968">
        <v>9.5093598668097954</v>
      </c>
      <c r="SP50" s="968">
        <v>6.6443620840706705</v>
      </c>
      <c r="SQ50" s="968">
        <v>2.7134879349846348</v>
      </c>
      <c r="SR50" s="968">
        <v>3.8645978081435048</v>
      </c>
      <c r="SS50" s="968">
        <v>3.5919994635858146</v>
      </c>
      <c r="ST50" s="968">
        <v>3.868194826993975</v>
      </c>
      <c r="SU50" s="968">
        <v>4.9493829205226829</v>
      </c>
      <c r="SV50" s="968">
        <v>1.6737800488147878</v>
      </c>
      <c r="SW50" s="968">
        <v>1.7880873089801308</v>
      </c>
      <c r="SX50" s="968">
        <v>4.4141679819649706</v>
      </c>
      <c r="SY50" s="968">
        <v>3.0310673924426701</v>
      </c>
      <c r="SZ50" s="968">
        <v>4.4687123898234589</v>
      </c>
      <c r="TA50" s="968">
        <v>5.8056395519680768</v>
      </c>
      <c r="TB50" s="968">
        <v>5.8141911620397497</v>
      </c>
      <c r="TC50" s="968">
        <v>5.3370598812575878</v>
      </c>
      <c r="TD50" s="968">
        <v>8.3808442692283833</v>
      </c>
      <c r="TE50" s="968">
        <f>TE49/TE2</f>
        <v>8.8303331693053941</v>
      </c>
      <c r="TF50" s="968">
        <f>TF49/TF2</f>
        <v>4.6753560808689576</v>
      </c>
      <c r="TG50" s="968">
        <v>3.6519153122895127</v>
      </c>
      <c r="TH50" s="968">
        <v>3.0294891857437096</v>
      </c>
      <c r="TI50" s="968">
        <v>5.8618229753586348</v>
      </c>
      <c r="TJ50" s="968">
        <v>2.6714599187770549</v>
      </c>
      <c r="TK50" s="968">
        <v>2.7016027135867304</v>
      </c>
      <c r="TL50" s="968">
        <v>6.862358526210393</v>
      </c>
      <c r="TM50" s="968">
        <v>13.827861599602642</v>
      </c>
      <c r="TN50" s="968">
        <v>4.455771465191706</v>
      </c>
      <c r="TO50" s="968">
        <v>5.8738371858897764</v>
      </c>
      <c r="TP50" s="968">
        <v>9.8686048287876549</v>
      </c>
      <c r="TQ50" s="968">
        <v>2.4206586208621688</v>
      </c>
      <c r="TR50" s="968">
        <v>4.086736472483417</v>
      </c>
      <c r="TS50" s="968">
        <v>2.1212698261025102</v>
      </c>
      <c r="TT50" s="968">
        <v>5.8599921720355663</v>
      </c>
      <c r="TU50" s="968">
        <v>5.0071599086892329</v>
      </c>
      <c r="TV50" s="968">
        <v>7.8722722331595634</v>
      </c>
      <c r="TW50" s="968">
        <v>5.9507942636434219</v>
      </c>
      <c r="TX50" s="968">
        <v>4.0565871589336862</v>
      </c>
      <c r="TY50" s="968">
        <v>2.235117773769578</v>
      </c>
      <c r="TZ50" s="968">
        <f t="shared" ref="TZ50:UE50" si="604">TZ49/TZ2</f>
        <v>2.1815437527369954</v>
      </c>
      <c r="UA50" s="968">
        <f t="shared" si="604"/>
        <v>4.734834264007306</v>
      </c>
      <c r="UB50" s="968">
        <f t="shared" si="604"/>
        <v>4.40687770661921</v>
      </c>
      <c r="UC50" s="968">
        <f t="shared" si="604"/>
        <v>1.9728455433275147</v>
      </c>
      <c r="UD50" s="968">
        <f t="shared" si="604"/>
        <v>5.746081775736223</v>
      </c>
      <c r="UE50" s="968">
        <f t="shared" si="604"/>
        <v>6.157462485471374</v>
      </c>
      <c r="UF50" s="968">
        <v>1.1136811272026668</v>
      </c>
      <c r="UG50" s="968">
        <v>12.1239980482696</v>
      </c>
      <c r="UH50" s="968">
        <v>8.2627968620101893</v>
      </c>
      <c r="UI50" s="968">
        <v>1.7242048789553346</v>
      </c>
      <c r="UJ50" s="968">
        <v>4.4031022762378216</v>
      </c>
      <c r="UK50" s="968">
        <v>4.9812973649038295</v>
      </c>
      <c r="UL50" s="968">
        <v>7.2950357626940505</v>
      </c>
      <c r="UM50" s="968">
        <v>3.6859803365963626</v>
      </c>
      <c r="UN50" s="968">
        <v>4.9898034111591247</v>
      </c>
      <c r="UO50" s="968">
        <v>3.203952331849099</v>
      </c>
      <c r="UP50" s="968">
        <v>2.5334193192695489</v>
      </c>
      <c r="UQ50" s="968">
        <v>1.5134662289971548</v>
      </c>
      <c r="UR50" s="968">
        <v>2.4819255132309386</v>
      </c>
      <c r="US50" s="968">
        <v>1.399675876383669</v>
      </c>
      <c r="UT50" s="968">
        <v>2.8635453166020679</v>
      </c>
      <c r="UU50" s="968">
        <v>3.2196380831139377</v>
      </c>
      <c r="UV50" s="968">
        <v>2.9505635366239602</v>
      </c>
      <c r="UW50" s="968">
        <v>3.0858183289623189</v>
      </c>
      <c r="UX50" s="968">
        <v>2.5715789732599879</v>
      </c>
      <c r="UY50" s="968">
        <v>4.2750711195335862</v>
      </c>
      <c r="UZ50" s="968">
        <v>1.2382915091548139</v>
      </c>
      <c r="VA50" s="968">
        <v>1.3099228897257214</v>
      </c>
      <c r="VB50" s="968">
        <v>3.4130181569079339</v>
      </c>
      <c r="VC50" s="968">
        <v>5.1394282588142532</v>
      </c>
      <c r="VD50" s="968">
        <v>5.2816278544174038</v>
      </c>
      <c r="VE50" s="968">
        <v>5.9848778518098307</v>
      </c>
      <c r="VF50" s="968">
        <v>7.1343568688294194</v>
      </c>
      <c r="VG50" s="968">
        <v>8.1624865637591295</v>
      </c>
      <c r="VH50" s="968">
        <v>7.8912055713740159</v>
      </c>
      <c r="VI50" s="968">
        <v>11.561447598716827</v>
      </c>
      <c r="VJ50" s="968">
        <v>13.561563976909204</v>
      </c>
      <c r="VK50" s="968">
        <v>7.8378725036516501</v>
      </c>
      <c r="VL50" s="968">
        <v>2.7706306743627294</v>
      </c>
      <c r="VM50" s="968">
        <v>11.473818019793045</v>
      </c>
      <c r="VN50" s="968">
        <v>12.103117099917144</v>
      </c>
      <c r="VO50" s="968">
        <v>4.4400372079643509</v>
      </c>
      <c r="VP50" s="968">
        <v>5.3258569507790456</v>
      </c>
      <c r="VQ50" s="968">
        <v>4.9147183160509247</v>
      </c>
      <c r="VR50" s="968">
        <v>3.7255229447119791</v>
      </c>
      <c r="VS50" s="968">
        <v>1.8231967735780905</v>
      </c>
      <c r="VT50" s="968">
        <v>3.6084506680287731</v>
      </c>
      <c r="VU50" s="968">
        <v>3.7994193323901695</v>
      </c>
      <c r="VV50" s="968">
        <f t="shared" ref="VV50" si="605">VV49/VV2</f>
        <v>1.6547547267372751</v>
      </c>
      <c r="VW50" s="968">
        <v>1.5343651486180585</v>
      </c>
      <c r="VX50" s="968">
        <v>8.0120916652843572</v>
      </c>
      <c r="VY50" s="968">
        <v>5.1179234519279877</v>
      </c>
      <c r="VZ50" s="968">
        <v>3.5842449741669506</v>
      </c>
      <c r="WA50" s="968">
        <v>5.6971961976962069</v>
      </c>
      <c r="WB50" s="968">
        <v>2.1566322823720623</v>
      </c>
      <c r="WC50" s="968">
        <v>3.2683897145502616</v>
      </c>
      <c r="WD50" s="968">
        <v>5.0782273349259555</v>
      </c>
      <c r="WE50" s="968">
        <v>3.6822038995465407</v>
      </c>
      <c r="WF50" s="968">
        <v>4.2560846613428449</v>
      </c>
      <c r="WG50" s="968">
        <v>3.0277775417380512</v>
      </c>
      <c r="WH50" s="968">
        <v>2.0123970103727769</v>
      </c>
      <c r="WI50" s="968">
        <v>3.6496377997482159</v>
      </c>
      <c r="WJ50" s="968">
        <v>9.0901876801630443</v>
      </c>
      <c r="WK50" s="968">
        <v>8.4962079109902238</v>
      </c>
      <c r="WL50" s="968">
        <v>7.095458103115555</v>
      </c>
      <c r="WM50" s="968">
        <v>4.2752397472645578</v>
      </c>
      <c r="WN50" s="968">
        <v>6.7629709695039413</v>
      </c>
      <c r="WO50" s="968">
        <v>6.4192014029203266</v>
      </c>
      <c r="WP50" s="968">
        <v>6.4341637281169097</v>
      </c>
      <c r="WQ50" s="968">
        <v>11.879471639409015</v>
      </c>
      <c r="WR50" s="968">
        <f t="shared" ref="WR50:WS50" si="606">WR49/WR2</f>
        <v>9.1901941599209547</v>
      </c>
      <c r="WS50" s="968">
        <f t="shared" si="606"/>
        <v>6.7056952502300033</v>
      </c>
      <c r="WT50" s="968">
        <f t="shared" ref="WT50:WU50" si="607">WT49/WT2</f>
        <v>7.7632553767400756</v>
      </c>
      <c r="WU50" s="968">
        <f t="shared" si="607"/>
        <v>7.0295250672322886</v>
      </c>
      <c r="WV50" s="968">
        <f t="shared" ref="WV50" si="608">WV49/WV2</f>
        <v>6.0163942917764448</v>
      </c>
      <c r="WW50" s="968">
        <v>6.3203865070310421</v>
      </c>
      <c r="WX50" s="968">
        <v>6.3058981595505728</v>
      </c>
      <c r="WY50" s="968">
        <v>7.0716909409730606</v>
      </c>
      <c r="WZ50" s="968">
        <v>6.1468678349287114</v>
      </c>
      <c r="XA50" s="968">
        <v>6.0091357844929378</v>
      </c>
      <c r="XB50" s="968">
        <v>10.980828666035132</v>
      </c>
      <c r="XC50" s="968">
        <v>3.649717009134819</v>
      </c>
      <c r="XD50" s="968">
        <v>5.7548468223230795</v>
      </c>
      <c r="XE50" s="968">
        <v>5.1994102876748602</v>
      </c>
      <c r="XF50" s="968">
        <v>5.917324464032701</v>
      </c>
      <c r="XG50" s="968">
        <v>6.025286528801618</v>
      </c>
      <c r="XH50" s="968">
        <v>8.2883876830933918</v>
      </c>
      <c r="XI50" s="968">
        <v>7.6345018078189257</v>
      </c>
      <c r="XJ50" s="968">
        <v>16.697212858554128</v>
      </c>
      <c r="XK50" s="968">
        <v>4.7353280850327071</v>
      </c>
      <c r="XL50" s="968">
        <v>6.4187319240927474</v>
      </c>
      <c r="XM50" s="968">
        <v>11.530462981312056</v>
      </c>
      <c r="XN50" s="968">
        <v>4.7861482627597391</v>
      </c>
      <c r="XO50" s="968">
        <v>5.0839960502328072</v>
      </c>
      <c r="XP50" s="968">
        <v>15.875086539544757</v>
      </c>
      <c r="XQ50" s="968">
        <v>24.374837529709371</v>
      </c>
      <c r="XR50" s="968">
        <v>28.945429369112489</v>
      </c>
      <c r="XS50" s="968">
        <v>29.754748810722091</v>
      </c>
      <c r="XT50" s="968">
        <v>8.1545579200460701</v>
      </c>
      <c r="XU50" s="968">
        <v>9.7603178843600915</v>
      </c>
      <c r="XV50" s="968">
        <v>7.9046116475753578</v>
      </c>
      <c r="XW50" s="968">
        <v>9.901258185658163</v>
      </c>
      <c r="XX50" s="968">
        <v>3.6361462085493605</v>
      </c>
      <c r="XY50" s="968">
        <v>6.1038865439530854</v>
      </c>
      <c r="XZ50" s="968">
        <v>6.4724841886485489</v>
      </c>
      <c r="YA50" s="968">
        <v>6.5530280464648865</v>
      </c>
      <c r="YB50" s="968">
        <v>5.5103385197763552</v>
      </c>
      <c r="YC50" s="968">
        <v>3.5002066579341458</v>
      </c>
      <c r="YD50" s="968">
        <v>27.743765419236503</v>
      </c>
      <c r="YE50" s="968">
        <v>4.3940272120354145</v>
      </c>
      <c r="YF50" s="968">
        <v>10.199450431985408</v>
      </c>
      <c r="YG50" s="968">
        <v>5.2277296560479041</v>
      </c>
      <c r="YH50" s="968">
        <f>YH49/YH2</f>
        <v>8.8095071383896393</v>
      </c>
    </row>
    <row r="51" spans="2:658" ht="15" thickTop="1">
      <c r="C51" s="951">
        <f t="shared" ref="C51:AO51" si="609">C11+C25+C43+C49-C3</f>
        <v>0</v>
      </c>
      <c r="D51" s="952">
        <f t="shared" si="609"/>
        <v>0</v>
      </c>
      <c r="E51" s="952">
        <f t="shared" si="609"/>
        <v>0</v>
      </c>
      <c r="F51" s="952">
        <f t="shared" si="609"/>
        <v>0</v>
      </c>
      <c r="G51" s="952">
        <f t="shared" si="609"/>
        <v>0</v>
      </c>
      <c r="H51" s="952">
        <f t="shared" si="609"/>
        <v>0</v>
      </c>
      <c r="I51" s="952">
        <f t="shared" si="609"/>
        <v>0</v>
      </c>
      <c r="J51" s="952">
        <f t="shared" si="609"/>
        <v>0</v>
      </c>
      <c r="K51" s="952">
        <f t="shared" si="609"/>
        <v>0</v>
      </c>
      <c r="L51" s="952">
        <f t="shared" si="609"/>
        <v>0</v>
      </c>
      <c r="M51" s="952">
        <f t="shared" si="609"/>
        <v>0</v>
      </c>
      <c r="N51" s="952">
        <f t="shared" si="609"/>
        <v>0</v>
      </c>
      <c r="O51" s="952">
        <f t="shared" si="609"/>
        <v>0</v>
      </c>
      <c r="P51" s="952">
        <f t="shared" si="609"/>
        <v>0</v>
      </c>
      <c r="Q51" s="952">
        <f t="shared" si="609"/>
        <v>0</v>
      </c>
      <c r="R51" s="952">
        <f t="shared" si="609"/>
        <v>0</v>
      </c>
      <c r="S51" s="952">
        <f t="shared" si="609"/>
        <v>0</v>
      </c>
      <c r="T51" s="952">
        <f t="shared" si="609"/>
        <v>0</v>
      </c>
      <c r="U51" s="952">
        <f t="shared" si="609"/>
        <v>0</v>
      </c>
      <c r="V51" s="952">
        <f t="shared" si="609"/>
        <v>0</v>
      </c>
      <c r="W51" s="952">
        <f t="shared" si="609"/>
        <v>0</v>
      </c>
      <c r="X51" s="952">
        <f t="shared" si="609"/>
        <v>0</v>
      </c>
      <c r="Y51" s="952">
        <f t="shared" si="609"/>
        <v>0</v>
      </c>
      <c r="Z51" s="952">
        <f t="shared" si="609"/>
        <v>0</v>
      </c>
      <c r="AA51" s="952">
        <f t="shared" si="609"/>
        <v>0</v>
      </c>
      <c r="AB51" s="952">
        <f t="shared" si="609"/>
        <v>0</v>
      </c>
      <c r="AC51" s="952">
        <f t="shared" si="609"/>
        <v>0</v>
      </c>
      <c r="AD51" s="952">
        <f t="shared" si="609"/>
        <v>0</v>
      </c>
      <c r="AE51" s="952">
        <f t="shared" si="609"/>
        <v>0</v>
      </c>
      <c r="AF51" s="952">
        <f t="shared" si="609"/>
        <v>0</v>
      </c>
      <c r="AG51" s="952">
        <f t="shared" si="609"/>
        <v>0</v>
      </c>
      <c r="AH51" s="952">
        <f t="shared" si="609"/>
        <v>0</v>
      </c>
      <c r="AI51" s="952">
        <f t="shared" si="609"/>
        <v>0</v>
      </c>
      <c r="AJ51" s="952">
        <f t="shared" si="609"/>
        <v>0</v>
      </c>
      <c r="AK51" s="952">
        <f t="shared" si="609"/>
        <v>0</v>
      </c>
      <c r="AL51" s="952">
        <f t="shared" si="609"/>
        <v>0</v>
      </c>
      <c r="AM51" s="952">
        <f t="shared" si="609"/>
        <v>0</v>
      </c>
      <c r="AN51" s="952">
        <f t="shared" si="609"/>
        <v>0</v>
      </c>
      <c r="AO51" s="952">
        <f t="shared" si="609"/>
        <v>0</v>
      </c>
      <c r="KZ51" s="942"/>
      <c r="LA51" s="942"/>
      <c r="LB51" s="942"/>
      <c r="LC51" s="942"/>
      <c r="LD51" s="942"/>
      <c r="LE51" s="942"/>
    </row>
    <row r="52" spans="2:658">
      <c r="C52" s="951">
        <f t="shared" ref="C52:AO52" si="610">C12+C26+C44+C50-C4</f>
        <v>0</v>
      </c>
      <c r="D52" s="952">
        <f t="shared" si="610"/>
        <v>0</v>
      </c>
      <c r="E52" s="952">
        <f t="shared" si="610"/>
        <v>0</v>
      </c>
      <c r="F52" s="952">
        <f t="shared" si="610"/>
        <v>0</v>
      </c>
      <c r="G52" s="952">
        <f t="shared" si="610"/>
        <v>0</v>
      </c>
      <c r="H52" s="952">
        <f t="shared" si="610"/>
        <v>0</v>
      </c>
      <c r="I52" s="952">
        <f t="shared" si="610"/>
        <v>0</v>
      </c>
      <c r="J52" s="952">
        <f t="shared" si="610"/>
        <v>0</v>
      </c>
      <c r="K52" s="952">
        <f t="shared" si="610"/>
        <v>0</v>
      </c>
      <c r="L52" s="952">
        <f t="shared" si="610"/>
        <v>0</v>
      </c>
      <c r="M52" s="952">
        <f t="shared" si="610"/>
        <v>0</v>
      </c>
      <c r="N52" s="952">
        <f t="shared" si="610"/>
        <v>0</v>
      </c>
      <c r="O52" s="952">
        <f t="shared" si="610"/>
        <v>0</v>
      </c>
      <c r="P52" s="952">
        <f t="shared" si="610"/>
        <v>0</v>
      </c>
      <c r="Q52" s="952">
        <f t="shared" si="610"/>
        <v>0</v>
      </c>
      <c r="R52" s="952">
        <f t="shared" si="610"/>
        <v>0</v>
      </c>
      <c r="S52" s="952">
        <f t="shared" si="610"/>
        <v>0</v>
      </c>
      <c r="T52" s="952">
        <f t="shared" si="610"/>
        <v>0</v>
      </c>
      <c r="U52" s="952">
        <f t="shared" si="610"/>
        <v>0</v>
      </c>
      <c r="V52" s="952">
        <f t="shared" si="610"/>
        <v>0</v>
      </c>
      <c r="W52" s="952">
        <f t="shared" si="610"/>
        <v>0</v>
      </c>
      <c r="X52" s="952">
        <f t="shared" si="610"/>
        <v>0</v>
      </c>
      <c r="Y52" s="952">
        <f t="shared" si="610"/>
        <v>0</v>
      </c>
      <c r="Z52" s="952">
        <f t="shared" si="610"/>
        <v>0</v>
      </c>
      <c r="AA52" s="952">
        <f t="shared" si="610"/>
        <v>0</v>
      </c>
      <c r="AB52" s="952">
        <f t="shared" si="610"/>
        <v>0</v>
      </c>
      <c r="AC52" s="952">
        <f t="shared" si="610"/>
        <v>0</v>
      </c>
      <c r="AD52" s="952">
        <f t="shared" si="610"/>
        <v>0</v>
      </c>
      <c r="AE52" s="952">
        <f t="shared" si="610"/>
        <v>0</v>
      </c>
      <c r="AF52" s="952">
        <f t="shared" si="610"/>
        <v>0</v>
      </c>
      <c r="AG52" s="952">
        <f t="shared" si="610"/>
        <v>0</v>
      </c>
      <c r="AH52" s="952">
        <f t="shared" si="610"/>
        <v>0</v>
      </c>
      <c r="AI52" s="952">
        <f t="shared" si="610"/>
        <v>0</v>
      </c>
      <c r="AJ52" s="952">
        <f t="shared" si="610"/>
        <v>0</v>
      </c>
      <c r="AK52" s="952">
        <f t="shared" si="610"/>
        <v>0</v>
      </c>
      <c r="AL52" s="952">
        <f t="shared" si="610"/>
        <v>0</v>
      </c>
      <c r="AM52" s="952">
        <f t="shared" si="610"/>
        <v>0</v>
      </c>
      <c r="AN52" s="952">
        <f t="shared" si="610"/>
        <v>0</v>
      </c>
      <c r="AO52" s="952">
        <f t="shared" si="610"/>
        <v>0</v>
      </c>
      <c r="KZ52" s="942"/>
      <c r="LA52" s="942"/>
      <c r="LB52" s="942"/>
      <c r="LC52" s="942"/>
      <c r="LD52" s="942"/>
      <c r="LE52" s="942"/>
    </row>
    <row r="53" spans="2:658">
      <c r="KZ53" s="942"/>
      <c r="LA53" s="942"/>
      <c r="LB53" s="942"/>
      <c r="LC53" s="942"/>
      <c r="LD53" s="942"/>
      <c r="LE53" s="942"/>
    </row>
    <row r="54" spans="2:658">
      <c r="KZ54" s="942"/>
      <c r="LA54" s="942"/>
      <c r="LB54" s="942"/>
      <c r="LC54" s="942"/>
      <c r="LD54" s="942"/>
      <c r="LE54" s="942"/>
    </row>
    <row r="55" spans="2:658">
      <c r="KZ55" s="942"/>
      <c r="LA55" s="942"/>
      <c r="LB55" s="942"/>
      <c r="LC55" s="942"/>
      <c r="LD55" s="942"/>
      <c r="LE55" s="942"/>
    </row>
    <row r="56" spans="2:658">
      <c r="KZ56" s="942"/>
      <c r="LA56" s="942"/>
      <c r="LB56" s="942"/>
      <c r="LC56" s="942"/>
      <c r="LD56" s="942"/>
      <c r="LE56" s="942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  <customProperties>
    <customPr name="EpmWorksheetKeyString_GUID" r:id="rId2"/>
  </customProperties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"/>
  <sheetViews>
    <sheetView showGridLines="0" zoomScale="80" zoomScaleNormal="80" workbookViewId="0">
      <pane xSplit="2" ySplit="2" topLeftCell="H42" activePane="bottomRight" state="frozen"/>
      <selection sqref="A1:XFD1048576"/>
      <selection pane="topRight" sqref="A1:XFD1048576"/>
      <selection pane="bottomLeft" sqref="A1:XFD1048576"/>
      <selection pane="bottomRight" activeCell="L55" sqref="L55"/>
    </sheetView>
  </sheetViews>
  <sheetFormatPr defaultColWidth="14" defaultRowHeight="26.25" customHeight="1"/>
  <cols>
    <col min="1" max="1" width="9.77734375" style="787" customWidth="1"/>
    <col min="2" max="2" width="14" style="786"/>
    <col min="3" max="4" width="14" style="787"/>
    <col min="5" max="5" width="18.6640625" style="787" customWidth="1"/>
    <col min="6" max="7" width="14" style="787"/>
    <col min="8" max="8" width="18.6640625" style="787" customWidth="1"/>
    <col min="9" max="10" width="14" style="787"/>
    <col min="11" max="12" width="18.6640625" style="787" customWidth="1"/>
    <col min="13" max="16384" width="14" style="787"/>
  </cols>
  <sheetData>
    <row r="1" spans="1:12" s="794" customFormat="1" ht="26.25" customHeight="1">
      <c r="B1" s="800" t="s">
        <v>502</v>
      </c>
      <c r="G1" s="790" t="s">
        <v>504</v>
      </c>
      <c r="L1" s="802" t="s">
        <v>503</v>
      </c>
    </row>
    <row r="2" spans="1:12" ht="26.25" customHeight="1">
      <c r="B2" s="795" t="s">
        <v>500</v>
      </c>
      <c r="C2" s="796" t="s">
        <v>487</v>
      </c>
      <c r="D2" s="797" t="s">
        <v>112</v>
      </c>
      <c r="E2" s="798" t="s">
        <v>499</v>
      </c>
      <c r="F2" s="797" t="s">
        <v>155</v>
      </c>
      <c r="G2" s="797" t="s">
        <v>505</v>
      </c>
      <c r="H2" s="797" t="s">
        <v>499</v>
      </c>
      <c r="I2" s="796" t="s">
        <v>488</v>
      </c>
      <c r="J2" s="797" t="s">
        <v>112</v>
      </c>
      <c r="K2" s="798" t="s">
        <v>499</v>
      </c>
      <c r="L2" s="799" t="s">
        <v>501</v>
      </c>
    </row>
    <row r="3" spans="1:12" ht="26.25" customHeight="1">
      <c r="A3" s="812"/>
      <c r="B3" s="788">
        <f>+'Daily Hard currency'!B4</f>
        <v>44988</v>
      </c>
      <c r="C3" s="804"/>
      <c r="D3" s="803"/>
      <c r="E3" s="806">
        <f>+D3*C3</f>
        <v>0</v>
      </c>
      <c r="F3" s="804">
        <v>3</v>
      </c>
      <c r="G3" s="803">
        <f>H3/F3</f>
        <v>79.896666666666661</v>
      </c>
      <c r="H3" s="806">
        <v>239.69</v>
      </c>
      <c r="I3" s="804">
        <v>13.6</v>
      </c>
      <c r="J3" s="803">
        <v>10.95</v>
      </c>
      <c r="K3" s="814">
        <f>+J3*I3</f>
        <v>148.91999999999999</v>
      </c>
      <c r="L3" s="807">
        <f>+E3+H3+K3</f>
        <v>388.61</v>
      </c>
    </row>
    <row r="4" spans="1:12" ht="26.25" customHeight="1">
      <c r="B4" s="789">
        <v>45013</v>
      </c>
      <c r="C4" s="805"/>
      <c r="D4" s="801"/>
      <c r="E4" s="792">
        <f t="shared" ref="E4:E31" si="0">+D4*C4</f>
        <v>0</v>
      </c>
      <c r="F4" s="805">
        <v>0.27</v>
      </c>
      <c r="G4" s="801">
        <v>82.856300000000005</v>
      </c>
      <c r="H4" s="792">
        <f t="shared" ref="H4:H31" si="1">+G4*F4</f>
        <v>22.371201000000003</v>
      </c>
      <c r="I4" s="805"/>
      <c r="J4" s="801"/>
      <c r="K4" s="792">
        <f t="shared" ref="K4:K37" si="2">+J4*I4</f>
        <v>0</v>
      </c>
      <c r="L4" s="793">
        <f t="shared" ref="L4:L37" si="3">+E4+H4+K4</f>
        <v>22.371201000000003</v>
      </c>
    </row>
    <row r="5" spans="1:12" ht="26.25" customHeight="1">
      <c r="B5" s="789">
        <v>45020</v>
      </c>
      <c r="C5" s="805">
        <f>+'Daily Hard currency'!P13</f>
        <v>0.17503700000000011</v>
      </c>
      <c r="D5" s="801">
        <v>77.950999999999993</v>
      </c>
      <c r="E5" s="792">
        <f t="shared" si="0"/>
        <v>13.644309187000008</v>
      </c>
      <c r="F5" s="805"/>
      <c r="G5" s="801"/>
      <c r="H5" s="792">
        <f t="shared" si="1"/>
        <v>0</v>
      </c>
      <c r="I5" s="805"/>
      <c r="J5" s="801"/>
      <c r="K5" s="792">
        <f t="shared" si="2"/>
        <v>0</v>
      </c>
      <c r="L5" s="793">
        <f t="shared" si="3"/>
        <v>13.644309187000008</v>
      </c>
    </row>
    <row r="6" spans="1:12" ht="26.25" customHeight="1">
      <c r="B6" s="789">
        <v>45021</v>
      </c>
      <c r="C6" s="805"/>
      <c r="D6" s="801"/>
      <c r="E6" s="792">
        <f t="shared" ref="E6" si="4">+D6*C6</f>
        <v>0</v>
      </c>
      <c r="F6" s="805"/>
      <c r="G6" s="801"/>
      <c r="H6" s="792">
        <f t="shared" ref="H6" si="5">+G6*F6</f>
        <v>0</v>
      </c>
      <c r="I6" s="805">
        <v>9.8000000000000007</v>
      </c>
      <c r="J6" s="801">
        <v>11.57</v>
      </c>
      <c r="K6" s="792">
        <f t="shared" ref="K6" si="6">+J6*I6</f>
        <v>113.38600000000001</v>
      </c>
      <c r="L6" s="793">
        <f t="shared" ref="L6" si="7">+E6+H6+K6</f>
        <v>113.38600000000001</v>
      </c>
    </row>
    <row r="7" spans="1:12" ht="26.25" customHeight="1">
      <c r="B7" s="789">
        <v>45023</v>
      </c>
      <c r="C7" s="790"/>
      <c r="D7" s="791"/>
      <c r="E7" s="792">
        <f t="shared" si="0"/>
        <v>0</v>
      </c>
      <c r="F7" s="791">
        <v>0.26</v>
      </c>
      <c r="G7" s="791">
        <v>84.84</v>
      </c>
      <c r="H7" s="792">
        <f t="shared" si="1"/>
        <v>22.058400000000002</v>
      </c>
      <c r="I7" s="790"/>
      <c r="J7" s="791"/>
      <c r="K7" s="792">
        <f t="shared" si="2"/>
        <v>0</v>
      </c>
      <c r="L7" s="793">
        <f t="shared" si="3"/>
        <v>22.058400000000002</v>
      </c>
    </row>
    <row r="8" spans="1:12" ht="26.25" customHeight="1">
      <c r="B8" s="789">
        <v>45026</v>
      </c>
      <c r="C8" s="790">
        <v>1.8</v>
      </c>
      <c r="D8" s="791">
        <v>82.85</v>
      </c>
      <c r="E8" s="792">
        <f t="shared" si="0"/>
        <v>149.13</v>
      </c>
      <c r="F8" s="791"/>
      <c r="G8" s="791"/>
      <c r="H8" s="792">
        <f t="shared" si="1"/>
        <v>0</v>
      </c>
      <c r="I8" s="790"/>
      <c r="J8" s="791"/>
      <c r="K8" s="792">
        <f t="shared" si="2"/>
        <v>0</v>
      </c>
      <c r="L8" s="793">
        <f t="shared" si="3"/>
        <v>149.13</v>
      </c>
    </row>
    <row r="9" spans="1:12" ht="26.25" customHeight="1">
      <c r="B9" s="789">
        <v>45030</v>
      </c>
      <c r="C9" s="790">
        <v>0.5</v>
      </c>
      <c r="D9" s="791">
        <v>81.94</v>
      </c>
      <c r="E9" s="792">
        <f t="shared" si="0"/>
        <v>40.97</v>
      </c>
      <c r="F9" s="791"/>
      <c r="G9" s="791"/>
      <c r="H9" s="792">
        <f t="shared" si="1"/>
        <v>0</v>
      </c>
      <c r="I9" s="790"/>
      <c r="J9" s="791"/>
      <c r="K9" s="792">
        <f t="shared" si="2"/>
        <v>0</v>
      </c>
      <c r="L9" s="793">
        <f t="shared" si="3"/>
        <v>40.97</v>
      </c>
    </row>
    <row r="10" spans="1:12" ht="26.25" customHeight="1">
      <c r="B10" s="789">
        <v>45035</v>
      </c>
      <c r="C10" s="790">
        <v>0.49</v>
      </c>
      <c r="D10" s="791">
        <v>81.732200000000006</v>
      </c>
      <c r="E10" s="792">
        <f t="shared" si="0"/>
        <v>40.048777999999999</v>
      </c>
      <c r="F10" s="791"/>
      <c r="G10" s="791"/>
      <c r="H10" s="792">
        <f t="shared" si="1"/>
        <v>0</v>
      </c>
      <c r="I10" s="790"/>
      <c r="J10" s="791"/>
      <c r="K10" s="792">
        <f t="shared" si="2"/>
        <v>0</v>
      </c>
      <c r="L10" s="793">
        <f t="shared" si="3"/>
        <v>40.048777999999999</v>
      </c>
    </row>
    <row r="11" spans="1:12" ht="26.25" customHeight="1">
      <c r="B11" s="789">
        <v>45057</v>
      </c>
      <c r="C11" s="790">
        <v>0.5</v>
      </c>
      <c r="D11" s="791">
        <v>79.459999999999994</v>
      </c>
      <c r="E11" s="792">
        <f t="shared" si="0"/>
        <v>39.729999999999997</v>
      </c>
      <c r="F11" s="791">
        <f>0.091584+0.01217</f>
        <v>0.103754</v>
      </c>
      <c r="G11" s="791">
        <v>83.46</v>
      </c>
      <c r="H11" s="792">
        <f t="shared" si="1"/>
        <v>8.6593088399999996</v>
      </c>
      <c r="I11" s="790"/>
      <c r="J11" s="791"/>
      <c r="K11" s="792">
        <f t="shared" si="2"/>
        <v>0</v>
      </c>
      <c r="L11" s="793">
        <f t="shared" si="3"/>
        <v>48.389308839999998</v>
      </c>
    </row>
    <row r="12" spans="1:12" ht="26.25" customHeight="1">
      <c r="B12" s="789">
        <v>45063</v>
      </c>
      <c r="C12" s="790">
        <v>0.75</v>
      </c>
      <c r="D12" s="791">
        <v>83.13</v>
      </c>
      <c r="E12" s="792">
        <f t="shared" si="0"/>
        <v>62.347499999999997</v>
      </c>
      <c r="F12" s="791"/>
      <c r="G12" s="791"/>
      <c r="H12" s="792">
        <f t="shared" si="1"/>
        <v>0</v>
      </c>
      <c r="I12" s="790"/>
      <c r="J12" s="791"/>
      <c r="K12" s="792">
        <f t="shared" si="2"/>
        <v>0</v>
      </c>
      <c r="L12" s="793">
        <f t="shared" si="3"/>
        <v>62.347499999999997</v>
      </c>
    </row>
    <row r="13" spans="1:12" ht="26.25" customHeight="1">
      <c r="B13" s="789">
        <v>45075</v>
      </c>
      <c r="C13" s="790"/>
      <c r="D13" s="791"/>
      <c r="E13" s="792">
        <f t="shared" si="0"/>
        <v>0</v>
      </c>
      <c r="F13" s="791">
        <v>7.5197249999999993E-2</v>
      </c>
      <c r="G13" s="791">
        <v>86.3</v>
      </c>
      <c r="H13" s="792">
        <f t="shared" si="1"/>
        <v>6.489522674999999</v>
      </c>
      <c r="I13" s="790"/>
      <c r="J13" s="791"/>
      <c r="K13" s="792">
        <f t="shared" si="2"/>
        <v>0</v>
      </c>
      <c r="L13" s="793">
        <f t="shared" si="3"/>
        <v>6.489522674999999</v>
      </c>
    </row>
    <row r="14" spans="1:12" ht="26.25" customHeight="1">
      <c r="B14" s="789">
        <v>45083</v>
      </c>
      <c r="C14" s="790"/>
      <c r="D14" s="791"/>
      <c r="E14" s="792"/>
      <c r="F14" s="791">
        <v>0.33983999999999998</v>
      </c>
      <c r="G14" s="791">
        <v>87.19</v>
      </c>
      <c r="H14" s="792">
        <f t="shared" si="1"/>
        <v>29.630649599999998</v>
      </c>
      <c r="I14" s="790"/>
      <c r="J14" s="791"/>
      <c r="K14" s="792">
        <f t="shared" si="2"/>
        <v>0</v>
      </c>
      <c r="L14" s="793">
        <f>+E14+H14+K14</f>
        <v>29.630649599999998</v>
      </c>
    </row>
    <row r="15" spans="1:12" ht="26.25" customHeight="1">
      <c r="B15" s="789">
        <v>45083</v>
      </c>
      <c r="C15" s="790"/>
      <c r="D15" s="791"/>
      <c r="E15" s="792">
        <f>+D15*C15</f>
        <v>0</v>
      </c>
      <c r="F15" s="791">
        <v>0.183168</v>
      </c>
      <c r="G15" s="791">
        <v>87.564499999999995</v>
      </c>
      <c r="H15" s="792">
        <f t="shared" si="1"/>
        <v>16.039014335999997</v>
      </c>
      <c r="I15" s="790"/>
      <c r="J15" s="791"/>
      <c r="K15" s="792">
        <f t="shared" si="2"/>
        <v>0</v>
      </c>
      <c r="L15" s="793">
        <f>+E15+H15+K15</f>
        <v>16.039014335999997</v>
      </c>
    </row>
    <row r="16" spans="1:12" ht="26.25" customHeight="1">
      <c r="B16" s="789">
        <v>45085</v>
      </c>
      <c r="C16" s="790">
        <v>1</v>
      </c>
      <c r="D16" s="791">
        <v>82.7</v>
      </c>
      <c r="E16" s="792">
        <f>+D16*C16</f>
        <v>82.7</v>
      </c>
      <c r="F16" s="791">
        <v>8.8992000000000002E-2</v>
      </c>
      <c r="G16" s="791">
        <v>88.2</v>
      </c>
      <c r="H16" s="792">
        <f t="shared" si="1"/>
        <v>7.8490944000000002</v>
      </c>
      <c r="I16" s="790"/>
      <c r="J16" s="791"/>
      <c r="K16" s="792">
        <f t="shared" si="2"/>
        <v>0</v>
      </c>
      <c r="L16" s="793">
        <f t="shared" si="3"/>
        <v>90.549094400000001</v>
      </c>
    </row>
    <row r="17" spans="2:12" ht="26.25" customHeight="1">
      <c r="B17" s="789">
        <v>45104</v>
      </c>
      <c r="C17" s="790"/>
      <c r="D17" s="791"/>
      <c r="E17" s="792">
        <f t="shared" si="0"/>
        <v>0</v>
      </c>
      <c r="F17" s="791"/>
      <c r="G17" s="791"/>
      <c r="H17" s="792">
        <f t="shared" si="1"/>
        <v>0</v>
      </c>
      <c r="I17" s="790">
        <v>2.5</v>
      </c>
      <c r="J17" s="791">
        <v>11.6875</v>
      </c>
      <c r="K17" s="792">
        <f t="shared" si="2"/>
        <v>29.21875</v>
      </c>
      <c r="L17" s="793">
        <f t="shared" si="3"/>
        <v>29.21875</v>
      </c>
    </row>
    <row r="18" spans="2:12" ht="26.25" customHeight="1">
      <c r="B18" s="789">
        <v>45105</v>
      </c>
      <c r="C18" s="790"/>
      <c r="D18" s="791"/>
      <c r="E18" s="792">
        <f t="shared" si="0"/>
        <v>0</v>
      </c>
      <c r="F18" s="791">
        <v>1.2857909999999999</v>
      </c>
      <c r="G18" s="791">
        <v>97.96</v>
      </c>
      <c r="H18" s="792">
        <f t="shared" si="1"/>
        <v>125.95608635999999</v>
      </c>
      <c r="I18" s="790"/>
      <c r="J18" s="791"/>
      <c r="K18" s="792">
        <f t="shared" si="2"/>
        <v>0</v>
      </c>
      <c r="L18" s="793">
        <f t="shared" si="3"/>
        <v>125.95608635999999</v>
      </c>
    </row>
    <row r="19" spans="2:12" ht="26.25" customHeight="1">
      <c r="B19" s="789">
        <v>45121</v>
      </c>
      <c r="C19" s="790"/>
      <c r="D19" s="791"/>
      <c r="E19" s="792">
        <f t="shared" si="0"/>
        <v>0</v>
      </c>
      <c r="F19" s="791"/>
      <c r="G19" s="791"/>
      <c r="H19" s="792">
        <f t="shared" si="1"/>
        <v>0</v>
      </c>
      <c r="I19" s="790">
        <v>2</v>
      </c>
      <c r="J19" s="791">
        <v>12.65</v>
      </c>
      <c r="K19" s="792">
        <f t="shared" si="2"/>
        <v>25.3</v>
      </c>
      <c r="L19" s="793">
        <f t="shared" si="3"/>
        <v>25.3</v>
      </c>
    </row>
    <row r="20" spans="2:12" ht="26.25" customHeight="1">
      <c r="B20" s="789">
        <v>45124</v>
      </c>
      <c r="C20" s="790"/>
      <c r="D20" s="791"/>
      <c r="E20" s="792">
        <f t="shared" si="0"/>
        <v>0</v>
      </c>
      <c r="F20" s="791"/>
      <c r="G20" s="791"/>
      <c r="H20" s="792">
        <f t="shared" si="1"/>
        <v>0</v>
      </c>
      <c r="I20" s="790">
        <v>7.7</v>
      </c>
      <c r="J20" s="791">
        <v>12.65</v>
      </c>
      <c r="K20" s="792">
        <f t="shared" si="2"/>
        <v>97.405000000000001</v>
      </c>
      <c r="L20" s="793">
        <f t="shared" si="3"/>
        <v>97.405000000000001</v>
      </c>
    </row>
    <row r="21" spans="2:12" ht="26.25" customHeight="1">
      <c r="B21" s="789">
        <v>45132</v>
      </c>
      <c r="C21" s="790"/>
      <c r="D21" s="791"/>
      <c r="E21" s="792">
        <f t="shared" si="0"/>
        <v>0</v>
      </c>
      <c r="F21" s="791"/>
      <c r="G21" s="791"/>
      <c r="H21" s="792">
        <f t="shared" si="1"/>
        <v>0</v>
      </c>
      <c r="I21" s="790">
        <v>4.5</v>
      </c>
      <c r="J21" s="791">
        <v>12.65</v>
      </c>
      <c r="K21" s="792">
        <f>+J21*I21</f>
        <v>56.925000000000004</v>
      </c>
      <c r="L21" s="793">
        <f t="shared" si="3"/>
        <v>56.925000000000004</v>
      </c>
    </row>
    <row r="22" spans="2:12" ht="26.25" customHeight="1">
      <c r="B22" s="789">
        <v>45141</v>
      </c>
      <c r="C22" s="790"/>
      <c r="D22" s="791"/>
      <c r="E22" s="792">
        <f t="shared" si="0"/>
        <v>0</v>
      </c>
      <c r="F22" s="791">
        <v>0.432</v>
      </c>
      <c r="G22" s="791">
        <v>102.2238</v>
      </c>
      <c r="H22" s="792">
        <f t="shared" ref="H22:H23" si="8">+G22*F22</f>
        <v>44.160681599999997</v>
      </c>
      <c r="I22" s="790">
        <v>4.2</v>
      </c>
      <c r="J22" s="791">
        <v>13.05</v>
      </c>
      <c r="K22" s="792">
        <f t="shared" si="2"/>
        <v>54.81</v>
      </c>
      <c r="L22" s="793">
        <f t="shared" si="3"/>
        <v>98.970681600000006</v>
      </c>
    </row>
    <row r="23" spans="2:12" ht="26.25" customHeight="1">
      <c r="B23" s="789">
        <v>45156</v>
      </c>
      <c r="C23" s="790"/>
      <c r="D23" s="791"/>
      <c r="E23" s="792"/>
      <c r="F23" s="791">
        <v>8.3552000000000001E-2</v>
      </c>
      <c r="G23" s="791">
        <v>102.0663</v>
      </c>
      <c r="H23" s="792">
        <f t="shared" si="8"/>
        <v>8.5278434975999993</v>
      </c>
      <c r="I23" s="790"/>
      <c r="J23" s="791"/>
      <c r="K23" s="792">
        <f t="shared" si="2"/>
        <v>0</v>
      </c>
      <c r="L23" s="793">
        <f t="shared" si="3"/>
        <v>8.5278434975999993</v>
      </c>
    </row>
    <row r="24" spans="2:12" ht="26.25" customHeight="1">
      <c r="B24" s="789">
        <v>45167</v>
      </c>
      <c r="C24" s="790"/>
      <c r="D24" s="791"/>
      <c r="E24" s="792">
        <f t="shared" si="0"/>
        <v>0</v>
      </c>
      <c r="F24" s="791">
        <v>0.36633599999999999</v>
      </c>
      <c r="G24" s="791">
        <v>103.39660000000001</v>
      </c>
      <c r="H24" s="792">
        <f t="shared" si="1"/>
        <v>37.8778968576</v>
      </c>
      <c r="I24" s="790"/>
      <c r="J24" s="791"/>
      <c r="K24" s="792">
        <f t="shared" si="2"/>
        <v>0</v>
      </c>
      <c r="L24" s="793">
        <f t="shared" si="3"/>
        <v>37.8778968576</v>
      </c>
    </row>
    <row r="25" spans="2:12" ht="26.25" customHeight="1">
      <c r="B25" s="789">
        <v>45173</v>
      </c>
      <c r="C25" s="790"/>
      <c r="D25" s="791"/>
      <c r="E25" s="792">
        <f t="shared" si="0"/>
        <v>0</v>
      </c>
      <c r="F25" s="791">
        <v>8.6400000000000005E-2</v>
      </c>
      <c r="G25" s="791">
        <v>104.64879999999999</v>
      </c>
      <c r="H25" s="792">
        <f t="shared" si="1"/>
        <v>9.0416563199999995</v>
      </c>
      <c r="I25" s="790"/>
      <c r="J25" s="791"/>
      <c r="K25" s="792">
        <f t="shared" si="2"/>
        <v>0</v>
      </c>
      <c r="L25" s="793">
        <f t="shared" si="3"/>
        <v>9.0416563199999995</v>
      </c>
    </row>
    <row r="26" spans="2:12" ht="26.25" customHeight="1">
      <c r="B26" s="789">
        <v>45223</v>
      </c>
      <c r="C26" s="790"/>
      <c r="D26" s="791"/>
      <c r="E26" s="792">
        <f t="shared" si="0"/>
        <v>0</v>
      </c>
      <c r="F26" s="791"/>
      <c r="G26" s="791"/>
      <c r="H26" s="792">
        <f t="shared" si="1"/>
        <v>0</v>
      </c>
      <c r="I26" s="790">
        <v>4.5</v>
      </c>
      <c r="J26" s="791">
        <v>12.82</v>
      </c>
      <c r="K26" s="792">
        <f t="shared" si="2"/>
        <v>57.69</v>
      </c>
      <c r="L26" s="793">
        <f t="shared" si="3"/>
        <v>57.69</v>
      </c>
    </row>
    <row r="27" spans="2:12" ht="26.25" customHeight="1">
      <c r="B27" s="789">
        <v>45237</v>
      </c>
      <c r="C27" s="790"/>
      <c r="D27" s="791"/>
      <c r="E27" s="792">
        <f t="shared" si="0"/>
        <v>0</v>
      </c>
      <c r="F27" s="791"/>
      <c r="G27" s="791"/>
      <c r="H27" s="792">
        <f t="shared" si="1"/>
        <v>0</v>
      </c>
      <c r="I27" s="790">
        <v>5</v>
      </c>
      <c r="J27" s="791">
        <v>12.69</v>
      </c>
      <c r="K27" s="792">
        <f t="shared" si="2"/>
        <v>63.449999999999996</v>
      </c>
      <c r="L27" s="793">
        <f t="shared" si="3"/>
        <v>63.449999999999996</v>
      </c>
    </row>
    <row r="28" spans="2:12" ht="26.25" customHeight="1">
      <c r="B28" s="789">
        <v>45239</v>
      </c>
      <c r="C28" s="790"/>
      <c r="D28" s="791"/>
      <c r="E28" s="792">
        <f t="shared" si="0"/>
        <v>0</v>
      </c>
      <c r="F28" s="791"/>
      <c r="G28" s="791"/>
      <c r="H28" s="792">
        <f t="shared" si="1"/>
        <v>0</v>
      </c>
      <c r="I28" s="790">
        <v>7</v>
      </c>
      <c r="J28" s="791">
        <v>12.67</v>
      </c>
      <c r="K28" s="792">
        <f t="shared" si="2"/>
        <v>88.69</v>
      </c>
      <c r="L28" s="793">
        <f t="shared" si="3"/>
        <v>88.69</v>
      </c>
    </row>
    <row r="29" spans="2:12" ht="26.25" customHeight="1">
      <c r="B29" s="789">
        <v>45307</v>
      </c>
      <c r="C29" s="790"/>
      <c r="D29" s="791"/>
      <c r="E29" s="792">
        <f t="shared" si="0"/>
        <v>0</v>
      </c>
      <c r="F29" s="791"/>
      <c r="G29" s="791"/>
      <c r="H29" s="792">
        <f t="shared" si="1"/>
        <v>0</v>
      </c>
      <c r="I29" s="790">
        <v>2</v>
      </c>
      <c r="J29" s="791">
        <v>12.19</v>
      </c>
      <c r="K29" s="792">
        <f t="shared" si="2"/>
        <v>24.38</v>
      </c>
      <c r="L29" s="793">
        <f t="shared" si="3"/>
        <v>24.38</v>
      </c>
    </row>
    <row r="30" spans="2:12" ht="26.25" customHeight="1">
      <c r="B30" s="789">
        <v>45315</v>
      </c>
      <c r="C30" s="790"/>
      <c r="D30" s="791"/>
      <c r="E30" s="792">
        <f t="shared" si="0"/>
        <v>0</v>
      </c>
      <c r="F30" s="791"/>
      <c r="G30" s="791"/>
      <c r="H30" s="792">
        <f t="shared" si="1"/>
        <v>0</v>
      </c>
      <c r="I30" s="790">
        <v>15.5</v>
      </c>
      <c r="J30" s="791">
        <v>12.34</v>
      </c>
      <c r="K30" s="792">
        <f t="shared" si="2"/>
        <v>191.27</v>
      </c>
      <c r="L30" s="793">
        <f t="shared" si="3"/>
        <v>191.27</v>
      </c>
    </row>
    <row r="31" spans="2:12" ht="26.25" customHeight="1">
      <c r="B31" s="789">
        <v>45320</v>
      </c>
      <c r="C31" s="790"/>
      <c r="D31" s="791"/>
      <c r="E31" s="792">
        <f t="shared" si="0"/>
        <v>0</v>
      </c>
      <c r="F31" s="791"/>
      <c r="G31" s="791"/>
      <c r="H31" s="792">
        <f t="shared" si="1"/>
        <v>0</v>
      </c>
      <c r="I31" s="790">
        <v>8.9</v>
      </c>
      <c r="J31" s="791">
        <v>12.5</v>
      </c>
      <c r="K31" s="792">
        <f t="shared" si="2"/>
        <v>111.25</v>
      </c>
      <c r="L31" s="793">
        <f t="shared" si="3"/>
        <v>111.25</v>
      </c>
    </row>
    <row r="32" spans="2:12" ht="26.25" customHeight="1">
      <c r="B32" s="789">
        <v>45327</v>
      </c>
      <c r="C32" s="790"/>
      <c r="D32" s="791"/>
      <c r="E32" s="792"/>
      <c r="F32" s="791"/>
      <c r="G32" s="791"/>
      <c r="H32" s="792"/>
      <c r="I32" s="790">
        <f>15.3+15.7</f>
        <v>31</v>
      </c>
      <c r="J32" s="791">
        <v>12.69</v>
      </c>
      <c r="K32" s="792">
        <f t="shared" si="2"/>
        <v>393.39</v>
      </c>
      <c r="L32" s="793">
        <f t="shared" si="3"/>
        <v>393.39</v>
      </c>
    </row>
    <row r="33" spans="2:12" ht="26.25" customHeight="1">
      <c r="B33" s="789">
        <v>45376</v>
      </c>
      <c r="C33" s="790">
        <v>0.13100000000000001</v>
      </c>
      <c r="D33" s="791">
        <v>92.953800000000001</v>
      </c>
      <c r="E33" s="792">
        <f>C33*D33</f>
        <v>12.176947800000001</v>
      </c>
      <c r="F33" s="791"/>
      <c r="G33" s="791"/>
      <c r="H33" s="792"/>
      <c r="I33" s="790"/>
      <c r="J33" s="791"/>
      <c r="K33" s="792"/>
      <c r="L33" s="793">
        <f t="shared" si="3"/>
        <v>12.176947800000001</v>
      </c>
    </row>
    <row r="34" spans="2:12" ht="26.25" customHeight="1">
      <c r="B34" s="789">
        <v>45384</v>
      </c>
      <c r="C34" s="790"/>
      <c r="D34" s="791"/>
      <c r="E34" s="792"/>
      <c r="F34" s="791"/>
      <c r="G34" s="791"/>
      <c r="H34" s="792"/>
      <c r="I34" s="790">
        <v>7.7</v>
      </c>
      <c r="J34" s="791">
        <v>12.78</v>
      </c>
      <c r="K34" s="792">
        <f t="shared" si="2"/>
        <v>98.405999999999992</v>
      </c>
      <c r="L34" s="793">
        <f t="shared" si="3"/>
        <v>98.405999999999992</v>
      </c>
    </row>
    <row r="35" spans="2:12" ht="26.25" customHeight="1">
      <c r="B35" s="789">
        <v>45385</v>
      </c>
      <c r="C35" s="790"/>
      <c r="D35" s="791"/>
      <c r="E35" s="792"/>
      <c r="F35" s="791"/>
      <c r="G35" s="791"/>
      <c r="H35" s="792"/>
      <c r="I35" s="790">
        <v>0.47504950000000001</v>
      </c>
      <c r="J35" s="791">
        <v>12.762600000000001</v>
      </c>
      <c r="K35" s="792">
        <f t="shared" si="2"/>
        <v>6.0628667487000003</v>
      </c>
      <c r="L35" s="793">
        <f t="shared" si="3"/>
        <v>6.0628667487000003</v>
      </c>
    </row>
    <row r="36" spans="2:12" ht="26.25" customHeight="1">
      <c r="B36" s="789">
        <v>45392</v>
      </c>
      <c r="C36" s="790"/>
      <c r="D36" s="791"/>
      <c r="E36" s="792"/>
      <c r="F36" s="791"/>
      <c r="G36" s="791"/>
      <c r="H36" s="792"/>
      <c r="I36" s="790">
        <v>0.56699999999999995</v>
      </c>
      <c r="J36" s="791">
        <v>12.82</v>
      </c>
      <c r="K36" s="792">
        <f t="shared" si="2"/>
        <v>7.2689399999999997</v>
      </c>
      <c r="L36" s="793">
        <f t="shared" si="3"/>
        <v>7.2689399999999997</v>
      </c>
    </row>
    <row r="37" spans="2:12" ht="26.25" customHeight="1">
      <c r="B37" s="789">
        <v>45433</v>
      </c>
      <c r="C37" s="790"/>
      <c r="D37" s="791"/>
      <c r="E37" s="792"/>
      <c r="F37" s="791"/>
      <c r="G37" s="791"/>
      <c r="H37" s="792"/>
      <c r="I37" s="790">
        <v>7.6296000000000003E-2</v>
      </c>
      <c r="J37" s="791">
        <v>12.540800000000001</v>
      </c>
      <c r="K37" s="792">
        <f t="shared" si="2"/>
        <v>0.95681287680000005</v>
      </c>
      <c r="L37" s="793">
        <f t="shared" si="3"/>
        <v>0.95681287680000005</v>
      </c>
    </row>
    <row r="38" spans="2:12" ht="26.25" customHeight="1">
      <c r="B38" s="789">
        <v>45610</v>
      </c>
      <c r="C38" s="790"/>
      <c r="D38" s="791"/>
      <c r="E38" s="792"/>
      <c r="F38" s="791"/>
      <c r="G38" s="791"/>
      <c r="H38" s="792"/>
      <c r="I38" s="790">
        <v>0.32</v>
      </c>
      <c r="J38" s="791">
        <v>14.15</v>
      </c>
      <c r="K38" s="792">
        <f t="shared" ref="K38:K39" si="9">+J38*I38</f>
        <v>4.5280000000000005</v>
      </c>
      <c r="L38" s="793">
        <f t="shared" ref="L38:L39" si="10">+E38+H38+K38</f>
        <v>4.5280000000000005</v>
      </c>
    </row>
    <row r="39" spans="2:12" ht="26.25" customHeight="1">
      <c r="B39" s="789">
        <v>45625</v>
      </c>
      <c r="C39" s="790"/>
      <c r="D39" s="791"/>
      <c r="E39" s="792"/>
      <c r="F39" s="791"/>
      <c r="G39" s="791"/>
      <c r="H39" s="792"/>
      <c r="I39" s="790">
        <v>2.3377499999999999E-2</v>
      </c>
      <c r="J39" s="791">
        <v>14.672499999999999</v>
      </c>
      <c r="K39" s="792">
        <f t="shared" si="9"/>
        <v>0.34300636874999996</v>
      </c>
      <c r="L39" s="793">
        <f t="shared" si="10"/>
        <v>0.34300636874999996</v>
      </c>
    </row>
    <row r="40" spans="2:12" ht="26.25" customHeight="1">
      <c r="B40" s="789">
        <v>45626</v>
      </c>
      <c r="C40" s="790"/>
      <c r="D40" s="791"/>
      <c r="E40" s="792"/>
      <c r="F40" s="791"/>
      <c r="G40" s="791"/>
      <c r="H40" s="792"/>
      <c r="I40" s="790">
        <v>0.25007552</v>
      </c>
      <c r="J40" s="791">
        <v>13.7821</v>
      </c>
      <c r="K40" s="792">
        <f t="shared" ref="K40" si="11">+J40*I40</f>
        <v>3.4465658241920001</v>
      </c>
      <c r="L40" s="793">
        <f t="shared" ref="L40" si="12">+E40+H40+K40</f>
        <v>3.4465658241920001</v>
      </c>
    </row>
    <row r="41" spans="2:12" ht="26.25" customHeight="1">
      <c r="B41" s="789">
        <v>45653</v>
      </c>
      <c r="C41" s="790"/>
      <c r="D41" s="791"/>
      <c r="E41" s="792"/>
      <c r="F41" s="791"/>
      <c r="G41" s="791"/>
      <c r="H41" s="792"/>
      <c r="I41" s="790">
        <v>0.57718999999999998</v>
      </c>
      <c r="J41" s="791">
        <v>13.568</v>
      </c>
      <c r="K41" s="792">
        <f t="shared" ref="K41:K43" si="13">+J41*I41</f>
        <v>7.8313139199999995</v>
      </c>
      <c r="L41" s="793">
        <f t="shared" ref="L41:L43" si="14">+E41+H41+K41</f>
        <v>7.8313139199999995</v>
      </c>
    </row>
    <row r="42" spans="2:12" ht="26.25" customHeight="1">
      <c r="B42" s="789">
        <v>45666</v>
      </c>
      <c r="C42" s="790"/>
      <c r="D42" s="791"/>
      <c r="E42" s="792"/>
      <c r="F42" s="791"/>
      <c r="G42" s="791"/>
      <c r="H42" s="792"/>
      <c r="I42" s="790">
        <v>0.416051</v>
      </c>
      <c r="J42" s="791">
        <v>13.6462</v>
      </c>
      <c r="K42" s="792">
        <f t="shared" si="13"/>
        <v>5.6775151562000001</v>
      </c>
      <c r="L42" s="793">
        <f t="shared" si="14"/>
        <v>5.6775151562000001</v>
      </c>
    </row>
    <row r="43" spans="2:12" ht="26.25" customHeight="1">
      <c r="B43" s="789">
        <v>45694</v>
      </c>
      <c r="C43" s="790"/>
      <c r="D43" s="791"/>
      <c r="E43" s="792"/>
      <c r="F43" s="791"/>
      <c r="G43" s="791"/>
      <c r="H43" s="792"/>
      <c r="I43" s="790">
        <v>0.79245076999999997</v>
      </c>
      <c r="J43" s="791">
        <v>13.137499999999999</v>
      </c>
      <c r="K43" s="792">
        <f t="shared" si="13"/>
        <v>10.410821990874998</v>
      </c>
      <c r="L43" s="793">
        <f t="shared" si="14"/>
        <v>10.410821990874998</v>
      </c>
    </row>
    <row r="44" spans="2:12" ht="26.25" customHeight="1">
      <c r="B44" s="789">
        <v>45702</v>
      </c>
      <c r="C44" s="790"/>
      <c r="D44" s="791"/>
      <c r="E44" s="792"/>
      <c r="F44" s="791"/>
      <c r="G44" s="791"/>
      <c r="H44" s="792"/>
      <c r="I44" s="790">
        <v>1.1718658400000002</v>
      </c>
      <c r="J44" s="791">
        <v>12.335599999999999</v>
      </c>
      <c r="K44" s="792">
        <f t="shared" ref="K44" si="15">+J44*I44</f>
        <v>14.455668255904001</v>
      </c>
      <c r="L44" s="793">
        <f t="shared" ref="L44" si="16">+E44+H44+K44</f>
        <v>14.455668255904001</v>
      </c>
    </row>
    <row r="45" spans="2:12" ht="26.25" customHeight="1">
      <c r="B45" s="789">
        <v>45706</v>
      </c>
      <c r="C45" s="790"/>
      <c r="D45" s="791"/>
      <c r="E45" s="792"/>
      <c r="F45" s="791"/>
      <c r="G45" s="791"/>
      <c r="H45" s="792"/>
      <c r="I45" s="790">
        <v>0.08</v>
      </c>
      <c r="J45" s="1271">
        <v>12.493499999999999</v>
      </c>
      <c r="K45" s="792">
        <f t="shared" ref="K45:K50" si="17">+J45*I45</f>
        <v>0.99947999999999992</v>
      </c>
      <c r="L45" s="793">
        <f t="shared" ref="L45" si="18">+E45+H45+K45</f>
        <v>0.99947999999999992</v>
      </c>
    </row>
    <row r="46" spans="2:12" ht="26.25" customHeight="1">
      <c r="B46" s="789">
        <v>45727</v>
      </c>
      <c r="C46" s="790"/>
      <c r="D46" s="791"/>
      <c r="E46" s="792"/>
      <c r="F46" s="791"/>
      <c r="G46" s="791"/>
      <c r="H46" s="792"/>
      <c r="I46" s="790">
        <v>1.02684288</v>
      </c>
      <c r="J46" s="1271">
        <v>12.289199999999999</v>
      </c>
      <c r="K46" s="792">
        <f t="shared" si="17"/>
        <v>12.619077520895999</v>
      </c>
      <c r="L46" s="793">
        <f t="shared" ref="L46" si="19">+E46+H46+K46</f>
        <v>12.619077520895999</v>
      </c>
    </row>
    <row r="47" spans="2:12" ht="26.25" customHeight="1">
      <c r="B47" s="789">
        <v>45748</v>
      </c>
      <c r="C47" s="790"/>
      <c r="D47" s="791"/>
      <c r="E47" s="792"/>
      <c r="F47" s="791"/>
      <c r="G47" s="791"/>
      <c r="H47" s="792"/>
      <c r="I47" s="790">
        <v>1.1000000000000001</v>
      </c>
      <c r="J47" s="1271">
        <v>11.4575</v>
      </c>
      <c r="K47" s="792">
        <f t="shared" si="17"/>
        <v>12.603250000000001</v>
      </c>
      <c r="L47" s="793">
        <f t="shared" ref="L47" si="20">+E47+H47+K47</f>
        <v>12.603250000000001</v>
      </c>
    </row>
    <row r="48" spans="2:12" ht="26.25" customHeight="1">
      <c r="B48" s="789">
        <v>45761</v>
      </c>
      <c r="C48" s="790"/>
      <c r="D48" s="791"/>
      <c r="E48" s="792"/>
      <c r="F48" s="791"/>
      <c r="G48" s="791"/>
      <c r="H48" s="792"/>
      <c r="I48" s="790">
        <v>0.21221999999999999</v>
      </c>
      <c r="J48" s="1271">
        <v>11.548299999999999</v>
      </c>
      <c r="K48" s="792">
        <f t="shared" si="17"/>
        <v>2.4507802259999996</v>
      </c>
      <c r="L48" s="793">
        <f t="shared" ref="L48" si="21">+E48+H48+K48</f>
        <v>2.4507802259999996</v>
      </c>
    </row>
    <row r="49" spans="2:12" ht="26.25" customHeight="1">
      <c r="B49" s="789">
        <v>45783</v>
      </c>
      <c r="C49" s="790"/>
      <c r="D49" s="791"/>
      <c r="E49" s="792"/>
      <c r="F49" s="791"/>
      <c r="G49" s="791"/>
      <c r="H49" s="792"/>
      <c r="I49" s="790">
        <v>1.48</v>
      </c>
      <c r="J49" s="1271">
        <v>11.31</v>
      </c>
      <c r="K49" s="792">
        <f t="shared" si="17"/>
        <v>16.738800000000001</v>
      </c>
      <c r="L49" s="793">
        <f t="shared" ref="L49" si="22">+E49+H49+K49</f>
        <v>16.738800000000001</v>
      </c>
    </row>
    <row r="50" spans="2:12" ht="26.25" customHeight="1">
      <c r="B50" s="789">
        <v>45784</v>
      </c>
      <c r="C50" s="790"/>
      <c r="D50" s="791"/>
      <c r="E50" s="792"/>
      <c r="F50" s="791"/>
      <c r="G50" s="791"/>
      <c r="H50" s="792"/>
      <c r="I50" s="790">
        <v>0.50233399999999995</v>
      </c>
      <c r="J50" s="1271">
        <v>11.197800000000001</v>
      </c>
      <c r="K50" s="792">
        <f t="shared" si="17"/>
        <v>5.6250356651999995</v>
      </c>
      <c r="L50" s="793">
        <f t="shared" ref="L50" si="23">+E50+H50+K50</f>
        <v>5.6250356651999995</v>
      </c>
    </row>
    <row r="51" spans="2:12" ht="26.25" customHeight="1">
      <c r="B51" s="789">
        <v>45840</v>
      </c>
      <c r="C51" s="790"/>
      <c r="D51" s="791"/>
      <c r="E51" s="792"/>
      <c r="F51" s="791"/>
      <c r="G51" s="791"/>
      <c r="H51" s="792"/>
      <c r="I51" s="790">
        <v>5.292525E-2</v>
      </c>
      <c r="J51" s="1271">
        <v>10.9407</v>
      </c>
      <c r="K51" s="792">
        <f t="shared" ref="K51" si="24">+J51*I51</f>
        <v>0.57903928267499993</v>
      </c>
      <c r="L51" s="793">
        <f t="shared" ref="L51" si="25">+E51+H51+K51</f>
        <v>0.57903928267499993</v>
      </c>
    </row>
    <row r="52" spans="2:12" ht="26.25" customHeight="1">
      <c r="B52" s="789">
        <v>45849</v>
      </c>
      <c r="C52" s="790"/>
      <c r="D52" s="791"/>
      <c r="E52" s="792"/>
      <c r="F52" s="791"/>
      <c r="G52" s="791"/>
      <c r="H52" s="792"/>
      <c r="I52" s="790">
        <v>9.4316999999999998E-2</v>
      </c>
      <c r="J52" s="1271">
        <v>11.21</v>
      </c>
      <c r="K52" s="792">
        <f t="shared" ref="K52" si="26">+J52*I52</f>
        <v>1.0572935700000001</v>
      </c>
      <c r="L52" s="793">
        <f t="shared" ref="L52" si="27">+E52+H52+K52</f>
        <v>1.0572935700000001</v>
      </c>
    </row>
    <row r="53" spans="2:12" ht="26.25" customHeight="1">
      <c r="B53" s="789">
        <v>45863</v>
      </c>
      <c r="C53" s="790"/>
      <c r="D53" s="791"/>
      <c r="E53" s="792"/>
      <c r="F53" s="791"/>
      <c r="G53" s="791"/>
      <c r="H53" s="792"/>
      <c r="I53" s="790">
        <v>0.3805</v>
      </c>
      <c r="J53" s="1271">
        <v>10.986700000000001</v>
      </c>
      <c r="K53" s="792">
        <f t="shared" ref="K53" si="28">+J53*I53</f>
        <v>4.1804393500000003</v>
      </c>
      <c r="L53" s="793">
        <f t="shared" ref="L53" si="29">+E53+H53+K53</f>
        <v>4.1804393500000003</v>
      </c>
    </row>
    <row r="54" spans="2:12" ht="26.25" customHeight="1">
      <c r="B54" s="789">
        <v>45868</v>
      </c>
      <c r="C54" s="790"/>
      <c r="D54" s="791"/>
      <c r="E54" s="792"/>
      <c r="F54" s="791"/>
      <c r="G54" s="791"/>
      <c r="H54" s="792"/>
      <c r="I54" s="790">
        <v>1.1224295500000001</v>
      </c>
      <c r="J54" s="1271">
        <v>11.79</v>
      </c>
      <c r="K54" s="792">
        <f t="shared" ref="K54" si="30">+J54*I54</f>
        <v>13.233444394500001</v>
      </c>
      <c r="L54" s="793">
        <f t="shared" ref="L54" si="31">+E54+H54+K54</f>
        <v>13.233444394500001</v>
      </c>
    </row>
    <row r="55" spans="2:12" ht="26.25" customHeight="1">
      <c r="B55" s="789">
        <v>45869</v>
      </c>
      <c r="C55" s="790"/>
      <c r="D55" s="791"/>
      <c r="E55" s="792"/>
      <c r="F55" s="791"/>
      <c r="G55" s="791"/>
      <c r="H55" s="792"/>
      <c r="I55" s="790">
        <v>1.8134000000000001E-2</v>
      </c>
      <c r="J55" s="1271">
        <v>11.146699999999999</v>
      </c>
      <c r="K55" s="792">
        <f t="shared" ref="K55" si="32">+J55*I55</f>
        <v>0.20213425779999999</v>
      </c>
      <c r="L55" s="793">
        <f t="shared" ref="L55" si="33">+E55+H55+K55</f>
        <v>0.20213425779999999</v>
      </c>
    </row>
  </sheetData>
  <conditionalFormatting sqref="A1:XFD104857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60A9-8759-4E71-8E85-01C1AAA433F1}">
  <sheetPr>
    <pageSetUpPr fitToPage="1"/>
  </sheetPr>
  <dimension ref="B1:P44"/>
  <sheetViews>
    <sheetView showGridLines="0" showZeros="0" zoomScale="50" zoomScaleNormal="50" workbookViewId="0">
      <selection activeCell="E23" sqref="E23"/>
    </sheetView>
  </sheetViews>
  <sheetFormatPr defaultColWidth="9.21875" defaultRowHeight="14.4"/>
  <cols>
    <col min="1" max="1" width="4.21875" style="94" customWidth="1"/>
    <col min="2" max="2" width="15.21875" style="96" bestFit="1" customWidth="1"/>
    <col min="3" max="3" width="9.21875" style="94"/>
    <col min="4" max="4" width="13.77734375" style="94" customWidth="1"/>
    <col min="5" max="5" width="18.6640625" style="94" bestFit="1" customWidth="1"/>
    <col min="6" max="6" width="13.77734375" style="94" customWidth="1"/>
    <col min="7" max="7" width="12.21875" style="94" customWidth="1"/>
    <col min="8" max="10" width="13.77734375" style="94" customWidth="1"/>
    <col min="11" max="11" width="14.21875" style="94" customWidth="1"/>
    <col min="12" max="14" width="13.77734375" style="94" customWidth="1"/>
    <col min="15" max="15" width="14.77734375" style="94" customWidth="1"/>
    <col min="16" max="16" width="24.21875" style="94" customWidth="1"/>
    <col min="17" max="16384" width="9.21875" style="94"/>
  </cols>
  <sheetData>
    <row r="1" spans="2:16" ht="23.4">
      <c r="B1" s="95" t="s">
        <v>109</v>
      </c>
    </row>
    <row r="2" spans="2:16" ht="23.4">
      <c r="B2" s="651" t="s">
        <v>727</v>
      </c>
    </row>
    <row r="3" spans="2:16" ht="18.600000000000001" thickBot="1">
      <c r="O3" s="97" t="s">
        <v>110</v>
      </c>
    </row>
    <row r="4" spans="2:16" s="98" customFormat="1" ht="39.75" customHeight="1" thickBot="1">
      <c r="B4" s="1334" t="s">
        <v>87</v>
      </c>
      <c r="C4" s="1335"/>
      <c r="D4" s="1338" t="s">
        <v>111</v>
      </c>
      <c r="E4" s="1339"/>
      <c r="F4" s="1339"/>
      <c r="G4" s="1340"/>
      <c r="H4" s="1338" t="s">
        <v>98</v>
      </c>
      <c r="I4" s="1339"/>
      <c r="J4" s="1339"/>
      <c r="K4" s="1340"/>
      <c r="L4" s="1338" t="s">
        <v>563</v>
      </c>
      <c r="M4" s="1339"/>
      <c r="N4" s="1339"/>
      <c r="O4" s="1340"/>
    </row>
    <row r="5" spans="2:16" s="98" customFormat="1" ht="39.75" customHeight="1" thickBot="1">
      <c r="B5" s="1336"/>
      <c r="C5" s="1337"/>
      <c r="D5" s="977" t="s">
        <v>90</v>
      </c>
      <c r="E5" s="978" t="s">
        <v>91</v>
      </c>
      <c r="F5" s="978" t="s">
        <v>99</v>
      </c>
      <c r="G5" s="979" t="s">
        <v>112</v>
      </c>
      <c r="H5" s="977" t="s">
        <v>90</v>
      </c>
      <c r="I5" s="978" t="s">
        <v>91</v>
      </c>
      <c r="J5" s="978" t="s">
        <v>99</v>
      </c>
      <c r="K5" s="979" t="s">
        <v>112</v>
      </c>
      <c r="L5" s="980" t="s">
        <v>90</v>
      </c>
      <c r="M5" s="981" t="s">
        <v>91</v>
      </c>
      <c r="N5" s="981" t="s">
        <v>99</v>
      </c>
      <c r="O5" s="979" t="s">
        <v>112</v>
      </c>
    </row>
    <row r="6" spans="2:16" s="98" customFormat="1" ht="39.75" customHeight="1">
      <c r="B6" s="485" t="s">
        <v>21</v>
      </c>
      <c r="C6" s="105" t="s">
        <v>96</v>
      </c>
      <c r="D6" s="1127">
        <f t="shared" ref="D6:F17" si="0">H6+L6</f>
        <v>500</v>
      </c>
      <c r="E6" s="1128">
        <f>I6+M6</f>
        <v>500</v>
      </c>
      <c r="F6" s="1128">
        <f t="shared" ref="F6" si="1">J6+N6</f>
        <v>0</v>
      </c>
      <c r="G6" s="106">
        <f t="shared" ref="G6:G19" si="2">((I6*K6)+(M6*O6))/E6</f>
        <v>0.11</v>
      </c>
      <c r="H6" s="1127">
        <f>SUMIFS('Bank loan table'!$F:$F,'Bank loan table'!$B:$B,$B$6,'Bank loan table'!$E:$E,"Yes",'Bank loan table'!$A:$A,$C$6)</f>
        <v>500</v>
      </c>
      <c r="I6" s="1128">
        <f>SUMIFS('Bank loan table'!$G:$G,'Bank loan table'!$B:$B,$B$6,'Bank loan table'!$E:$E,"Yes",'Bank loan table'!$A:$A,$C$6)</f>
        <v>500</v>
      </c>
      <c r="J6" s="1128">
        <f>H6-I6</f>
        <v>0</v>
      </c>
      <c r="K6" s="106">
        <f>IF(I6=0,0,SUMIFS('Bank loan table'!$L:$L,'Bank loan table'!$B:$B,$B$6,'Bank loan table'!$E:$E,"Yes",'Bank loan table'!$A:$A,$C$6)/I6)</f>
        <v>0.11</v>
      </c>
      <c r="L6" s="1127">
        <f>SUMIFS('Bank loan table'!$F:$F,'Bank loan table'!$B:$B,$B$6,'Bank loan table'!$E:$E,"No",'Bank loan table'!$A:$A,$C$6)</f>
        <v>0</v>
      </c>
      <c r="M6" s="1128">
        <f>SUMIFS('Bank loan table'!$G:$G,'Bank loan table'!$B:$B,$B$6,'Bank loan table'!$E:$E,"No",'Bank loan table'!$A:$A,$C$6)</f>
        <v>0</v>
      </c>
      <c r="N6" s="1128">
        <f>L6-M6</f>
        <v>0</v>
      </c>
      <c r="O6" s="106">
        <f>IF(M6=0,0,SUMIFS('Bank loan table'!$L:$L,'Bank loan table'!$B:$B,$B$6,'Bank loan table'!$E:$E,"No",'Bank loan table'!$A:$A,$C$6)/M6)</f>
        <v>0</v>
      </c>
    </row>
    <row r="7" spans="2:16" s="98" customFormat="1" ht="39.75" customHeight="1">
      <c r="B7" s="104"/>
      <c r="C7" s="105" t="s">
        <v>101</v>
      </c>
      <c r="D7" s="1127">
        <f t="shared" si="0"/>
        <v>771.08838506000006</v>
      </c>
      <c r="E7" s="1128">
        <f>I7+M7</f>
        <v>771.08838506000006</v>
      </c>
      <c r="F7" s="1128">
        <f t="shared" si="0"/>
        <v>0</v>
      </c>
      <c r="G7" s="106">
        <f t="shared" si="2"/>
        <v>0.09</v>
      </c>
      <c r="H7" s="1127">
        <f>SUMIFS('Bank loan table'!$F:$F,'Bank loan table'!$B:$B,$B$6,'Bank loan table'!$E:$E,"Yes",'Bank loan table'!$A:$A,$C$7)</f>
        <v>771.08838506000006</v>
      </c>
      <c r="I7" s="1128">
        <f>SUMIFS('Bank loan table'!$G:$G,'Bank loan table'!$B:$B,$B$6,'Bank loan table'!$E:$E,"Yes",'Bank loan table'!$A:$A,$C$7)</f>
        <v>771.08838506000006</v>
      </c>
      <c r="J7" s="1128">
        <f>H7-I7</f>
        <v>0</v>
      </c>
      <c r="K7" s="106">
        <f>IF(I7=0,0,SUMIFS('Bank loan table'!$L:$L,'Bank loan table'!$B:$B,$B$6,'Bank loan table'!$E:$E,"Yes",'Bank loan table'!$A:$A,$C$7)/I7)</f>
        <v>0.09</v>
      </c>
      <c r="L7" s="1127">
        <f>SUMIFS('Bank loan table'!$F:$F,'Bank loan table'!$B:$B,$B$6,'Bank loan table'!$E:$E,"No",'Bank loan table'!$A:$A,$C$7)</f>
        <v>0</v>
      </c>
      <c r="M7" s="1128">
        <f>SUMIFS('Bank loan table'!$G:$G,'Bank loan table'!$B:$B,$B$6,'Bank loan table'!$E:$E,"No",'Bank loan table'!$A:$A,$C$7)</f>
        <v>0</v>
      </c>
      <c r="N7" s="1128">
        <f>L7-M7</f>
        <v>0</v>
      </c>
      <c r="O7" s="106">
        <f>IF(M7=0,0,SUMIFS('Bank loan table'!$L:$L,'Bank loan table'!$B:$B,$B$6,'Bank loan table'!$E:$E,"No",'Bank loan table'!$A:$A,$C$7)/M7)</f>
        <v>0</v>
      </c>
      <c r="P7" s="103"/>
    </row>
    <row r="8" spans="2:16" s="98" customFormat="1" ht="39.75" customHeight="1">
      <c r="B8" s="99"/>
      <c r="C8" s="100" t="s">
        <v>113</v>
      </c>
      <c r="D8" s="1129">
        <f t="shared" si="0"/>
        <v>1271.0883850600001</v>
      </c>
      <c r="E8" s="1130">
        <f t="shared" si="0"/>
        <v>1271.0883850600001</v>
      </c>
      <c r="F8" s="1130">
        <f t="shared" si="0"/>
        <v>0</v>
      </c>
      <c r="G8" s="102">
        <f t="shared" si="2"/>
        <v>9.7867273525222218E-2</v>
      </c>
      <c r="H8" s="1129">
        <f>SUM(H6:H7)</f>
        <v>1271.0883850600001</v>
      </c>
      <c r="I8" s="1130">
        <f>SUM(I6:I7)</f>
        <v>1271.0883850600001</v>
      </c>
      <c r="J8" s="1130">
        <f>SUM(J6:J7)</f>
        <v>0</v>
      </c>
      <c r="K8" s="102">
        <f t="array" ref="K8">IF(I8=0,0,SUM(I6:I7*K6:K7)/I8)</f>
        <v>9.7867273525222218E-2</v>
      </c>
      <c r="L8" s="1129">
        <f>SUM(L6:L7)</f>
        <v>0</v>
      </c>
      <c r="M8" s="1130">
        <f>SUM(M6:M7)</f>
        <v>0</v>
      </c>
      <c r="N8" s="1130">
        <f>SUM(N6:N7)</f>
        <v>0</v>
      </c>
      <c r="O8" s="102">
        <f t="array" ref="O8">IF(M8=0,0,SUM(M6:M7*O6:O7)/M8)</f>
        <v>0</v>
      </c>
    </row>
    <row r="9" spans="2:16" s="98" customFormat="1" ht="39.75" customHeight="1">
      <c r="B9" s="104" t="s">
        <v>41</v>
      </c>
      <c r="C9" s="105" t="s">
        <v>96</v>
      </c>
      <c r="D9" s="1127">
        <f t="shared" si="0"/>
        <v>7048</v>
      </c>
      <c r="E9" s="1128">
        <f>I9+M9</f>
        <v>5724.4705796200005</v>
      </c>
      <c r="F9" s="1128">
        <f t="shared" si="0"/>
        <v>1323.5294203799999</v>
      </c>
      <c r="G9" s="106">
        <f t="shared" si="2"/>
        <v>0.20286813192303799</v>
      </c>
      <c r="H9" s="1127">
        <f>SUMIFS('Bank loan table'!$F:$F,'Bank loan table'!$B:$B,$B$9,'Bank loan table'!$E:$E,"Yes",'Bank loan table'!$A:$A,$C$6)</f>
        <v>1178</v>
      </c>
      <c r="I9" s="1128">
        <f>SUMIFS('Bank loan table'!$G:$G,'Bank loan table'!$B:$B,$B$9,'Bank loan table'!$E:$E,"Yes",'Bank loan table'!$A:$A,$C$6)</f>
        <v>726.74999996999998</v>
      </c>
      <c r="J9" s="1128">
        <f>H9-I9</f>
        <v>451.25000003000002</v>
      </c>
      <c r="K9" s="106">
        <f>IF(I9=0,0,SUMIFS('Bank loan table'!$L:$L,'Bank loan table'!$B:$B,$B$9,'Bank loan table'!$E:$E,"Yes",'Bank loan table'!$A:$A,$C$6)/I9)</f>
        <v>9.8160990711585613E-2</v>
      </c>
      <c r="L9" s="1127">
        <f>SUMIFS('Bank loan table'!$F:$F,'Bank loan table'!$B:$B,$B$9,'Bank loan table'!$E:$E,"No",'Bank loan table'!$A:$A,$C$6)</f>
        <v>5870</v>
      </c>
      <c r="M9" s="1128">
        <f>SUMIFS('Bank loan table'!$G:$G,'Bank loan table'!$B:$B,$B$9,'Bank loan table'!$E:$E,"No",'Bank loan table'!$A:$A,$C$6)</f>
        <v>4997.7205796500002</v>
      </c>
      <c r="N9" s="1128">
        <f>L9-M9</f>
        <v>872.27942034999978</v>
      </c>
      <c r="O9" s="106">
        <f>IF(M9=0,0,SUMIFS('Bank loan table'!$L:$L,'Bank loan table'!$B:$B,$B$9,'Bank loan table'!$E:$E,"No",'Bank loan table'!$A:$A,$C$6)/M9)</f>
        <v>0.2180942562450206</v>
      </c>
    </row>
    <row r="10" spans="2:16" s="98" customFormat="1" ht="39.75" customHeight="1">
      <c r="B10" s="104"/>
      <c r="C10" s="105" t="s">
        <v>101</v>
      </c>
      <c r="D10" s="1127">
        <f t="shared" si="0"/>
        <v>4498.8894150700007</v>
      </c>
      <c r="E10" s="1128">
        <f>I10+M10</f>
        <v>4494.9783570800009</v>
      </c>
      <c r="F10" s="1128">
        <f t="shared" si="0"/>
        <v>3.9110579900000175</v>
      </c>
      <c r="G10" s="106">
        <f t="shared" si="2"/>
        <v>0.11760031898572741</v>
      </c>
      <c r="H10" s="1127">
        <f>SUMIFS('Bank loan table'!$F:$F,'Bank loan table'!$B:$B,$B$9,'Bank loan table'!$E:$E,"Yes",'Bank loan table'!$A:$A,$C$7)</f>
        <v>3586.9530219700005</v>
      </c>
      <c r="I10" s="1128">
        <f>SUMIFS('Bank loan table'!$G:$G,'Bank loan table'!$B:$B,$B$9,'Bank loan table'!$E:$E,"Yes",'Bank loan table'!$A:$A,$C$7)</f>
        <v>3586.9530219700005</v>
      </c>
      <c r="J10" s="1128">
        <f>H10-I10</f>
        <v>0</v>
      </c>
      <c r="K10" s="106">
        <f>IF(I10=0,0,SUMIFS('Bank loan table'!$L:$L,'Bank loan table'!$B:$B,$B$9,'Bank loan table'!$E:$E,"Yes",'Bank loan table'!$A:$A,$C$7)/I10)</f>
        <v>8.7457913078384256E-2</v>
      </c>
      <c r="L10" s="1127">
        <f>SUMIFS('Bank loan table'!$F:$F,'Bank loan table'!$B:$B,$B$9,'Bank loan table'!$E:$E,"No",'Bank loan table'!$A:$A,$C$7)</f>
        <v>911.93639310000003</v>
      </c>
      <c r="M10" s="1128">
        <f>SUMIFS('Bank loan table'!$G:$G,'Bank loan table'!$B:$B,$B$9,'Bank loan table'!$E:$E,"No",'Bank loan table'!$A:$A,$C$7)</f>
        <v>908.02533511000001</v>
      </c>
      <c r="N10" s="1128">
        <f>L10-M10</f>
        <v>3.9110579900000175</v>
      </c>
      <c r="O10" s="106">
        <f>IF(M10=0,0,SUMIFS('Bank loan table'!$L:$L,'Bank loan table'!$B:$B,$B$9,'Bank loan table'!$E:$E,"No",'Bank loan table'!$A:$A,$C$7)/M10)</f>
        <v>0.23667121907872224</v>
      </c>
    </row>
    <row r="11" spans="2:16" s="98" customFormat="1" ht="39.75" customHeight="1">
      <c r="B11" s="99"/>
      <c r="C11" s="100" t="s">
        <v>113</v>
      </c>
      <c r="D11" s="1129">
        <f t="shared" si="0"/>
        <v>11546.88941507</v>
      </c>
      <c r="E11" s="1130">
        <f t="shared" si="0"/>
        <v>10219.448936700001</v>
      </c>
      <c r="F11" s="1130">
        <f t="shared" si="0"/>
        <v>1327.4404783699997</v>
      </c>
      <c r="G11" s="102">
        <f t="shared" si="2"/>
        <v>0.16536347036224328</v>
      </c>
      <c r="H11" s="1129">
        <f>SUM(H9:H10)</f>
        <v>4764.9530219700009</v>
      </c>
      <c r="I11" s="1130">
        <f>SUM(I9:I10)</f>
        <v>4313.7030219400003</v>
      </c>
      <c r="J11" s="1130">
        <f>SUM(J9:J10)</f>
        <v>451.25000003000002</v>
      </c>
      <c r="K11" s="102">
        <f t="array" ref="K11">IF(I11=0,0,SUM(I9:I10*K9:K10)/I11)</f>
        <v>8.9261111312023855E-2</v>
      </c>
      <c r="L11" s="1129">
        <f>SUM(L9:L10)</f>
        <v>6781.9363930999998</v>
      </c>
      <c r="M11" s="1130">
        <f>SUM(M9:M10)</f>
        <v>5905.7459147600002</v>
      </c>
      <c r="N11" s="1130">
        <f>SUM(N9:N10)</f>
        <v>876.1904783399998</v>
      </c>
      <c r="O11" s="102">
        <f t="array" ref="O11">IF(M11=0,0,SUM(M9:M10*O9:O10)/M11)</f>
        <v>0.22095051744315977</v>
      </c>
    </row>
    <row r="12" spans="2:16" s="98" customFormat="1" ht="39.75" customHeight="1">
      <c r="B12" s="104" t="s">
        <v>583</v>
      </c>
      <c r="C12" s="105" t="s">
        <v>96</v>
      </c>
      <c r="D12" s="1127">
        <f t="shared" si="0"/>
        <v>4550</v>
      </c>
      <c r="E12" s="1128">
        <f>I12+M12</f>
        <v>4200</v>
      </c>
      <c r="F12" s="1128">
        <f t="shared" si="0"/>
        <v>350</v>
      </c>
      <c r="G12" s="106">
        <f t="shared" si="2"/>
        <v>0.14249761904761901</v>
      </c>
      <c r="H12" s="1127">
        <f>SUMIFS('Bank loan table'!$F:$F,'Bank loan table'!$B:$B,$B$12,'Bank loan table'!$E:$E,"Yes",'Bank loan table'!$A:$A,$C$6)</f>
        <v>2600</v>
      </c>
      <c r="I12" s="1128">
        <f>SUMIFS('Bank loan table'!$G:$G,'Bank loan table'!$B:$B,$B$12,'Bank loan table'!$E:$E,"Yes",'Bank loan table'!$A:$A,$C$6)</f>
        <v>2400</v>
      </c>
      <c r="J12" s="1128">
        <f>H12-I12</f>
        <v>200</v>
      </c>
      <c r="K12" s="106">
        <f>IF(I12=0,0,SUMIFS('Bank loan table'!$L:$L,'Bank loan table'!$B:$B,$B$12,'Bank loan table'!$E:$E,"Yes",'Bank loan table'!$A:$A,$C$6)/I12)</f>
        <v>0.10324999999999999</v>
      </c>
      <c r="L12" s="1127">
        <f>SUMIFS('Bank loan table'!$F:$F,'Bank loan table'!$B:$B,$B$12,'Bank loan table'!$E:$E,"No",'Bank loan table'!$A:$A,$C$6)</f>
        <v>1950</v>
      </c>
      <c r="M12" s="1128">
        <f>SUMIFS('Bank loan table'!$G:$G,'Bank loan table'!$B:$B,$B$12,'Bank loan table'!$E:$E,"No",'Bank loan table'!$A:$A,$C$6)</f>
        <v>1800</v>
      </c>
      <c r="N12" s="1128">
        <f>L12-M12</f>
        <v>150</v>
      </c>
      <c r="O12" s="106">
        <f>IF(M12=0,0,SUMIFS('Bank loan table'!$L:$L,'Bank loan table'!$B:$B,$B$12,'Bank loan table'!$E:$E,"No",'Bank loan table'!$A:$A,$C$6)/M12)</f>
        <v>0.19482777777777774</v>
      </c>
    </row>
    <row r="13" spans="2:16" s="98" customFormat="1" ht="39.75" customHeight="1">
      <c r="B13" s="104"/>
      <c r="C13" s="105" t="s">
        <v>101</v>
      </c>
      <c r="D13" s="1127">
        <f t="shared" si="0"/>
        <v>13035</v>
      </c>
      <c r="E13" s="1128">
        <f>I13+M13</f>
        <v>13035</v>
      </c>
      <c r="F13" s="1128">
        <f t="shared" si="0"/>
        <v>0</v>
      </c>
      <c r="G13" s="106">
        <f t="shared" si="2"/>
        <v>0.10502391254315305</v>
      </c>
      <c r="H13" s="1127">
        <f>SUMIFS('Bank loan table'!$F:$F,'Bank loan table'!$B:$B,$B$12,'Bank loan table'!$E:$E,"Yes",'Bank loan table'!$A:$A,$C$7)</f>
        <v>0</v>
      </c>
      <c r="I13" s="1128">
        <f>SUMIFS('Bank loan table'!$G:$G,'Bank loan table'!$B:$B,$B$12,'Bank loan table'!$E:$E,"Yes",'Bank loan table'!$A:$A,$C$7)</f>
        <v>0</v>
      </c>
      <c r="J13" s="1128">
        <f>H13-I13</f>
        <v>0</v>
      </c>
      <c r="K13" s="106">
        <f>IF(I13=0,0,SUMIFS('Bank loan table'!$L:$L,'Bank loan table'!$B:$B,$B$12,'Bank loan table'!$E:$E,"Yes",'Bank loan table'!$A:$A,$C$7)/I13)</f>
        <v>0</v>
      </c>
      <c r="L13" s="1127">
        <f>SUMIFS('Bank loan table'!$F:$F,'Bank loan table'!$B:$B,$B$12,'Bank loan table'!$E:$E,"No",'Bank loan table'!$A:$A,$C$7)</f>
        <v>13035</v>
      </c>
      <c r="M13" s="1128">
        <f>SUMIFS('Bank loan table'!$G:$G,'Bank loan table'!$B:$B,$B$12,'Bank loan table'!$E:$E,"No",'Bank loan table'!$A:$A,$C$7)</f>
        <v>13035</v>
      </c>
      <c r="N13" s="1128">
        <f>L13-M13</f>
        <v>0</v>
      </c>
      <c r="O13" s="106">
        <f>IF(M13=0,0,SUMIFS('Bank loan table'!$L:$L,'Bank loan table'!$B:$B,$B$12,'Bank loan table'!$E:$E,"No",'Bank loan table'!$A:$A,$C$7)/M13)</f>
        <v>0.10502391254315305</v>
      </c>
      <c r="P13" s="982" t="s">
        <v>564</v>
      </c>
    </row>
    <row r="14" spans="2:16" s="98" customFormat="1" ht="39.75" customHeight="1">
      <c r="B14" s="99"/>
      <c r="C14" s="100" t="s">
        <v>113</v>
      </c>
      <c r="D14" s="1129">
        <f t="shared" si="0"/>
        <v>17585</v>
      </c>
      <c r="E14" s="1130">
        <f t="shared" si="0"/>
        <v>17235</v>
      </c>
      <c r="F14" s="1130">
        <f t="shared" si="0"/>
        <v>350</v>
      </c>
      <c r="G14" s="102">
        <f t="shared" si="2"/>
        <v>0.11415588627792282</v>
      </c>
      <c r="H14" s="1129">
        <f>SUM(H12:H13)</f>
        <v>2600</v>
      </c>
      <c r="I14" s="1130">
        <f>SUM(I12:I13)</f>
        <v>2400</v>
      </c>
      <c r="J14" s="1130">
        <f>SUM(J12:J13)</f>
        <v>200</v>
      </c>
      <c r="K14" s="102">
        <f t="array" ref="K14">IF(I14=0,0,SUM(I12:I13*K12:K13)/I14)</f>
        <v>0.10324999999999999</v>
      </c>
      <c r="L14" s="1129">
        <f>SUM(L12:L13)</f>
        <v>14985</v>
      </c>
      <c r="M14" s="1130">
        <f>SUM(M12:M13)</f>
        <v>14835</v>
      </c>
      <c r="N14" s="1130">
        <f>SUM(N12:N13)</f>
        <v>150</v>
      </c>
      <c r="O14" s="102">
        <f t="array" ref="O14">IF(M14=0,0,SUM(M12:M13*O12:O13)/M14)</f>
        <v>0.11592023592854735</v>
      </c>
    </row>
    <row r="15" spans="2:16" s="98" customFormat="1" ht="39.75" customHeight="1">
      <c r="B15" s="104" t="s">
        <v>102</v>
      </c>
      <c r="C15" s="105" t="s">
        <v>96</v>
      </c>
      <c r="D15" s="1127">
        <f t="shared" si="0"/>
        <v>1200</v>
      </c>
      <c r="E15" s="1128">
        <f>I15+M15</f>
        <v>1200</v>
      </c>
      <c r="F15" s="1128">
        <f t="shared" si="0"/>
        <v>0</v>
      </c>
      <c r="G15" s="106">
        <f t="shared" si="2"/>
        <v>0.11</v>
      </c>
      <c r="H15" s="1127">
        <f>SUMIFS('Bank loan table'!$F:$F,'Bank loan table'!$B:$B,$B$15,'Bank loan table'!$E:$E,"Yes",'Bank loan table'!$A:$A,$C$6)</f>
        <v>1200</v>
      </c>
      <c r="I15" s="1128">
        <f>SUMIFS('Bank loan table'!$G:$G,'Bank loan table'!$B:$B,$B$15,'Bank loan table'!$E:$E,"Yes",'Bank loan table'!$A:$A,$C$6)</f>
        <v>1200</v>
      </c>
      <c r="J15" s="1128">
        <f>H15-I15</f>
        <v>0</v>
      </c>
      <c r="K15" s="106">
        <f>IF(I15=0,0,SUMIFS('Bank loan table'!$L:$L,'Bank loan table'!$B:$B,$B$15,'Bank loan table'!$E:$E,"Yes",'Bank loan table'!$A:$A,$C$6)/I15)</f>
        <v>0.11</v>
      </c>
      <c r="L15" s="1127">
        <f>SUMIFS('Bank loan table'!$F:$F,'Bank loan table'!$B:$B,$B$15,'Bank loan table'!$E:$E,"No",'Bank loan table'!$A:$A,$C$6)</f>
        <v>0</v>
      </c>
      <c r="M15" s="1128">
        <f>SUMIFS('Bank loan table'!$G:$G,'Bank loan table'!$B:$B,$B$15,'Bank loan table'!$E:$E,"No",'Bank loan table'!$A:$A,$C$6)</f>
        <v>0</v>
      </c>
      <c r="N15" s="1128">
        <f>L15-M15</f>
        <v>0</v>
      </c>
      <c r="O15" s="106">
        <f>IF(M15=0,0,SUMIFS('Bank loan table'!$L:$L,'Bank loan table'!$B:$B,$B$15,'Bank loan table'!$E:$E,"No",'Bank loan table'!$A:$A,$C$6)/M15)</f>
        <v>0</v>
      </c>
    </row>
    <row r="16" spans="2:16" s="98" customFormat="1" ht="39.75" customHeight="1">
      <c r="B16" s="104"/>
      <c r="C16" s="105" t="s">
        <v>101</v>
      </c>
      <c r="D16" s="1127">
        <f t="shared" si="0"/>
        <v>2517.8000000000002</v>
      </c>
      <c r="E16" s="1128">
        <f>I16+M16</f>
        <v>2517.8000000000002</v>
      </c>
      <c r="F16" s="1128">
        <f t="shared" si="0"/>
        <v>0</v>
      </c>
      <c r="G16" s="106">
        <f t="shared" si="2"/>
        <v>5.5741411549765668E-2</v>
      </c>
      <c r="H16" s="1127">
        <f>SUMIFS('Bank loan table'!$F:$F,'Bank loan table'!$B:$B,$B$15,'Bank loan table'!$E:$E,"Yes",'Bank loan table'!$A:$A,$C$7)</f>
        <v>2517.8000000000002</v>
      </c>
      <c r="I16" s="1128">
        <f>SUMIFS('Bank loan table'!$G:$G,'Bank loan table'!$B:$B,$B$15,'Bank loan table'!$E:$E,"Yes",'Bank loan table'!$A:$A,$C$7)</f>
        <v>2517.8000000000002</v>
      </c>
      <c r="J16" s="1128">
        <f>H16-I16</f>
        <v>0</v>
      </c>
      <c r="K16" s="106">
        <f>IF(I16=0,0,SUMIFS('Bank loan table'!$L:$L,'Bank loan table'!$B:$B,$B$15,'Bank loan table'!$E:$E,"Yes",'Bank loan table'!$A:$A,$C$7)/I16)</f>
        <v>5.5741411549765668E-2</v>
      </c>
      <c r="L16" s="1127">
        <f>SUMIFS('Bank loan table'!$F:$F,'Bank loan table'!$B:$B,$B$15,'Bank loan table'!$E:$E,"No",'Bank loan table'!$A:$A,$C$7)</f>
        <v>0</v>
      </c>
      <c r="M16" s="1128">
        <f>SUMIFS('Bank loan table'!$G:$G,'Bank loan table'!$B:$B,$B$15,'Bank loan table'!$E:$E,"No",'Bank loan table'!$A:$A,$C$7)</f>
        <v>0</v>
      </c>
      <c r="N16" s="1128">
        <f>L16-M16</f>
        <v>0</v>
      </c>
      <c r="O16" s="106">
        <f>IF(M16=0,0,SUMIFS('Bank loan table'!$L:$L,'Bank loan table'!$B:$B,$B$15,'Bank loan table'!$E:$E,"No",'Bank loan table'!$A:$A,$C$7)/M16)</f>
        <v>0</v>
      </c>
    </row>
    <row r="17" spans="2:16" s="98" customFormat="1" ht="39.75" customHeight="1" thickBot="1">
      <c r="B17" s="104"/>
      <c r="C17" s="105" t="s">
        <v>113</v>
      </c>
      <c r="D17" s="1129">
        <f t="shared" si="0"/>
        <v>3717.8</v>
      </c>
      <c r="E17" s="1130">
        <f t="shared" si="0"/>
        <v>3717.8</v>
      </c>
      <c r="F17" s="1130">
        <f t="shared" si="0"/>
        <v>0</v>
      </c>
      <c r="G17" s="102">
        <f t="shared" si="2"/>
        <v>7.3254539243638714E-2</v>
      </c>
      <c r="H17" s="1129">
        <f>SUM(H15:H16)</f>
        <v>3717.8</v>
      </c>
      <c r="I17" s="1130">
        <f>SUM(I15:I16)</f>
        <v>3717.8</v>
      </c>
      <c r="J17" s="1130">
        <f>SUM(J15:J16)</f>
        <v>0</v>
      </c>
      <c r="K17" s="102">
        <f t="array" ref="K17">IF(I17=0,0,SUM(I15:I16*K15:K16)/I17)</f>
        <v>7.3254539243638714E-2</v>
      </c>
      <c r="L17" s="1129">
        <f>SUM(L15:L16)</f>
        <v>0</v>
      </c>
      <c r="M17" s="1130">
        <f>SUM(M15:M16)</f>
        <v>0</v>
      </c>
      <c r="N17" s="1130">
        <f>SUM(N15:N16)</f>
        <v>0</v>
      </c>
      <c r="O17" s="102">
        <f t="array" ref="O17">IF(M17=0,0,SUM(M15:M16*O15:O16)/M17)</f>
        <v>0</v>
      </c>
    </row>
    <row r="18" spans="2:16" s="98" customFormat="1" ht="39.75" customHeight="1">
      <c r="B18" s="983"/>
      <c r="C18" s="984" t="s">
        <v>96</v>
      </c>
      <c r="D18" s="985">
        <f>+D6+D9+D12+D15</f>
        <v>13298</v>
      </c>
      <c r="E18" s="986">
        <f t="shared" ref="E18:F18" si="3">+E6+E9+E12+E15</f>
        <v>11624.47057962</v>
      </c>
      <c r="F18" s="986">
        <f t="shared" si="3"/>
        <v>1673.5294203799999</v>
      </c>
      <c r="G18" s="987">
        <f t="shared" si="2"/>
        <v>0.16747452190631637</v>
      </c>
      <c r="H18" s="985">
        <f t="shared" ref="H18:J19" si="4">+H6+H9+H12+H15</f>
        <v>5478</v>
      </c>
      <c r="I18" s="986">
        <f t="shared" si="4"/>
        <v>4826.7499999699994</v>
      </c>
      <c r="J18" s="1131">
        <f t="shared" si="4"/>
        <v>651.25000003000002</v>
      </c>
      <c r="K18" s="987">
        <f t="shared" ref="K18:K19" si="5">((I6*K6)+(I9*K9)+(I15*K15)+(I12*K12))/I18</f>
        <v>0.1048611384471634</v>
      </c>
      <c r="L18" s="985">
        <f t="shared" ref="L18:N19" si="6">+L6+L9+L12+L15</f>
        <v>7820</v>
      </c>
      <c r="M18" s="986">
        <f t="shared" si="6"/>
        <v>6797.7205796500002</v>
      </c>
      <c r="N18" s="986">
        <f t="shared" si="6"/>
        <v>1022.2794203499998</v>
      </c>
      <c r="O18" s="987">
        <f t="shared" ref="O18:O19" si="7">((M6*O6)+(M9*O9)+(M15*O15)+(M12*O12))/M18</f>
        <v>0.21193341736523341</v>
      </c>
    </row>
    <row r="19" spans="2:16" s="98" customFormat="1" ht="39.75" customHeight="1">
      <c r="B19" s="988"/>
      <c r="C19" s="989" t="s">
        <v>101</v>
      </c>
      <c r="D19" s="990">
        <f t="shared" ref="D19:F19" si="8">+D7+D10+D13+D16</f>
        <v>20822.777800129999</v>
      </c>
      <c r="E19" s="991">
        <f t="shared" si="8"/>
        <v>20818.866742139999</v>
      </c>
      <c r="F19" s="991">
        <f t="shared" si="8"/>
        <v>3.9110579900000175</v>
      </c>
      <c r="G19" s="992">
        <f t="shared" si="2"/>
        <v>0.10122266958058893</v>
      </c>
      <c r="H19" s="990">
        <f t="shared" si="4"/>
        <v>6875.8414070300005</v>
      </c>
      <c r="I19" s="991">
        <f t="shared" si="4"/>
        <v>6875.8414070300005</v>
      </c>
      <c r="J19" s="1132">
        <f t="shared" si="4"/>
        <v>0</v>
      </c>
      <c r="K19" s="992">
        <f t="shared" si="5"/>
        <v>7.6129025566516545E-2</v>
      </c>
      <c r="L19" s="990">
        <f t="shared" si="6"/>
        <v>13946.936393100001</v>
      </c>
      <c r="M19" s="991">
        <f t="shared" si="6"/>
        <v>13943.02533511</v>
      </c>
      <c r="N19" s="991">
        <f t="shared" si="6"/>
        <v>3.9110579900000175</v>
      </c>
      <c r="O19" s="992">
        <f t="shared" si="7"/>
        <v>0.11359730940360895</v>
      </c>
    </row>
    <row r="20" spans="2:16" s="98" customFormat="1" ht="39.75" customHeight="1" thickBot="1">
      <c r="B20" s="993" t="s">
        <v>541</v>
      </c>
      <c r="C20" s="994"/>
      <c r="D20" s="995">
        <f>H20+L20</f>
        <v>34120.777800130003</v>
      </c>
      <c r="E20" s="996">
        <f>I20+M20</f>
        <v>32443.337321760002</v>
      </c>
      <c r="F20" s="996">
        <f>J20+N20</f>
        <v>1677.4404783699997</v>
      </c>
      <c r="G20" s="997">
        <f>((I20*K20)+(M20*O20))/E20</f>
        <v>0.12496075486348635</v>
      </c>
      <c r="H20" s="995">
        <f>H8+H11+H17+H14</f>
        <v>12353.841407030002</v>
      </c>
      <c r="I20" s="996">
        <f>I8+I11+I17+I14</f>
        <v>11702.591407</v>
      </c>
      <c r="J20" s="1133">
        <f>J8+J11+J17+J14</f>
        <v>651.25000003000002</v>
      </c>
      <c r="K20" s="997">
        <f>((I8*K8)+(I11*K11)+(I17*K17)+(I14*K14))/I20</f>
        <v>8.7979625234795661E-2</v>
      </c>
      <c r="L20" s="995">
        <f>L8+L11+L17+L14</f>
        <v>21766.936393100001</v>
      </c>
      <c r="M20" s="996">
        <f>M8+M11+M17+M14</f>
        <v>20740.745914760002</v>
      </c>
      <c r="N20" s="996">
        <f>N8+N11+N17+N14</f>
        <v>1026.1904783399998</v>
      </c>
      <c r="O20" s="997">
        <f>((M8*O8)+(M11*O11)+(M17*O17)+(M14*O14))/M20</f>
        <v>0.14582668955997607</v>
      </c>
    </row>
    <row r="21" spans="2:16" ht="21">
      <c r="B21" s="109"/>
      <c r="D21" s="118">
        <f>D20-'Bank loan table'!F121</f>
        <v>0</v>
      </c>
      <c r="E21" s="118">
        <f>E20-'Bank loan table'!G121</f>
        <v>0</v>
      </c>
      <c r="H21" s="118">
        <f>+H20+L20-D20</f>
        <v>0</v>
      </c>
      <c r="I21" s="118">
        <f>+I20+M20-E20</f>
        <v>0</v>
      </c>
      <c r="J21" s="118">
        <f>+J20+N20-F20</f>
        <v>0</v>
      </c>
    </row>
    <row r="22" spans="2:16">
      <c r="B22" s="94"/>
      <c r="D22" s="118">
        <f>+D6+D7+D9+D10+D12+D13+D15+D16-D20</f>
        <v>0</v>
      </c>
      <c r="E22" s="118">
        <f t="shared" ref="E22:F22" si="9">+E6+E7+E9+E10+E12+E13+E15+E16-E20</f>
        <v>0</v>
      </c>
      <c r="F22" s="118">
        <f t="shared" si="9"/>
        <v>0</v>
      </c>
      <c r="H22" s="118">
        <f t="shared" ref="H22:J22" si="10">+H6+H7+H9+H10+H12+H13+H15+H16-H20</f>
        <v>0</v>
      </c>
      <c r="I22" s="118">
        <f t="shared" si="10"/>
        <v>0</v>
      </c>
      <c r="J22" s="118">
        <f t="shared" si="10"/>
        <v>0</v>
      </c>
      <c r="L22" s="118">
        <f t="shared" ref="L22:N22" si="11">+L6+L7+L9+L10+L12+L13+L15+L16-L20</f>
        <v>0</v>
      </c>
      <c r="M22" s="118">
        <f t="shared" si="11"/>
        <v>0</v>
      </c>
      <c r="N22" s="118">
        <f t="shared" si="11"/>
        <v>0</v>
      </c>
    </row>
    <row r="23" spans="2:16" ht="21.6" thickBot="1">
      <c r="C23" s="110" t="s">
        <v>115</v>
      </c>
      <c r="D23" s="93"/>
      <c r="E23" s="974">
        <f>+'Cash in bank report'!B2</f>
        <v>45880</v>
      </c>
      <c r="F23" s="652">
        <f>+'Cash in bank report'!E2</f>
        <v>79.779600000000002</v>
      </c>
      <c r="G23" s="110" t="s">
        <v>116</v>
      </c>
      <c r="H23" s="93"/>
      <c r="O23" s="97" t="s">
        <v>117</v>
      </c>
    </row>
    <row r="24" spans="2:16" s="98" customFormat="1" ht="39.75" customHeight="1" thickBot="1">
      <c r="B24" s="1334" t="s">
        <v>87</v>
      </c>
      <c r="C24" s="1335"/>
      <c r="D24" s="1338" t="str">
        <f>+D4</f>
        <v>Total Loan</v>
      </c>
      <c r="E24" s="1339"/>
      <c r="F24" s="1339"/>
      <c r="G24" s="1340"/>
      <c r="H24" s="1338" t="str">
        <f t="shared" ref="H24" si="12">+H4</f>
        <v>Subsidy</v>
      </c>
      <c r="I24" s="1339"/>
      <c r="J24" s="1339"/>
      <c r="K24" s="1340"/>
      <c r="L24" s="1338" t="str">
        <f t="shared" ref="L24" si="13">+L4</f>
        <v>Non Subsidy</v>
      </c>
      <c r="M24" s="1339"/>
      <c r="N24" s="1339"/>
      <c r="O24" s="1340"/>
    </row>
    <row r="25" spans="2:16" s="98" customFormat="1" ht="39.75" customHeight="1" thickBot="1">
      <c r="B25" s="1336"/>
      <c r="C25" s="1337"/>
      <c r="D25" s="977" t="s">
        <v>90</v>
      </c>
      <c r="E25" s="978" t="s">
        <v>91</v>
      </c>
      <c r="F25" s="978" t="s">
        <v>99</v>
      </c>
      <c r="G25" s="979" t="s">
        <v>112</v>
      </c>
      <c r="H25" s="977" t="s">
        <v>90</v>
      </c>
      <c r="I25" s="978" t="s">
        <v>91</v>
      </c>
      <c r="J25" s="978" t="s">
        <v>99</v>
      </c>
      <c r="K25" s="979" t="s">
        <v>112</v>
      </c>
      <c r="L25" s="980" t="s">
        <v>90</v>
      </c>
      <c r="M25" s="981" t="s">
        <v>91</v>
      </c>
      <c r="N25" s="981" t="s">
        <v>99</v>
      </c>
      <c r="O25" s="979" t="s">
        <v>112</v>
      </c>
    </row>
    <row r="26" spans="2:16" s="98" customFormat="1" ht="39.75" customHeight="1">
      <c r="B26" s="485" t="s">
        <v>21</v>
      </c>
      <c r="C26" s="105" t="s">
        <v>96</v>
      </c>
      <c r="D26" s="975">
        <f t="shared" ref="D26:F37" si="14">D6/$F$23</f>
        <v>6.2672663187080406</v>
      </c>
      <c r="E26" s="976">
        <f>E6/$F$23</f>
        <v>6.2672663187080406</v>
      </c>
      <c r="F26" s="976">
        <f t="shared" ref="F26:F28" si="15">F6/$F$23</f>
        <v>0</v>
      </c>
      <c r="G26" s="488">
        <f t="shared" ref="G26:G37" si="16">G6</f>
        <v>0.11</v>
      </c>
      <c r="H26" s="975">
        <f t="shared" ref="H26:J37" si="17">H6/$F$23</f>
        <v>6.2672663187080406</v>
      </c>
      <c r="I26" s="976">
        <f t="shared" si="17"/>
        <v>6.2672663187080406</v>
      </c>
      <c r="J26" s="976">
        <f t="shared" si="17"/>
        <v>0</v>
      </c>
      <c r="K26" s="488">
        <f t="shared" ref="K26:K37" si="18">K6</f>
        <v>0.11</v>
      </c>
      <c r="L26" s="486">
        <f t="shared" ref="L26:N34" si="19">L6/$F$23</f>
        <v>0</v>
      </c>
      <c r="M26" s="487">
        <f t="shared" si="19"/>
        <v>0</v>
      </c>
      <c r="N26" s="489">
        <f t="shared" si="19"/>
        <v>0</v>
      </c>
      <c r="O26" s="488"/>
      <c r="P26" s="103"/>
    </row>
    <row r="27" spans="2:16" s="98" customFormat="1" ht="39.75" customHeight="1">
      <c r="B27" s="104"/>
      <c r="C27" s="105" t="s">
        <v>101</v>
      </c>
      <c r="D27" s="113">
        <f t="shared" si="14"/>
        <v>9.6652325288670298</v>
      </c>
      <c r="E27" s="114">
        <f t="shared" si="14"/>
        <v>9.6652325288670298</v>
      </c>
      <c r="F27" s="114">
        <f t="shared" si="15"/>
        <v>0</v>
      </c>
      <c r="G27" s="108">
        <f t="shared" si="16"/>
        <v>0.09</v>
      </c>
      <c r="H27" s="113">
        <f t="shared" si="17"/>
        <v>9.6652325288670298</v>
      </c>
      <c r="I27" s="114">
        <f t="shared" si="17"/>
        <v>9.6652325288670298</v>
      </c>
      <c r="J27" s="114">
        <f t="shared" si="17"/>
        <v>0</v>
      </c>
      <c r="K27" s="108">
        <f t="shared" si="18"/>
        <v>0.09</v>
      </c>
      <c r="L27" s="116">
        <f t="shared" si="19"/>
        <v>0</v>
      </c>
      <c r="M27" s="117">
        <f t="shared" si="19"/>
        <v>0</v>
      </c>
      <c r="N27" s="107">
        <f t="shared" si="19"/>
        <v>0</v>
      </c>
      <c r="O27" s="108"/>
      <c r="P27" s="103"/>
    </row>
    <row r="28" spans="2:16" s="98" customFormat="1" ht="39.75" customHeight="1">
      <c r="B28" s="99"/>
      <c r="C28" s="100" t="s">
        <v>113</v>
      </c>
      <c r="D28" s="111">
        <f t="shared" si="14"/>
        <v>15.93249884757507</v>
      </c>
      <c r="E28" s="112">
        <f t="shared" si="14"/>
        <v>15.93249884757507</v>
      </c>
      <c r="F28" s="112">
        <f t="shared" si="15"/>
        <v>0</v>
      </c>
      <c r="G28" s="102">
        <f t="shared" si="16"/>
        <v>9.7867273525222218E-2</v>
      </c>
      <c r="H28" s="111">
        <f t="shared" si="17"/>
        <v>15.93249884757507</v>
      </c>
      <c r="I28" s="112">
        <f t="shared" si="17"/>
        <v>15.93249884757507</v>
      </c>
      <c r="J28" s="112">
        <f t="shared" si="17"/>
        <v>0</v>
      </c>
      <c r="K28" s="102">
        <f t="shared" si="18"/>
        <v>9.7867273525222218E-2</v>
      </c>
      <c r="L28" s="111">
        <f t="shared" si="19"/>
        <v>0</v>
      </c>
      <c r="M28" s="112">
        <f t="shared" si="19"/>
        <v>0</v>
      </c>
      <c r="N28" s="101">
        <f t="shared" si="19"/>
        <v>0</v>
      </c>
      <c r="O28" s="102"/>
      <c r="P28" s="103"/>
    </row>
    <row r="29" spans="2:16" s="98" customFormat="1" ht="39.75" customHeight="1">
      <c r="B29" s="104" t="s">
        <v>41</v>
      </c>
      <c r="C29" s="105" t="s">
        <v>96</v>
      </c>
      <c r="D29" s="113">
        <f t="shared" si="14"/>
        <v>88.343386028508533</v>
      </c>
      <c r="E29" s="114">
        <f t="shared" si="14"/>
        <v>71.753563312175046</v>
      </c>
      <c r="F29" s="114">
        <f t="shared" si="14"/>
        <v>16.589822716333497</v>
      </c>
      <c r="G29" s="106">
        <f t="shared" si="16"/>
        <v>0.20286813192303799</v>
      </c>
      <c r="H29" s="113">
        <f t="shared" si="17"/>
        <v>14.765679446876144</v>
      </c>
      <c r="I29" s="114">
        <f t="shared" si="17"/>
        <v>9.1094715938661004</v>
      </c>
      <c r="J29" s="114">
        <f t="shared" si="17"/>
        <v>5.6562078530100433</v>
      </c>
      <c r="K29" s="106">
        <f t="shared" si="18"/>
        <v>9.8160990711585613E-2</v>
      </c>
      <c r="L29" s="113">
        <f t="shared" si="19"/>
        <v>73.577706581632398</v>
      </c>
      <c r="M29" s="114">
        <f t="shared" si="19"/>
        <v>62.644091718308943</v>
      </c>
      <c r="N29" s="114">
        <f t="shared" si="19"/>
        <v>10.933614863323452</v>
      </c>
      <c r="O29" s="106">
        <f t="shared" ref="O29:O34" si="20">O9</f>
        <v>0.2180942562450206</v>
      </c>
    </row>
    <row r="30" spans="2:16" s="98" customFormat="1" ht="39.75" customHeight="1">
      <c r="B30" s="104"/>
      <c r="C30" s="105" t="s">
        <v>101</v>
      </c>
      <c r="D30" s="113">
        <f t="shared" si="14"/>
        <v>56.391476205320664</v>
      </c>
      <c r="E30" s="114">
        <f t="shared" si="14"/>
        <v>56.342452921298189</v>
      </c>
      <c r="F30" s="114">
        <f t="shared" si="14"/>
        <v>4.9023284022482155E-2</v>
      </c>
      <c r="G30" s="106">
        <f t="shared" si="16"/>
        <v>0.11760031898572741</v>
      </c>
      <c r="H30" s="113">
        <f t="shared" si="17"/>
        <v>44.96077972276121</v>
      </c>
      <c r="I30" s="114">
        <f t="shared" si="17"/>
        <v>44.96077972276121</v>
      </c>
      <c r="J30" s="114">
        <f t="shared" si="17"/>
        <v>0</v>
      </c>
      <c r="K30" s="106">
        <f t="shared" si="18"/>
        <v>8.7457913078384256E-2</v>
      </c>
      <c r="L30" s="113">
        <f t="shared" si="19"/>
        <v>11.430696482559451</v>
      </c>
      <c r="M30" s="114">
        <f t="shared" si="19"/>
        <v>11.381673198536969</v>
      </c>
      <c r="N30" s="114">
        <f t="shared" si="19"/>
        <v>4.9023284022482155E-2</v>
      </c>
      <c r="O30" s="106">
        <f t="shared" si="20"/>
        <v>0.23667121907872224</v>
      </c>
    </row>
    <row r="31" spans="2:16" s="98" customFormat="1" ht="39.75" customHeight="1">
      <c r="B31" s="99"/>
      <c r="C31" s="100" t="s">
        <v>113</v>
      </c>
      <c r="D31" s="111">
        <f t="shared" si="14"/>
        <v>144.7348622338292</v>
      </c>
      <c r="E31" s="112">
        <f t="shared" si="14"/>
        <v>128.09601623347322</v>
      </c>
      <c r="F31" s="112">
        <f t="shared" si="14"/>
        <v>16.638846000355976</v>
      </c>
      <c r="G31" s="102">
        <f t="shared" si="16"/>
        <v>0.16536347036224328</v>
      </c>
      <c r="H31" s="111">
        <f t="shared" si="17"/>
        <v>59.726459169637359</v>
      </c>
      <c r="I31" s="112">
        <f t="shared" si="17"/>
        <v>54.070251316627314</v>
      </c>
      <c r="J31" s="112">
        <f t="shared" si="17"/>
        <v>5.6562078530100433</v>
      </c>
      <c r="K31" s="102">
        <f t="shared" si="18"/>
        <v>8.9261111312023855E-2</v>
      </c>
      <c r="L31" s="111">
        <f t="shared" si="19"/>
        <v>85.008403064191839</v>
      </c>
      <c r="M31" s="112">
        <f t="shared" si="19"/>
        <v>74.025764916845915</v>
      </c>
      <c r="N31" s="112">
        <f t="shared" si="19"/>
        <v>10.982638147345936</v>
      </c>
      <c r="O31" s="102">
        <f t="shared" si="20"/>
        <v>0.22095051744315977</v>
      </c>
    </row>
    <row r="32" spans="2:16" s="98" customFormat="1" ht="39.75" customHeight="1">
      <c r="B32" s="104" t="s">
        <v>583</v>
      </c>
      <c r="C32" s="105" t="s">
        <v>96</v>
      </c>
      <c r="D32" s="113">
        <f t="shared" si="14"/>
        <v>57.032123500243166</v>
      </c>
      <c r="E32" s="114">
        <f t="shared" si="14"/>
        <v>52.645037077147542</v>
      </c>
      <c r="F32" s="114">
        <f t="shared" si="14"/>
        <v>4.3870864230956279</v>
      </c>
      <c r="G32" s="106">
        <f t="shared" si="16"/>
        <v>0.14249761904761901</v>
      </c>
      <c r="H32" s="113">
        <f t="shared" si="17"/>
        <v>32.589784857281813</v>
      </c>
      <c r="I32" s="114">
        <f t="shared" si="17"/>
        <v>30.082878329798593</v>
      </c>
      <c r="J32" s="114">
        <f t="shared" si="17"/>
        <v>2.5069065274832161</v>
      </c>
      <c r="K32" s="106">
        <f t="shared" si="18"/>
        <v>0.10324999999999999</v>
      </c>
      <c r="L32" s="113">
        <f t="shared" si="19"/>
        <v>24.442338642961356</v>
      </c>
      <c r="M32" s="114">
        <f t="shared" si="19"/>
        <v>22.562158747348946</v>
      </c>
      <c r="N32" s="114">
        <f t="shared" si="19"/>
        <v>1.8801798956124121</v>
      </c>
      <c r="O32" s="106">
        <f t="shared" si="20"/>
        <v>0.19482777777777774</v>
      </c>
    </row>
    <row r="33" spans="2:15" s="98" customFormat="1" ht="39.75" customHeight="1">
      <c r="B33" s="104"/>
      <c r="C33" s="105" t="s">
        <v>101</v>
      </c>
      <c r="D33" s="113">
        <f t="shared" si="14"/>
        <v>163.3876329287186</v>
      </c>
      <c r="E33" s="114">
        <f t="shared" si="14"/>
        <v>163.3876329287186</v>
      </c>
      <c r="F33" s="114">
        <f t="shared" si="14"/>
        <v>0</v>
      </c>
      <c r="G33" s="106">
        <f t="shared" si="16"/>
        <v>0.10502391254315305</v>
      </c>
      <c r="H33" s="113">
        <f t="shared" si="17"/>
        <v>0</v>
      </c>
      <c r="I33" s="114">
        <f t="shared" si="17"/>
        <v>0</v>
      </c>
      <c r="J33" s="114">
        <f t="shared" si="17"/>
        <v>0</v>
      </c>
      <c r="K33" s="106">
        <f t="shared" si="18"/>
        <v>0</v>
      </c>
      <c r="L33" s="113">
        <f t="shared" si="19"/>
        <v>163.3876329287186</v>
      </c>
      <c r="M33" s="114">
        <f t="shared" si="19"/>
        <v>163.3876329287186</v>
      </c>
      <c r="N33" s="114">
        <f t="shared" si="19"/>
        <v>0</v>
      </c>
      <c r="O33" s="106">
        <f t="shared" si="20"/>
        <v>0.10502391254315305</v>
      </c>
    </row>
    <row r="34" spans="2:15" s="98" customFormat="1" ht="39.75" customHeight="1">
      <c r="B34" s="99"/>
      <c r="C34" s="100" t="s">
        <v>113</v>
      </c>
      <c r="D34" s="111">
        <f t="shared" si="14"/>
        <v>220.41975642896179</v>
      </c>
      <c r="E34" s="112">
        <f t="shared" si="14"/>
        <v>216.03267000586615</v>
      </c>
      <c r="F34" s="112">
        <f t="shared" si="14"/>
        <v>4.3870864230956279</v>
      </c>
      <c r="G34" s="102">
        <f t="shared" si="16"/>
        <v>0.11415588627792282</v>
      </c>
      <c r="H34" s="111">
        <f t="shared" si="17"/>
        <v>32.589784857281813</v>
      </c>
      <c r="I34" s="112">
        <f t="shared" si="17"/>
        <v>30.082878329798593</v>
      </c>
      <c r="J34" s="112">
        <f t="shared" si="17"/>
        <v>2.5069065274832161</v>
      </c>
      <c r="K34" s="102">
        <f t="shared" si="18"/>
        <v>0.10324999999999999</v>
      </c>
      <c r="L34" s="111">
        <f t="shared" si="19"/>
        <v>187.82997157167998</v>
      </c>
      <c r="M34" s="112">
        <f t="shared" si="19"/>
        <v>185.94979167606755</v>
      </c>
      <c r="N34" s="112">
        <f t="shared" si="19"/>
        <v>1.8801798956124121</v>
      </c>
      <c r="O34" s="102">
        <f t="shared" si="20"/>
        <v>0.11592023592854735</v>
      </c>
    </row>
    <row r="35" spans="2:15" s="98" customFormat="1" ht="39.75" customHeight="1">
      <c r="B35" s="104" t="s">
        <v>43</v>
      </c>
      <c r="C35" s="105" t="s">
        <v>96</v>
      </c>
      <c r="D35" s="113">
        <f t="shared" si="14"/>
        <v>15.041439164899296</v>
      </c>
      <c r="E35" s="114">
        <f t="shared" si="14"/>
        <v>15.041439164899296</v>
      </c>
      <c r="F35" s="115">
        <f t="shared" si="14"/>
        <v>0</v>
      </c>
      <c r="G35" s="106">
        <f t="shared" si="16"/>
        <v>0.11</v>
      </c>
      <c r="H35" s="113">
        <f t="shared" si="17"/>
        <v>15.041439164899296</v>
      </c>
      <c r="I35" s="114">
        <f t="shared" si="17"/>
        <v>15.041439164899296</v>
      </c>
      <c r="J35" s="115">
        <f t="shared" si="17"/>
        <v>0</v>
      </c>
      <c r="K35" s="106">
        <f t="shared" si="18"/>
        <v>0.11</v>
      </c>
      <c r="L35" s="113"/>
      <c r="M35" s="114"/>
      <c r="N35" s="114"/>
      <c r="O35" s="106"/>
    </row>
    <row r="36" spans="2:15" s="98" customFormat="1" ht="39.75" customHeight="1">
      <c r="B36" s="104"/>
      <c r="C36" s="105" t="s">
        <v>101</v>
      </c>
      <c r="D36" s="113">
        <f t="shared" si="14"/>
        <v>31.559446274486209</v>
      </c>
      <c r="E36" s="114">
        <f t="shared" si="14"/>
        <v>31.559446274486209</v>
      </c>
      <c r="F36" s="114">
        <f t="shared" si="14"/>
        <v>0</v>
      </c>
      <c r="G36" s="106">
        <f t="shared" si="16"/>
        <v>5.5741411549765668E-2</v>
      </c>
      <c r="H36" s="113">
        <f t="shared" si="17"/>
        <v>31.559446274486209</v>
      </c>
      <c r="I36" s="114">
        <f t="shared" si="17"/>
        <v>31.559446274486209</v>
      </c>
      <c r="J36" s="114">
        <f t="shared" si="17"/>
        <v>0</v>
      </c>
      <c r="K36" s="106">
        <f t="shared" si="18"/>
        <v>5.5741411549765668E-2</v>
      </c>
      <c r="L36" s="113"/>
      <c r="M36" s="114"/>
      <c r="N36" s="114"/>
      <c r="O36" s="106"/>
    </row>
    <row r="37" spans="2:15" s="98" customFormat="1" ht="39.75" customHeight="1" thickBot="1">
      <c r="B37" s="104"/>
      <c r="C37" s="105" t="s">
        <v>113</v>
      </c>
      <c r="D37" s="116">
        <f t="shared" si="14"/>
        <v>46.600885439385507</v>
      </c>
      <c r="E37" s="117">
        <f t="shared" si="14"/>
        <v>46.600885439385507</v>
      </c>
      <c r="F37" s="117">
        <f t="shared" si="14"/>
        <v>0</v>
      </c>
      <c r="G37" s="108">
        <f t="shared" si="16"/>
        <v>7.3254539243638714E-2</v>
      </c>
      <c r="H37" s="116">
        <f t="shared" si="17"/>
        <v>46.600885439385507</v>
      </c>
      <c r="I37" s="117">
        <f t="shared" si="17"/>
        <v>46.600885439385507</v>
      </c>
      <c r="J37" s="117">
        <f t="shared" si="17"/>
        <v>0</v>
      </c>
      <c r="K37" s="108">
        <f t="shared" si="18"/>
        <v>7.3254539243638714E-2</v>
      </c>
      <c r="L37" s="116"/>
      <c r="M37" s="117"/>
      <c r="N37" s="117"/>
      <c r="O37" s="108"/>
    </row>
    <row r="38" spans="2:15" s="98" customFormat="1" ht="39.75" customHeight="1">
      <c r="B38" s="983"/>
      <c r="C38" s="984" t="s">
        <v>96</v>
      </c>
      <c r="D38" s="1134">
        <f>+D26+D29+D32+D35</f>
        <v>166.68421501235903</v>
      </c>
      <c r="E38" s="1135">
        <f>+E26+E29+E32+E35</f>
        <v>145.70730587292991</v>
      </c>
      <c r="F38" s="1135">
        <f t="shared" ref="F38" si="21">+F26+F29+F32+F35</f>
        <v>20.976909139429125</v>
      </c>
      <c r="G38" s="987">
        <f t="shared" ref="G38:G39" si="22">((I38*K38)+(M38*O38))/E38</f>
        <v>0.16747452190631637</v>
      </c>
      <c r="H38" s="1134">
        <f t="shared" ref="H38:J39" si="23">+H26+H29+H32+H35</f>
        <v>68.664169787765303</v>
      </c>
      <c r="I38" s="1135">
        <f t="shared" si="23"/>
        <v>60.501055407272027</v>
      </c>
      <c r="J38" s="1135">
        <f t="shared" si="23"/>
        <v>8.1631143804932584</v>
      </c>
      <c r="K38" s="987">
        <f t="shared" ref="K38:K39" si="24">((I26*K26)+(I29*K29)+(I35*K35)+(I32*K32))/I38</f>
        <v>0.10486113844716338</v>
      </c>
      <c r="L38" s="1134">
        <f t="shared" ref="L38:N39" si="25">+L26+L29+L32+L35</f>
        <v>98.020045224593758</v>
      </c>
      <c r="M38" s="1135">
        <f t="shared" si="25"/>
        <v>85.206250465657888</v>
      </c>
      <c r="N38" s="1135">
        <f t="shared" si="25"/>
        <v>12.813794758935865</v>
      </c>
      <c r="O38" s="987">
        <f t="shared" ref="O38:O39" si="26">((M26*O26)+(M29*O29)+(M35*O35)+(M32*O32))/M38</f>
        <v>0.21193341736523341</v>
      </c>
    </row>
    <row r="39" spans="2:15" s="98" customFormat="1" ht="39.75" customHeight="1">
      <c r="B39" s="988"/>
      <c r="C39" s="989" t="s">
        <v>101</v>
      </c>
      <c r="D39" s="1136">
        <f t="shared" ref="D39:F39" si="27">+D27+D30+D33+D36</f>
        <v>261.00378793739253</v>
      </c>
      <c r="E39" s="1137">
        <f t="shared" si="27"/>
        <v>260.95476465337003</v>
      </c>
      <c r="F39" s="1137">
        <f t="shared" si="27"/>
        <v>4.9023284022482155E-2</v>
      </c>
      <c r="G39" s="992">
        <f t="shared" si="22"/>
        <v>0.10122266958058891</v>
      </c>
      <c r="H39" s="1136">
        <f t="shared" si="23"/>
        <v>86.185458526114445</v>
      </c>
      <c r="I39" s="1137">
        <f t="shared" si="23"/>
        <v>86.185458526114445</v>
      </c>
      <c r="J39" s="1137">
        <f t="shared" si="23"/>
        <v>0</v>
      </c>
      <c r="K39" s="992">
        <f t="shared" si="24"/>
        <v>7.6129025566516559E-2</v>
      </c>
      <c r="L39" s="1136">
        <f t="shared" si="25"/>
        <v>174.81832941127806</v>
      </c>
      <c r="M39" s="1137">
        <f t="shared" si="25"/>
        <v>174.76930612725556</v>
      </c>
      <c r="N39" s="1137">
        <f t="shared" si="25"/>
        <v>4.9023284022482155E-2</v>
      </c>
      <c r="O39" s="992">
        <f t="shared" si="26"/>
        <v>0.11359730940360896</v>
      </c>
    </row>
    <row r="40" spans="2:15" s="98" customFormat="1" ht="39.75" customHeight="1" thickBot="1">
      <c r="B40" s="998" t="s">
        <v>114</v>
      </c>
      <c r="C40" s="999"/>
      <c r="D40" s="1138">
        <f>D20/$F$23</f>
        <v>427.68800294975159</v>
      </c>
      <c r="E40" s="1139">
        <f>E20/$F$23</f>
        <v>406.66207052629994</v>
      </c>
      <c r="F40" s="1139">
        <f>F20/$F$23</f>
        <v>21.025932423451604</v>
      </c>
      <c r="G40" s="1000">
        <f>G20</f>
        <v>0.12496075486348635</v>
      </c>
      <c r="H40" s="1138">
        <f>H20/$F$23</f>
        <v>154.84962831387978</v>
      </c>
      <c r="I40" s="1139">
        <f>I20/$F$23</f>
        <v>146.68651393338646</v>
      </c>
      <c r="J40" s="1139">
        <f>J20/$F$23</f>
        <v>8.1631143804932584</v>
      </c>
      <c r="K40" s="1000">
        <f>K20</f>
        <v>8.7979625234795661E-2</v>
      </c>
      <c r="L40" s="1138">
        <f>L20/$F$23</f>
        <v>272.83837463587184</v>
      </c>
      <c r="M40" s="1139">
        <f>M20/$F$23</f>
        <v>259.97555659291351</v>
      </c>
      <c r="N40" s="1139">
        <f>N20/$F$23</f>
        <v>12.862818042958347</v>
      </c>
      <c r="O40" s="1000">
        <f>O20</f>
        <v>0.14582668955997607</v>
      </c>
    </row>
    <row r="41" spans="2:15" ht="21">
      <c r="B41" s="109"/>
      <c r="D41" s="118">
        <f>+D26+D29+D32+D35-D38</f>
        <v>0</v>
      </c>
      <c r="E41" s="118">
        <f t="shared" ref="E41:F41" si="28">+E26+E29+E32+E35-E38</f>
        <v>0</v>
      </c>
      <c r="F41" s="118">
        <f t="shared" si="28"/>
        <v>0</v>
      </c>
      <c r="H41" s="118">
        <f>+H26+H29+H32+H35-H38</f>
        <v>0</v>
      </c>
      <c r="I41" s="118">
        <f t="shared" ref="I41:J41" si="29">+I26+I29+I32+I35-I38</f>
        <v>0</v>
      </c>
      <c r="J41" s="118">
        <f t="shared" si="29"/>
        <v>0</v>
      </c>
      <c r="L41" s="118">
        <f>+L26+L29+L32+L35-L38</f>
        <v>0</v>
      </c>
      <c r="M41" s="118">
        <f t="shared" ref="M41:N41" si="30">+M26+M29+M32+M35-M38</f>
        <v>0</v>
      </c>
      <c r="N41" s="118">
        <f t="shared" si="30"/>
        <v>0</v>
      </c>
    </row>
    <row r="42" spans="2:15" ht="21">
      <c r="B42" s="109"/>
      <c r="D42" s="118">
        <f t="shared" ref="D42:F43" si="31">+D27+D30+D33+D36-D39</f>
        <v>0</v>
      </c>
      <c r="E42" s="118">
        <f t="shared" si="31"/>
        <v>0</v>
      </c>
      <c r="F42" s="118">
        <f t="shared" si="31"/>
        <v>0</v>
      </c>
      <c r="H42" s="118">
        <f t="shared" ref="H42:J43" si="32">+H27+H30+H33+H36-H39</f>
        <v>0</v>
      </c>
      <c r="I42" s="118">
        <f t="shared" si="32"/>
        <v>0</v>
      </c>
      <c r="J42" s="118">
        <f t="shared" si="32"/>
        <v>0</v>
      </c>
      <c r="L42" s="118">
        <f t="shared" ref="L42:N43" si="33">+L27+L30+L33+L36-L39</f>
        <v>0</v>
      </c>
      <c r="M42" s="118">
        <f t="shared" si="33"/>
        <v>0</v>
      </c>
      <c r="N42" s="118">
        <f t="shared" si="33"/>
        <v>0</v>
      </c>
    </row>
    <row r="43" spans="2:15">
      <c r="D43" s="118">
        <f t="shared" si="31"/>
        <v>0</v>
      </c>
      <c r="E43" s="118">
        <f t="shared" si="31"/>
        <v>0</v>
      </c>
      <c r="F43" s="118">
        <f t="shared" si="31"/>
        <v>0</v>
      </c>
      <c r="H43" s="118">
        <f t="shared" si="32"/>
        <v>0</v>
      </c>
      <c r="I43" s="118">
        <f t="shared" si="32"/>
        <v>0</v>
      </c>
      <c r="J43" s="118">
        <f t="shared" si="32"/>
        <v>0</v>
      </c>
      <c r="L43" s="118">
        <f t="shared" si="33"/>
        <v>0</v>
      </c>
      <c r="M43" s="118">
        <f t="shared" si="33"/>
        <v>0</v>
      </c>
      <c r="N43" s="118">
        <f t="shared" si="33"/>
        <v>0</v>
      </c>
    </row>
    <row r="44" spans="2:15">
      <c r="D44" s="118"/>
      <c r="E44" s="118"/>
      <c r="F44" s="118"/>
    </row>
  </sheetData>
  <mergeCells count="8">
    <mergeCell ref="B4:C5"/>
    <mergeCell ref="D4:G4"/>
    <mergeCell ref="H4:K4"/>
    <mergeCell ref="L4:O4"/>
    <mergeCell ref="B24:C25"/>
    <mergeCell ref="D24:G24"/>
    <mergeCell ref="H24:K24"/>
    <mergeCell ref="L24:O24"/>
  </mergeCells>
  <pageMargins left="0.2" right="0.2" top="0.75" bottom="0.75" header="0.3" footer="0.3"/>
  <pageSetup paperSize="9" scale="42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57AE-39AF-49DD-832F-0A02FFCC9801}">
  <dimension ref="A1:AQ130"/>
  <sheetViews>
    <sheetView showGridLines="0" showZeros="0" zoomScale="70" zoomScaleNormal="70" workbookViewId="0">
      <pane xSplit="14" ySplit="2" topLeftCell="Y81" activePane="bottomRight" state="frozen"/>
      <selection activeCell="B2" sqref="B2:C3"/>
      <selection pane="topRight" activeCell="B2" sqref="B2:C3"/>
      <selection pane="bottomLeft" activeCell="B2" sqref="B2:C3"/>
      <selection pane="bottomRight" activeCell="B2" sqref="B2:C3"/>
    </sheetView>
  </sheetViews>
  <sheetFormatPr defaultColWidth="9.21875" defaultRowHeight="14.4"/>
  <cols>
    <col min="1" max="1" width="13.21875" style="1077" customWidth="1"/>
    <col min="2" max="2" width="12" style="1077" customWidth="1"/>
    <col min="3" max="3" width="32.21875" style="1149" customWidth="1"/>
    <col min="4" max="4" width="13.21875" style="1077" customWidth="1"/>
    <col min="5" max="5" width="17.21875" style="1077" bestFit="1" customWidth="1"/>
    <col min="6" max="6" width="15.21875" style="1078" bestFit="1" customWidth="1"/>
    <col min="7" max="7" width="15" style="1089" bestFit="1" customWidth="1"/>
    <col min="8" max="8" width="15" style="1107" bestFit="1" customWidth="1"/>
    <col min="9" max="9" width="12.21875" style="1080" bestFit="1" customWidth="1"/>
    <col min="10" max="10" width="15.77734375" style="1080" customWidth="1"/>
    <col min="11" max="11" width="10" style="1080" bestFit="1" customWidth="1"/>
    <col min="12" max="12" width="14.77734375" style="1183" customWidth="1"/>
    <col min="13" max="14" width="19.21875" style="1081" customWidth="1"/>
    <col min="15" max="15" width="2.21875" style="1082" customWidth="1"/>
    <col min="16" max="16" width="12.6640625" style="1261" hidden="1" customWidth="1"/>
    <col min="17" max="21" width="11.21875" style="1077" hidden="1" customWidth="1"/>
    <col min="22" max="23" width="11.109375" style="1077" hidden="1" customWidth="1"/>
    <col min="24" max="28" width="11.21875" style="1077" customWidth="1"/>
    <col min="29" max="33" width="10.21875" style="1089" customWidth="1"/>
    <col min="34" max="34" width="9.21875" style="1089" customWidth="1"/>
    <col min="35" max="37" width="9.21875" style="1089" hidden="1" customWidth="1"/>
    <col min="38" max="38" width="11.77734375" style="1259" customWidth="1"/>
    <col min="39" max="40" width="12.21875" style="1089" customWidth="1"/>
    <col min="41" max="41" width="14.21875" style="1089" customWidth="1"/>
    <col min="42" max="42" width="9.21875" style="1089" customWidth="1"/>
    <col min="43" max="43" width="15.21875" style="1308" bestFit="1" customWidth="1"/>
    <col min="44" max="44" width="11.21875" style="1089" customWidth="1"/>
    <col min="45" max="47" width="9.21875" style="1089"/>
    <col min="48" max="48" width="14.6640625" style="1089" customWidth="1"/>
    <col min="49" max="16384" width="9.21875" style="1089"/>
  </cols>
  <sheetData>
    <row r="1" spans="1:43">
      <c r="E1" s="1077" t="s">
        <v>590</v>
      </c>
    </row>
    <row r="2" spans="1:43" s="1075" customFormat="1" ht="29.4" thickBot="1">
      <c r="A2" s="1074" t="s">
        <v>562</v>
      </c>
      <c r="B2" s="1067" t="s">
        <v>86</v>
      </c>
      <c r="C2" s="1280" t="s">
        <v>87</v>
      </c>
      <c r="D2" s="1067" t="s">
        <v>88</v>
      </c>
      <c r="E2" s="1067" t="s">
        <v>89</v>
      </c>
      <c r="F2" s="1068" t="s">
        <v>90</v>
      </c>
      <c r="G2" s="1069" t="s">
        <v>91</v>
      </c>
      <c r="H2" s="1070" t="s">
        <v>92</v>
      </c>
      <c r="I2" s="1071" t="s">
        <v>93</v>
      </c>
      <c r="J2" s="1274" t="s">
        <v>596</v>
      </c>
      <c r="K2" s="1071" t="s">
        <v>95</v>
      </c>
      <c r="L2" s="1275" t="s">
        <v>699</v>
      </c>
      <c r="M2" s="1072" t="s">
        <v>565</v>
      </c>
      <c r="N2" s="1072" t="s">
        <v>566</v>
      </c>
      <c r="O2" s="1073"/>
      <c r="P2" s="1281"/>
      <c r="Q2" s="1281">
        <v>45658</v>
      </c>
      <c r="R2" s="1281">
        <v>45689</v>
      </c>
      <c r="S2" s="1281">
        <v>45717</v>
      </c>
      <c r="T2" s="1281">
        <v>45748</v>
      </c>
      <c r="U2" s="1281">
        <v>45778</v>
      </c>
      <c r="V2" s="1281">
        <v>45809</v>
      </c>
      <c r="W2" s="1281">
        <v>45839</v>
      </c>
      <c r="X2" s="1281">
        <v>45870</v>
      </c>
      <c r="Y2" s="1281">
        <v>45901</v>
      </c>
      <c r="Z2" s="1281">
        <v>45931</v>
      </c>
      <c r="AA2" s="1281">
        <v>45962</v>
      </c>
      <c r="AB2" s="1281">
        <v>45992</v>
      </c>
      <c r="AC2" s="1282">
        <v>46023</v>
      </c>
      <c r="AD2" s="1282">
        <f>+AC2+365</f>
        <v>46388</v>
      </c>
      <c r="AE2" s="1282">
        <f t="shared" ref="AE2:AK2" si="0">+AD2+365</f>
        <v>46753</v>
      </c>
      <c r="AF2" s="1282">
        <f>+AE2+366</f>
        <v>47119</v>
      </c>
      <c r="AG2" s="1282">
        <f>+AF2+365</f>
        <v>47484</v>
      </c>
      <c r="AH2" s="1282">
        <f t="shared" si="0"/>
        <v>47849</v>
      </c>
      <c r="AI2" s="1282">
        <f t="shared" si="0"/>
        <v>48214</v>
      </c>
      <c r="AJ2" s="1282">
        <f t="shared" si="0"/>
        <v>48579</v>
      </c>
      <c r="AK2" s="1282">
        <f t="shared" si="0"/>
        <v>48944</v>
      </c>
      <c r="AL2" s="1283" t="s">
        <v>14</v>
      </c>
      <c r="AQ2" s="1309"/>
    </row>
    <row r="3" spans="1:43" s="1077" customFormat="1">
      <c r="A3" s="1077" t="s">
        <v>101</v>
      </c>
      <c r="B3" s="1077" t="s">
        <v>21</v>
      </c>
      <c r="C3" s="1149" t="s">
        <v>107</v>
      </c>
      <c r="D3" s="1077" t="s">
        <v>103</v>
      </c>
      <c r="E3" s="1077" t="s">
        <v>709</v>
      </c>
      <c r="F3" s="1078">
        <f>899.60311588-128.51473082</f>
        <v>771.08838506000006</v>
      </c>
      <c r="G3" s="1078">
        <f>+F3</f>
        <v>771.08838506000006</v>
      </c>
      <c r="H3" s="1259">
        <f>F3-G3</f>
        <v>0</v>
      </c>
      <c r="I3" s="1080">
        <v>0.09</v>
      </c>
      <c r="J3" s="1080"/>
      <c r="K3" s="1080" t="s">
        <v>588</v>
      </c>
      <c r="L3" s="1183">
        <f t="shared" ref="L3:L66" si="1">+G3*I3</f>
        <v>69.3979546554</v>
      </c>
      <c r="M3" s="1260">
        <v>43433</v>
      </c>
      <c r="N3" s="1260">
        <v>46353</v>
      </c>
      <c r="O3" s="1082"/>
      <c r="P3" s="1261"/>
      <c r="Q3" s="1262"/>
      <c r="R3" s="1262"/>
      <c r="S3" s="1262"/>
      <c r="T3" s="1262">
        <f t="shared" ref="T3:AA4" si="2">IF(U$2&lt;$N3,0,IF($N3&gt;T$2,$G3,0))</f>
        <v>0</v>
      </c>
      <c r="U3" s="1262">
        <f t="shared" si="2"/>
        <v>0</v>
      </c>
      <c r="V3" s="1262"/>
      <c r="W3" s="1262"/>
      <c r="X3" s="1262">
        <f t="shared" si="2"/>
        <v>0</v>
      </c>
      <c r="Y3" s="1262">
        <v>128.51473082000001</v>
      </c>
      <c r="Z3" s="1262">
        <f t="shared" si="2"/>
        <v>0</v>
      </c>
      <c r="AA3" s="1262">
        <f t="shared" si="2"/>
        <v>0</v>
      </c>
      <c r="AB3" s="1262">
        <v>128.51473082000001</v>
      </c>
      <c r="AC3" s="1262">
        <f>514.05892342</f>
        <v>514.05892342000004</v>
      </c>
      <c r="AD3" s="1284"/>
      <c r="AL3" s="1261">
        <f>SUM(Q3:AK3)</f>
        <v>771.08838506000006</v>
      </c>
      <c r="AM3" s="1183">
        <f>+AL3-G3</f>
        <v>0</v>
      </c>
      <c r="AN3" s="1077" t="str">
        <f>CONCATENATE(B3,K3,A3)</f>
        <v>CPFOFloatLTL</v>
      </c>
      <c r="AO3" s="1077" t="str">
        <f>CONCATENATE(B3,K3,A3,E3)</f>
        <v>CPFOFloatLTLyes</v>
      </c>
      <c r="AQ3" s="1310"/>
    </row>
    <row r="4" spans="1:43" s="1077" customFormat="1">
      <c r="A4" s="1077" t="s">
        <v>96</v>
      </c>
      <c r="B4" s="1077" t="s">
        <v>21</v>
      </c>
      <c r="C4" s="1149" t="s">
        <v>107</v>
      </c>
      <c r="D4" s="1077" t="s">
        <v>103</v>
      </c>
      <c r="E4" s="1077" t="s">
        <v>709</v>
      </c>
      <c r="F4" s="1078">
        <v>500</v>
      </c>
      <c r="G4" s="1078">
        <f>+F4</f>
        <v>500</v>
      </c>
      <c r="H4" s="1259">
        <f t="shared" ref="H4:H67" si="3">F4-G4</f>
        <v>0</v>
      </c>
      <c r="I4" s="1080">
        <v>0.11</v>
      </c>
      <c r="J4" s="1080"/>
      <c r="K4" s="1080" t="s">
        <v>588</v>
      </c>
      <c r="L4" s="1183">
        <f t="shared" si="1"/>
        <v>55</v>
      </c>
      <c r="M4" s="1260">
        <v>45649</v>
      </c>
      <c r="N4" s="1260">
        <v>46013</v>
      </c>
      <c r="O4" s="1082"/>
      <c r="P4" s="1261"/>
      <c r="Q4" s="1262"/>
      <c r="R4" s="1262"/>
      <c r="S4" s="1262"/>
      <c r="T4" s="1262">
        <f t="shared" si="2"/>
        <v>0</v>
      </c>
      <c r="U4" s="1262">
        <f t="shared" si="2"/>
        <v>0</v>
      </c>
      <c r="V4" s="1262"/>
      <c r="W4" s="1262"/>
      <c r="X4" s="1262">
        <f t="shared" si="2"/>
        <v>0</v>
      </c>
      <c r="Y4" s="1262">
        <f t="shared" si="2"/>
        <v>0</v>
      </c>
      <c r="Z4" s="1262">
        <f t="shared" si="2"/>
        <v>0</v>
      </c>
      <c r="AA4" s="1262">
        <f t="shared" si="2"/>
        <v>0</v>
      </c>
      <c r="AB4" s="1262">
        <f>IF(AC$2&lt;$N4,0,IF($N4&gt;AB$2,$G4,0))</f>
        <v>500</v>
      </c>
      <c r="AC4" s="1262"/>
      <c r="AD4" s="1262"/>
      <c r="AL4" s="1261">
        <f t="shared" ref="AL4:AL60" si="4">SUM(Q4:AK4)</f>
        <v>500</v>
      </c>
      <c r="AM4" s="1183">
        <f t="shared" ref="AM4:AM67" si="5">+AL4-G4</f>
        <v>0</v>
      </c>
      <c r="AN4" s="1077" t="str">
        <f>CONCATENATE(B4,K4,A4)</f>
        <v>CPFOFloatSTL</v>
      </c>
      <c r="AO4" s="1077" t="str">
        <f>CONCATENATE(B4,K4,A4,E4)</f>
        <v>CPFOFloatSTLyes</v>
      </c>
      <c r="AQ4" s="1310"/>
    </row>
    <row r="5" spans="1:43">
      <c r="G5" s="1078"/>
      <c r="H5" s="1259"/>
      <c r="L5" s="1183">
        <f t="shared" si="1"/>
        <v>0</v>
      </c>
      <c r="M5" s="1260"/>
      <c r="N5" s="1260"/>
      <c r="Q5" s="1262"/>
      <c r="R5" s="1262"/>
      <c r="S5" s="1262"/>
      <c r="T5" s="1262"/>
      <c r="U5" s="1262"/>
      <c r="V5" s="1262"/>
      <c r="W5" s="1262"/>
      <c r="X5" s="1262"/>
      <c r="Y5" s="1262"/>
      <c r="Z5" s="1262"/>
      <c r="AA5" s="1262"/>
      <c r="AB5" s="1262"/>
      <c r="AL5" s="1259">
        <f t="shared" si="4"/>
        <v>0</v>
      </c>
      <c r="AM5" s="1184">
        <f t="shared" si="5"/>
        <v>0</v>
      </c>
      <c r="AN5" s="1077"/>
      <c r="AO5" s="1077"/>
    </row>
    <row r="6" spans="1:43">
      <c r="A6" s="1077" t="s">
        <v>96</v>
      </c>
      <c r="B6" s="1077" t="s">
        <v>102</v>
      </c>
      <c r="C6" s="1149" t="s">
        <v>59</v>
      </c>
      <c r="D6" s="1077" t="s">
        <v>108</v>
      </c>
      <c r="E6" s="1077" t="s">
        <v>709</v>
      </c>
      <c r="F6" s="1078">
        <v>300</v>
      </c>
      <c r="G6" s="1078">
        <v>300</v>
      </c>
      <c r="H6" s="1259">
        <f t="shared" si="3"/>
        <v>0</v>
      </c>
      <c r="I6" s="1080">
        <v>0.11</v>
      </c>
      <c r="K6" s="1080" t="s">
        <v>588</v>
      </c>
      <c r="L6" s="1183">
        <f t="shared" si="1"/>
        <v>33</v>
      </c>
      <c r="M6" s="1260">
        <v>45625</v>
      </c>
      <c r="N6" s="1260">
        <f>+M6+365</f>
        <v>45990</v>
      </c>
      <c r="Q6" s="1262"/>
      <c r="R6" s="1262"/>
      <c r="S6" s="1262"/>
      <c r="T6" s="1262">
        <v>0</v>
      </c>
      <c r="U6" s="1262">
        <v>0</v>
      </c>
      <c r="V6" s="1262"/>
      <c r="W6" s="1262"/>
      <c r="X6" s="1262">
        <v>0</v>
      </c>
      <c r="Y6" s="1262">
        <v>0</v>
      </c>
      <c r="Z6" s="1262">
        <v>0</v>
      </c>
      <c r="AA6" s="1262">
        <v>300</v>
      </c>
      <c r="AB6" s="1262">
        <v>0</v>
      </c>
      <c r="AC6" s="1263"/>
      <c r="AL6" s="1259">
        <f t="shared" si="4"/>
        <v>300</v>
      </c>
      <c r="AM6" s="1184">
        <f t="shared" si="5"/>
        <v>0</v>
      </c>
      <c r="AN6" s="1077" t="str">
        <f t="shared" ref="AN6:AN69" si="6">CONCATENATE(B6,K6,A6)</f>
        <v>SWFloatSTL</v>
      </c>
      <c r="AO6" s="1077" t="str">
        <f t="shared" ref="AO6:AO69" si="7">CONCATENATE(B6,K6,A6,E6)</f>
        <v>SWFloatSTLyes</v>
      </c>
    </row>
    <row r="7" spans="1:43">
      <c r="A7" s="1077" t="s">
        <v>96</v>
      </c>
      <c r="B7" s="1077" t="s">
        <v>102</v>
      </c>
      <c r="C7" s="1149" t="s">
        <v>59</v>
      </c>
      <c r="D7" s="1077" t="s">
        <v>100</v>
      </c>
      <c r="E7" s="1077" t="s">
        <v>709</v>
      </c>
      <c r="F7" s="1078">
        <v>300</v>
      </c>
      <c r="G7" s="1078">
        <v>300</v>
      </c>
      <c r="H7" s="1259">
        <f t="shared" si="3"/>
        <v>0</v>
      </c>
      <c r="I7" s="1080">
        <v>0.11</v>
      </c>
      <c r="K7" s="1080" t="s">
        <v>588</v>
      </c>
      <c r="L7" s="1183">
        <f t="shared" si="1"/>
        <v>33</v>
      </c>
      <c r="M7" s="1260">
        <v>45790</v>
      </c>
      <c r="N7" s="1260">
        <f>+M7+365</f>
        <v>46155</v>
      </c>
      <c r="Q7" s="1262"/>
      <c r="R7" s="1262"/>
      <c r="S7" s="1262"/>
      <c r="T7" s="1262">
        <v>0</v>
      </c>
      <c r="U7" s="1262">
        <v>0</v>
      </c>
      <c r="V7" s="1262"/>
      <c r="W7" s="1262"/>
      <c r="X7" s="1262">
        <v>0</v>
      </c>
      <c r="Y7" s="1262">
        <v>0</v>
      </c>
      <c r="Z7" s="1262">
        <v>0</v>
      </c>
      <c r="AA7" s="1262"/>
      <c r="AB7" s="1262">
        <v>0</v>
      </c>
      <c r="AC7" s="1263">
        <f>+G7</f>
        <v>300</v>
      </c>
      <c r="AL7" s="1259">
        <f t="shared" ref="AL7" si="8">SUM(Q7:AK7)</f>
        <v>300</v>
      </c>
      <c r="AM7" s="1184">
        <f t="shared" si="5"/>
        <v>0</v>
      </c>
      <c r="AN7" s="1077" t="str">
        <f t="shared" si="6"/>
        <v>SWFloatSTL</v>
      </c>
      <c r="AO7" s="1077" t="str">
        <f t="shared" si="7"/>
        <v>SWFloatSTLyes</v>
      </c>
    </row>
    <row r="8" spans="1:43">
      <c r="A8" s="1077" t="s">
        <v>101</v>
      </c>
      <c r="B8" s="1077" t="s">
        <v>102</v>
      </c>
      <c r="C8" s="1149" t="s">
        <v>59</v>
      </c>
      <c r="D8" s="1077" t="s">
        <v>108</v>
      </c>
      <c r="E8" s="1077" t="s">
        <v>709</v>
      </c>
      <c r="F8" s="1078">
        <f>729.11-104.17-104.17</f>
        <v>520.7700000000001</v>
      </c>
      <c r="G8" s="1078">
        <f>+F8</f>
        <v>520.7700000000001</v>
      </c>
      <c r="H8" s="1259">
        <f>F8-G8</f>
        <v>0</v>
      </c>
      <c r="I8" s="1080">
        <v>0.1</v>
      </c>
      <c r="K8" s="1080" t="s">
        <v>589</v>
      </c>
      <c r="L8" s="1183">
        <f t="shared" si="1"/>
        <v>52.077000000000012</v>
      </c>
      <c r="M8" s="1260">
        <v>44190</v>
      </c>
      <c r="N8" s="1260">
        <v>46015</v>
      </c>
      <c r="Q8" s="1262"/>
      <c r="R8" s="1262"/>
      <c r="S8" s="1262"/>
      <c r="T8" s="1262"/>
      <c r="U8" s="1262"/>
      <c r="V8" s="1262"/>
      <c r="W8" s="1262"/>
      <c r="X8" s="1262">
        <v>104.17</v>
      </c>
      <c r="Y8" s="1262">
        <v>104.17</v>
      </c>
      <c r="Z8" s="1262">
        <v>104.17</v>
      </c>
      <c r="AA8" s="1262">
        <v>104.17</v>
      </c>
      <c r="AB8" s="1262">
        <v>104.08999999999962</v>
      </c>
      <c r="AC8" s="1263"/>
      <c r="AD8" s="1285"/>
      <c r="AE8" s="1285"/>
      <c r="AF8" s="1285"/>
      <c r="AG8" s="1263"/>
      <c r="AH8" s="1263"/>
      <c r="AL8" s="1259">
        <f>SUM(Q8:AK8)</f>
        <v>520.76999999999964</v>
      </c>
      <c r="AM8" s="1184">
        <f>+AL8-G8</f>
        <v>0</v>
      </c>
      <c r="AN8" s="1077" t="str">
        <f t="shared" si="6"/>
        <v>SWFixLTL</v>
      </c>
      <c r="AO8" s="1077" t="str">
        <f t="shared" si="7"/>
        <v>SWFixLTLyes</v>
      </c>
    </row>
    <row r="9" spans="1:43">
      <c r="A9" s="1077" t="s">
        <v>96</v>
      </c>
      <c r="B9" s="1077" t="s">
        <v>102</v>
      </c>
      <c r="C9" s="1149" t="s">
        <v>60</v>
      </c>
      <c r="D9" s="1077" t="s">
        <v>108</v>
      </c>
      <c r="E9" s="1077" t="s">
        <v>709</v>
      </c>
      <c r="F9" s="1078">
        <v>300</v>
      </c>
      <c r="G9" s="1078">
        <v>300</v>
      </c>
      <c r="H9" s="1259">
        <f t="shared" si="3"/>
        <v>0</v>
      </c>
      <c r="I9" s="1080">
        <v>0.11</v>
      </c>
      <c r="K9" s="1080" t="s">
        <v>588</v>
      </c>
      <c r="L9" s="1183">
        <f t="shared" si="1"/>
        <v>33</v>
      </c>
      <c r="M9" s="1260">
        <v>45625</v>
      </c>
      <c r="N9" s="1260">
        <f>+M9+365</f>
        <v>45990</v>
      </c>
      <c r="Q9" s="1262"/>
      <c r="R9" s="1262"/>
      <c r="S9" s="1262"/>
      <c r="T9" s="1262">
        <v>0</v>
      </c>
      <c r="U9" s="1262">
        <v>0</v>
      </c>
      <c r="V9" s="1262"/>
      <c r="W9" s="1262"/>
      <c r="X9" s="1262">
        <v>0</v>
      </c>
      <c r="Y9" s="1262">
        <v>0</v>
      </c>
      <c r="Z9" s="1262">
        <v>0</v>
      </c>
      <c r="AA9" s="1262">
        <v>300</v>
      </c>
      <c r="AB9" s="1262">
        <v>0</v>
      </c>
      <c r="AC9" s="1263"/>
      <c r="AL9" s="1259">
        <f t="shared" si="4"/>
        <v>300</v>
      </c>
      <c r="AM9" s="1184">
        <f t="shared" si="5"/>
        <v>0</v>
      </c>
      <c r="AN9" s="1077" t="str">
        <f t="shared" si="6"/>
        <v>SWFloatSTL</v>
      </c>
      <c r="AO9" s="1077" t="str">
        <f t="shared" si="7"/>
        <v>SWFloatSTLyes</v>
      </c>
    </row>
    <row r="10" spans="1:43">
      <c r="A10" s="1077" t="s">
        <v>96</v>
      </c>
      <c r="B10" s="1077" t="s">
        <v>102</v>
      </c>
      <c r="C10" s="1149" t="s">
        <v>60</v>
      </c>
      <c r="D10" s="1077" t="s">
        <v>108</v>
      </c>
      <c r="E10" s="1077" t="s">
        <v>709</v>
      </c>
      <c r="F10" s="1078">
        <v>300</v>
      </c>
      <c r="G10" s="1078">
        <v>300</v>
      </c>
      <c r="H10" s="1259">
        <f t="shared" si="3"/>
        <v>0</v>
      </c>
      <c r="I10" s="1080">
        <v>0.11</v>
      </c>
      <c r="K10" s="1080" t="s">
        <v>588</v>
      </c>
      <c r="L10" s="1183">
        <f t="shared" si="1"/>
        <v>33</v>
      </c>
      <c r="M10" s="1260">
        <v>45784</v>
      </c>
      <c r="N10" s="1260">
        <f>+M10+365</f>
        <v>46149</v>
      </c>
      <c r="Q10" s="1262"/>
      <c r="R10" s="1262"/>
      <c r="S10" s="1262"/>
      <c r="T10" s="1262">
        <v>0</v>
      </c>
      <c r="U10" s="1262">
        <v>0</v>
      </c>
      <c r="V10" s="1262"/>
      <c r="W10" s="1262"/>
      <c r="X10" s="1262">
        <v>0</v>
      </c>
      <c r="Y10" s="1262">
        <v>0</v>
      </c>
      <c r="Z10" s="1262">
        <v>0</v>
      </c>
      <c r="AA10" s="1262"/>
      <c r="AB10" s="1262">
        <v>0</v>
      </c>
      <c r="AC10" s="1263">
        <f>+G10</f>
        <v>300</v>
      </c>
      <c r="AL10" s="1259">
        <f>SUM(Q10:AK10)</f>
        <v>300</v>
      </c>
      <c r="AM10" s="1184">
        <f>+AL10-G10</f>
        <v>0</v>
      </c>
      <c r="AN10" s="1077" t="str">
        <f t="shared" si="6"/>
        <v>SWFloatSTL</v>
      </c>
      <c r="AO10" s="1077" t="str">
        <f t="shared" si="7"/>
        <v>SWFloatSTLyes</v>
      </c>
    </row>
    <row r="11" spans="1:43">
      <c r="A11" s="1077" t="s">
        <v>101</v>
      </c>
      <c r="B11" s="1077" t="s">
        <v>102</v>
      </c>
      <c r="C11" s="1149" t="s">
        <v>60</v>
      </c>
      <c r="D11" s="1077" t="s">
        <v>100</v>
      </c>
      <c r="E11" s="1077" t="s">
        <v>709</v>
      </c>
      <c r="F11" s="1078">
        <v>1997.03</v>
      </c>
      <c r="G11" s="1078">
        <f>+F11</f>
        <v>1997.03</v>
      </c>
      <c r="H11" s="1259">
        <f t="shared" si="3"/>
        <v>0</v>
      </c>
      <c r="I11" s="1080">
        <v>4.4200000000000003E-2</v>
      </c>
      <c r="K11" s="1080" t="s">
        <v>589</v>
      </c>
      <c r="L11" s="1183">
        <f t="shared" si="1"/>
        <v>88.268726000000001</v>
      </c>
      <c r="M11" s="1260">
        <v>44775</v>
      </c>
      <c r="N11" s="1260">
        <v>47331</v>
      </c>
      <c r="Q11" s="1262"/>
      <c r="R11" s="1262"/>
      <c r="S11" s="1262"/>
      <c r="T11" s="1262"/>
      <c r="U11" s="1262"/>
      <c r="V11" s="1262"/>
      <c r="W11" s="1262"/>
      <c r="X11" s="1262">
        <v>41.787970610000002</v>
      </c>
      <c r="Y11" s="1262">
        <v>41.787970610000002</v>
      </c>
      <c r="Z11" s="1262">
        <v>41.787970610000002</v>
      </c>
      <c r="AA11" s="1262">
        <v>41.787970610000002</v>
      </c>
      <c r="AB11" s="1262">
        <v>41.787970610000002</v>
      </c>
      <c r="AC11" s="1259">
        <v>501.46</v>
      </c>
      <c r="AD11" s="1259">
        <v>501.46</v>
      </c>
      <c r="AE11" s="1259">
        <v>501.46</v>
      </c>
      <c r="AF11" s="1259">
        <v>283.71014694999985</v>
      </c>
      <c r="AG11" s="1259"/>
      <c r="AL11" s="1259">
        <f t="shared" si="4"/>
        <v>1997.03</v>
      </c>
      <c r="AM11" s="1184">
        <f>+AL11-G11</f>
        <v>0</v>
      </c>
      <c r="AN11" s="1077" t="str">
        <f t="shared" si="6"/>
        <v>SWFixLTL</v>
      </c>
      <c r="AO11" s="1077" t="str">
        <f t="shared" si="7"/>
        <v>SWFixLTLyes</v>
      </c>
    </row>
    <row r="12" spans="1:43">
      <c r="G12" s="1078"/>
      <c r="H12" s="1259"/>
      <c r="L12" s="1183">
        <f t="shared" si="1"/>
        <v>0</v>
      </c>
      <c r="M12" s="1260"/>
      <c r="N12" s="1260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59"/>
      <c r="AD12" s="1259"/>
      <c r="AE12" s="1259"/>
      <c r="AF12" s="1259"/>
      <c r="AG12" s="1259"/>
      <c r="AL12" s="1259">
        <f t="shared" si="4"/>
        <v>0</v>
      </c>
      <c r="AM12" s="1184">
        <f t="shared" si="5"/>
        <v>0</v>
      </c>
      <c r="AN12" s="1077"/>
      <c r="AO12" s="1077"/>
    </row>
    <row r="13" spans="1:43">
      <c r="A13" s="1077" t="s">
        <v>96</v>
      </c>
      <c r="B13" s="1077" t="s">
        <v>583</v>
      </c>
      <c r="C13" s="1149" t="s">
        <v>666</v>
      </c>
      <c r="D13" s="1077" t="s">
        <v>100</v>
      </c>
      <c r="E13" s="1077" t="s">
        <v>709</v>
      </c>
      <c r="F13" s="1078">
        <v>100</v>
      </c>
      <c r="G13" s="1258">
        <v>100</v>
      </c>
      <c r="H13" s="1259">
        <f t="shared" si="3"/>
        <v>0</v>
      </c>
      <c r="I13" s="1080">
        <v>0.10999999999999999</v>
      </c>
      <c r="K13" s="1170" t="s">
        <v>588</v>
      </c>
      <c r="L13" s="1183">
        <f t="shared" si="1"/>
        <v>10.999999999999998</v>
      </c>
      <c r="M13" s="1260">
        <v>45726</v>
      </c>
      <c r="N13" s="1260">
        <v>46090</v>
      </c>
      <c r="Q13" s="1262"/>
      <c r="R13" s="1262"/>
      <c r="S13" s="1262"/>
      <c r="T13" s="1262">
        <f>IF(U$2&lt;$N13,0,IF($N13&gt;T$2,$G13,0))</f>
        <v>0</v>
      </c>
      <c r="U13" s="1262">
        <f>IF(V$2&lt;$N13,0,IF($N13&gt;U$2,$G13,0))</f>
        <v>0</v>
      </c>
      <c r="V13" s="1262"/>
      <c r="W13" s="1262"/>
      <c r="X13" s="1262">
        <f t="shared" ref="X13:Z13" si="9">IF(Y$2&lt;$N13,0,IF($N13&gt;X$2,$G13,0))</f>
        <v>0</v>
      </c>
      <c r="Y13" s="1262">
        <f t="shared" si="9"/>
        <v>0</v>
      </c>
      <c r="Z13" s="1262">
        <f t="shared" si="9"/>
        <v>0</v>
      </c>
      <c r="AA13" s="1262">
        <f>IF(AB$2&lt;$N13,0,IF($N13&gt;AA$2,$G13,0))</f>
        <v>0</v>
      </c>
      <c r="AB13" s="1262">
        <f>IF(AC$2&lt;$N13,0,IF($N13&gt;AB$2,$G13,0))</f>
        <v>0</v>
      </c>
      <c r="AC13" s="1262">
        <f>IF(AD$2&lt;$N13,0,IF($N13&gt;AC$2,$G13,0))</f>
        <v>100</v>
      </c>
      <c r="AD13" s="1262"/>
      <c r="AE13" s="1263"/>
      <c r="AL13" s="1259">
        <f t="shared" si="4"/>
        <v>100</v>
      </c>
      <c r="AM13" s="1184">
        <f t="shared" si="5"/>
        <v>0</v>
      </c>
      <c r="AN13" s="1077" t="str">
        <f t="shared" si="6"/>
        <v>APKFloatSTL</v>
      </c>
      <c r="AO13" s="1077" t="str">
        <f t="shared" si="7"/>
        <v>APKFloatSTLyes</v>
      </c>
    </row>
    <row r="14" spans="1:43">
      <c r="A14" s="1077" t="s">
        <v>96</v>
      </c>
      <c r="B14" s="1077" t="s">
        <v>583</v>
      </c>
      <c r="C14" s="1149" t="s">
        <v>667</v>
      </c>
      <c r="D14" s="1077" t="s">
        <v>100</v>
      </c>
      <c r="E14" s="1077" t="s">
        <v>710</v>
      </c>
      <c r="F14" s="1078">
        <v>100</v>
      </c>
      <c r="G14" s="1258">
        <v>100</v>
      </c>
      <c r="H14" s="1259">
        <f t="shared" si="3"/>
        <v>0</v>
      </c>
      <c r="I14" s="1080">
        <v>0.10999999999999999</v>
      </c>
      <c r="K14" s="1170" t="s">
        <v>588</v>
      </c>
      <c r="L14" s="1183">
        <f t="shared" si="1"/>
        <v>10.999999999999998</v>
      </c>
      <c r="M14" s="1260">
        <v>45726</v>
      </c>
      <c r="N14" s="1260">
        <v>46090</v>
      </c>
      <c r="Q14" s="1262"/>
      <c r="R14" s="1262"/>
      <c r="S14" s="1262"/>
      <c r="T14" s="1262">
        <f t="shared" ref="T14:AC29" si="10">IF(U$2&lt;$N14,0,IF($N14&gt;T$2,$G14,0))</f>
        <v>0</v>
      </c>
      <c r="U14" s="1262">
        <f t="shared" si="10"/>
        <v>0</v>
      </c>
      <c r="V14" s="1262"/>
      <c r="W14" s="1262"/>
      <c r="X14" s="1262">
        <f t="shared" si="10"/>
        <v>0</v>
      </c>
      <c r="Y14" s="1262">
        <f t="shared" si="10"/>
        <v>0</v>
      </c>
      <c r="Z14" s="1262">
        <f t="shared" si="10"/>
        <v>0</v>
      </c>
      <c r="AA14" s="1262">
        <f t="shared" si="10"/>
        <v>0</v>
      </c>
      <c r="AB14" s="1262">
        <f t="shared" si="10"/>
        <v>0</v>
      </c>
      <c r="AC14" s="1262">
        <f t="shared" si="10"/>
        <v>100</v>
      </c>
      <c r="AD14" s="1262"/>
      <c r="AE14" s="1263"/>
      <c r="AL14" s="1259">
        <f t="shared" si="4"/>
        <v>100</v>
      </c>
      <c r="AM14" s="1184">
        <f t="shared" si="5"/>
        <v>0</v>
      </c>
      <c r="AN14" s="1077" t="str">
        <f t="shared" si="6"/>
        <v>APKFloatSTL</v>
      </c>
      <c r="AO14" s="1077" t="str">
        <f t="shared" si="7"/>
        <v>APKFloatSTLno</v>
      </c>
    </row>
    <row r="15" spans="1:43">
      <c r="A15" s="1077" t="s">
        <v>96</v>
      </c>
      <c r="B15" s="1077" t="s">
        <v>583</v>
      </c>
      <c r="C15" s="1149" t="s">
        <v>668</v>
      </c>
      <c r="D15" s="1077" t="s">
        <v>100</v>
      </c>
      <c r="E15" s="1077" t="s">
        <v>709</v>
      </c>
      <c r="F15" s="1078">
        <v>225</v>
      </c>
      <c r="G15" s="1258">
        <v>225</v>
      </c>
      <c r="H15" s="1259">
        <f t="shared" si="3"/>
        <v>0</v>
      </c>
      <c r="I15" s="1080">
        <v>0.10999999999999999</v>
      </c>
      <c r="K15" s="1170" t="s">
        <v>588</v>
      </c>
      <c r="L15" s="1183">
        <f t="shared" si="1"/>
        <v>24.749999999999996</v>
      </c>
      <c r="M15" s="1260">
        <v>45744</v>
      </c>
      <c r="N15" s="1260">
        <v>46108</v>
      </c>
      <c r="Q15" s="1262"/>
      <c r="R15" s="1262"/>
      <c r="S15" s="1262"/>
      <c r="T15" s="1262">
        <f t="shared" si="10"/>
        <v>0</v>
      </c>
      <c r="U15" s="1262">
        <f t="shared" si="10"/>
        <v>0</v>
      </c>
      <c r="V15" s="1262"/>
      <c r="W15" s="1262"/>
      <c r="X15" s="1262">
        <f t="shared" si="10"/>
        <v>0</v>
      </c>
      <c r="Y15" s="1262">
        <f t="shared" si="10"/>
        <v>0</v>
      </c>
      <c r="Z15" s="1262">
        <f t="shared" si="10"/>
        <v>0</v>
      </c>
      <c r="AA15" s="1262">
        <f t="shared" si="10"/>
        <v>0</v>
      </c>
      <c r="AB15" s="1262">
        <f t="shared" si="10"/>
        <v>0</v>
      </c>
      <c r="AC15" s="1262">
        <f t="shared" si="10"/>
        <v>225</v>
      </c>
      <c r="AD15" s="1262"/>
      <c r="AE15" s="1263"/>
      <c r="AL15" s="1259">
        <f t="shared" si="4"/>
        <v>225</v>
      </c>
      <c r="AM15" s="1184">
        <f t="shared" si="5"/>
        <v>0</v>
      </c>
      <c r="AN15" s="1077" t="str">
        <f t="shared" si="6"/>
        <v>APKFloatSTL</v>
      </c>
      <c r="AO15" s="1077" t="str">
        <f t="shared" si="7"/>
        <v>APKFloatSTLyes</v>
      </c>
    </row>
    <row r="16" spans="1:43">
      <c r="A16" s="1077" t="s">
        <v>96</v>
      </c>
      <c r="B16" s="1077" t="s">
        <v>583</v>
      </c>
      <c r="C16" s="1149" t="s">
        <v>669</v>
      </c>
      <c r="D16" s="1077" t="s">
        <v>100</v>
      </c>
      <c r="E16" s="1077" t="s">
        <v>709</v>
      </c>
      <c r="F16" s="1078">
        <v>50</v>
      </c>
      <c r="G16" s="1258">
        <v>50</v>
      </c>
      <c r="H16" s="1259">
        <f t="shared" si="3"/>
        <v>0</v>
      </c>
      <c r="I16" s="1080">
        <v>7.3999999999999982E-2</v>
      </c>
      <c r="K16" s="1170" t="s">
        <v>588</v>
      </c>
      <c r="L16" s="1183">
        <f t="shared" si="1"/>
        <v>3.6999999999999993</v>
      </c>
      <c r="M16" s="1260">
        <v>45719</v>
      </c>
      <c r="N16" s="1260">
        <v>46083</v>
      </c>
      <c r="Q16" s="1262"/>
      <c r="R16" s="1262"/>
      <c r="S16" s="1262"/>
      <c r="T16" s="1262">
        <f t="shared" si="10"/>
        <v>0</v>
      </c>
      <c r="U16" s="1262">
        <f t="shared" si="10"/>
        <v>0</v>
      </c>
      <c r="V16" s="1262"/>
      <c r="W16" s="1262"/>
      <c r="X16" s="1262">
        <f t="shared" si="10"/>
        <v>0</v>
      </c>
      <c r="Y16" s="1262">
        <f t="shared" si="10"/>
        <v>0</v>
      </c>
      <c r="Z16" s="1262">
        <f t="shared" si="10"/>
        <v>0</v>
      </c>
      <c r="AA16" s="1262">
        <f t="shared" si="10"/>
        <v>0</v>
      </c>
      <c r="AB16" s="1262">
        <f t="shared" si="10"/>
        <v>0</v>
      </c>
      <c r="AC16" s="1262">
        <f t="shared" si="10"/>
        <v>50</v>
      </c>
      <c r="AD16" s="1262"/>
      <c r="AE16" s="1263"/>
      <c r="AL16" s="1259">
        <f t="shared" si="4"/>
        <v>50</v>
      </c>
      <c r="AM16" s="1184">
        <f t="shared" si="5"/>
        <v>0</v>
      </c>
      <c r="AN16" s="1077" t="str">
        <f t="shared" si="6"/>
        <v>APKFloatSTL</v>
      </c>
      <c r="AO16" s="1077" t="str">
        <f t="shared" si="7"/>
        <v>APKFloatSTLyes</v>
      </c>
    </row>
    <row r="17" spans="1:41">
      <c r="A17" s="1077" t="s">
        <v>96</v>
      </c>
      <c r="B17" s="1077" t="s">
        <v>583</v>
      </c>
      <c r="C17" s="1149" t="s">
        <v>670</v>
      </c>
      <c r="D17" s="1077" t="s">
        <v>100</v>
      </c>
      <c r="E17" s="1077" t="s">
        <v>709</v>
      </c>
      <c r="F17" s="1078">
        <v>100</v>
      </c>
      <c r="G17" s="1258">
        <v>100</v>
      </c>
      <c r="H17" s="1259">
        <f t="shared" si="3"/>
        <v>0</v>
      </c>
      <c r="I17" s="1080">
        <v>7.3999999999999982E-2</v>
      </c>
      <c r="K17" s="1170" t="s">
        <v>588</v>
      </c>
      <c r="L17" s="1183">
        <f t="shared" si="1"/>
        <v>7.3999999999999986</v>
      </c>
      <c r="M17" s="1260">
        <v>45719</v>
      </c>
      <c r="N17" s="1260">
        <v>46083</v>
      </c>
      <c r="Q17" s="1262"/>
      <c r="R17" s="1262"/>
      <c r="S17" s="1262"/>
      <c r="T17" s="1262">
        <f t="shared" si="10"/>
        <v>0</v>
      </c>
      <c r="U17" s="1262">
        <f t="shared" si="10"/>
        <v>0</v>
      </c>
      <c r="V17" s="1262"/>
      <c r="W17" s="1262"/>
      <c r="X17" s="1262">
        <f t="shared" si="10"/>
        <v>0</v>
      </c>
      <c r="Y17" s="1262">
        <f t="shared" si="10"/>
        <v>0</v>
      </c>
      <c r="Z17" s="1262">
        <f t="shared" si="10"/>
        <v>0</v>
      </c>
      <c r="AA17" s="1262">
        <f t="shared" si="10"/>
        <v>0</v>
      </c>
      <c r="AB17" s="1262">
        <f t="shared" si="10"/>
        <v>0</v>
      </c>
      <c r="AC17" s="1262">
        <f t="shared" si="10"/>
        <v>100</v>
      </c>
      <c r="AD17" s="1262"/>
      <c r="AE17" s="1263"/>
      <c r="AL17" s="1259">
        <f t="shared" si="4"/>
        <v>100</v>
      </c>
      <c r="AM17" s="1184">
        <f t="shared" si="5"/>
        <v>0</v>
      </c>
      <c r="AN17" s="1077" t="str">
        <f t="shared" si="6"/>
        <v>APKFloatSTL</v>
      </c>
      <c r="AO17" s="1077" t="str">
        <f t="shared" si="7"/>
        <v>APKFloatSTLyes</v>
      </c>
    </row>
    <row r="18" spans="1:41">
      <c r="A18" s="1077" t="s">
        <v>96</v>
      </c>
      <c r="B18" s="1077" t="s">
        <v>583</v>
      </c>
      <c r="C18" s="1149" t="s">
        <v>671</v>
      </c>
      <c r="D18" s="1077" t="s">
        <v>100</v>
      </c>
      <c r="E18" s="1077" t="s">
        <v>709</v>
      </c>
      <c r="F18" s="1078">
        <v>200</v>
      </c>
      <c r="G18" s="1258">
        <v>200</v>
      </c>
      <c r="H18" s="1259">
        <f t="shared" si="3"/>
        <v>0</v>
      </c>
      <c r="I18" s="1080">
        <v>7.3999999999999982E-2</v>
      </c>
      <c r="K18" s="1170" t="s">
        <v>588</v>
      </c>
      <c r="L18" s="1183">
        <f t="shared" si="1"/>
        <v>14.799999999999997</v>
      </c>
      <c r="M18" s="1260">
        <v>45719</v>
      </c>
      <c r="N18" s="1260">
        <v>46083</v>
      </c>
      <c r="Q18" s="1262"/>
      <c r="R18" s="1262"/>
      <c r="S18" s="1262"/>
      <c r="T18" s="1262">
        <f t="shared" si="10"/>
        <v>0</v>
      </c>
      <c r="U18" s="1262">
        <f t="shared" si="10"/>
        <v>0</v>
      </c>
      <c r="V18" s="1262"/>
      <c r="W18" s="1262"/>
      <c r="X18" s="1262">
        <f t="shared" si="10"/>
        <v>0</v>
      </c>
      <c r="Y18" s="1262">
        <f t="shared" si="10"/>
        <v>0</v>
      </c>
      <c r="Z18" s="1262">
        <f t="shared" si="10"/>
        <v>0</v>
      </c>
      <c r="AA18" s="1262">
        <f t="shared" si="10"/>
        <v>0</v>
      </c>
      <c r="AB18" s="1262">
        <f t="shared" si="10"/>
        <v>0</v>
      </c>
      <c r="AC18" s="1262">
        <f t="shared" si="10"/>
        <v>200</v>
      </c>
      <c r="AD18" s="1262"/>
      <c r="AE18" s="1263"/>
      <c r="AL18" s="1259">
        <f t="shared" si="4"/>
        <v>200</v>
      </c>
      <c r="AM18" s="1184">
        <f t="shared" si="5"/>
        <v>0</v>
      </c>
      <c r="AN18" s="1077" t="str">
        <f t="shared" si="6"/>
        <v>APKFloatSTL</v>
      </c>
      <c r="AO18" s="1077" t="str">
        <f t="shared" si="7"/>
        <v>APKFloatSTLyes</v>
      </c>
    </row>
    <row r="19" spans="1:41">
      <c r="A19" s="1077" t="s">
        <v>96</v>
      </c>
      <c r="B19" s="1077" t="s">
        <v>583</v>
      </c>
      <c r="C19" s="1149" t="s">
        <v>672</v>
      </c>
      <c r="D19" s="1077" t="s">
        <v>100</v>
      </c>
      <c r="E19" s="1077" t="s">
        <v>709</v>
      </c>
      <c r="F19" s="1078">
        <v>100</v>
      </c>
      <c r="G19" s="1258">
        <v>100</v>
      </c>
      <c r="H19" s="1259">
        <f t="shared" si="3"/>
        <v>0</v>
      </c>
      <c r="I19" s="1080">
        <v>7.3999999999999982E-2</v>
      </c>
      <c r="K19" s="1170" t="s">
        <v>588</v>
      </c>
      <c r="L19" s="1183">
        <f t="shared" si="1"/>
        <v>7.3999999999999986</v>
      </c>
      <c r="M19" s="1260">
        <v>45722</v>
      </c>
      <c r="N19" s="1260">
        <v>46086</v>
      </c>
      <c r="Q19" s="1262"/>
      <c r="R19" s="1262"/>
      <c r="S19" s="1262"/>
      <c r="T19" s="1262">
        <f t="shared" si="10"/>
        <v>0</v>
      </c>
      <c r="U19" s="1262">
        <f t="shared" si="10"/>
        <v>0</v>
      </c>
      <c r="V19" s="1262"/>
      <c r="W19" s="1262"/>
      <c r="X19" s="1262">
        <f t="shared" si="10"/>
        <v>0</v>
      </c>
      <c r="Y19" s="1262">
        <f t="shared" si="10"/>
        <v>0</v>
      </c>
      <c r="Z19" s="1262">
        <f t="shared" si="10"/>
        <v>0</v>
      </c>
      <c r="AA19" s="1262">
        <f t="shared" si="10"/>
        <v>0</v>
      </c>
      <c r="AB19" s="1262">
        <f t="shared" si="10"/>
        <v>0</v>
      </c>
      <c r="AC19" s="1262">
        <f t="shared" si="10"/>
        <v>100</v>
      </c>
      <c r="AD19" s="1262"/>
      <c r="AE19" s="1263"/>
      <c r="AL19" s="1259">
        <f t="shared" si="4"/>
        <v>100</v>
      </c>
      <c r="AM19" s="1184">
        <f t="shared" si="5"/>
        <v>0</v>
      </c>
      <c r="AN19" s="1077" t="str">
        <f t="shared" si="6"/>
        <v>APKFloatSTL</v>
      </c>
      <c r="AO19" s="1077" t="str">
        <f t="shared" si="7"/>
        <v>APKFloatSTLyes</v>
      </c>
    </row>
    <row r="20" spans="1:41">
      <c r="A20" s="1077" t="s">
        <v>96</v>
      </c>
      <c r="B20" s="1077" t="s">
        <v>41</v>
      </c>
      <c r="C20" s="1149" t="s">
        <v>673</v>
      </c>
      <c r="D20" s="1077" t="s">
        <v>100</v>
      </c>
      <c r="E20" s="1077" t="s">
        <v>710</v>
      </c>
      <c r="F20" s="1078">
        <v>200</v>
      </c>
      <c r="G20" s="1258">
        <v>200</v>
      </c>
      <c r="H20" s="1259">
        <f t="shared" si="3"/>
        <v>0</v>
      </c>
      <c r="I20" s="1080">
        <v>0.22769999999999999</v>
      </c>
      <c r="K20" s="1080" t="s">
        <v>588</v>
      </c>
      <c r="L20" s="1183">
        <f t="shared" si="1"/>
        <v>45.54</v>
      </c>
      <c r="M20" s="1260">
        <v>45722</v>
      </c>
      <c r="N20" s="1260">
        <v>46086</v>
      </c>
      <c r="Q20" s="1262"/>
      <c r="R20" s="1262"/>
      <c r="S20" s="1262"/>
      <c r="T20" s="1262">
        <f t="shared" si="10"/>
        <v>0</v>
      </c>
      <c r="U20" s="1262">
        <f t="shared" si="10"/>
        <v>0</v>
      </c>
      <c r="V20" s="1262"/>
      <c r="W20" s="1262"/>
      <c r="X20" s="1262">
        <f t="shared" si="10"/>
        <v>0</v>
      </c>
      <c r="Y20" s="1262">
        <f t="shared" si="10"/>
        <v>0</v>
      </c>
      <c r="Z20" s="1262">
        <f t="shared" si="10"/>
        <v>0</v>
      </c>
      <c r="AA20" s="1262">
        <f t="shared" si="10"/>
        <v>0</v>
      </c>
      <c r="AB20" s="1262">
        <f t="shared" si="10"/>
        <v>0</v>
      </c>
      <c r="AC20" s="1262">
        <f t="shared" si="10"/>
        <v>200</v>
      </c>
      <c r="AD20" s="1262"/>
      <c r="AE20" s="1263"/>
      <c r="AL20" s="1259">
        <f t="shared" si="4"/>
        <v>200</v>
      </c>
      <c r="AM20" s="1184">
        <f t="shared" si="5"/>
        <v>0</v>
      </c>
      <c r="AN20" s="1077" t="str">
        <f t="shared" si="6"/>
        <v>RBPIFloatSTL</v>
      </c>
      <c r="AO20" s="1077" t="str">
        <f t="shared" si="7"/>
        <v>RBPIFloatSTLno</v>
      </c>
    </row>
    <row r="21" spans="1:41">
      <c r="A21" s="1077" t="s">
        <v>96</v>
      </c>
      <c r="B21" s="1077" t="s">
        <v>583</v>
      </c>
      <c r="C21" s="1149" t="s">
        <v>600</v>
      </c>
      <c r="D21" s="1077" t="s">
        <v>100</v>
      </c>
      <c r="E21" s="1077" t="s">
        <v>709</v>
      </c>
      <c r="F21" s="1078">
        <v>250</v>
      </c>
      <c r="G21" s="1258">
        <v>250</v>
      </c>
      <c r="H21" s="1259">
        <f t="shared" si="3"/>
        <v>0</v>
      </c>
      <c r="I21" s="1080">
        <v>0.10999999999999999</v>
      </c>
      <c r="K21" s="1170" t="s">
        <v>588</v>
      </c>
      <c r="L21" s="1183">
        <f t="shared" si="1"/>
        <v>27.499999999999996</v>
      </c>
      <c r="M21" s="1260">
        <v>45651</v>
      </c>
      <c r="N21" s="1260">
        <v>46015</v>
      </c>
      <c r="Q21" s="1262"/>
      <c r="R21" s="1262"/>
      <c r="S21" s="1262"/>
      <c r="T21" s="1262">
        <f t="shared" si="10"/>
        <v>0</v>
      </c>
      <c r="U21" s="1262">
        <f t="shared" si="10"/>
        <v>0</v>
      </c>
      <c r="V21" s="1262"/>
      <c r="W21" s="1262"/>
      <c r="X21" s="1262">
        <f t="shared" si="10"/>
        <v>0</v>
      </c>
      <c r="Y21" s="1262">
        <f t="shared" si="10"/>
        <v>0</v>
      </c>
      <c r="Z21" s="1262">
        <f t="shared" si="10"/>
        <v>0</v>
      </c>
      <c r="AA21" s="1262">
        <f t="shared" si="10"/>
        <v>0</v>
      </c>
      <c r="AB21" s="1262">
        <f t="shared" si="10"/>
        <v>250</v>
      </c>
      <c r="AC21" s="1262">
        <f t="shared" si="10"/>
        <v>0</v>
      </c>
      <c r="AD21" s="1262"/>
      <c r="AE21" s="1263"/>
      <c r="AL21" s="1259">
        <f t="shared" si="4"/>
        <v>250</v>
      </c>
      <c r="AM21" s="1184">
        <f t="shared" si="5"/>
        <v>0</v>
      </c>
      <c r="AN21" s="1077" t="str">
        <f t="shared" si="6"/>
        <v>APKFloatSTL</v>
      </c>
      <c r="AO21" s="1077" t="str">
        <f t="shared" si="7"/>
        <v>APKFloatSTLyes</v>
      </c>
    </row>
    <row r="22" spans="1:41">
      <c r="A22" s="1077" t="s">
        <v>96</v>
      </c>
      <c r="B22" s="1077" t="s">
        <v>41</v>
      </c>
      <c r="C22" s="1149" t="s">
        <v>601</v>
      </c>
      <c r="D22" s="1077" t="s">
        <v>100</v>
      </c>
      <c r="E22" s="1077" t="s">
        <v>709</v>
      </c>
      <c r="F22" s="1078">
        <v>75</v>
      </c>
      <c r="G22" s="1258">
        <v>0</v>
      </c>
      <c r="H22" s="1259">
        <f t="shared" si="3"/>
        <v>75</v>
      </c>
      <c r="I22" s="1080">
        <v>0.11</v>
      </c>
      <c r="K22" s="1170" t="s">
        <v>588</v>
      </c>
      <c r="L22" s="1183">
        <f t="shared" si="1"/>
        <v>0</v>
      </c>
      <c r="M22" s="1260">
        <v>45497</v>
      </c>
      <c r="N22" s="1260">
        <v>45861</v>
      </c>
      <c r="Q22" s="1262"/>
      <c r="R22" s="1262"/>
      <c r="S22" s="1262"/>
      <c r="T22" s="1262">
        <f t="shared" si="10"/>
        <v>0</v>
      </c>
      <c r="U22" s="1262">
        <f t="shared" si="10"/>
        <v>0</v>
      </c>
      <c r="V22" s="1262"/>
      <c r="W22" s="1262"/>
      <c r="X22" s="1262">
        <f t="shared" si="10"/>
        <v>0</v>
      </c>
      <c r="Y22" s="1262">
        <f t="shared" si="10"/>
        <v>0</v>
      </c>
      <c r="Z22" s="1262">
        <f t="shared" si="10"/>
        <v>0</v>
      </c>
      <c r="AA22" s="1262">
        <f t="shared" si="10"/>
        <v>0</v>
      </c>
      <c r="AB22" s="1262">
        <f t="shared" si="10"/>
        <v>0</v>
      </c>
      <c r="AC22" s="1262">
        <f t="shared" si="10"/>
        <v>0</v>
      </c>
      <c r="AD22" s="1262"/>
      <c r="AE22" s="1263"/>
      <c r="AL22" s="1259">
        <f t="shared" si="4"/>
        <v>0</v>
      </c>
      <c r="AM22" s="1184">
        <f>+AL22-G22</f>
        <v>0</v>
      </c>
      <c r="AN22" s="1077" t="str">
        <f t="shared" si="6"/>
        <v>RBPIFloatSTL</v>
      </c>
      <c r="AO22" s="1077" t="str">
        <f t="shared" si="7"/>
        <v>RBPIFloatSTLyes</v>
      </c>
    </row>
    <row r="23" spans="1:41">
      <c r="A23" s="1077" t="s">
        <v>96</v>
      </c>
      <c r="B23" s="1077" t="s">
        <v>41</v>
      </c>
      <c r="C23" s="1149" t="s">
        <v>602</v>
      </c>
      <c r="D23" s="1077" t="s">
        <v>591</v>
      </c>
      <c r="E23" s="1077" t="s">
        <v>710</v>
      </c>
      <c r="F23" s="1078">
        <v>95</v>
      </c>
      <c r="G23" s="1258">
        <v>76</v>
      </c>
      <c r="H23" s="1259">
        <f t="shared" si="3"/>
        <v>19</v>
      </c>
      <c r="I23" s="1080">
        <v>0.11</v>
      </c>
      <c r="K23" s="1170" t="s">
        <v>588</v>
      </c>
      <c r="L23" s="1183">
        <f t="shared" si="1"/>
        <v>8.36</v>
      </c>
      <c r="M23" s="1260">
        <v>45618</v>
      </c>
      <c r="N23" s="1260">
        <v>45983</v>
      </c>
      <c r="Q23" s="1262"/>
      <c r="R23" s="1262"/>
      <c r="S23" s="1262"/>
      <c r="T23" s="1262">
        <f t="shared" si="10"/>
        <v>0</v>
      </c>
      <c r="U23" s="1262">
        <f t="shared" si="10"/>
        <v>0</v>
      </c>
      <c r="V23" s="1262"/>
      <c r="W23" s="1262"/>
      <c r="X23" s="1262">
        <f t="shared" si="10"/>
        <v>0</v>
      </c>
      <c r="Y23" s="1262">
        <f t="shared" si="10"/>
        <v>0</v>
      </c>
      <c r="Z23" s="1262">
        <f t="shared" si="10"/>
        <v>0</v>
      </c>
      <c r="AA23" s="1262">
        <f t="shared" si="10"/>
        <v>76</v>
      </c>
      <c r="AB23" s="1262">
        <f t="shared" si="10"/>
        <v>0</v>
      </c>
      <c r="AC23" s="1262">
        <f t="shared" si="10"/>
        <v>0</v>
      </c>
      <c r="AD23" s="1262"/>
      <c r="AE23" s="1263"/>
      <c r="AL23" s="1259">
        <f t="shared" si="4"/>
        <v>76</v>
      </c>
      <c r="AM23" s="1184">
        <f t="shared" si="5"/>
        <v>0</v>
      </c>
      <c r="AN23" s="1077" t="str">
        <f t="shared" si="6"/>
        <v>RBPIFloatSTL</v>
      </c>
      <c r="AO23" s="1077" t="str">
        <f t="shared" si="7"/>
        <v>RBPIFloatSTLno</v>
      </c>
    </row>
    <row r="24" spans="1:41">
      <c r="A24" s="1077" t="s">
        <v>96</v>
      </c>
      <c r="B24" s="1077" t="s">
        <v>41</v>
      </c>
      <c r="C24" s="1149" t="s">
        <v>603</v>
      </c>
      <c r="D24" s="1077" t="s">
        <v>591</v>
      </c>
      <c r="E24" s="1077" t="s">
        <v>710</v>
      </c>
      <c r="F24" s="1078">
        <v>100</v>
      </c>
      <c r="G24" s="1258">
        <v>48.904144729999999</v>
      </c>
      <c r="H24" s="1259">
        <f t="shared" si="3"/>
        <v>51.095855270000001</v>
      </c>
      <c r="I24" s="1080">
        <v>0.22499999999999998</v>
      </c>
      <c r="K24" s="1080" t="s">
        <v>588</v>
      </c>
      <c r="L24" s="1183">
        <f t="shared" si="1"/>
        <v>11.003432564249998</v>
      </c>
      <c r="M24" s="1260">
        <v>45642</v>
      </c>
      <c r="N24" s="1260">
        <v>46006</v>
      </c>
      <c r="Q24" s="1262"/>
      <c r="R24" s="1262"/>
      <c r="S24" s="1262"/>
      <c r="T24" s="1262">
        <f t="shared" si="10"/>
        <v>0</v>
      </c>
      <c r="U24" s="1262">
        <f t="shared" si="10"/>
        <v>0</v>
      </c>
      <c r="V24" s="1262"/>
      <c r="W24" s="1262"/>
      <c r="X24" s="1262">
        <f t="shared" si="10"/>
        <v>0</v>
      </c>
      <c r="Y24" s="1262">
        <f t="shared" si="10"/>
        <v>0</v>
      </c>
      <c r="Z24" s="1262">
        <f t="shared" si="10"/>
        <v>0</v>
      </c>
      <c r="AA24" s="1262">
        <f t="shared" si="10"/>
        <v>0</v>
      </c>
      <c r="AB24" s="1262">
        <f t="shared" si="10"/>
        <v>48.904144729999999</v>
      </c>
      <c r="AC24" s="1262">
        <f t="shared" si="10"/>
        <v>0</v>
      </c>
      <c r="AD24" s="1262"/>
      <c r="AE24" s="1263"/>
      <c r="AL24" s="1259">
        <f t="shared" si="4"/>
        <v>48.904144729999999</v>
      </c>
      <c r="AM24" s="1184">
        <f t="shared" si="5"/>
        <v>0</v>
      </c>
      <c r="AN24" s="1077" t="str">
        <f t="shared" si="6"/>
        <v>RBPIFloatSTL</v>
      </c>
      <c r="AO24" s="1077" t="str">
        <f t="shared" si="7"/>
        <v>RBPIFloatSTLno</v>
      </c>
    </row>
    <row r="25" spans="1:41">
      <c r="A25" s="1077" t="s">
        <v>96</v>
      </c>
      <c r="B25" s="1077" t="s">
        <v>583</v>
      </c>
      <c r="C25" s="1149" t="s">
        <v>694</v>
      </c>
      <c r="D25" s="1077" t="s">
        <v>100</v>
      </c>
      <c r="E25" s="1077" t="s">
        <v>710</v>
      </c>
      <c r="F25" s="1078">
        <v>300</v>
      </c>
      <c r="G25" s="1258">
        <v>300</v>
      </c>
      <c r="H25" s="1259">
        <f t="shared" si="3"/>
        <v>0</v>
      </c>
      <c r="I25" s="1080">
        <v>0.218</v>
      </c>
      <c r="K25" s="1080" t="s">
        <v>588</v>
      </c>
      <c r="L25" s="1183">
        <f t="shared" si="1"/>
        <v>65.400000000000006</v>
      </c>
      <c r="M25" s="1260">
        <v>45744</v>
      </c>
      <c r="N25" s="1260">
        <v>46108</v>
      </c>
      <c r="Q25" s="1262"/>
      <c r="R25" s="1262"/>
      <c r="S25" s="1262"/>
      <c r="T25" s="1262">
        <f t="shared" si="10"/>
        <v>0</v>
      </c>
      <c r="U25" s="1262">
        <f t="shared" si="10"/>
        <v>0</v>
      </c>
      <c r="V25" s="1262"/>
      <c r="W25" s="1262"/>
      <c r="X25" s="1262">
        <f t="shared" si="10"/>
        <v>0</v>
      </c>
      <c r="Y25" s="1262">
        <f t="shared" si="10"/>
        <v>0</v>
      </c>
      <c r="Z25" s="1262">
        <f t="shared" si="10"/>
        <v>0</v>
      </c>
      <c r="AA25" s="1262">
        <f t="shared" si="10"/>
        <v>0</v>
      </c>
      <c r="AB25" s="1262">
        <f t="shared" si="10"/>
        <v>0</v>
      </c>
      <c r="AC25" s="1262">
        <f t="shared" si="10"/>
        <v>300</v>
      </c>
      <c r="AD25" s="1262"/>
      <c r="AE25" s="1263"/>
      <c r="AL25" s="1259">
        <f t="shared" si="4"/>
        <v>300</v>
      </c>
      <c r="AM25" s="1184">
        <f t="shared" si="5"/>
        <v>0</v>
      </c>
      <c r="AN25" s="1077" t="str">
        <f t="shared" si="6"/>
        <v>APKFloatSTL</v>
      </c>
      <c r="AO25" s="1077" t="str">
        <f t="shared" si="7"/>
        <v>APKFloatSTLno</v>
      </c>
    </row>
    <row r="26" spans="1:41">
      <c r="A26" s="1077" t="s">
        <v>96</v>
      </c>
      <c r="B26" s="1077" t="s">
        <v>41</v>
      </c>
      <c r="C26" s="1149" t="s">
        <v>604</v>
      </c>
      <c r="D26" s="1077" t="s">
        <v>591</v>
      </c>
      <c r="E26" s="1077" t="s">
        <v>710</v>
      </c>
      <c r="F26" s="1078">
        <v>300</v>
      </c>
      <c r="G26" s="1258">
        <v>0</v>
      </c>
      <c r="H26" s="1259">
        <f t="shared" si="3"/>
        <v>300</v>
      </c>
      <c r="I26" s="1080">
        <v>0.215</v>
      </c>
      <c r="K26" s="1170" t="s">
        <v>588</v>
      </c>
      <c r="L26" s="1183">
        <f t="shared" si="1"/>
        <v>0</v>
      </c>
      <c r="M26" s="1260">
        <v>45496</v>
      </c>
      <c r="N26" s="1260">
        <v>45860</v>
      </c>
      <c r="Q26" s="1262"/>
      <c r="R26" s="1262"/>
      <c r="S26" s="1262"/>
      <c r="T26" s="1262">
        <f t="shared" si="10"/>
        <v>0</v>
      </c>
      <c r="U26" s="1262">
        <f t="shared" si="10"/>
        <v>0</v>
      </c>
      <c r="V26" s="1262"/>
      <c r="W26" s="1262"/>
      <c r="X26" s="1262">
        <f t="shared" si="10"/>
        <v>0</v>
      </c>
      <c r="Y26" s="1262">
        <f t="shared" si="10"/>
        <v>0</v>
      </c>
      <c r="Z26" s="1262">
        <f t="shared" si="10"/>
        <v>0</v>
      </c>
      <c r="AA26" s="1262">
        <f t="shared" si="10"/>
        <v>0</v>
      </c>
      <c r="AB26" s="1262">
        <f t="shared" si="10"/>
        <v>0</v>
      </c>
      <c r="AC26" s="1262">
        <f t="shared" si="10"/>
        <v>0</v>
      </c>
      <c r="AD26" s="1262"/>
      <c r="AE26" s="1263"/>
      <c r="AL26" s="1259">
        <f t="shared" si="4"/>
        <v>0</v>
      </c>
      <c r="AM26" s="1184">
        <f t="shared" si="5"/>
        <v>0</v>
      </c>
      <c r="AN26" s="1077" t="str">
        <f t="shared" si="6"/>
        <v>RBPIFloatSTL</v>
      </c>
      <c r="AO26" s="1077" t="str">
        <f t="shared" si="7"/>
        <v>RBPIFloatSTLno</v>
      </c>
    </row>
    <row r="27" spans="1:41">
      <c r="A27" s="1077" t="s">
        <v>96</v>
      </c>
      <c r="B27" s="1077" t="s">
        <v>583</v>
      </c>
      <c r="C27" s="1149" t="s">
        <v>674</v>
      </c>
      <c r="D27" s="1077" t="s">
        <v>100</v>
      </c>
      <c r="E27" s="1077" t="s">
        <v>710</v>
      </c>
      <c r="F27" s="1078">
        <v>100</v>
      </c>
      <c r="G27" s="1258">
        <v>100</v>
      </c>
      <c r="H27" s="1259">
        <f t="shared" si="3"/>
        <v>0</v>
      </c>
      <c r="I27" s="1080">
        <v>0.22650000000000001</v>
      </c>
      <c r="K27" s="1170" t="s">
        <v>588</v>
      </c>
      <c r="L27" s="1183">
        <f t="shared" si="1"/>
        <v>22.650000000000002</v>
      </c>
      <c r="M27" s="1260">
        <v>45594</v>
      </c>
      <c r="N27" s="1260">
        <v>45959</v>
      </c>
      <c r="Q27" s="1262"/>
      <c r="R27" s="1262"/>
      <c r="S27" s="1262"/>
      <c r="T27" s="1262">
        <f t="shared" si="10"/>
        <v>0</v>
      </c>
      <c r="U27" s="1262">
        <f t="shared" si="10"/>
        <v>0</v>
      </c>
      <c r="V27" s="1262"/>
      <c r="W27" s="1262"/>
      <c r="X27" s="1262">
        <f t="shared" si="10"/>
        <v>0</v>
      </c>
      <c r="Y27" s="1262">
        <f t="shared" si="10"/>
        <v>0</v>
      </c>
      <c r="Z27" s="1262">
        <f t="shared" si="10"/>
        <v>100</v>
      </c>
      <c r="AA27" s="1262">
        <f t="shared" si="10"/>
        <v>0</v>
      </c>
      <c r="AB27" s="1262">
        <f t="shared" si="10"/>
        <v>0</v>
      </c>
      <c r="AC27" s="1262">
        <f t="shared" si="10"/>
        <v>0</v>
      </c>
      <c r="AD27" s="1262"/>
      <c r="AE27" s="1263"/>
      <c r="AL27" s="1259">
        <f t="shared" si="4"/>
        <v>100</v>
      </c>
      <c r="AM27" s="1184">
        <f t="shared" si="5"/>
        <v>0</v>
      </c>
      <c r="AN27" s="1077" t="str">
        <f t="shared" si="6"/>
        <v>APKFloatSTL</v>
      </c>
      <c r="AO27" s="1077" t="str">
        <f t="shared" si="7"/>
        <v>APKFloatSTLno</v>
      </c>
    </row>
    <row r="28" spans="1:41">
      <c r="A28" s="1077" t="s">
        <v>96</v>
      </c>
      <c r="B28" s="1077" t="s">
        <v>41</v>
      </c>
      <c r="C28" s="1149" t="s">
        <v>605</v>
      </c>
      <c r="D28" s="1077" t="s">
        <v>591</v>
      </c>
      <c r="E28" s="1077" t="s">
        <v>710</v>
      </c>
      <c r="F28" s="1078">
        <v>85</v>
      </c>
      <c r="G28" s="1258">
        <v>85</v>
      </c>
      <c r="H28" s="1259">
        <f t="shared" si="3"/>
        <v>0</v>
      </c>
      <c r="I28" s="1080">
        <v>0.215</v>
      </c>
      <c r="K28" s="1170" t="s">
        <v>588</v>
      </c>
      <c r="L28" s="1183">
        <f t="shared" si="1"/>
        <v>18.274999999999999</v>
      </c>
      <c r="M28" s="1260">
        <v>45629</v>
      </c>
      <c r="N28" s="1260">
        <v>45993</v>
      </c>
      <c r="Q28" s="1262"/>
      <c r="R28" s="1262"/>
      <c r="S28" s="1262"/>
      <c r="T28" s="1262">
        <f t="shared" si="10"/>
        <v>0</v>
      </c>
      <c r="U28" s="1262">
        <f t="shared" si="10"/>
        <v>0</v>
      </c>
      <c r="V28" s="1262"/>
      <c r="W28" s="1262"/>
      <c r="X28" s="1262">
        <f t="shared" si="10"/>
        <v>0</v>
      </c>
      <c r="Y28" s="1262">
        <f t="shared" si="10"/>
        <v>0</v>
      </c>
      <c r="Z28" s="1262">
        <f t="shared" si="10"/>
        <v>0</v>
      </c>
      <c r="AA28" s="1262">
        <f t="shared" si="10"/>
        <v>0</v>
      </c>
      <c r="AB28" s="1262">
        <f t="shared" si="10"/>
        <v>85</v>
      </c>
      <c r="AC28" s="1262">
        <f t="shared" si="10"/>
        <v>0</v>
      </c>
      <c r="AD28" s="1262"/>
      <c r="AE28" s="1263"/>
      <c r="AL28" s="1259">
        <f t="shared" si="4"/>
        <v>85</v>
      </c>
      <c r="AM28" s="1184">
        <f t="shared" si="5"/>
        <v>0</v>
      </c>
      <c r="AN28" s="1077" t="str">
        <f t="shared" si="6"/>
        <v>RBPIFloatSTL</v>
      </c>
      <c r="AO28" s="1077" t="str">
        <f t="shared" si="7"/>
        <v>RBPIFloatSTLno</v>
      </c>
    </row>
    <row r="29" spans="1:41">
      <c r="A29" s="1077" t="s">
        <v>96</v>
      </c>
      <c r="B29" s="1077" t="s">
        <v>41</v>
      </c>
      <c r="C29" s="1149" t="s">
        <v>606</v>
      </c>
      <c r="D29" s="1077" t="s">
        <v>103</v>
      </c>
      <c r="E29" s="1077" t="s">
        <v>710</v>
      </c>
      <c r="F29" s="1078">
        <v>250</v>
      </c>
      <c r="G29" s="1258">
        <v>250</v>
      </c>
      <c r="H29" s="1259">
        <f t="shared" si="3"/>
        <v>0</v>
      </c>
      <c r="I29" s="1080">
        <v>0.23249999999999998</v>
      </c>
      <c r="K29" s="1170" t="s">
        <v>588</v>
      </c>
      <c r="L29" s="1183">
        <f t="shared" si="1"/>
        <v>58.124999999999993</v>
      </c>
      <c r="M29" s="1260">
        <v>45603</v>
      </c>
      <c r="N29" s="1260">
        <v>45967</v>
      </c>
      <c r="Q29" s="1262"/>
      <c r="R29" s="1262"/>
      <c r="S29" s="1262"/>
      <c r="T29" s="1262">
        <f t="shared" si="10"/>
        <v>0</v>
      </c>
      <c r="U29" s="1262">
        <f t="shared" si="10"/>
        <v>0</v>
      </c>
      <c r="V29" s="1262"/>
      <c r="W29" s="1262"/>
      <c r="X29" s="1262">
        <f t="shared" si="10"/>
        <v>0</v>
      </c>
      <c r="Y29" s="1262">
        <f t="shared" si="10"/>
        <v>0</v>
      </c>
      <c r="Z29" s="1262">
        <f t="shared" si="10"/>
        <v>0</v>
      </c>
      <c r="AA29" s="1262">
        <f t="shared" si="10"/>
        <v>250</v>
      </c>
      <c r="AB29" s="1262">
        <f t="shared" si="10"/>
        <v>0</v>
      </c>
      <c r="AC29" s="1262">
        <f t="shared" si="10"/>
        <v>0</v>
      </c>
      <c r="AD29" s="1262"/>
      <c r="AE29" s="1263"/>
      <c r="AL29" s="1259">
        <f t="shared" si="4"/>
        <v>250</v>
      </c>
      <c r="AM29" s="1184">
        <f t="shared" si="5"/>
        <v>0</v>
      </c>
      <c r="AN29" s="1077" t="str">
        <f t="shared" si="6"/>
        <v>RBPIFloatSTL</v>
      </c>
      <c r="AO29" s="1077" t="str">
        <f t="shared" si="7"/>
        <v>RBPIFloatSTLno</v>
      </c>
    </row>
    <row r="30" spans="1:41">
      <c r="A30" s="1077" t="s">
        <v>96</v>
      </c>
      <c r="B30" s="1077" t="s">
        <v>41</v>
      </c>
      <c r="C30" s="1149" t="s">
        <v>607</v>
      </c>
      <c r="D30" s="1077" t="s">
        <v>591</v>
      </c>
      <c r="E30" s="1077" t="s">
        <v>710</v>
      </c>
      <c r="F30" s="1078">
        <v>196</v>
      </c>
      <c r="G30" s="1258">
        <v>78.400000000000006</v>
      </c>
      <c r="H30" s="1259">
        <f t="shared" si="3"/>
        <v>117.6</v>
      </c>
      <c r="I30" s="1080">
        <v>0.215</v>
      </c>
      <c r="K30" s="1170" t="s">
        <v>588</v>
      </c>
      <c r="L30" s="1183">
        <f t="shared" si="1"/>
        <v>16.856000000000002</v>
      </c>
      <c r="M30" s="1260">
        <v>45561</v>
      </c>
      <c r="N30" s="1260">
        <v>45925</v>
      </c>
      <c r="Q30" s="1262"/>
      <c r="R30" s="1262"/>
      <c r="S30" s="1262"/>
      <c r="T30" s="1262">
        <f t="shared" ref="T30:AC45" si="11">IF(U$2&lt;$N30,0,IF($N30&gt;T$2,$G30,0))</f>
        <v>0</v>
      </c>
      <c r="U30" s="1262">
        <f t="shared" si="11"/>
        <v>0</v>
      </c>
      <c r="V30" s="1262"/>
      <c r="W30" s="1262"/>
      <c r="X30" s="1262">
        <f t="shared" si="11"/>
        <v>0</v>
      </c>
      <c r="Y30" s="1262">
        <f t="shared" si="11"/>
        <v>78.400000000000006</v>
      </c>
      <c r="Z30" s="1262">
        <f t="shared" si="11"/>
        <v>0</v>
      </c>
      <c r="AA30" s="1262">
        <f t="shared" si="11"/>
        <v>0</v>
      </c>
      <c r="AB30" s="1262">
        <f t="shared" si="11"/>
        <v>0</v>
      </c>
      <c r="AC30" s="1262">
        <f t="shared" si="11"/>
        <v>0</v>
      </c>
      <c r="AD30" s="1262"/>
      <c r="AE30" s="1263"/>
      <c r="AL30" s="1259">
        <f t="shared" si="4"/>
        <v>78.400000000000006</v>
      </c>
      <c r="AM30" s="1184">
        <f t="shared" si="5"/>
        <v>0</v>
      </c>
      <c r="AN30" s="1077" t="str">
        <f t="shared" si="6"/>
        <v>RBPIFloatSTL</v>
      </c>
      <c r="AO30" s="1077" t="str">
        <f t="shared" si="7"/>
        <v>RBPIFloatSTLno</v>
      </c>
    </row>
    <row r="31" spans="1:41">
      <c r="A31" s="1077" t="s">
        <v>96</v>
      </c>
      <c r="B31" s="1077" t="s">
        <v>41</v>
      </c>
      <c r="C31" s="1149" t="s">
        <v>608</v>
      </c>
      <c r="D31" s="1077" t="s">
        <v>591</v>
      </c>
      <c r="E31" s="1077" t="s">
        <v>710</v>
      </c>
      <c r="F31" s="1078">
        <v>130</v>
      </c>
      <c r="G31" s="1258">
        <v>130</v>
      </c>
      <c r="H31" s="1259">
        <f t="shared" si="3"/>
        <v>0</v>
      </c>
      <c r="I31" s="1080">
        <v>0.215</v>
      </c>
      <c r="K31" s="1170" t="s">
        <v>588</v>
      </c>
      <c r="L31" s="1183">
        <f t="shared" si="1"/>
        <v>27.95</v>
      </c>
      <c r="M31" s="1260">
        <v>45635</v>
      </c>
      <c r="N31" s="1260">
        <v>45999</v>
      </c>
      <c r="Q31" s="1262"/>
      <c r="R31" s="1262"/>
      <c r="S31" s="1262"/>
      <c r="T31" s="1262">
        <f t="shared" si="11"/>
        <v>0</v>
      </c>
      <c r="U31" s="1262">
        <f t="shared" si="11"/>
        <v>0</v>
      </c>
      <c r="V31" s="1262"/>
      <c r="W31" s="1262"/>
      <c r="X31" s="1262">
        <f t="shared" si="11"/>
        <v>0</v>
      </c>
      <c r="Y31" s="1262">
        <f t="shared" si="11"/>
        <v>0</v>
      </c>
      <c r="Z31" s="1262">
        <f t="shared" si="11"/>
        <v>0</v>
      </c>
      <c r="AA31" s="1262">
        <f t="shared" si="11"/>
        <v>0</v>
      </c>
      <c r="AB31" s="1262">
        <f t="shared" si="11"/>
        <v>130</v>
      </c>
      <c r="AC31" s="1262">
        <f t="shared" si="11"/>
        <v>0</v>
      </c>
      <c r="AD31" s="1262"/>
      <c r="AE31" s="1263"/>
      <c r="AL31" s="1259">
        <f t="shared" si="4"/>
        <v>130</v>
      </c>
      <c r="AM31" s="1184">
        <f t="shared" si="5"/>
        <v>0</v>
      </c>
      <c r="AN31" s="1077"/>
      <c r="AO31" s="1077"/>
    </row>
    <row r="32" spans="1:41">
      <c r="A32" s="1077" t="s">
        <v>96</v>
      </c>
      <c r="B32" s="1077" t="s">
        <v>41</v>
      </c>
      <c r="C32" s="1149" t="s">
        <v>675</v>
      </c>
      <c r="D32" s="1077" t="s">
        <v>100</v>
      </c>
      <c r="E32" s="1077" t="s">
        <v>709</v>
      </c>
      <c r="F32" s="1078">
        <v>100</v>
      </c>
      <c r="G32" s="1258">
        <v>100</v>
      </c>
      <c r="H32" s="1259">
        <f t="shared" si="3"/>
        <v>0</v>
      </c>
      <c r="I32" s="1080">
        <v>7.3999999999999996E-2</v>
      </c>
      <c r="K32" s="1170" t="s">
        <v>588</v>
      </c>
      <c r="L32" s="1183">
        <f t="shared" si="1"/>
        <v>7.3999999999999995</v>
      </c>
      <c r="M32" s="1260">
        <v>45719</v>
      </c>
      <c r="N32" s="1260">
        <v>46083</v>
      </c>
      <c r="Q32" s="1262"/>
      <c r="R32" s="1262"/>
      <c r="S32" s="1262"/>
      <c r="T32" s="1262">
        <f t="shared" si="11"/>
        <v>0</v>
      </c>
      <c r="U32" s="1262">
        <f t="shared" si="11"/>
        <v>0</v>
      </c>
      <c r="V32" s="1262"/>
      <c r="W32" s="1262"/>
      <c r="X32" s="1262">
        <f t="shared" si="11"/>
        <v>0</v>
      </c>
      <c r="Y32" s="1262">
        <f t="shared" si="11"/>
        <v>0</v>
      </c>
      <c r="Z32" s="1262">
        <f t="shared" si="11"/>
        <v>0</v>
      </c>
      <c r="AA32" s="1262">
        <f t="shared" si="11"/>
        <v>0</v>
      </c>
      <c r="AB32" s="1262">
        <f t="shared" si="11"/>
        <v>0</v>
      </c>
      <c r="AC32" s="1262">
        <f t="shared" si="11"/>
        <v>100</v>
      </c>
      <c r="AD32" s="1262"/>
      <c r="AE32" s="1263"/>
      <c r="AL32" s="1259">
        <f t="shared" si="4"/>
        <v>100</v>
      </c>
      <c r="AM32" s="1184">
        <f t="shared" si="5"/>
        <v>0</v>
      </c>
      <c r="AN32" s="1077" t="str">
        <f t="shared" si="6"/>
        <v>RBPIFloatSTL</v>
      </c>
      <c r="AO32" s="1077" t="str">
        <f t="shared" si="7"/>
        <v>RBPIFloatSTLyes</v>
      </c>
    </row>
    <row r="33" spans="1:41">
      <c r="A33" s="1077" t="s">
        <v>96</v>
      </c>
      <c r="B33" s="1077" t="s">
        <v>583</v>
      </c>
      <c r="C33" s="1149" t="s">
        <v>646</v>
      </c>
      <c r="D33" s="1077" t="s">
        <v>100</v>
      </c>
      <c r="E33" s="1077" t="s">
        <v>710</v>
      </c>
      <c r="F33" s="1078">
        <v>100</v>
      </c>
      <c r="G33" s="1258">
        <v>100</v>
      </c>
      <c r="H33" s="1259">
        <f t="shared" si="3"/>
        <v>0</v>
      </c>
      <c r="I33" s="1080">
        <v>0.10999999999999999</v>
      </c>
      <c r="K33" s="1170" t="s">
        <v>588</v>
      </c>
      <c r="L33" s="1183">
        <f t="shared" si="1"/>
        <v>10.999999999999998</v>
      </c>
      <c r="M33" s="1260">
        <v>45671</v>
      </c>
      <c r="N33" s="1260">
        <v>46035</v>
      </c>
      <c r="Q33" s="1262"/>
      <c r="R33" s="1262"/>
      <c r="S33" s="1262"/>
      <c r="T33" s="1262">
        <f t="shared" si="11"/>
        <v>0</v>
      </c>
      <c r="U33" s="1262">
        <f t="shared" si="11"/>
        <v>0</v>
      </c>
      <c r="V33" s="1262"/>
      <c r="W33" s="1262"/>
      <c r="X33" s="1262">
        <f t="shared" si="11"/>
        <v>0</v>
      </c>
      <c r="Y33" s="1262">
        <f t="shared" si="11"/>
        <v>0</v>
      </c>
      <c r="Z33" s="1262">
        <f t="shared" si="11"/>
        <v>0</v>
      </c>
      <c r="AA33" s="1262">
        <f t="shared" si="11"/>
        <v>0</v>
      </c>
      <c r="AB33" s="1262">
        <f t="shared" si="11"/>
        <v>0</v>
      </c>
      <c r="AC33" s="1262">
        <f t="shared" si="11"/>
        <v>100</v>
      </c>
      <c r="AD33" s="1262"/>
      <c r="AE33" s="1263"/>
      <c r="AL33" s="1259">
        <f t="shared" si="4"/>
        <v>100</v>
      </c>
      <c r="AM33" s="1184">
        <f t="shared" si="5"/>
        <v>0</v>
      </c>
      <c r="AN33" s="1077" t="str">
        <f t="shared" si="6"/>
        <v>APKFloatSTL</v>
      </c>
      <c r="AO33" s="1077" t="str">
        <f t="shared" si="7"/>
        <v>APKFloatSTLno</v>
      </c>
    </row>
    <row r="34" spans="1:41">
      <c r="A34" s="1077" t="s">
        <v>96</v>
      </c>
      <c r="B34" s="1077" t="s">
        <v>41</v>
      </c>
      <c r="C34" s="1149" t="s">
        <v>609</v>
      </c>
      <c r="D34" s="1077" t="s">
        <v>591</v>
      </c>
      <c r="E34" s="1077" t="s">
        <v>710</v>
      </c>
      <c r="F34" s="1078">
        <v>100</v>
      </c>
      <c r="G34" s="1258">
        <v>100</v>
      </c>
      <c r="H34" s="1259">
        <f t="shared" si="3"/>
        <v>0</v>
      </c>
      <c r="I34" s="1080">
        <v>0.215</v>
      </c>
      <c r="K34" s="1170" t="s">
        <v>588</v>
      </c>
      <c r="L34" s="1183">
        <f t="shared" si="1"/>
        <v>21.5</v>
      </c>
      <c r="M34" s="1260">
        <v>45635</v>
      </c>
      <c r="N34" s="1260">
        <v>46004</v>
      </c>
      <c r="Q34" s="1262"/>
      <c r="R34" s="1262"/>
      <c r="S34" s="1262"/>
      <c r="T34" s="1262">
        <f t="shared" si="11"/>
        <v>0</v>
      </c>
      <c r="U34" s="1262">
        <f t="shared" si="11"/>
        <v>0</v>
      </c>
      <c r="V34" s="1262"/>
      <c r="W34" s="1262"/>
      <c r="X34" s="1262">
        <f t="shared" si="11"/>
        <v>0</v>
      </c>
      <c r="Y34" s="1262">
        <f t="shared" si="11"/>
        <v>0</v>
      </c>
      <c r="Z34" s="1262">
        <f t="shared" si="11"/>
        <v>0</v>
      </c>
      <c r="AA34" s="1262">
        <f t="shared" si="11"/>
        <v>0</v>
      </c>
      <c r="AB34" s="1262">
        <f t="shared" si="11"/>
        <v>100</v>
      </c>
      <c r="AC34" s="1262">
        <f t="shared" si="11"/>
        <v>0</v>
      </c>
      <c r="AD34" s="1262"/>
      <c r="AE34" s="1263"/>
      <c r="AL34" s="1259">
        <f t="shared" si="4"/>
        <v>100</v>
      </c>
      <c r="AM34" s="1184">
        <f t="shared" si="5"/>
        <v>0</v>
      </c>
      <c r="AN34" s="1077" t="str">
        <f t="shared" si="6"/>
        <v>RBPIFloatSTL</v>
      </c>
      <c r="AO34" s="1077" t="str">
        <f t="shared" si="7"/>
        <v>RBPIFloatSTLno</v>
      </c>
    </row>
    <row r="35" spans="1:41">
      <c r="A35" s="1077" t="s">
        <v>96</v>
      </c>
      <c r="B35" s="1077" t="s">
        <v>583</v>
      </c>
      <c r="C35" s="1149" t="s">
        <v>711</v>
      </c>
      <c r="D35" s="1077" t="s">
        <v>100</v>
      </c>
      <c r="E35" s="1077" t="s">
        <v>709</v>
      </c>
      <c r="F35" s="1078">
        <v>300</v>
      </c>
      <c r="G35" s="1258">
        <v>300</v>
      </c>
      <c r="H35" s="1259">
        <f t="shared" si="3"/>
        <v>0</v>
      </c>
      <c r="I35" s="1080">
        <v>0.10999999999999999</v>
      </c>
      <c r="K35" s="1170" t="s">
        <v>588</v>
      </c>
      <c r="L35" s="1183">
        <f t="shared" si="1"/>
        <v>32.999999999999993</v>
      </c>
      <c r="M35" s="1260">
        <v>45806</v>
      </c>
      <c r="N35" s="1260">
        <v>46170</v>
      </c>
      <c r="Q35" s="1262"/>
      <c r="R35" s="1262"/>
      <c r="S35" s="1262"/>
      <c r="T35" s="1262">
        <f t="shared" si="11"/>
        <v>0</v>
      </c>
      <c r="U35" s="1262">
        <f t="shared" si="11"/>
        <v>0</v>
      </c>
      <c r="V35" s="1262"/>
      <c r="W35" s="1262"/>
      <c r="X35" s="1262">
        <f t="shared" si="11"/>
        <v>0</v>
      </c>
      <c r="Y35" s="1262">
        <f t="shared" si="11"/>
        <v>0</v>
      </c>
      <c r="Z35" s="1262">
        <f t="shared" si="11"/>
        <v>0</v>
      </c>
      <c r="AA35" s="1262">
        <f t="shared" si="11"/>
        <v>0</v>
      </c>
      <c r="AB35" s="1262">
        <f t="shared" si="11"/>
        <v>0</v>
      </c>
      <c r="AC35" s="1262">
        <f t="shared" si="11"/>
        <v>300</v>
      </c>
      <c r="AD35" s="1262"/>
      <c r="AE35" s="1263"/>
      <c r="AL35" s="1259">
        <f t="shared" si="4"/>
        <v>300</v>
      </c>
      <c r="AM35" s="1184">
        <f t="shared" si="5"/>
        <v>0</v>
      </c>
      <c r="AN35" s="1077" t="str">
        <f t="shared" si="6"/>
        <v>APKFloatSTL</v>
      </c>
      <c r="AO35" s="1077" t="str">
        <f t="shared" si="7"/>
        <v>APKFloatSTLyes</v>
      </c>
    </row>
    <row r="36" spans="1:41">
      <c r="A36" s="1077" t="s">
        <v>96</v>
      </c>
      <c r="B36" s="1077" t="s">
        <v>583</v>
      </c>
      <c r="C36" s="1149" t="s">
        <v>647</v>
      </c>
      <c r="D36" s="1077" t="s">
        <v>100</v>
      </c>
      <c r="E36" s="1077" t="s">
        <v>709</v>
      </c>
      <c r="F36" s="1078">
        <v>50</v>
      </c>
      <c r="G36" s="1258">
        <v>50</v>
      </c>
      <c r="H36" s="1259">
        <f t="shared" si="3"/>
        <v>0</v>
      </c>
      <c r="I36" s="1080">
        <v>0.10999999999999999</v>
      </c>
      <c r="K36" s="1170" t="s">
        <v>588</v>
      </c>
      <c r="L36" s="1183">
        <f t="shared" si="1"/>
        <v>5.4999999999999991</v>
      </c>
      <c r="M36" s="1260">
        <v>45672</v>
      </c>
      <c r="N36" s="1260">
        <v>46036</v>
      </c>
      <c r="Q36" s="1262"/>
      <c r="R36" s="1262"/>
      <c r="S36" s="1262"/>
      <c r="T36" s="1262">
        <f t="shared" si="11"/>
        <v>0</v>
      </c>
      <c r="U36" s="1262">
        <f t="shared" si="11"/>
        <v>0</v>
      </c>
      <c r="V36" s="1262"/>
      <c r="W36" s="1262"/>
      <c r="X36" s="1262">
        <f t="shared" si="11"/>
        <v>0</v>
      </c>
      <c r="Y36" s="1262">
        <f t="shared" si="11"/>
        <v>0</v>
      </c>
      <c r="Z36" s="1262">
        <f t="shared" si="11"/>
        <v>0</v>
      </c>
      <c r="AA36" s="1262">
        <f t="shared" si="11"/>
        <v>0</v>
      </c>
      <c r="AB36" s="1262">
        <f t="shared" si="11"/>
        <v>0</v>
      </c>
      <c r="AC36" s="1262">
        <f t="shared" si="11"/>
        <v>50</v>
      </c>
      <c r="AD36" s="1262"/>
      <c r="AE36" s="1263"/>
      <c r="AL36" s="1259">
        <f t="shared" si="4"/>
        <v>50</v>
      </c>
      <c r="AM36" s="1184">
        <f t="shared" si="5"/>
        <v>0</v>
      </c>
      <c r="AN36" s="1077" t="str">
        <f t="shared" si="6"/>
        <v>APKFloatSTL</v>
      </c>
      <c r="AO36" s="1077" t="str">
        <f t="shared" si="7"/>
        <v>APKFloatSTLyes</v>
      </c>
    </row>
    <row r="37" spans="1:41">
      <c r="A37" s="1077" t="s">
        <v>96</v>
      </c>
      <c r="B37" s="1077" t="s">
        <v>41</v>
      </c>
      <c r="C37" s="1149" t="s">
        <v>610</v>
      </c>
      <c r="D37" s="1077" t="s">
        <v>100</v>
      </c>
      <c r="E37" s="1077" t="s">
        <v>709</v>
      </c>
      <c r="F37" s="1078">
        <v>60</v>
      </c>
      <c r="G37" s="1258">
        <v>60</v>
      </c>
      <c r="H37" s="1259">
        <f t="shared" si="3"/>
        <v>0</v>
      </c>
      <c r="I37" s="1080">
        <v>0.11</v>
      </c>
      <c r="K37" s="1170" t="s">
        <v>588</v>
      </c>
      <c r="L37" s="1183">
        <f t="shared" si="1"/>
        <v>6.6</v>
      </c>
      <c r="M37" s="1260">
        <v>45516</v>
      </c>
      <c r="N37" s="1260">
        <v>45880</v>
      </c>
      <c r="Q37" s="1262"/>
      <c r="R37" s="1262"/>
      <c r="S37" s="1262"/>
      <c r="T37" s="1262">
        <f t="shared" si="11"/>
        <v>0</v>
      </c>
      <c r="U37" s="1262">
        <f t="shared" si="11"/>
        <v>0</v>
      </c>
      <c r="V37" s="1262"/>
      <c r="W37" s="1262"/>
      <c r="X37" s="1262">
        <f t="shared" si="11"/>
        <v>60</v>
      </c>
      <c r="Y37" s="1262">
        <f t="shared" si="11"/>
        <v>0</v>
      </c>
      <c r="Z37" s="1262">
        <f t="shared" si="11"/>
        <v>0</v>
      </c>
      <c r="AA37" s="1262">
        <f t="shared" si="11"/>
        <v>0</v>
      </c>
      <c r="AB37" s="1262">
        <f t="shared" si="11"/>
        <v>0</v>
      </c>
      <c r="AC37" s="1262">
        <f t="shared" si="11"/>
        <v>0</v>
      </c>
      <c r="AD37" s="1262"/>
      <c r="AE37" s="1263"/>
      <c r="AL37" s="1259">
        <f t="shared" si="4"/>
        <v>60</v>
      </c>
      <c r="AM37" s="1184">
        <f t="shared" si="5"/>
        <v>0</v>
      </c>
      <c r="AN37" s="1077" t="str">
        <f t="shared" si="6"/>
        <v>RBPIFloatSTL</v>
      </c>
      <c r="AO37" s="1077" t="str">
        <f t="shared" si="7"/>
        <v>RBPIFloatSTLyes</v>
      </c>
    </row>
    <row r="38" spans="1:41">
      <c r="A38" s="1077" t="s">
        <v>96</v>
      </c>
      <c r="B38" s="1077" t="s">
        <v>41</v>
      </c>
      <c r="C38" s="1149" t="s">
        <v>611</v>
      </c>
      <c r="D38" s="1077" t="s">
        <v>591</v>
      </c>
      <c r="E38" s="1077" t="s">
        <v>710</v>
      </c>
      <c r="F38" s="1078">
        <v>90</v>
      </c>
      <c r="G38" s="1258">
        <v>90</v>
      </c>
      <c r="H38" s="1259">
        <f t="shared" si="3"/>
        <v>0</v>
      </c>
      <c r="I38" s="1080">
        <v>0.22499999999999998</v>
      </c>
      <c r="K38" s="1170" t="s">
        <v>588</v>
      </c>
      <c r="L38" s="1183">
        <f t="shared" si="1"/>
        <v>20.249999999999996</v>
      </c>
      <c r="M38" s="1260">
        <v>45652</v>
      </c>
      <c r="N38" s="1260">
        <v>46016</v>
      </c>
      <c r="Q38" s="1262"/>
      <c r="R38" s="1262"/>
      <c r="S38" s="1262"/>
      <c r="T38" s="1262">
        <f t="shared" si="11"/>
        <v>0</v>
      </c>
      <c r="U38" s="1262">
        <f t="shared" si="11"/>
        <v>0</v>
      </c>
      <c r="V38" s="1262"/>
      <c r="W38" s="1262"/>
      <c r="X38" s="1262">
        <f t="shared" si="11"/>
        <v>0</v>
      </c>
      <c r="Y38" s="1262">
        <f t="shared" si="11"/>
        <v>0</v>
      </c>
      <c r="Z38" s="1262">
        <f t="shared" si="11"/>
        <v>0</v>
      </c>
      <c r="AA38" s="1262">
        <f t="shared" si="11"/>
        <v>0</v>
      </c>
      <c r="AB38" s="1262">
        <f t="shared" si="11"/>
        <v>90</v>
      </c>
      <c r="AC38" s="1262">
        <f t="shared" si="11"/>
        <v>0</v>
      </c>
      <c r="AD38" s="1262"/>
      <c r="AE38" s="1263"/>
      <c r="AL38" s="1259">
        <f t="shared" si="4"/>
        <v>90</v>
      </c>
      <c r="AM38" s="1184">
        <f t="shared" si="5"/>
        <v>0</v>
      </c>
      <c r="AN38" s="1077" t="str">
        <f t="shared" si="6"/>
        <v>RBPIFloatSTL</v>
      </c>
      <c r="AO38" s="1077" t="str">
        <f t="shared" si="7"/>
        <v>RBPIFloatSTLno</v>
      </c>
    </row>
    <row r="39" spans="1:41">
      <c r="A39" s="1077" t="s">
        <v>96</v>
      </c>
      <c r="B39" s="1077" t="s">
        <v>583</v>
      </c>
      <c r="C39" s="1149" t="s">
        <v>712</v>
      </c>
      <c r="D39" s="1077" t="s">
        <v>100</v>
      </c>
      <c r="E39" s="1077" t="s">
        <v>709</v>
      </c>
      <c r="F39" s="1078">
        <v>100</v>
      </c>
      <c r="G39" s="1258">
        <v>100</v>
      </c>
      <c r="H39" s="1259">
        <f t="shared" si="3"/>
        <v>0</v>
      </c>
      <c r="I39" s="1080">
        <v>0.10999999999999999</v>
      </c>
      <c r="K39" s="1170" t="s">
        <v>588</v>
      </c>
      <c r="L39" s="1183">
        <f t="shared" si="1"/>
        <v>10.999999999999998</v>
      </c>
      <c r="M39" s="1260">
        <v>45804</v>
      </c>
      <c r="N39" s="1260">
        <v>46168</v>
      </c>
      <c r="Q39" s="1262"/>
      <c r="R39" s="1262"/>
      <c r="S39" s="1262"/>
      <c r="T39" s="1262">
        <f t="shared" si="11"/>
        <v>0</v>
      </c>
      <c r="U39" s="1262">
        <f t="shared" si="11"/>
        <v>0</v>
      </c>
      <c r="V39" s="1262"/>
      <c r="W39" s="1262"/>
      <c r="X39" s="1262">
        <f t="shared" si="11"/>
        <v>0</v>
      </c>
      <c r="Y39" s="1262">
        <f t="shared" si="11"/>
        <v>0</v>
      </c>
      <c r="Z39" s="1262">
        <f t="shared" si="11"/>
        <v>0</v>
      </c>
      <c r="AA39" s="1262">
        <f t="shared" si="11"/>
        <v>0</v>
      </c>
      <c r="AB39" s="1262">
        <f t="shared" si="11"/>
        <v>0</v>
      </c>
      <c r="AC39" s="1262">
        <f t="shared" si="11"/>
        <v>100</v>
      </c>
      <c r="AD39" s="1262"/>
      <c r="AE39" s="1263"/>
      <c r="AL39" s="1259">
        <f t="shared" si="4"/>
        <v>100</v>
      </c>
      <c r="AM39" s="1184">
        <f t="shared" si="5"/>
        <v>0</v>
      </c>
      <c r="AN39" s="1077" t="str">
        <f t="shared" si="6"/>
        <v>APKFloatSTL</v>
      </c>
      <c r="AO39" s="1077" t="str">
        <f t="shared" si="7"/>
        <v>APKFloatSTLyes</v>
      </c>
    </row>
    <row r="40" spans="1:41" ht="14.25" customHeight="1">
      <c r="A40" s="1077" t="s">
        <v>96</v>
      </c>
      <c r="B40" s="1077" t="s">
        <v>41</v>
      </c>
      <c r="C40" s="1149" t="s">
        <v>613</v>
      </c>
      <c r="D40" s="1077" t="s">
        <v>103</v>
      </c>
      <c r="E40" s="1077" t="s">
        <v>709</v>
      </c>
      <c r="F40" s="1078">
        <v>169</v>
      </c>
      <c r="G40" s="1258">
        <v>169</v>
      </c>
      <c r="H40" s="1259">
        <f t="shared" si="3"/>
        <v>0</v>
      </c>
      <c r="I40" s="1080">
        <v>0.11</v>
      </c>
      <c r="K40" s="1170" t="s">
        <v>588</v>
      </c>
      <c r="L40" s="1183">
        <f t="shared" si="1"/>
        <v>18.59</v>
      </c>
      <c r="M40" s="1260">
        <v>45652</v>
      </c>
      <c r="N40" s="1260">
        <v>46016</v>
      </c>
      <c r="Q40" s="1262"/>
      <c r="R40" s="1262"/>
      <c r="S40" s="1262"/>
      <c r="T40" s="1262">
        <f t="shared" si="11"/>
        <v>0</v>
      </c>
      <c r="U40" s="1262">
        <f t="shared" si="11"/>
        <v>0</v>
      </c>
      <c r="V40" s="1262"/>
      <c r="W40" s="1262"/>
      <c r="X40" s="1262">
        <f t="shared" si="11"/>
        <v>0</v>
      </c>
      <c r="Y40" s="1262">
        <f t="shared" si="11"/>
        <v>0</v>
      </c>
      <c r="Z40" s="1262">
        <f t="shared" si="11"/>
        <v>0</v>
      </c>
      <c r="AA40" s="1262">
        <f t="shared" si="11"/>
        <v>0</v>
      </c>
      <c r="AB40" s="1262">
        <f t="shared" si="11"/>
        <v>169</v>
      </c>
      <c r="AC40" s="1262">
        <f t="shared" si="11"/>
        <v>0</v>
      </c>
      <c r="AD40" s="1262"/>
      <c r="AE40" s="1263"/>
      <c r="AL40" s="1259">
        <f t="shared" si="4"/>
        <v>169</v>
      </c>
      <c r="AM40" s="1184">
        <f t="shared" si="5"/>
        <v>0</v>
      </c>
      <c r="AN40" s="1077" t="str">
        <f t="shared" si="6"/>
        <v>RBPIFloatSTL</v>
      </c>
      <c r="AO40" s="1077" t="str">
        <f t="shared" si="7"/>
        <v>RBPIFloatSTLyes</v>
      </c>
    </row>
    <row r="41" spans="1:41">
      <c r="A41" s="1077" t="s">
        <v>96</v>
      </c>
      <c r="B41" s="1077" t="s">
        <v>583</v>
      </c>
      <c r="C41" s="1149" t="s">
        <v>676</v>
      </c>
      <c r="D41" s="1077" t="s">
        <v>100</v>
      </c>
      <c r="E41" s="1077" t="s">
        <v>709</v>
      </c>
      <c r="F41" s="1078">
        <v>150</v>
      </c>
      <c r="G41" s="1258">
        <v>0</v>
      </c>
      <c r="H41" s="1259">
        <f t="shared" si="3"/>
        <v>150</v>
      </c>
      <c r="I41" s="1080">
        <v>0.10999999999999999</v>
      </c>
      <c r="K41" s="1170" t="s">
        <v>588</v>
      </c>
      <c r="L41" s="1183">
        <f t="shared" si="1"/>
        <v>0</v>
      </c>
      <c r="M41" s="1260">
        <v>45485</v>
      </c>
      <c r="N41" s="1260">
        <v>45849</v>
      </c>
      <c r="Q41" s="1262"/>
      <c r="R41" s="1262"/>
      <c r="S41" s="1262"/>
      <c r="T41" s="1262">
        <f t="shared" si="11"/>
        <v>0</v>
      </c>
      <c r="U41" s="1262">
        <f t="shared" si="11"/>
        <v>0</v>
      </c>
      <c r="V41" s="1262"/>
      <c r="W41" s="1262"/>
      <c r="X41" s="1262">
        <f t="shared" si="11"/>
        <v>0</v>
      </c>
      <c r="Y41" s="1262">
        <f t="shared" si="11"/>
        <v>0</v>
      </c>
      <c r="Z41" s="1262">
        <f t="shared" si="11"/>
        <v>0</v>
      </c>
      <c r="AA41" s="1262">
        <f t="shared" si="11"/>
        <v>0</v>
      </c>
      <c r="AB41" s="1262">
        <f t="shared" si="11"/>
        <v>0</v>
      </c>
      <c r="AC41" s="1262">
        <f t="shared" si="11"/>
        <v>0</v>
      </c>
      <c r="AD41" s="1262"/>
      <c r="AE41" s="1263"/>
      <c r="AL41" s="1259">
        <f t="shared" si="4"/>
        <v>0</v>
      </c>
      <c r="AM41" s="1184">
        <f t="shared" si="5"/>
        <v>0</v>
      </c>
      <c r="AN41" s="1077" t="str">
        <f t="shared" si="6"/>
        <v>APKFloatSTL</v>
      </c>
      <c r="AO41" s="1077" t="str">
        <f t="shared" si="7"/>
        <v>APKFloatSTLyes</v>
      </c>
    </row>
    <row r="42" spans="1:41">
      <c r="A42" s="1077" t="s">
        <v>96</v>
      </c>
      <c r="B42" s="1077" t="s">
        <v>583</v>
      </c>
      <c r="C42" s="1149" t="s">
        <v>677</v>
      </c>
      <c r="D42" s="1077" t="s">
        <v>100</v>
      </c>
      <c r="E42" s="1077" t="s">
        <v>710</v>
      </c>
      <c r="F42" s="1078">
        <v>200</v>
      </c>
      <c r="G42" s="1258">
        <v>200</v>
      </c>
      <c r="H42" s="1259">
        <f t="shared" si="3"/>
        <v>0</v>
      </c>
      <c r="I42" s="1080">
        <v>0.10999999999999999</v>
      </c>
      <c r="K42" s="1170" t="s">
        <v>588</v>
      </c>
      <c r="L42" s="1183">
        <f t="shared" si="1"/>
        <v>21.999999999999996</v>
      </c>
      <c r="M42" s="1260">
        <v>45708</v>
      </c>
      <c r="N42" s="1260">
        <v>46072</v>
      </c>
      <c r="O42" s="1077"/>
      <c r="Q42" s="1262"/>
      <c r="R42" s="1262"/>
      <c r="S42" s="1262"/>
      <c r="T42" s="1262">
        <f t="shared" si="11"/>
        <v>0</v>
      </c>
      <c r="U42" s="1262">
        <f t="shared" si="11"/>
        <v>0</v>
      </c>
      <c r="V42" s="1262"/>
      <c r="W42" s="1262"/>
      <c r="X42" s="1262">
        <f t="shared" si="11"/>
        <v>0</v>
      </c>
      <c r="Y42" s="1262">
        <f t="shared" si="11"/>
        <v>0</v>
      </c>
      <c r="Z42" s="1262">
        <f t="shared" si="11"/>
        <v>0</v>
      </c>
      <c r="AA42" s="1262">
        <f t="shared" si="11"/>
        <v>0</v>
      </c>
      <c r="AB42" s="1262">
        <f t="shared" si="11"/>
        <v>0</v>
      </c>
      <c r="AC42" s="1262">
        <f t="shared" si="11"/>
        <v>200</v>
      </c>
      <c r="AD42" s="1262"/>
      <c r="AE42" s="1263"/>
      <c r="AL42" s="1259">
        <f t="shared" si="4"/>
        <v>200</v>
      </c>
      <c r="AM42" s="1184">
        <f t="shared" si="5"/>
        <v>0</v>
      </c>
      <c r="AN42" s="1077" t="str">
        <f t="shared" si="6"/>
        <v>APKFloatSTL</v>
      </c>
      <c r="AO42" s="1077" t="str">
        <f t="shared" si="7"/>
        <v>APKFloatSTLno</v>
      </c>
    </row>
    <row r="43" spans="1:41">
      <c r="A43" s="1077" t="s">
        <v>96</v>
      </c>
      <c r="B43" s="1077" t="s">
        <v>583</v>
      </c>
      <c r="C43" s="1149" t="s">
        <v>648</v>
      </c>
      <c r="D43" s="1077" t="s">
        <v>100</v>
      </c>
      <c r="E43" s="1077" t="s">
        <v>710</v>
      </c>
      <c r="F43" s="1078">
        <v>100</v>
      </c>
      <c r="G43" s="1258">
        <v>100</v>
      </c>
      <c r="H43" s="1259">
        <f t="shared" si="3"/>
        <v>0</v>
      </c>
      <c r="I43" s="1080">
        <v>0.23599999999999999</v>
      </c>
      <c r="K43" s="1170" t="s">
        <v>588</v>
      </c>
      <c r="L43" s="1183">
        <f t="shared" si="1"/>
        <v>23.599999999999998</v>
      </c>
      <c r="M43" s="1260">
        <v>45673</v>
      </c>
      <c r="N43" s="1260">
        <v>46038</v>
      </c>
      <c r="O43" s="1077"/>
      <c r="Q43" s="1262"/>
      <c r="R43" s="1262"/>
      <c r="S43" s="1262"/>
      <c r="T43" s="1262">
        <f t="shared" si="11"/>
        <v>0</v>
      </c>
      <c r="U43" s="1262">
        <f t="shared" si="11"/>
        <v>0</v>
      </c>
      <c r="V43" s="1262"/>
      <c r="W43" s="1262"/>
      <c r="X43" s="1262">
        <f t="shared" si="11"/>
        <v>0</v>
      </c>
      <c r="Y43" s="1262">
        <f t="shared" si="11"/>
        <v>0</v>
      </c>
      <c r="Z43" s="1262">
        <f t="shared" si="11"/>
        <v>0</v>
      </c>
      <c r="AA43" s="1262">
        <f t="shared" si="11"/>
        <v>0</v>
      </c>
      <c r="AB43" s="1262">
        <f t="shared" si="11"/>
        <v>0</v>
      </c>
      <c r="AC43" s="1262">
        <f t="shared" si="11"/>
        <v>100</v>
      </c>
      <c r="AD43" s="1262"/>
      <c r="AE43" s="1263"/>
      <c r="AL43" s="1259">
        <f t="shared" si="4"/>
        <v>100</v>
      </c>
      <c r="AM43" s="1184">
        <f t="shared" si="5"/>
        <v>0</v>
      </c>
      <c r="AN43" s="1077" t="str">
        <f t="shared" si="6"/>
        <v>APKFloatSTL</v>
      </c>
      <c r="AO43" s="1077" t="str">
        <f t="shared" si="7"/>
        <v>APKFloatSTLno</v>
      </c>
    </row>
    <row r="44" spans="1:41">
      <c r="A44" s="1077" t="s">
        <v>96</v>
      </c>
      <c r="B44" s="1077" t="s">
        <v>583</v>
      </c>
      <c r="C44" s="1149" t="s">
        <v>649</v>
      </c>
      <c r="D44" s="1077" t="s">
        <v>100</v>
      </c>
      <c r="E44" s="1077" t="s">
        <v>709</v>
      </c>
      <c r="F44" s="1078">
        <v>100</v>
      </c>
      <c r="G44" s="1258">
        <v>100</v>
      </c>
      <c r="H44" s="1259">
        <f t="shared" si="3"/>
        <v>0</v>
      </c>
      <c r="I44" s="1080">
        <v>0.10999999999999999</v>
      </c>
      <c r="K44" s="1170" t="s">
        <v>588</v>
      </c>
      <c r="L44" s="1183">
        <f t="shared" si="1"/>
        <v>10.999999999999998</v>
      </c>
      <c r="M44" s="1260">
        <v>45671</v>
      </c>
      <c r="N44" s="1260">
        <v>46035</v>
      </c>
      <c r="O44" s="1077"/>
      <c r="Q44" s="1262"/>
      <c r="R44" s="1262"/>
      <c r="S44" s="1262"/>
      <c r="T44" s="1262">
        <f t="shared" si="11"/>
        <v>0</v>
      </c>
      <c r="U44" s="1262">
        <f t="shared" si="11"/>
        <v>0</v>
      </c>
      <c r="V44" s="1262"/>
      <c r="W44" s="1262"/>
      <c r="X44" s="1262">
        <f t="shared" si="11"/>
        <v>0</v>
      </c>
      <c r="Y44" s="1262">
        <f t="shared" si="11"/>
        <v>0</v>
      </c>
      <c r="Z44" s="1262">
        <f t="shared" si="11"/>
        <v>0</v>
      </c>
      <c r="AA44" s="1262">
        <f t="shared" si="11"/>
        <v>0</v>
      </c>
      <c r="AB44" s="1262">
        <f t="shared" si="11"/>
        <v>0</v>
      </c>
      <c r="AC44" s="1262">
        <f t="shared" si="11"/>
        <v>100</v>
      </c>
      <c r="AD44" s="1262"/>
      <c r="AE44" s="1263"/>
      <c r="AL44" s="1259">
        <f t="shared" si="4"/>
        <v>100</v>
      </c>
      <c r="AM44" s="1184">
        <f t="shared" si="5"/>
        <v>0</v>
      </c>
      <c r="AN44" s="1077" t="str">
        <f t="shared" si="6"/>
        <v>APKFloatSTL</v>
      </c>
      <c r="AO44" s="1077" t="str">
        <f t="shared" si="7"/>
        <v>APKFloatSTLyes</v>
      </c>
    </row>
    <row r="45" spans="1:41">
      <c r="A45" s="1077" t="s">
        <v>96</v>
      </c>
      <c r="B45" s="1077" t="s">
        <v>583</v>
      </c>
      <c r="C45" s="1149" t="s">
        <v>616</v>
      </c>
      <c r="D45" s="1077" t="s">
        <v>100</v>
      </c>
      <c r="E45" s="1077" t="s">
        <v>709</v>
      </c>
      <c r="F45" s="1078">
        <v>50</v>
      </c>
      <c r="G45" s="1258">
        <v>0</v>
      </c>
      <c r="H45" s="1259">
        <f t="shared" si="3"/>
        <v>50</v>
      </c>
      <c r="I45" s="1080">
        <v>0.10999999999999999</v>
      </c>
      <c r="K45" s="1170" t="s">
        <v>588</v>
      </c>
      <c r="L45" s="1183">
        <f t="shared" si="1"/>
        <v>0</v>
      </c>
      <c r="M45" s="1260">
        <v>45504</v>
      </c>
      <c r="N45" s="1260">
        <v>45868</v>
      </c>
      <c r="O45" s="1077"/>
      <c r="Q45" s="1262"/>
      <c r="R45" s="1262"/>
      <c r="S45" s="1262"/>
      <c r="T45" s="1262">
        <f t="shared" si="11"/>
        <v>0</v>
      </c>
      <c r="U45" s="1262">
        <f t="shared" si="11"/>
        <v>0</v>
      </c>
      <c r="V45" s="1262"/>
      <c r="W45" s="1262"/>
      <c r="X45" s="1262">
        <f t="shared" si="11"/>
        <v>0</v>
      </c>
      <c r="Y45" s="1262">
        <f t="shared" si="11"/>
        <v>0</v>
      </c>
      <c r="Z45" s="1262">
        <f t="shared" si="11"/>
        <v>0</v>
      </c>
      <c r="AA45" s="1262">
        <f t="shared" si="11"/>
        <v>0</v>
      </c>
      <c r="AB45" s="1262">
        <f t="shared" si="11"/>
        <v>0</v>
      </c>
      <c r="AC45" s="1262">
        <f t="shared" si="11"/>
        <v>0</v>
      </c>
      <c r="AD45" s="1262"/>
      <c r="AE45" s="1263"/>
      <c r="AL45" s="1259">
        <f t="shared" si="4"/>
        <v>0</v>
      </c>
      <c r="AM45" s="1184">
        <f t="shared" si="5"/>
        <v>0</v>
      </c>
      <c r="AN45" s="1077" t="str">
        <f t="shared" si="6"/>
        <v>APKFloatSTL</v>
      </c>
      <c r="AO45" s="1077" t="str">
        <f t="shared" si="7"/>
        <v>APKFloatSTLyes</v>
      </c>
    </row>
    <row r="46" spans="1:41">
      <c r="A46" s="1077" t="s">
        <v>96</v>
      </c>
      <c r="B46" s="1077" t="s">
        <v>41</v>
      </c>
      <c r="C46" s="1149" t="s">
        <v>695</v>
      </c>
      <c r="D46" s="1077" t="s">
        <v>591</v>
      </c>
      <c r="E46" s="1077" t="s">
        <v>710</v>
      </c>
      <c r="F46" s="1078">
        <v>100</v>
      </c>
      <c r="G46" s="1258">
        <v>100</v>
      </c>
      <c r="H46" s="1259">
        <f t="shared" si="3"/>
        <v>0</v>
      </c>
      <c r="I46" s="1080">
        <v>0.22499999999999998</v>
      </c>
      <c r="K46" s="1170" t="s">
        <v>588</v>
      </c>
      <c r="L46" s="1183">
        <f t="shared" si="1"/>
        <v>22.499999999999996</v>
      </c>
      <c r="M46" s="1260">
        <v>45758</v>
      </c>
      <c r="N46" s="1260">
        <v>46122</v>
      </c>
      <c r="O46" s="1077"/>
      <c r="Q46" s="1262"/>
      <c r="R46" s="1262"/>
      <c r="S46" s="1262"/>
      <c r="T46" s="1262">
        <f t="shared" ref="T46:AC61" si="12">IF(U$2&lt;$N46,0,IF($N46&gt;T$2,$G46,0))</f>
        <v>0</v>
      </c>
      <c r="U46" s="1262">
        <f t="shared" si="12"/>
        <v>0</v>
      </c>
      <c r="V46" s="1262"/>
      <c r="W46" s="1262"/>
      <c r="X46" s="1262">
        <f t="shared" si="12"/>
        <v>0</v>
      </c>
      <c r="Y46" s="1262">
        <f t="shared" si="12"/>
        <v>0</v>
      </c>
      <c r="Z46" s="1262">
        <f t="shared" si="12"/>
        <v>0</v>
      </c>
      <c r="AA46" s="1262">
        <f t="shared" si="12"/>
        <v>0</v>
      </c>
      <c r="AB46" s="1262">
        <f t="shared" si="12"/>
        <v>0</v>
      </c>
      <c r="AC46" s="1262">
        <f t="shared" si="12"/>
        <v>100</v>
      </c>
      <c r="AD46" s="1262"/>
      <c r="AE46" s="1263"/>
      <c r="AL46" s="1259">
        <f t="shared" si="4"/>
        <v>100</v>
      </c>
      <c r="AM46" s="1184">
        <f t="shared" si="5"/>
        <v>0</v>
      </c>
      <c r="AN46" s="1077" t="str">
        <f t="shared" si="6"/>
        <v>RBPIFloatSTL</v>
      </c>
      <c r="AO46" s="1077" t="str">
        <f t="shared" si="7"/>
        <v>RBPIFloatSTLno</v>
      </c>
    </row>
    <row r="47" spans="1:41">
      <c r="A47" s="1077" t="s">
        <v>96</v>
      </c>
      <c r="B47" s="1077" t="s">
        <v>41</v>
      </c>
      <c r="C47" s="1149" t="s">
        <v>696</v>
      </c>
      <c r="D47" s="1077" t="s">
        <v>100</v>
      </c>
      <c r="E47" s="1077" t="s">
        <v>710</v>
      </c>
      <c r="F47" s="1078">
        <v>200</v>
      </c>
      <c r="G47" s="1258">
        <v>200</v>
      </c>
      <c r="H47" s="1259">
        <f t="shared" si="3"/>
        <v>0</v>
      </c>
      <c r="I47" s="1080">
        <v>0.222</v>
      </c>
      <c r="K47" s="1170" t="s">
        <v>588</v>
      </c>
      <c r="L47" s="1183">
        <f t="shared" si="1"/>
        <v>44.4</v>
      </c>
      <c r="M47" s="1260">
        <v>45755</v>
      </c>
      <c r="N47" s="1260">
        <v>46119</v>
      </c>
      <c r="O47" s="1077"/>
      <c r="Q47" s="1262"/>
      <c r="R47" s="1262"/>
      <c r="S47" s="1262"/>
      <c r="T47" s="1262">
        <f t="shared" si="12"/>
        <v>0</v>
      </c>
      <c r="U47" s="1262">
        <f t="shared" si="12"/>
        <v>0</v>
      </c>
      <c r="V47" s="1262"/>
      <c r="W47" s="1262"/>
      <c r="X47" s="1262">
        <f t="shared" si="12"/>
        <v>0</v>
      </c>
      <c r="Y47" s="1262">
        <f t="shared" si="12"/>
        <v>0</v>
      </c>
      <c r="Z47" s="1262">
        <f t="shared" si="12"/>
        <v>0</v>
      </c>
      <c r="AA47" s="1262">
        <f t="shared" si="12"/>
        <v>0</v>
      </c>
      <c r="AB47" s="1262">
        <f t="shared" si="12"/>
        <v>0</v>
      </c>
      <c r="AC47" s="1262">
        <f t="shared" si="12"/>
        <v>200</v>
      </c>
      <c r="AD47" s="1262"/>
      <c r="AE47" s="1263"/>
      <c r="AL47" s="1259">
        <f t="shared" si="4"/>
        <v>200</v>
      </c>
      <c r="AM47" s="1184">
        <f t="shared" si="5"/>
        <v>0</v>
      </c>
      <c r="AN47" s="1077" t="str">
        <f t="shared" si="6"/>
        <v>RBPIFloatSTL</v>
      </c>
      <c r="AO47" s="1077" t="str">
        <f t="shared" si="7"/>
        <v>RBPIFloatSTLno</v>
      </c>
    </row>
    <row r="48" spans="1:41">
      <c r="A48" s="1077" t="s">
        <v>96</v>
      </c>
      <c r="B48" s="1077" t="s">
        <v>583</v>
      </c>
      <c r="C48" s="1149" t="s">
        <v>678</v>
      </c>
      <c r="D48" s="1077" t="s">
        <v>100</v>
      </c>
      <c r="E48" s="1077" t="s">
        <v>710</v>
      </c>
      <c r="F48" s="1078">
        <v>50</v>
      </c>
      <c r="G48" s="1258">
        <v>50</v>
      </c>
      <c r="H48" s="1259">
        <f t="shared" si="3"/>
        <v>0</v>
      </c>
      <c r="I48" s="1080">
        <v>0.216</v>
      </c>
      <c r="K48" s="1170" t="s">
        <v>588</v>
      </c>
      <c r="L48" s="1183">
        <f t="shared" si="1"/>
        <v>10.8</v>
      </c>
      <c r="M48" s="1260">
        <v>45551</v>
      </c>
      <c r="N48" s="1260">
        <v>45915</v>
      </c>
      <c r="O48" s="1077"/>
      <c r="Q48" s="1262"/>
      <c r="R48" s="1262"/>
      <c r="S48" s="1262"/>
      <c r="T48" s="1262">
        <f t="shared" si="12"/>
        <v>0</v>
      </c>
      <c r="U48" s="1262">
        <f t="shared" si="12"/>
        <v>0</v>
      </c>
      <c r="V48" s="1262"/>
      <c r="W48" s="1262"/>
      <c r="X48" s="1262">
        <f t="shared" si="12"/>
        <v>0</v>
      </c>
      <c r="Y48" s="1262">
        <f t="shared" si="12"/>
        <v>50</v>
      </c>
      <c r="Z48" s="1262">
        <f t="shared" si="12"/>
        <v>0</v>
      </c>
      <c r="AA48" s="1262">
        <f t="shared" si="12"/>
        <v>0</v>
      </c>
      <c r="AB48" s="1262">
        <f t="shared" si="12"/>
        <v>0</v>
      </c>
      <c r="AC48" s="1262">
        <f t="shared" si="12"/>
        <v>0</v>
      </c>
      <c r="AD48" s="1262"/>
      <c r="AE48" s="1263"/>
      <c r="AL48" s="1259">
        <f t="shared" si="4"/>
        <v>50</v>
      </c>
      <c r="AM48" s="1184">
        <f t="shared" si="5"/>
        <v>0</v>
      </c>
      <c r="AN48" s="1077" t="str">
        <f t="shared" si="6"/>
        <v>APKFloatSTL</v>
      </c>
      <c r="AO48" s="1077" t="str">
        <f t="shared" si="7"/>
        <v>APKFloatSTLno</v>
      </c>
    </row>
    <row r="49" spans="1:41">
      <c r="A49" s="1077" t="s">
        <v>96</v>
      </c>
      <c r="B49" s="1077" t="s">
        <v>583</v>
      </c>
      <c r="C49" s="1149" t="s">
        <v>617</v>
      </c>
      <c r="D49" s="1077" t="s">
        <v>100</v>
      </c>
      <c r="E49" s="1077" t="s">
        <v>709</v>
      </c>
      <c r="F49" s="1078">
        <v>100</v>
      </c>
      <c r="G49" s="1258">
        <v>100</v>
      </c>
      <c r="H49" s="1259">
        <f t="shared" si="3"/>
        <v>0</v>
      </c>
      <c r="I49" s="1080">
        <v>0.10999999999999999</v>
      </c>
      <c r="K49" s="1170" t="s">
        <v>588</v>
      </c>
      <c r="L49" s="1183">
        <f t="shared" si="1"/>
        <v>10.999999999999998</v>
      </c>
      <c r="M49" s="1260">
        <v>45531</v>
      </c>
      <c r="N49" s="1260">
        <v>45895</v>
      </c>
      <c r="O49" s="1077"/>
      <c r="Q49" s="1262"/>
      <c r="R49" s="1262"/>
      <c r="S49" s="1262"/>
      <c r="T49" s="1262">
        <f t="shared" si="12"/>
        <v>0</v>
      </c>
      <c r="U49" s="1262">
        <f t="shared" si="12"/>
        <v>0</v>
      </c>
      <c r="V49" s="1262"/>
      <c r="W49" s="1262"/>
      <c r="X49" s="1262">
        <f t="shared" si="12"/>
        <v>100</v>
      </c>
      <c r="Y49" s="1262">
        <f t="shared" si="12"/>
        <v>0</v>
      </c>
      <c r="Z49" s="1262">
        <f t="shared" si="12"/>
        <v>0</v>
      </c>
      <c r="AA49" s="1262">
        <f t="shared" si="12"/>
        <v>0</v>
      </c>
      <c r="AB49" s="1262">
        <f t="shared" si="12"/>
        <v>0</v>
      </c>
      <c r="AC49" s="1262">
        <f t="shared" si="12"/>
        <v>0</v>
      </c>
      <c r="AD49" s="1262"/>
      <c r="AE49" s="1263"/>
      <c r="AL49" s="1259">
        <f t="shared" si="4"/>
        <v>100</v>
      </c>
      <c r="AM49" s="1184">
        <f t="shared" si="5"/>
        <v>0</v>
      </c>
      <c r="AN49" s="1077" t="str">
        <f t="shared" si="6"/>
        <v>APKFloatSTL</v>
      </c>
      <c r="AO49" s="1077" t="str">
        <f t="shared" si="7"/>
        <v>APKFloatSTLyes</v>
      </c>
    </row>
    <row r="50" spans="1:41">
      <c r="A50" s="1077" t="s">
        <v>96</v>
      </c>
      <c r="B50" s="1077" t="s">
        <v>41</v>
      </c>
      <c r="C50" s="1149" t="s">
        <v>717</v>
      </c>
      <c r="D50" s="1077" t="s">
        <v>597</v>
      </c>
      <c r="E50" s="1077" t="s">
        <v>710</v>
      </c>
      <c r="F50" s="1078">
        <v>200</v>
      </c>
      <c r="G50" s="1258">
        <v>150</v>
      </c>
      <c r="H50" s="1259">
        <f t="shared" si="3"/>
        <v>50</v>
      </c>
      <c r="I50" s="1080">
        <v>0.219</v>
      </c>
      <c r="K50" s="1170" t="s">
        <v>588</v>
      </c>
      <c r="L50" s="1183">
        <f t="shared" si="1"/>
        <v>32.85</v>
      </c>
      <c r="M50" s="1260">
        <v>45803</v>
      </c>
      <c r="N50" s="1260">
        <v>46167</v>
      </c>
      <c r="O50" s="1077"/>
      <c r="Q50" s="1262"/>
      <c r="R50" s="1262"/>
      <c r="S50" s="1262"/>
      <c r="T50" s="1262">
        <f t="shared" si="12"/>
        <v>0</v>
      </c>
      <c r="U50" s="1262">
        <f t="shared" si="12"/>
        <v>0</v>
      </c>
      <c r="V50" s="1262"/>
      <c r="W50" s="1262"/>
      <c r="X50" s="1262">
        <f t="shared" si="12"/>
        <v>0</v>
      </c>
      <c r="Y50" s="1262">
        <f t="shared" si="12"/>
        <v>0</v>
      </c>
      <c r="Z50" s="1262">
        <f t="shared" si="12"/>
        <v>0</v>
      </c>
      <c r="AA50" s="1262">
        <f t="shared" si="12"/>
        <v>0</v>
      </c>
      <c r="AB50" s="1262">
        <f t="shared" si="12"/>
        <v>0</v>
      </c>
      <c r="AC50" s="1262">
        <f t="shared" si="12"/>
        <v>150</v>
      </c>
      <c r="AD50" s="1262"/>
      <c r="AE50" s="1263"/>
      <c r="AL50" s="1259">
        <f t="shared" si="4"/>
        <v>150</v>
      </c>
      <c r="AM50" s="1184">
        <f t="shared" si="5"/>
        <v>0</v>
      </c>
      <c r="AN50" s="1077" t="str">
        <f t="shared" si="6"/>
        <v>RBPIFloatSTL</v>
      </c>
      <c r="AO50" s="1077" t="str">
        <f t="shared" si="7"/>
        <v>RBPIFloatSTLno</v>
      </c>
    </row>
    <row r="51" spans="1:41">
      <c r="A51" s="1077" t="s">
        <v>96</v>
      </c>
      <c r="B51" s="1077" t="s">
        <v>41</v>
      </c>
      <c r="C51" s="1149" t="s">
        <v>618</v>
      </c>
      <c r="D51" s="1077" t="s">
        <v>103</v>
      </c>
      <c r="E51" s="1077" t="s">
        <v>709</v>
      </c>
      <c r="F51" s="1078">
        <v>235</v>
      </c>
      <c r="G51" s="1258">
        <v>58.749999969999998</v>
      </c>
      <c r="H51" s="1259">
        <f t="shared" si="3"/>
        <v>176.25000003</v>
      </c>
      <c r="I51" s="1080">
        <v>0.11</v>
      </c>
      <c r="K51" s="1080" t="s">
        <v>588</v>
      </c>
      <c r="L51" s="1183">
        <f t="shared" si="1"/>
        <v>6.4624999967000001</v>
      </c>
      <c r="M51" s="1260">
        <v>45510</v>
      </c>
      <c r="N51" s="1260">
        <v>45874</v>
      </c>
      <c r="O51" s="1077"/>
      <c r="Q51" s="1262"/>
      <c r="R51" s="1262"/>
      <c r="S51" s="1262"/>
      <c r="T51" s="1262">
        <f t="shared" si="12"/>
        <v>0</v>
      </c>
      <c r="U51" s="1262">
        <f t="shared" si="12"/>
        <v>0</v>
      </c>
      <c r="V51" s="1262"/>
      <c r="W51" s="1262"/>
      <c r="X51" s="1262">
        <f t="shared" si="12"/>
        <v>58.749999969999998</v>
      </c>
      <c r="Y51" s="1262">
        <f t="shared" si="12"/>
        <v>0</v>
      </c>
      <c r="Z51" s="1262">
        <f t="shared" si="12"/>
        <v>0</v>
      </c>
      <c r="AA51" s="1262">
        <f t="shared" si="12"/>
        <v>0</v>
      </c>
      <c r="AB51" s="1262">
        <f t="shared" si="12"/>
        <v>0</v>
      </c>
      <c r="AC51" s="1262">
        <f t="shared" si="12"/>
        <v>0</v>
      </c>
      <c r="AD51" s="1262"/>
      <c r="AL51" s="1259">
        <f t="shared" si="4"/>
        <v>58.749999969999998</v>
      </c>
      <c r="AM51" s="1184">
        <f t="shared" si="5"/>
        <v>0</v>
      </c>
      <c r="AN51" s="1077" t="str">
        <f t="shared" si="6"/>
        <v>RBPIFloatSTL</v>
      </c>
      <c r="AO51" s="1077" t="str">
        <f t="shared" si="7"/>
        <v>RBPIFloatSTLyes</v>
      </c>
    </row>
    <row r="52" spans="1:41">
      <c r="A52" s="1077" t="s">
        <v>96</v>
      </c>
      <c r="B52" s="1077" t="s">
        <v>41</v>
      </c>
      <c r="C52" s="1149" t="s">
        <v>697</v>
      </c>
      <c r="D52" s="1077" t="s">
        <v>597</v>
      </c>
      <c r="E52" s="1077" t="s">
        <v>710</v>
      </c>
      <c r="F52" s="1078">
        <v>200</v>
      </c>
      <c r="G52" s="1258">
        <v>200</v>
      </c>
      <c r="H52" s="1259">
        <f t="shared" si="3"/>
        <v>0</v>
      </c>
      <c r="I52" s="1080">
        <v>0.22499999999999998</v>
      </c>
      <c r="K52" s="1080" t="s">
        <v>588</v>
      </c>
      <c r="L52" s="1183">
        <f t="shared" si="1"/>
        <v>44.999999999999993</v>
      </c>
      <c r="M52" s="1260">
        <v>45747</v>
      </c>
      <c r="N52" s="1260">
        <v>46112</v>
      </c>
      <c r="O52" s="1077"/>
      <c r="Q52" s="1262"/>
      <c r="R52" s="1262"/>
      <c r="S52" s="1262"/>
      <c r="T52" s="1262">
        <f t="shared" si="12"/>
        <v>0</v>
      </c>
      <c r="U52" s="1262">
        <f t="shared" si="12"/>
        <v>0</v>
      </c>
      <c r="V52" s="1262"/>
      <c r="W52" s="1262"/>
      <c r="X52" s="1262">
        <f t="shared" si="12"/>
        <v>0</v>
      </c>
      <c r="Y52" s="1262">
        <f t="shared" si="12"/>
        <v>0</v>
      </c>
      <c r="Z52" s="1262">
        <f t="shared" si="12"/>
        <v>0</v>
      </c>
      <c r="AA52" s="1262">
        <f t="shared" si="12"/>
        <v>0</v>
      </c>
      <c r="AB52" s="1262">
        <f t="shared" si="12"/>
        <v>0</v>
      </c>
      <c r="AC52" s="1262">
        <f t="shared" si="12"/>
        <v>200</v>
      </c>
      <c r="AD52" s="1262"/>
      <c r="AL52" s="1259">
        <f t="shared" si="4"/>
        <v>200</v>
      </c>
      <c r="AM52" s="1184">
        <f t="shared" si="5"/>
        <v>0</v>
      </c>
      <c r="AN52" s="1077" t="str">
        <f t="shared" si="6"/>
        <v>RBPIFloatSTL</v>
      </c>
      <c r="AO52" s="1077" t="str">
        <f t="shared" si="7"/>
        <v>RBPIFloatSTLno</v>
      </c>
    </row>
    <row r="53" spans="1:41">
      <c r="A53" s="1077" t="s">
        <v>96</v>
      </c>
      <c r="B53" s="1077" t="s">
        <v>583</v>
      </c>
      <c r="C53" s="1149" t="s">
        <v>619</v>
      </c>
      <c r="D53" s="1077" t="s">
        <v>100</v>
      </c>
      <c r="E53" s="1077" t="s">
        <v>710</v>
      </c>
      <c r="F53" s="1078">
        <v>150</v>
      </c>
      <c r="G53" s="1258">
        <v>0</v>
      </c>
      <c r="H53" s="1259">
        <f t="shared" si="3"/>
        <v>150</v>
      </c>
      <c r="I53" s="1080">
        <v>0.19889999999999999</v>
      </c>
      <c r="K53" s="1080" t="s">
        <v>589</v>
      </c>
      <c r="L53" s="1183">
        <f t="shared" si="1"/>
        <v>0</v>
      </c>
      <c r="M53" s="1260">
        <v>45491</v>
      </c>
      <c r="N53" s="1260">
        <v>45855</v>
      </c>
      <c r="O53" s="1077"/>
      <c r="Q53" s="1262"/>
      <c r="R53" s="1262"/>
      <c r="S53" s="1262"/>
      <c r="T53" s="1262">
        <f t="shared" si="12"/>
        <v>0</v>
      </c>
      <c r="U53" s="1262">
        <f t="shared" si="12"/>
        <v>0</v>
      </c>
      <c r="V53" s="1262"/>
      <c r="W53" s="1262"/>
      <c r="X53" s="1262">
        <f t="shared" si="12"/>
        <v>0</v>
      </c>
      <c r="Y53" s="1262">
        <f t="shared" si="12"/>
        <v>0</v>
      </c>
      <c r="Z53" s="1262">
        <f t="shared" si="12"/>
        <v>0</v>
      </c>
      <c r="AA53" s="1262">
        <f t="shared" si="12"/>
        <v>0</v>
      </c>
      <c r="AB53" s="1262">
        <f t="shared" si="12"/>
        <v>0</v>
      </c>
      <c r="AC53" s="1262">
        <f t="shared" si="12"/>
        <v>0</v>
      </c>
      <c r="AD53" s="1262"/>
      <c r="AL53" s="1259">
        <f t="shared" si="4"/>
        <v>0</v>
      </c>
      <c r="AM53" s="1184">
        <f t="shared" si="5"/>
        <v>0</v>
      </c>
      <c r="AN53" s="1077" t="str">
        <f t="shared" si="6"/>
        <v>APKFixSTL</v>
      </c>
      <c r="AO53" s="1077" t="str">
        <f t="shared" si="7"/>
        <v>APKFixSTLno</v>
      </c>
    </row>
    <row r="54" spans="1:41">
      <c r="A54" s="1077" t="s">
        <v>96</v>
      </c>
      <c r="B54" s="1077" t="s">
        <v>41</v>
      </c>
      <c r="C54" s="1149" t="s">
        <v>620</v>
      </c>
      <c r="D54" s="1077" t="s">
        <v>103</v>
      </c>
      <c r="E54" s="1077" t="s">
        <v>710</v>
      </c>
      <c r="F54" s="1078">
        <v>250</v>
      </c>
      <c r="G54" s="1258">
        <v>124.99999998</v>
      </c>
      <c r="H54" s="1259">
        <f t="shared" si="3"/>
        <v>125.00000002</v>
      </c>
      <c r="I54" s="1080">
        <v>0.20749999999999999</v>
      </c>
      <c r="K54" s="1080" t="s">
        <v>588</v>
      </c>
      <c r="L54" s="1183">
        <f t="shared" si="1"/>
        <v>25.937499995849997</v>
      </c>
      <c r="M54" s="1260">
        <v>45545</v>
      </c>
      <c r="N54" s="1260">
        <v>45909</v>
      </c>
      <c r="O54" s="1077"/>
      <c r="Q54" s="1262"/>
      <c r="R54" s="1262"/>
      <c r="S54" s="1262"/>
      <c r="T54" s="1262">
        <f t="shared" si="12"/>
        <v>0</v>
      </c>
      <c r="U54" s="1262">
        <f t="shared" si="12"/>
        <v>0</v>
      </c>
      <c r="V54" s="1262"/>
      <c r="W54" s="1262"/>
      <c r="X54" s="1262">
        <f t="shared" si="12"/>
        <v>0</v>
      </c>
      <c r="Y54" s="1262">
        <f t="shared" si="12"/>
        <v>124.99999998</v>
      </c>
      <c r="Z54" s="1262">
        <f t="shared" si="12"/>
        <v>0</v>
      </c>
      <c r="AA54" s="1262">
        <f t="shared" si="12"/>
        <v>0</v>
      </c>
      <c r="AB54" s="1262">
        <f t="shared" si="12"/>
        <v>0</v>
      </c>
      <c r="AC54" s="1262">
        <f t="shared" si="12"/>
        <v>0</v>
      </c>
      <c r="AD54" s="1262"/>
      <c r="AL54" s="1259">
        <f t="shared" si="4"/>
        <v>124.99999998</v>
      </c>
      <c r="AM54" s="1184">
        <f t="shared" si="5"/>
        <v>0</v>
      </c>
      <c r="AN54" s="1077" t="str">
        <f t="shared" si="6"/>
        <v>RBPIFloatSTL</v>
      </c>
      <c r="AO54" s="1077" t="str">
        <f t="shared" si="7"/>
        <v>RBPIFloatSTLno</v>
      </c>
    </row>
    <row r="55" spans="1:41">
      <c r="A55" s="1077" t="s">
        <v>96</v>
      </c>
      <c r="B55" s="1077" t="s">
        <v>583</v>
      </c>
      <c r="C55" s="1149" t="s">
        <v>718</v>
      </c>
      <c r="D55" s="1077" t="s">
        <v>100</v>
      </c>
      <c r="E55" s="1077" t="s">
        <v>710</v>
      </c>
      <c r="F55" s="1078">
        <v>50</v>
      </c>
      <c r="G55" s="1258">
        <v>50</v>
      </c>
      <c r="H55" s="1259">
        <f t="shared" si="3"/>
        <v>0</v>
      </c>
      <c r="I55" s="1080">
        <v>0.22650000000000001</v>
      </c>
      <c r="K55" s="1080" t="s">
        <v>588</v>
      </c>
      <c r="L55" s="1183">
        <f t="shared" si="1"/>
        <v>11.325000000000001</v>
      </c>
      <c r="M55" s="1260">
        <v>45595</v>
      </c>
      <c r="N55" s="1260">
        <v>45959</v>
      </c>
      <c r="O55" s="1077"/>
      <c r="Q55" s="1262"/>
      <c r="R55" s="1262"/>
      <c r="S55" s="1262"/>
      <c r="T55" s="1262">
        <f t="shared" si="12"/>
        <v>0</v>
      </c>
      <c r="U55" s="1262">
        <f t="shared" si="12"/>
        <v>0</v>
      </c>
      <c r="V55" s="1262"/>
      <c r="W55" s="1262"/>
      <c r="X55" s="1262">
        <f t="shared" si="12"/>
        <v>0</v>
      </c>
      <c r="Y55" s="1262">
        <f t="shared" si="12"/>
        <v>0</v>
      </c>
      <c r="Z55" s="1262">
        <f t="shared" si="12"/>
        <v>50</v>
      </c>
      <c r="AA55" s="1262">
        <f t="shared" si="12"/>
        <v>0</v>
      </c>
      <c r="AB55" s="1262">
        <f t="shared" si="12"/>
        <v>0</v>
      </c>
      <c r="AC55" s="1262">
        <f t="shared" si="12"/>
        <v>0</v>
      </c>
      <c r="AD55" s="1262"/>
      <c r="AL55" s="1259">
        <f t="shared" si="4"/>
        <v>50</v>
      </c>
      <c r="AM55" s="1184">
        <f t="shared" si="5"/>
        <v>0</v>
      </c>
      <c r="AN55" s="1077" t="str">
        <f t="shared" si="6"/>
        <v>APKFloatSTL</v>
      </c>
      <c r="AO55" s="1077" t="str">
        <f t="shared" si="7"/>
        <v>APKFloatSTLno</v>
      </c>
    </row>
    <row r="56" spans="1:41">
      <c r="A56" s="1077" t="s">
        <v>96</v>
      </c>
      <c r="B56" s="1077" t="s">
        <v>583</v>
      </c>
      <c r="C56" s="1149" t="s">
        <v>713</v>
      </c>
      <c r="D56" s="1077" t="s">
        <v>100</v>
      </c>
      <c r="E56" s="1077" t="s">
        <v>709</v>
      </c>
      <c r="F56" s="1078">
        <v>75</v>
      </c>
      <c r="G56" s="1258">
        <v>75</v>
      </c>
      <c r="H56" s="1259">
        <f t="shared" si="3"/>
        <v>0</v>
      </c>
      <c r="I56" s="1080">
        <v>0.10999999999999999</v>
      </c>
      <c r="K56" s="1080" t="s">
        <v>588</v>
      </c>
      <c r="L56" s="1183">
        <f t="shared" si="1"/>
        <v>8.2499999999999982</v>
      </c>
      <c r="M56" s="1260">
        <v>45807</v>
      </c>
      <c r="N56" s="1260">
        <v>46167</v>
      </c>
      <c r="O56" s="1077"/>
      <c r="Q56" s="1262"/>
      <c r="R56" s="1262"/>
      <c r="S56" s="1262"/>
      <c r="T56" s="1262">
        <f t="shared" si="12"/>
        <v>0</v>
      </c>
      <c r="U56" s="1262">
        <f t="shared" si="12"/>
        <v>0</v>
      </c>
      <c r="V56" s="1262"/>
      <c r="W56" s="1262"/>
      <c r="X56" s="1262">
        <f t="shared" si="12"/>
        <v>0</v>
      </c>
      <c r="Y56" s="1262">
        <f t="shared" si="12"/>
        <v>0</v>
      </c>
      <c r="Z56" s="1262">
        <f t="shared" si="12"/>
        <v>0</v>
      </c>
      <c r="AA56" s="1262">
        <f t="shared" si="12"/>
        <v>0</v>
      </c>
      <c r="AB56" s="1262">
        <f t="shared" si="12"/>
        <v>0</v>
      </c>
      <c r="AC56" s="1262">
        <f t="shared" si="12"/>
        <v>75</v>
      </c>
      <c r="AD56" s="1262"/>
      <c r="AL56" s="1259">
        <f t="shared" si="4"/>
        <v>75</v>
      </c>
      <c r="AM56" s="1184">
        <f t="shared" si="5"/>
        <v>0</v>
      </c>
      <c r="AN56" s="1077" t="str">
        <f t="shared" si="6"/>
        <v>APKFloatSTL</v>
      </c>
      <c r="AO56" s="1077" t="str">
        <f t="shared" si="7"/>
        <v>APKFloatSTLyes</v>
      </c>
    </row>
    <row r="57" spans="1:41">
      <c r="A57" s="1077" t="s">
        <v>96</v>
      </c>
      <c r="B57" s="1077" t="s">
        <v>583</v>
      </c>
      <c r="C57" s="1149" t="s">
        <v>719</v>
      </c>
      <c r="D57" s="1077" t="s">
        <v>100</v>
      </c>
      <c r="E57" s="1077" t="s">
        <v>709</v>
      </c>
      <c r="F57" s="1078">
        <v>100</v>
      </c>
      <c r="G57" s="1258">
        <v>100</v>
      </c>
      <c r="H57" s="1259">
        <f t="shared" si="3"/>
        <v>0</v>
      </c>
      <c r="I57" s="1080">
        <v>0.10999999999999999</v>
      </c>
      <c r="K57" s="1080" t="s">
        <v>588</v>
      </c>
      <c r="L57" s="1183">
        <f t="shared" si="1"/>
        <v>10.999999999999998</v>
      </c>
      <c r="M57" s="1260">
        <v>45509</v>
      </c>
      <c r="N57" s="1260">
        <v>45873</v>
      </c>
      <c r="O57" s="1077"/>
      <c r="Q57" s="1262"/>
      <c r="R57" s="1262"/>
      <c r="S57" s="1262"/>
      <c r="T57" s="1262">
        <f t="shared" si="12"/>
        <v>0</v>
      </c>
      <c r="U57" s="1262">
        <f t="shared" si="12"/>
        <v>0</v>
      </c>
      <c r="V57" s="1262"/>
      <c r="W57" s="1262"/>
      <c r="X57" s="1262">
        <f t="shared" si="12"/>
        <v>100</v>
      </c>
      <c r="Y57" s="1262">
        <f t="shared" si="12"/>
        <v>0</v>
      </c>
      <c r="Z57" s="1262">
        <f t="shared" si="12"/>
        <v>0</v>
      </c>
      <c r="AA57" s="1262">
        <f t="shared" si="12"/>
        <v>0</v>
      </c>
      <c r="AB57" s="1262">
        <f t="shared" si="12"/>
        <v>0</v>
      </c>
      <c r="AC57" s="1262">
        <f t="shared" si="12"/>
        <v>0</v>
      </c>
      <c r="AD57" s="1262"/>
      <c r="AL57" s="1259">
        <f t="shared" si="4"/>
        <v>100</v>
      </c>
      <c r="AM57" s="1184">
        <f t="shared" si="5"/>
        <v>0</v>
      </c>
      <c r="AN57" s="1077" t="str">
        <f t="shared" si="6"/>
        <v>APKFloatSTL</v>
      </c>
      <c r="AO57" s="1077" t="str">
        <f t="shared" si="7"/>
        <v>APKFloatSTLyes</v>
      </c>
    </row>
    <row r="58" spans="1:41">
      <c r="A58" s="1077" t="s">
        <v>96</v>
      </c>
      <c r="B58" s="1077" t="s">
        <v>583</v>
      </c>
      <c r="C58" s="1149" t="s">
        <v>681</v>
      </c>
      <c r="D58" s="1077" t="s">
        <v>100</v>
      </c>
      <c r="E58" s="1077" t="s">
        <v>710</v>
      </c>
      <c r="F58" s="1078">
        <v>50</v>
      </c>
      <c r="G58" s="1258">
        <v>50</v>
      </c>
      <c r="H58" s="1259">
        <f t="shared" si="3"/>
        <v>0</v>
      </c>
      <c r="I58" s="1080">
        <v>0.2215</v>
      </c>
      <c r="K58" s="1080" t="s">
        <v>588</v>
      </c>
      <c r="L58" s="1183">
        <f t="shared" si="1"/>
        <v>11.074999999999999</v>
      </c>
      <c r="M58" s="1260">
        <v>45586</v>
      </c>
      <c r="N58" s="1260">
        <v>45950</v>
      </c>
      <c r="O58" s="1077"/>
      <c r="Q58" s="1262"/>
      <c r="R58" s="1262"/>
      <c r="S58" s="1262"/>
      <c r="T58" s="1262">
        <f t="shared" si="12"/>
        <v>0</v>
      </c>
      <c r="U58" s="1262">
        <f t="shared" si="12"/>
        <v>0</v>
      </c>
      <c r="V58" s="1262"/>
      <c r="W58" s="1262"/>
      <c r="X58" s="1262">
        <f t="shared" si="12"/>
        <v>0</v>
      </c>
      <c r="Y58" s="1262">
        <f t="shared" si="12"/>
        <v>0</v>
      </c>
      <c r="Z58" s="1262">
        <f t="shared" si="12"/>
        <v>50</v>
      </c>
      <c r="AA58" s="1262">
        <f t="shared" si="12"/>
        <v>0</v>
      </c>
      <c r="AB58" s="1262">
        <f t="shared" si="12"/>
        <v>0</v>
      </c>
      <c r="AC58" s="1262">
        <f t="shared" si="12"/>
        <v>0</v>
      </c>
      <c r="AD58" s="1262"/>
      <c r="AL58" s="1259">
        <f t="shared" si="4"/>
        <v>50</v>
      </c>
      <c r="AM58" s="1184">
        <f t="shared" si="5"/>
        <v>0</v>
      </c>
      <c r="AN58" s="1077" t="str">
        <f t="shared" si="6"/>
        <v>APKFloatSTL</v>
      </c>
      <c r="AO58" s="1077" t="str">
        <f t="shared" si="7"/>
        <v>APKFloatSTLno</v>
      </c>
    </row>
    <row r="59" spans="1:41">
      <c r="A59" s="1077" t="s">
        <v>96</v>
      </c>
      <c r="B59" s="1077" t="s">
        <v>41</v>
      </c>
      <c r="C59" s="1149" t="s">
        <v>656</v>
      </c>
      <c r="D59" s="1077" t="s">
        <v>591</v>
      </c>
      <c r="E59" s="1077" t="s">
        <v>710</v>
      </c>
      <c r="F59" s="1078">
        <v>100</v>
      </c>
      <c r="G59" s="1258">
        <v>30</v>
      </c>
      <c r="H59" s="1259">
        <f t="shared" si="3"/>
        <v>70</v>
      </c>
      <c r="I59" s="1080">
        <v>0.22499999999999998</v>
      </c>
      <c r="K59" s="1080" t="s">
        <v>589</v>
      </c>
      <c r="L59" s="1183">
        <f t="shared" si="1"/>
        <v>6.7499999999999991</v>
      </c>
      <c r="M59" s="1260">
        <v>45685</v>
      </c>
      <c r="N59" s="1260">
        <v>46049</v>
      </c>
      <c r="O59" s="1077"/>
      <c r="Q59" s="1262"/>
      <c r="R59" s="1262"/>
      <c r="S59" s="1262"/>
      <c r="T59" s="1262">
        <f t="shared" si="12"/>
        <v>0</v>
      </c>
      <c r="U59" s="1262">
        <f t="shared" si="12"/>
        <v>0</v>
      </c>
      <c r="V59" s="1262"/>
      <c r="W59" s="1262"/>
      <c r="X59" s="1262">
        <f t="shared" si="12"/>
        <v>0</v>
      </c>
      <c r="Y59" s="1262">
        <f t="shared" si="12"/>
        <v>0</v>
      </c>
      <c r="Z59" s="1262">
        <f t="shared" si="12"/>
        <v>0</v>
      </c>
      <c r="AA59" s="1262">
        <f t="shared" si="12"/>
        <v>0</v>
      </c>
      <c r="AB59" s="1262">
        <f t="shared" si="12"/>
        <v>0</v>
      </c>
      <c r="AC59" s="1262">
        <f t="shared" si="12"/>
        <v>30</v>
      </c>
      <c r="AD59" s="1262"/>
      <c r="AL59" s="1259">
        <f t="shared" si="4"/>
        <v>30</v>
      </c>
      <c r="AM59" s="1184">
        <f t="shared" si="5"/>
        <v>0</v>
      </c>
      <c r="AN59" s="1077" t="str">
        <f t="shared" si="6"/>
        <v>RBPIFixSTL</v>
      </c>
      <c r="AO59" s="1077" t="str">
        <f t="shared" si="7"/>
        <v>RBPIFixSTLno</v>
      </c>
    </row>
    <row r="60" spans="1:41">
      <c r="A60" s="1077" t="s">
        <v>96</v>
      </c>
      <c r="B60" s="1077" t="s">
        <v>41</v>
      </c>
      <c r="C60" s="1149" t="s">
        <v>621</v>
      </c>
      <c r="D60" s="1077" t="s">
        <v>591</v>
      </c>
      <c r="E60" s="1077" t="s">
        <v>710</v>
      </c>
      <c r="F60" s="1078">
        <v>200</v>
      </c>
      <c r="G60" s="1258">
        <v>160</v>
      </c>
      <c r="H60" s="1259">
        <f t="shared" si="3"/>
        <v>40</v>
      </c>
      <c r="I60" s="1080">
        <v>0.215</v>
      </c>
      <c r="K60" s="1080" t="s">
        <v>588</v>
      </c>
      <c r="L60" s="1183">
        <f t="shared" si="1"/>
        <v>34.4</v>
      </c>
      <c r="M60" s="1260">
        <v>45615</v>
      </c>
      <c r="N60" s="1260">
        <v>45979</v>
      </c>
      <c r="O60" s="1077"/>
      <c r="Q60" s="1262"/>
      <c r="R60" s="1262"/>
      <c r="S60" s="1262"/>
      <c r="T60" s="1262">
        <f t="shared" si="12"/>
        <v>0</v>
      </c>
      <c r="U60" s="1262">
        <f t="shared" si="12"/>
        <v>0</v>
      </c>
      <c r="V60" s="1262"/>
      <c r="W60" s="1262"/>
      <c r="X60" s="1262">
        <f t="shared" si="12"/>
        <v>0</v>
      </c>
      <c r="Y60" s="1262">
        <f t="shared" si="12"/>
        <v>0</v>
      </c>
      <c r="Z60" s="1262">
        <f t="shared" si="12"/>
        <v>0</v>
      </c>
      <c r="AA60" s="1262">
        <f t="shared" si="12"/>
        <v>160</v>
      </c>
      <c r="AB60" s="1262">
        <f t="shared" si="12"/>
        <v>0</v>
      </c>
      <c r="AC60" s="1262">
        <f t="shared" si="12"/>
        <v>0</v>
      </c>
      <c r="AD60" s="1262"/>
      <c r="AL60" s="1259">
        <f t="shared" si="4"/>
        <v>160</v>
      </c>
      <c r="AM60" s="1184">
        <f t="shared" si="5"/>
        <v>0</v>
      </c>
      <c r="AN60" s="1077" t="str">
        <f t="shared" si="6"/>
        <v>RBPIFloatSTL</v>
      </c>
      <c r="AO60" s="1077" t="str">
        <f t="shared" si="7"/>
        <v>RBPIFloatSTLno</v>
      </c>
    </row>
    <row r="61" spans="1:41">
      <c r="A61" s="1077" t="s">
        <v>96</v>
      </c>
      <c r="B61" s="1077" t="s">
        <v>583</v>
      </c>
      <c r="C61" s="1149" t="s">
        <v>682</v>
      </c>
      <c r="D61" s="1077" t="s">
        <v>100</v>
      </c>
      <c r="E61" s="1077" t="s">
        <v>709</v>
      </c>
      <c r="F61" s="1078">
        <v>200</v>
      </c>
      <c r="G61" s="1258">
        <v>200</v>
      </c>
      <c r="H61" s="1259">
        <f t="shared" si="3"/>
        <v>0</v>
      </c>
      <c r="I61" s="1080">
        <v>0.10999999999999999</v>
      </c>
      <c r="K61" s="1080" t="s">
        <v>588</v>
      </c>
      <c r="L61" s="1183">
        <f t="shared" si="1"/>
        <v>21.999999999999996</v>
      </c>
      <c r="M61" s="1260">
        <v>45699</v>
      </c>
      <c r="N61" s="1260">
        <v>46063</v>
      </c>
      <c r="O61" s="1077"/>
      <c r="Q61" s="1262"/>
      <c r="R61" s="1262"/>
      <c r="S61" s="1262"/>
      <c r="T61" s="1262">
        <f t="shared" si="12"/>
        <v>0</v>
      </c>
      <c r="U61" s="1262">
        <f t="shared" si="12"/>
        <v>0</v>
      </c>
      <c r="V61" s="1262"/>
      <c r="W61" s="1262"/>
      <c r="X61" s="1262">
        <f t="shared" si="12"/>
        <v>0</v>
      </c>
      <c r="Y61" s="1262">
        <f t="shared" si="12"/>
        <v>0</v>
      </c>
      <c r="Z61" s="1262">
        <f t="shared" si="12"/>
        <v>0</v>
      </c>
      <c r="AA61" s="1262">
        <f t="shared" si="12"/>
        <v>0</v>
      </c>
      <c r="AB61" s="1262">
        <f t="shared" si="12"/>
        <v>0</v>
      </c>
      <c r="AC61" s="1262">
        <f t="shared" si="12"/>
        <v>200</v>
      </c>
      <c r="AD61" s="1262"/>
      <c r="AL61" s="1259">
        <f t="shared" ref="AL61:AL118" si="13">SUM(Q61:AK61)</f>
        <v>200</v>
      </c>
      <c r="AM61" s="1184">
        <f t="shared" si="5"/>
        <v>0</v>
      </c>
      <c r="AN61" s="1077" t="str">
        <f t="shared" si="6"/>
        <v>APKFloatSTL</v>
      </c>
      <c r="AO61" s="1077" t="str">
        <f t="shared" si="7"/>
        <v>APKFloatSTLyes</v>
      </c>
    </row>
    <row r="62" spans="1:41">
      <c r="A62" s="1077" t="s">
        <v>96</v>
      </c>
      <c r="B62" s="1077" t="s">
        <v>583</v>
      </c>
      <c r="C62" s="1149" t="s">
        <v>657</v>
      </c>
      <c r="D62" s="1077" t="s">
        <v>100</v>
      </c>
      <c r="E62" s="1077" t="s">
        <v>710</v>
      </c>
      <c r="F62" s="1078">
        <v>100</v>
      </c>
      <c r="G62" s="1258">
        <v>100</v>
      </c>
      <c r="H62" s="1259">
        <f t="shared" si="3"/>
        <v>0</v>
      </c>
      <c r="I62" s="1080">
        <v>0.2205</v>
      </c>
      <c r="K62" s="1080" t="s">
        <v>588</v>
      </c>
      <c r="L62" s="1183">
        <f t="shared" si="1"/>
        <v>22.05</v>
      </c>
      <c r="M62" s="1260">
        <v>45714</v>
      </c>
      <c r="N62" s="1260">
        <v>46078</v>
      </c>
      <c r="O62" s="1077"/>
      <c r="Q62" s="1262"/>
      <c r="R62" s="1262"/>
      <c r="S62" s="1262"/>
      <c r="T62" s="1262">
        <f t="shared" ref="T62:AC77" si="14">IF(U$2&lt;$N62,0,IF($N62&gt;T$2,$G62,0))</f>
        <v>0</v>
      </c>
      <c r="U62" s="1262">
        <f t="shared" si="14"/>
        <v>0</v>
      </c>
      <c r="V62" s="1262"/>
      <c r="W62" s="1262"/>
      <c r="X62" s="1262">
        <f t="shared" si="14"/>
        <v>0</v>
      </c>
      <c r="Y62" s="1262">
        <f t="shared" si="14"/>
        <v>0</v>
      </c>
      <c r="Z62" s="1262">
        <f t="shared" si="14"/>
        <v>0</v>
      </c>
      <c r="AA62" s="1262">
        <f t="shared" si="14"/>
        <v>0</v>
      </c>
      <c r="AB62" s="1262">
        <f t="shared" si="14"/>
        <v>0</v>
      </c>
      <c r="AC62" s="1262">
        <f t="shared" si="14"/>
        <v>100</v>
      </c>
      <c r="AD62" s="1262"/>
      <c r="AL62" s="1259">
        <f t="shared" si="13"/>
        <v>100</v>
      </c>
      <c r="AM62" s="1184">
        <f t="shared" si="5"/>
        <v>0</v>
      </c>
      <c r="AN62" s="1077" t="str">
        <f t="shared" si="6"/>
        <v>APKFloatSTL</v>
      </c>
      <c r="AO62" s="1077" t="str">
        <f t="shared" si="7"/>
        <v>APKFloatSTLno</v>
      </c>
    </row>
    <row r="63" spans="1:41">
      <c r="A63" s="1077" t="s">
        <v>96</v>
      </c>
      <c r="B63" s="1077" t="s">
        <v>583</v>
      </c>
      <c r="C63" s="1149" t="s">
        <v>698</v>
      </c>
      <c r="D63" s="1077" t="s">
        <v>100</v>
      </c>
      <c r="E63" s="1077" t="s">
        <v>710</v>
      </c>
      <c r="F63" s="1078">
        <v>300</v>
      </c>
      <c r="G63" s="1258">
        <v>300</v>
      </c>
      <c r="H63" s="1259">
        <f t="shared" si="3"/>
        <v>0</v>
      </c>
      <c r="I63" s="1080">
        <v>0.215</v>
      </c>
      <c r="K63" s="1080" t="s">
        <v>588</v>
      </c>
      <c r="L63" s="1183">
        <f t="shared" si="1"/>
        <v>64.5</v>
      </c>
      <c r="M63" s="1260">
        <v>45751</v>
      </c>
      <c r="N63" s="1260">
        <v>46115</v>
      </c>
      <c r="O63" s="1077"/>
      <c r="Q63" s="1262"/>
      <c r="R63" s="1262"/>
      <c r="S63" s="1262"/>
      <c r="T63" s="1262">
        <f t="shared" si="14"/>
        <v>0</v>
      </c>
      <c r="U63" s="1262">
        <f t="shared" si="14"/>
        <v>0</v>
      </c>
      <c r="V63" s="1262"/>
      <c r="W63" s="1262"/>
      <c r="X63" s="1262">
        <f t="shared" si="14"/>
        <v>0</v>
      </c>
      <c r="Y63" s="1262">
        <f t="shared" si="14"/>
        <v>0</v>
      </c>
      <c r="Z63" s="1262">
        <f t="shared" si="14"/>
        <v>0</v>
      </c>
      <c r="AA63" s="1262">
        <f t="shared" si="14"/>
        <v>0</v>
      </c>
      <c r="AB63" s="1262">
        <f t="shared" si="14"/>
        <v>0</v>
      </c>
      <c r="AC63" s="1262">
        <f t="shared" si="14"/>
        <v>300</v>
      </c>
      <c r="AD63" s="1262"/>
      <c r="AL63" s="1259">
        <f t="shared" si="13"/>
        <v>300</v>
      </c>
      <c r="AM63" s="1184">
        <f t="shared" si="5"/>
        <v>0</v>
      </c>
      <c r="AN63" s="1077" t="str">
        <f t="shared" si="6"/>
        <v>APKFloatSTL</v>
      </c>
      <c r="AO63" s="1077" t="str">
        <f t="shared" si="7"/>
        <v>APKFloatSTLno</v>
      </c>
    </row>
    <row r="64" spans="1:41">
      <c r="A64" s="1077" t="s">
        <v>96</v>
      </c>
      <c r="B64" s="1077" t="s">
        <v>41</v>
      </c>
      <c r="C64" s="1149" t="s">
        <v>683</v>
      </c>
      <c r="D64" s="1077" t="s">
        <v>591</v>
      </c>
      <c r="E64" s="1077" t="s">
        <v>710</v>
      </c>
      <c r="F64" s="1078">
        <v>80</v>
      </c>
      <c r="G64" s="1258">
        <v>80</v>
      </c>
      <c r="H64" s="1259">
        <f t="shared" si="3"/>
        <v>0</v>
      </c>
      <c r="I64" s="1080">
        <v>0.22999999999999998</v>
      </c>
      <c r="K64" s="1080" t="s">
        <v>588</v>
      </c>
      <c r="L64" s="1183">
        <f t="shared" si="1"/>
        <v>18.399999999999999</v>
      </c>
      <c r="M64" s="1260">
        <v>45722</v>
      </c>
      <c r="N64" s="1260">
        <v>46060</v>
      </c>
      <c r="O64" s="1077"/>
      <c r="Q64" s="1262"/>
      <c r="R64" s="1262"/>
      <c r="S64" s="1262"/>
      <c r="T64" s="1262">
        <f t="shared" si="14"/>
        <v>0</v>
      </c>
      <c r="U64" s="1262">
        <f t="shared" si="14"/>
        <v>0</v>
      </c>
      <c r="V64" s="1262"/>
      <c r="W64" s="1262"/>
      <c r="X64" s="1262">
        <f t="shared" si="14"/>
        <v>0</v>
      </c>
      <c r="Y64" s="1262">
        <f t="shared" si="14"/>
        <v>0</v>
      </c>
      <c r="Z64" s="1262">
        <f t="shared" si="14"/>
        <v>0</v>
      </c>
      <c r="AA64" s="1262">
        <f t="shared" si="14"/>
        <v>0</v>
      </c>
      <c r="AB64" s="1262">
        <f t="shared" si="14"/>
        <v>0</v>
      </c>
      <c r="AC64" s="1262">
        <f t="shared" si="14"/>
        <v>80</v>
      </c>
      <c r="AD64" s="1262"/>
      <c r="AL64" s="1259">
        <f t="shared" si="13"/>
        <v>80</v>
      </c>
      <c r="AM64" s="1184">
        <f t="shared" si="5"/>
        <v>0</v>
      </c>
      <c r="AN64" s="1077" t="str">
        <f t="shared" si="6"/>
        <v>RBPIFloatSTL</v>
      </c>
      <c r="AO64" s="1077" t="str">
        <f t="shared" si="7"/>
        <v>RBPIFloatSTLno</v>
      </c>
    </row>
    <row r="65" spans="1:41">
      <c r="A65" s="1077" t="s">
        <v>96</v>
      </c>
      <c r="B65" s="1077" t="s">
        <v>583</v>
      </c>
      <c r="C65" s="1149" t="s">
        <v>622</v>
      </c>
      <c r="D65" s="1077" t="s">
        <v>100</v>
      </c>
      <c r="E65" s="1077" t="s">
        <v>709</v>
      </c>
      <c r="F65" s="1078">
        <v>50</v>
      </c>
      <c r="G65" s="1258">
        <v>50</v>
      </c>
      <c r="H65" s="1259">
        <f t="shared" si="3"/>
        <v>0</v>
      </c>
      <c r="I65" s="1080">
        <v>0.10999999999999999</v>
      </c>
      <c r="K65" s="1080" t="s">
        <v>588</v>
      </c>
      <c r="L65" s="1183">
        <f t="shared" si="1"/>
        <v>5.4999999999999991</v>
      </c>
      <c r="M65" s="1260">
        <v>45552</v>
      </c>
      <c r="N65" s="1260">
        <v>45916</v>
      </c>
      <c r="O65" s="1077"/>
      <c r="Q65" s="1262"/>
      <c r="R65" s="1262"/>
      <c r="S65" s="1262"/>
      <c r="T65" s="1262">
        <f t="shared" si="14"/>
        <v>0</v>
      </c>
      <c r="U65" s="1262">
        <f t="shared" si="14"/>
        <v>0</v>
      </c>
      <c r="V65" s="1262"/>
      <c r="W65" s="1262"/>
      <c r="X65" s="1262">
        <f t="shared" si="14"/>
        <v>0</v>
      </c>
      <c r="Y65" s="1262">
        <f t="shared" si="14"/>
        <v>50</v>
      </c>
      <c r="Z65" s="1262">
        <f t="shared" si="14"/>
        <v>0</v>
      </c>
      <c r="AA65" s="1262">
        <f t="shared" si="14"/>
        <v>0</v>
      </c>
      <c r="AB65" s="1262">
        <f t="shared" si="14"/>
        <v>0</v>
      </c>
      <c r="AC65" s="1262">
        <f t="shared" si="14"/>
        <v>0</v>
      </c>
      <c r="AD65" s="1262"/>
      <c r="AL65" s="1259">
        <f t="shared" si="13"/>
        <v>50</v>
      </c>
      <c r="AM65" s="1184">
        <f t="shared" si="5"/>
        <v>0</v>
      </c>
      <c r="AN65" s="1077" t="str">
        <f t="shared" si="6"/>
        <v>APKFloatSTL</v>
      </c>
      <c r="AO65" s="1077" t="str">
        <f t="shared" si="7"/>
        <v>APKFloatSTLyes</v>
      </c>
    </row>
    <row r="66" spans="1:41">
      <c r="A66" s="1077" t="s">
        <v>96</v>
      </c>
      <c r="B66" s="1077" t="s">
        <v>41</v>
      </c>
      <c r="C66" s="1149" t="s">
        <v>720</v>
      </c>
      <c r="D66" s="1077" t="s">
        <v>103</v>
      </c>
      <c r="E66" s="1077" t="s">
        <v>710</v>
      </c>
      <c r="F66" s="1078">
        <v>300</v>
      </c>
      <c r="G66" s="1258">
        <v>300</v>
      </c>
      <c r="H66" s="1259">
        <f t="shared" si="3"/>
        <v>0</v>
      </c>
      <c r="I66" s="1080">
        <v>0.22499999999999998</v>
      </c>
      <c r="K66" s="1080" t="s">
        <v>588</v>
      </c>
      <c r="L66" s="1183">
        <f t="shared" si="1"/>
        <v>67.5</v>
      </c>
      <c r="M66" s="1260">
        <v>45805</v>
      </c>
      <c r="N66" s="1260">
        <v>46169</v>
      </c>
      <c r="O66" s="1077"/>
      <c r="Q66" s="1262"/>
      <c r="R66" s="1262"/>
      <c r="S66" s="1262"/>
      <c r="T66" s="1262">
        <f t="shared" si="14"/>
        <v>0</v>
      </c>
      <c r="U66" s="1262">
        <f t="shared" si="14"/>
        <v>0</v>
      </c>
      <c r="V66" s="1262"/>
      <c r="W66" s="1262"/>
      <c r="X66" s="1262">
        <f t="shared" si="14"/>
        <v>0</v>
      </c>
      <c r="Y66" s="1262">
        <f t="shared" si="14"/>
        <v>0</v>
      </c>
      <c r="Z66" s="1262">
        <f t="shared" si="14"/>
        <v>0</v>
      </c>
      <c r="AA66" s="1262">
        <f t="shared" si="14"/>
        <v>0</v>
      </c>
      <c r="AB66" s="1262">
        <f t="shared" si="14"/>
        <v>0</v>
      </c>
      <c r="AC66" s="1262">
        <f t="shared" si="14"/>
        <v>300</v>
      </c>
      <c r="AD66" s="1262"/>
      <c r="AL66" s="1259">
        <f t="shared" si="13"/>
        <v>300</v>
      </c>
      <c r="AM66" s="1184">
        <f t="shared" si="5"/>
        <v>0</v>
      </c>
      <c r="AN66" s="1077" t="str">
        <f t="shared" si="6"/>
        <v>RBPIFloatSTL</v>
      </c>
      <c r="AO66" s="1077" t="str">
        <f t="shared" si="7"/>
        <v>RBPIFloatSTLno</v>
      </c>
    </row>
    <row r="67" spans="1:41">
      <c r="A67" s="1077" t="s">
        <v>96</v>
      </c>
      <c r="B67" s="1077" t="s">
        <v>583</v>
      </c>
      <c r="C67" s="1149" t="s">
        <v>658</v>
      </c>
      <c r="D67" s="1077" t="s">
        <v>100</v>
      </c>
      <c r="E67" s="1077" t="s">
        <v>709</v>
      </c>
      <c r="F67" s="1078">
        <v>200</v>
      </c>
      <c r="G67" s="1258">
        <v>200</v>
      </c>
      <c r="H67" s="1259">
        <f t="shared" si="3"/>
        <v>0</v>
      </c>
      <c r="I67" s="1080">
        <v>0.10999999999999999</v>
      </c>
      <c r="K67" s="1080" t="s">
        <v>588</v>
      </c>
      <c r="L67" s="1183">
        <f t="shared" ref="L67:L95" si="15">+G67*I67</f>
        <v>21.999999999999996</v>
      </c>
      <c r="M67" s="1260">
        <v>45705</v>
      </c>
      <c r="N67" s="1260">
        <v>46069</v>
      </c>
      <c r="O67" s="1077"/>
      <c r="Q67" s="1262"/>
      <c r="R67" s="1262"/>
      <c r="S67" s="1262"/>
      <c r="T67" s="1262">
        <f t="shared" si="14"/>
        <v>0</v>
      </c>
      <c r="U67" s="1262">
        <f t="shared" si="14"/>
        <v>0</v>
      </c>
      <c r="V67" s="1262"/>
      <c r="W67" s="1262"/>
      <c r="X67" s="1262">
        <f t="shared" si="14"/>
        <v>0</v>
      </c>
      <c r="Y67" s="1262">
        <f t="shared" si="14"/>
        <v>0</v>
      </c>
      <c r="Z67" s="1262">
        <f t="shared" si="14"/>
        <v>0</v>
      </c>
      <c r="AA67" s="1262">
        <f t="shared" si="14"/>
        <v>0</v>
      </c>
      <c r="AB67" s="1262">
        <f t="shared" si="14"/>
        <v>0</v>
      </c>
      <c r="AC67" s="1262">
        <f t="shared" si="14"/>
        <v>200</v>
      </c>
      <c r="AD67" s="1262"/>
      <c r="AL67" s="1259">
        <f t="shared" si="13"/>
        <v>200</v>
      </c>
      <c r="AM67" s="1184">
        <f t="shared" si="5"/>
        <v>0</v>
      </c>
      <c r="AN67" s="1077" t="str">
        <f t="shared" si="6"/>
        <v>APKFloatSTL</v>
      </c>
      <c r="AO67" s="1077" t="str">
        <f t="shared" si="7"/>
        <v>APKFloatSTLyes</v>
      </c>
    </row>
    <row r="68" spans="1:41">
      <c r="A68" s="1077" t="s">
        <v>96</v>
      </c>
      <c r="B68" s="1077" t="s">
        <v>41</v>
      </c>
      <c r="C68" s="1149" t="s">
        <v>623</v>
      </c>
      <c r="D68" s="1077" t="s">
        <v>103</v>
      </c>
      <c r="E68" s="1077" t="s">
        <v>710</v>
      </c>
      <c r="F68" s="1078">
        <v>170</v>
      </c>
      <c r="G68" s="1258">
        <v>170</v>
      </c>
      <c r="H68" s="1259">
        <f t="shared" ref="H68:H95" si="16">F68-G68</f>
        <v>0</v>
      </c>
      <c r="I68" s="1080">
        <v>0.11</v>
      </c>
      <c r="K68" s="1080" t="s">
        <v>588</v>
      </c>
      <c r="L68" s="1183">
        <f t="shared" si="15"/>
        <v>18.7</v>
      </c>
      <c r="M68" s="1260">
        <v>45652</v>
      </c>
      <c r="N68" s="1260">
        <v>46016</v>
      </c>
      <c r="O68" s="1077"/>
      <c r="Q68" s="1262"/>
      <c r="R68" s="1262"/>
      <c r="S68" s="1262"/>
      <c r="T68" s="1262">
        <f t="shared" si="14"/>
        <v>0</v>
      </c>
      <c r="U68" s="1262">
        <f t="shared" si="14"/>
        <v>0</v>
      </c>
      <c r="V68" s="1262"/>
      <c r="W68" s="1262"/>
      <c r="X68" s="1262">
        <f t="shared" si="14"/>
        <v>0</v>
      </c>
      <c r="Y68" s="1262">
        <f t="shared" si="14"/>
        <v>0</v>
      </c>
      <c r="Z68" s="1262">
        <f t="shared" si="14"/>
        <v>0</v>
      </c>
      <c r="AA68" s="1262">
        <f t="shared" si="14"/>
        <v>0</v>
      </c>
      <c r="AB68" s="1262">
        <f t="shared" si="14"/>
        <v>170</v>
      </c>
      <c r="AC68" s="1262">
        <f t="shared" si="14"/>
        <v>0</v>
      </c>
      <c r="AD68" s="1262"/>
      <c r="AL68" s="1259">
        <f t="shared" si="13"/>
        <v>170</v>
      </c>
      <c r="AM68" s="1184">
        <f t="shared" ref="AM68:AM118" si="17">+AL68-G68</f>
        <v>0</v>
      </c>
      <c r="AN68" s="1077" t="str">
        <f t="shared" si="6"/>
        <v>RBPIFloatSTL</v>
      </c>
      <c r="AO68" s="1077" t="str">
        <f t="shared" si="7"/>
        <v>RBPIFloatSTLno</v>
      </c>
    </row>
    <row r="69" spans="1:41">
      <c r="A69" s="1077" t="s">
        <v>96</v>
      </c>
      <c r="B69" s="1077" t="s">
        <v>583</v>
      </c>
      <c r="C69" s="1149" t="s">
        <v>684</v>
      </c>
      <c r="D69" s="1077" t="s">
        <v>100</v>
      </c>
      <c r="E69" s="1077" t="s">
        <v>710</v>
      </c>
      <c r="F69" s="1078">
        <v>50</v>
      </c>
      <c r="G69" s="1258">
        <v>50</v>
      </c>
      <c r="H69" s="1259">
        <f t="shared" si="16"/>
        <v>0</v>
      </c>
      <c r="I69" s="1080">
        <v>0.22650000000000001</v>
      </c>
      <c r="K69" s="1080" t="s">
        <v>588</v>
      </c>
      <c r="L69" s="1183">
        <f t="shared" si="15"/>
        <v>11.325000000000001</v>
      </c>
      <c r="M69" s="1260">
        <v>45595</v>
      </c>
      <c r="N69" s="1260">
        <v>45959</v>
      </c>
      <c r="O69" s="1077"/>
      <c r="Q69" s="1262"/>
      <c r="R69" s="1262"/>
      <c r="S69" s="1262"/>
      <c r="T69" s="1262">
        <f t="shared" si="14"/>
        <v>0</v>
      </c>
      <c r="U69" s="1262">
        <f t="shared" si="14"/>
        <v>0</v>
      </c>
      <c r="V69" s="1262"/>
      <c r="W69" s="1262"/>
      <c r="X69" s="1262">
        <f t="shared" si="14"/>
        <v>0</v>
      </c>
      <c r="Y69" s="1262">
        <f t="shared" si="14"/>
        <v>0</v>
      </c>
      <c r="Z69" s="1262">
        <f t="shared" si="14"/>
        <v>50</v>
      </c>
      <c r="AA69" s="1262">
        <f t="shared" si="14"/>
        <v>0</v>
      </c>
      <c r="AB69" s="1262">
        <f t="shared" si="14"/>
        <v>0</v>
      </c>
      <c r="AC69" s="1262">
        <f t="shared" si="14"/>
        <v>0</v>
      </c>
      <c r="AD69" s="1262"/>
      <c r="AL69" s="1259">
        <f t="shared" si="13"/>
        <v>50</v>
      </c>
      <c r="AM69" s="1184">
        <f t="shared" si="17"/>
        <v>0</v>
      </c>
      <c r="AN69" s="1077" t="str">
        <f t="shared" si="6"/>
        <v>APKFloatSTL</v>
      </c>
      <c r="AO69" s="1077" t="str">
        <f t="shared" si="7"/>
        <v>APKFloatSTLno</v>
      </c>
    </row>
    <row r="70" spans="1:41">
      <c r="A70" s="1077" t="s">
        <v>96</v>
      </c>
      <c r="B70" s="1077" t="s">
        <v>583</v>
      </c>
      <c r="C70" s="1149" t="s">
        <v>659</v>
      </c>
      <c r="D70" s="1077" t="s">
        <v>100</v>
      </c>
      <c r="E70" s="1077" t="s">
        <v>709</v>
      </c>
      <c r="F70" s="1078">
        <v>100</v>
      </c>
      <c r="G70" s="1258">
        <v>100</v>
      </c>
      <c r="H70" s="1259">
        <f t="shared" si="16"/>
        <v>0</v>
      </c>
      <c r="I70" s="1080">
        <v>0.10999999999999999</v>
      </c>
      <c r="K70" s="1080" t="s">
        <v>588</v>
      </c>
      <c r="L70" s="1183">
        <f t="shared" si="15"/>
        <v>10.999999999999998</v>
      </c>
      <c r="M70" s="1260">
        <v>45699</v>
      </c>
      <c r="N70" s="1260">
        <v>46063</v>
      </c>
      <c r="O70" s="1077"/>
      <c r="Q70" s="1262"/>
      <c r="R70" s="1262"/>
      <c r="S70" s="1262"/>
      <c r="T70" s="1262">
        <f t="shared" si="14"/>
        <v>0</v>
      </c>
      <c r="U70" s="1262">
        <f t="shared" si="14"/>
        <v>0</v>
      </c>
      <c r="V70" s="1262"/>
      <c r="W70" s="1262"/>
      <c r="X70" s="1262">
        <f t="shared" si="14"/>
        <v>0</v>
      </c>
      <c r="Y70" s="1262">
        <f t="shared" si="14"/>
        <v>0</v>
      </c>
      <c r="Z70" s="1262">
        <f t="shared" si="14"/>
        <v>0</v>
      </c>
      <c r="AA70" s="1262">
        <f t="shared" si="14"/>
        <v>0</v>
      </c>
      <c r="AB70" s="1262">
        <f t="shared" si="14"/>
        <v>0</v>
      </c>
      <c r="AC70" s="1262">
        <f t="shared" si="14"/>
        <v>100</v>
      </c>
      <c r="AD70" s="1262"/>
      <c r="AL70" s="1259">
        <f t="shared" si="13"/>
        <v>100</v>
      </c>
      <c r="AM70" s="1184">
        <f t="shared" si="17"/>
        <v>0</v>
      </c>
      <c r="AN70" s="1077" t="str">
        <f t="shared" ref="AN70:AN118" si="18">CONCATENATE(B70,K70,A70)</f>
        <v>APKFloatSTL</v>
      </c>
      <c r="AO70" s="1077" t="str">
        <f t="shared" ref="AO70:AO118" si="19">CONCATENATE(B70,K70,A70,E70)</f>
        <v>APKFloatSTLyes</v>
      </c>
    </row>
    <row r="71" spans="1:41">
      <c r="A71" s="1077" t="s">
        <v>96</v>
      </c>
      <c r="B71" s="1077" t="s">
        <v>41</v>
      </c>
      <c r="C71" s="1149" t="s">
        <v>660</v>
      </c>
      <c r="D71" s="1077" t="s">
        <v>103</v>
      </c>
      <c r="E71" s="1077" t="s">
        <v>710</v>
      </c>
      <c r="F71" s="1078">
        <v>300</v>
      </c>
      <c r="G71" s="1258">
        <v>300</v>
      </c>
      <c r="H71" s="1259">
        <f t="shared" si="16"/>
        <v>0</v>
      </c>
      <c r="I71" s="1080">
        <v>0.22499999999999998</v>
      </c>
      <c r="K71" s="1080" t="s">
        <v>588</v>
      </c>
      <c r="L71" s="1183">
        <f t="shared" si="15"/>
        <v>67.5</v>
      </c>
      <c r="M71" s="1260">
        <v>45701</v>
      </c>
      <c r="N71" s="1260">
        <v>46065</v>
      </c>
      <c r="O71" s="1077"/>
      <c r="Q71" s="1262"/>
      <c r="R71" s="1262"/>
      <c r="S71" s="1262"/>
      <c r="T71" s="1262">
        <f t="shared" si="14"/>
        <v>0</v>
      </c>
      <c r="U71" s="1262">
        <f t="shared" si="14"/>
        <v>0</v>
      </c>
      <c r="V71" s="1262"/>
      <c r="W71" s="1262"/>
      <c r="X71" s="1262">
        <f t="shared" si="14"/>
        <v>0</v>
      </c>
      <c r="Y71" s="1262">
        <f t="shared" si="14"/>
        <v>0</v>
      </c>
      <c r="Z71" s="1262">
        <f t="shared" si="14"/>
        <v>0</v>
      </c>
      <c r="AA71" s="1262">
        <f t="shared" si="14"/>
        <v>0</v>
      </c>
      <c r="AB71" s="1262">
        <f t="shared" si="14"/>
        <v>0</v>
      </c>
      <c r="AC71" s="1262">
        <f t="shared" si="14"/>
        <v>300</v>
      </c>
      <c r="AD71" s="1262"/>
      <c r="AL71" s="1259">
        <f t="shared" si="13"/>
        <v>300</v>
      </c>
      <c r="AM71" s="1184">
        <f t="shared" si="17"/>
        <v>0</v>
      </c>
      <c r="AN71" s="1077" t="str">
        <f t="shared" si="18"/>
        <v>RBPIFloatSTL</v>
      </c>
      <c r="AO71" s="1077" t="str">
        <f t="shared" si="19"/>
        <v>RBPIFloatSTLno</v>
      </c>
    </row>
    <row r="72" spans="1:41">
      <c r="A72" s="1077" t="s">
        <v>96</v>
      </c>
      <c r="B72" s="1077" t="s">
        <v>41</v>
      </c>
      <c r="C72" s="1149" t="s">
        <v>685</v>
      </c>
      <c r="D72" s="1077" t="s">
        <v>103</v>
      </c>
      <c r="E72" s="1077" t="s">
        <v>710</v>
      </c>
      <c r="F72" s="1078">
        <v>300</v>
      </c>
      <c r="G72" s="1258">
        <v>300</v>
      </c>
      <c r="H72" s="1259">
        <f t="shared" si="16"/>
        <v>0</v>
      </c>
      <c r="I72" s="1080">
        <v>0.22499999999999998</v>
      </c>
      <c r="K72" s="1080" t="s">
        <v>588</v>
      </c>
      <c r="L72" s="1183">
        <f t="shared" si="15"/>
        <v>67.5</v>
      </c>
      <c r="M72" s="1260">
        <v>45734</v>
      </c>
      <c r="N72" s="1260">
        <v>46098</v>
      </c>
      <c r="O72" s="1077"/>
      <c r="Q72" s="1262"/>
      <c r="R72" s="1262"/>
      <c r="S72" s="1262"/>
      <c r="T72" s="1262">
        <f t="shared" si="14"/>
        <v>0</v>
      </c>
      <c r="U72" s="1262">
        <f t="shared" si="14"/>
        <v>0</v>
      </c>
      <c r="V72" s="1262"/>
      <c r="W72" s="1262"/>
      <c r="X72" s="1262">
        <f t="shared" si="14"/>
        <v>0</v>
      </c>
      <c r="Y72" s="1262">
        <f t="shared" si="14"/>
        <v>0</v>
      </c>
      <c r="Z72" s="1262">
        <f t="shared" si="14"/>
        <v>0</v>
      </c>
      <c r="AA72" s="1262">
        <f t="shared" si="14"/>
        <v>0</v>
      </c>
      <c r="AB72" s="1262">
        <f t="shared" si="14"/>
        <v>0</v>
      </c>
      <c r="AC72" s="1262">
        <f t="shared" si="14"/>
        <v>300</v>
      </c>
      <c r="AD72" s="1262"/>
      <c r="AL72" s="1259">
        <f t="shared" si="13"/>
        <v>300</v>
      </c>
      <c r="AM72" s="1184">
        <f t="shared" si="17"/>
        <v>0</v>
      </c>
      <c r="AN72" s="1077" t="str">
        <f t="shared" si="18"/>
        <v>RBPIFloatSTL</v>
      </c>
      <c r="AO72" s="1077" t="str">
        <f t="shared" si="19"/>
        <v>RBPIFloatSTLno</v>
      </c>
    </row>
    <row r="73" spans="1:41">
      <c r="A73" s="1077" t="s">
        <v>96</v>
      </c>
      <c r="B73" s="1077" t="s">
        <v>41</v>
      </c>
      <c r="C73" s="1149" t="s">
        <v>661</v>
      </c>
      <c r="D73" s="1077" t="s">
        <v>597</v>
      </c>
      <c r="E73" s="1077" t="s">
        <v>710</v>
      </c>
      <c r="F73" s="1078">
        <v>200</v>
      </c>
      <c r="G73" s="1258">
        <v>200</v>
      </c>
      <c r="H73" s="1259">
        <f t="shared" si="16"/>
        <v>0</v>
      </c>
      <c r="I73" s="1080">
        <v>0.23269999999999999</v>
      </c>
      <c r="K73" s="1080" t="s">
        <v>588</v>
      </c>
      <c r="L73" s="1183">
        <f t="shared" si="15"/>
        <v>46.54</v>
      </c>
      <c r="M73" s="1260">
        <v>45706</v>
      </c>
      <c r="N73" s="1260">
        <v>46071</v>
      </c>
      <c r="O73" s="1077"/>
      <c r="Q73" s="1262"/>
      <c r="R73" s="1262"/>
      <c r="S73" s="1262"/>
      <c r="T73" s="1262">
        <f t="shared" si="14"/>
        <v>0</v>
      </c>
      <c r="U73" s="1262">
        <f t="shared" si="14"/>
        <v>0</v>
      </c>
      <c r="V73" s="1262"/>
      <c r="W73" s="1262"/>
      <c r="X73" s="1262">
        <f t="shared" si="14"/>
        <v>0</v>
      </c>
      <c r="Y73" s="1262">
        <f t="shared" si="14"/>
        <v>0</v>
      </c>
      <c r="Z73" s="1262">
        <f t="shared" si="14"/>
        <v>0</v>
      </c>
      <c r="AA73" s="1262">
        <f t="shared" si="14"/>
        <v>0</v>
      </c>
      <c r="AB73" s="1262">
        <f t="shared" si="14"/>
        <v>0</v>
      </c>
      <c r="AC73" s="1262">
        <f t="shared" si="14"/>
        <v>200</v>
      </c>
      <c r="AD73" s="1262"/>
      <c r="AL73" s="1259">
        <f t="shared" si="13"/>
        <v>200</v>
      </c>
      <c r="AM73" s="1184">
        <f t="shared" si="17"/>
        <v>0</v>
      </c>
      <c r="AN73" s="1077" t="str">
        <f t="shared" si="18"/>
        <v>RBPIFloatSTL</v>
      </c>
      <c r="AO73" s="1077" t="str">
        <f t="shared" si="19"/>
        <v>RBPIFloatSTLno</v>
      </c>
    </row>
    <row r="74" spans="1:41">
      <c r="A74" s="1077" t="s">
        <v>96</v>
      </c>
      <c r="B74" s="1077" t="s">
        <v>41</v>
      </c>
      <c r="C74" s="1149" t="s">
        <v>686</v>
      </c>
      <c r="D74" s="1077" t="s">
        <v>591</v>
      </c>
      <c r="E74" s="1077" t="s">
        <v>710</v>
      </c>
      <c r="F74" s="1078">
        <v>100</v>
      </c>
      <c r="G74" s="1258">
        <v>100</v>
      </c>
      <c r="H74" s="1259">
        <f t="shared" si="16"/>
        <v>0</v>
      </c>
      <c r="I74" s="1080">
        <v>0.22999999999999998</v>
      </c>
      <c r="K74" s="1080" t="s">
        <v>588</v>
      </c>
      <c r="L74" s="1183">
        <f t="shared" si="15"/>
        <v>23</v>
      </c>
      <c r="M74" s="1260">
        <v>45722</v>
      </c>
      <c r="N74" s="1260">
        <v>46086</v>
      </c>
      <c r="O74" s="1077"/>
      <c r="Q74" s="1262"/>
      <c r="R74" s="1262"/>
      <c r="S74" s="1262"/>
      <c r="T74" s="1262"/>
      <c r="U74" s="1262"/>
      <c r="V74" s="1262"/>
      <c r="W74" s="1262"/>
      <c r="X74" s="1262">
        <f t="shared" si="14"/>
        <v>0</v>
      </c>
      <c r="Y74" s="1262">
        <f t="shared" si="14"/>
        <v>0</v>
      </c>
      <c r="Z74" s="1262">
        <f t="shared" si="14"/>
        <v>0</v>
      </c>
      <c r="AA74" s="1262">
        <f t="shared" si="14"/>
        <v>0</v>
      </c>
      <c r="AB74" s="1262">
        <f t="shared" si="14"/>
        <v>0</v>
      </c>
      <c r="AC74" s="1262">
        <f t="shared" si="14"/>
        <v>100</v>
      </c>
      <c r="AD74" s="1262"/>
      <c r="AL74" s="1259">
        <f t="shared" si="13"/>
        <v>100</v>
      </c>
      <c r="AM74" s="1184">
        <f t="shared" si="17"/>
        <v>0</v>
      </c>
      <c r="AN74" s="1077" t="str">
        <f t="shared" si="18"/>
        <v>RBPIFloatSTL</v>
      </c>
      <c r="AO74" s="1077" t="str">
        <f t="shared" si="19"/>
        <v>RBPIFloatSTLno</v>
      </c>
    </row>
    <row r="75" spans="1:41">
      <c r="A75" s="1077" t="s">
        <v>96</v>
      </c>
      <c r="B75" s="1077" t="s">
        <v>41</v>
      </c>
      <c r="C75" s="1149" t="s">
        <v>721</v>
      </c>
      <c r="D75" s="1077" t="s">
        <v>597</v>
      </c>
      <c r="E75" s="1077" t="s">
        <v>709</v>
      </c>
      <c r="F75" s="1078">
        <v>400</v>
      </c>
      <c r="G75" s="1258">
        <v>200</v>
      </c>
      <c r="H75" s="1259">
        <f t="shared" si="16"/>
        <v>200</v>
      </c>
      <c r="I75" s="1080">
        <v>0.11</v>
      </c>
      <c r="K75" s="1080" t="s">
        <v>588</v>
      </c>
      <c r="L75" s="1183">
        <f t="shared" si="15"/>
        <v>22</v>
      </c>
      <c r="M75" s="1260">
        <v>45803</v>
      </c>
      <c r="N75" s="1260">
        <v>46168</v>
      </c>
      <c r="O75" s="1077"/>
      <c r="Q75" s="1262"/>
      <c r="R75" s="1262"/>
      <c r="S75" s="1262"/>
      <c r="T75" s="1262"/>
      <c r="U75" s="1262"/>
      <c r="V75" s="1262"/>
      <c r="W75" s="1262"/>
      <c r="X75" s="1262">
        <f t="shared" si="14"/>
        <v>0</v>
      </c>
      <c r="Y75" s="1262">
        <f t="shared" si="14"/>
        <v>0</v>
      </c>
      <c r="Z75" s="1262">
        <f t="shared" si="14"/>
        <v>0</v>
      </c>
      <c r="AA75" s="1262">
        <f t="shared" si="14"/>
        <v>0</v>
      </c>
      <c r="AB75" s="1262">
        <f t="shared" si="14"/>
        <v>0</v>
      </c>
      <c r="AC75" s="1262">
        <f t="shared" si="14"/>
        <v>200</v>
      </c>
      <c r="AD75" s="1262"/>
      <c r="AL75" s="1259">
        <f t="shared" si="13"/>
        <v>200</v>
      </c>
      <c r="AM75" s="1184">
        <f t="shared" si="17"/>
        <v>0</v>
      </c>
      <c r="AN75" s="1077" t="str">
        <f t="shared" si="18"/>
        <v>RBPIFloatSTL</v>
      </c>
      <c r="AO75" s="1077" t="str">
        <f t="shared" si="19"/>
        <v>RBPIFloatSTLyes</v>
      </c>
    </row>
    <row r="76" spans="1:41">
      <c r="A76" s="1077" t="s">
        <v>96</v>
      </c>
      <c r="B76" s="1077" t="s">
        <v>41</v>
      </c>
      <c r="C76" s="1149" t="s">
        <v>722</v>
      </c>
      <c r="D76" s="1077" t="s">
        <v>591</v>
      </c>
      <c r="E76" s="1077" t="s">
        <v>709</v>
      </c>
      <c r="F76" s="1078">
        <v>59</v>
      </c>
      <c r="G76" s="1258">
        <v>59</v>
      </c>
      <c r="H76" s="1259">
        <f t="shared" si="16"/>
        <v>0</v>
      </c>
      <c r="I76" s="1080">
        <v>7.3999999999999996E-2</v>
      </c>
      <c r="K76" s="1080" t="s">
        <v>588</v>
      </c>
      <c r="L76" s="1183">
        <f t="shared" si="15"/>
        <v>4.3659999999999997</v>
      </c>
      <c r="M76" s="1260">
        <v>45835</v>
      </c>
      <c r="N76" s="1260">
        <v>46199</v>
      </c>
      <c r="O76" s="1077"/>
      <c r="Q76" s="1262"/>
      <c r="R76" s="1262"/>
      <c r="S76" s="1262"/>
      <c r="T76" s="1262"/>
      <c r="U76" s="1262"/>
      <c r="V76" s="1262"/>
      <c r="W76" s="1262"/>
      <c r="X76" s="1262">
        <f t="shared" si="14"/>
        <v>0</v>
      </c>
      <c r="Y76" s="1262">
        <f t="shared" si="14"/>
        <v>0</v>
      </c>
      <c r="Z76" s="1262">
        <f t="shared" si="14"/>
        <v>0</v>
      </c>
      <c r="AA76" s="1262">
        <f t="shared" si="14"/>
        <v>0</v>
      </c>
      <c r="AB76" s="1262">
        <f t="shared" si="14"/>
        <v>0</v>
      </c>
      <c r="AC76" s="1262">
        <f t="shared" si="14"/>
        <v>59</v>
      </c>
      <c r="AD76" s="1262"/>
      <c r="AL76" s="1259">
        <f t="shared" si="13"/>
        <v>59</v>
      </c>
      <c r="AM76" s="1184">
        <f t="shared" si="17"/>
        <v>0</v>
      </c>
      <c r="AN76" s="1077" t="str">
        <f t="shared" si="18"/>
        <v>RBPIFloatSTL</v>
      </c>
      <c r="AO76" s="1077" t="str">
        <f t="shared" si="19"/>
        <v>RBPIFloatSTLyes</v>
      </c>
    </row>
    <row r="77" spans="1:41">
      <c r="A77" s="1077" t="s">
        <v>96</v>
      </c>
      <c r="B77" s="1077" t="s">
        <v>41</v>
      </c>
      <c r="C77" s="1149" t="s">
        <v>650</v>
      </c>
      <c r="D77" s="1077" t="s">
        <v>591</v>
      </c>
      <c r="E77" s="1077" t="s">
        <v>710</v>
      </c>
      <c r="F77" s="1078">
        <v>145</v>
      </c>
      <c r="G77" s="1258">
        <v>145</v>
      </c>
      <c r="H77" s="1259">
        <f t="shared" si="16"/>
        <v>0</v>
      </c>
      <c r="I77" s="1080">
        <v>0.22499999999999998</v>
      </c>
      <c r="K77" s="1080" t="s">
        <v>588</v>
      </c>
      <c r="L77" s="1183">
        <f t="shared" si="15"/>
        <v>32.625</v>
      </c>
      <c r="M77" s="1260">
        <v>45673</v>
      </c>
      <c r="N77" s="1260">
        <v>46037</v>
      </c>
      <c r="O77" s="1077"/>
      <c r="Q77" s="1262"/>
      <c r="R77" s="1262"/>
      <c r="S77" s="1262"/>
      <c r="T77" s="1262"/>
      <c r="U77" s="1262"/>
      <c r="V77" s="1262"/>
      <c r="W77" s="1262"/>
      <c r="X77" s="1262">
        <f t="shared" si="14"/>
        <v>0</v>
      </c>
      <c r="Y77" s="1262">
        <f t="shared" si="14"/>
        <v>0</v>
      </c>
      <c r="Z77" s="1262">
        <f t="shared" si="14"/>
        <v>0</v>
      </c>
      <c r="AA77" s="1262">
        <f t="shared" si="14"/>
        <v>0</v>
      </c>
      <c r="AB77" s="1262">
        <f t="shared" si="14"/>
        <v>0</v>
      </c>
      <c r="AC77" s="1262">
        <f t="shared" si="14"/>
        <v>145</v>
      </c>
      <c r="AD77" s="1262"/>
      <c r="AL77" s="1259">
        <f t="shared" si="13"/>
        <v>145</v>
      </c>
      <c r="AM77" s="1184">
        <f t="shared" si="17"/>
        <v>0</v>
      </c>
      <c r="AN77" s="1077" t="str">
        <f t="shared" si="18"/>
        <v>RBPIFloatSTL</v>
      </c>
      <c r="AO77" s="1077" t="str">
        <f t="shared" si="19"/>
        <v>RBPIFloatSTLno</v>
      </c>
    </row>
    <row r="78" spans="1:41">
      <c r="A78" s="1077" t="s">
        <v>96</v>
      </c>
      <c r="B78" s="1077" t="s">
        <v>583</v>
      </c>
      <c r="C78" s="1149" t="s">
        <v>662</v>
      </c>
      <c r="D78" s="1077" t="s">
        <v>100</v>
      </c>
      <c r="E78" s="1077" t="s">
        <v>710</v>
      </c>
      <c r="F78" s="1078">
        <v>100</v>
      </c>
      <c r="G78" s="1258">
        <v>100</v>
      </c>
      <c r="H78" s="1259">
        <f t="shared" si="16"/>
        <v>0</v>
      </c>
      <c r="I78" s="1080">
        <v>0.2205</v>
      </c>
      <c r="K78" s="1080" t="s">
        <v>588</v>
      </c>
      <c r="L78" s="1183">
        <f t="shared" si="15"/>
        <v>22.05</v>
      </c>
      <c r="M78" s="1260">
        <v>45714</v>
      </c>
      <c r="N78" s="1260">
        <v>46078</v>
      </c>
      <c r="O78" s="1077"/>
      <c r="Q78" s="1262"/>
      <c r="R78" s="1262"/>
      <c r="S78" s="1262"/>
      <c r="T78" s="1262"/>
      <c r="U78" s="1262"/>
      <c r="V78" s="1262"/>
      <c r="W78" s="1262"/>
      <c r="X78" s="1262">
        <f t="shared" ref="X78:AC93" si="20">IF(Y$2&lt;$N78,0,IF($N78&gt;X$2,$G78,0))</f>
        <v>0</v>
      </c>
      <c r="Y78" s="1262">
        <f t="shared" si="20"/>
        <v>0</v>
      </c>
      <c r="Z78" s="1262">
        <f t="shared" si="20"/>
        <v>0</v>
      </c>
      <c r="AA78" s="1262">
        <f t="shared" si="20"/>
        <v>0</v>
      </c>
      <c r="AB78" s="1262">
        <f t="shared" si="20"/>
        <v>0</v>
      </c>
      <c r="AC78" s="1262">
        <f t="shared" si="20"/>
        <v>100</v>
      </c>
      <c r="AD78" s="1262"/>
      <c r="AL78" s="1259">
        <f t="shared" si="13"/>
        <v>100</v>
      </c>
      <c r="AM78" s="1184">
        <f t="shared" si="17"/>
        <v>0</v>
      </c>
      <c r="AN78" s="1077" t="str">
        <f t="shared" si="18"/>
        <v>APKFloatSTL</v>
      </c>
      <c r="AO78" s="1077" t="str">
        <f t="shared" si="19"/>
        <v>APKFloatSTLno</v>
      </c>
    </row>
    <row r="79" spans="1:41">
      <c r="A79" s="1077" t="s">
        <v>96</v>
      </c>
      <c r="B79" s="1077" t="s">
        <v>41</v>
      </c>
      <c r="C79" s="1149" t="s">
        <v>714</v>
      </c>
      <c r="D79" s="1077" t="s">
        <v>591</v>
      </c>
      <c r="E79" s="1077" t="s">
        <v>710</v>
      </c>
      <c r="F79" s="1078">
        <v>50</v>
      </c>
      <c r="G79" s="1258">
        <v>50</v>
      </c>
      <c r="H79" s="1259">
        <f t="shared" si="16"/>
        <v>0</v>
      </c>
      <c r="I79" s="1080">
        <v>0.22</v>
      </c>
      <c r="K79" s="1080" t="s">
        <v>588</v>
      </c>
      <c r="L79" s="1183">
        <f t="shared" si="15"/>
        <v>11</v>
      </c>
      <c r="M79" s="1260">
        <v>45783</v>
      </c>
      <c r="N79" s="1260">
        <v>46147</v>
      </c>
      <c r="O79" s="1077"/>
      <c r="Q79" s="1262"/>
      <c r="R79" s="1262"/>
      <c r="S79" s="1262"/>
      <c r="T79" s="1262"/>
      <c r="U79" s="1262"/>
      <c r="V79" s="1262"/>
      <c r="W79" s="1262"/>
      <c r="X79" s="1262">
        <f t="shared" si="20"/>
        <v>0</v>
      </c>
      <c r="Y79" s="1262">
        <f t="shared" si="20"/>
        <v>0</v>
      </c>
      <c r="Z79" s="1262">
        <f t="shared" si="20"/>
        <v>0</v>
      </c>
      <c r="AA79" s="1262">
        <f t="shared" si="20"/>
        <v>0</v>
      </c>
      <c r="AB79" s="1262">
        <f t="shared" si="20"/>
        <v>0</v>
      </c>
      <c r="AC79" s="1262">
        <f t="shared" si="20"/>
        <v>50</v>
      </c>
      <c r="AD79" s="1262"/>
      <c r="AL79" s="1259">
        <f t="shared" si="13"/>
        <v>50</v>
      </c>
      <c r="AM79" s="1184">
        <f t="shared" si="17"/>
        <v>0</v>
      </c>
      <c r="AN79" s="1077" t="str">
        <f t="shared" si="18"/>
        <v>RBPIFloatSTL</v>
      </c>
      <c r="AO79" s="1077" t="str">
        <f t="shared" si="19"/>
        <v>RBPIFloatSTLno</v>
      </c>
    </row>
    <row r="80" spans="1:41">
      <c r="A80" s="1077" t="s">
        <v>96</v>
      </c>
      <c r="B80" s="1077" t="s">
        <v>41</v>
      </c>
      <c r="C80" s="1149" t="s">
        <v>715</v>
      </c>
      <c r="D80" s="1077" t="s">
        <v>591</v>
      </c>
      <c r="E80" s="1077" t="s">
        <v>710</v>
      </c>
      <c r="F80" s="1078">
        <v>110</v>
      </c>
      <c r="G80" s="1258">
        <v>110</v>
      </c>
      <c r="H80" s="1259">
        <f t="shared" si="16"/>
        <v>0</v>
      </c>
      <c r="I80" s="1080">
        <v>0.22</v>
      </c>
      <c r="K80" s="1080" t="s">
        <v>588</v>
      </c>
      <c r="L80" s="1183">
        <f t="shared" si="15"/>
        <v>24.2</v>
      </c>
      <c r="M80" s="1260">
        <v>45803</v>
      </c>
      <c r="N80" s="1260">
        <v>46167</v>
      </c>
      <c r="O80" s="1077"/>
      <c r="Q80" s="1262"/>
      <c r="R80" s="1262"/>
      <c r="S80" s="1262"/>
      <c r="T80" s="1262"/>
      <c r="U80" s="1262"/>
      <c r="V80" s="1262"/>
      <c r="W80" s="1262"/>
      <c r="X80" s="1262">
        <f t="shared" si="20"/>
        <v>0</v>
      </c>
      <c r="Y80" s="1262">
        <f t="shared" si="20"/>
        <v>0</v>
      </c>
      <c r="Z80" s="1262">
        <f t="shared" si="20"/>
        <v>0</v>
      </c>
      <c r="AA80" s="1262">
        <f t="shared" si="20"/>
        <v>0</v>
      </c>
      <c r="AB80" s="1262">
        <f t="shared" si="20"/>
        <v>0</v>
      </c>
      <c r="AC80" s="1262">
        <f t="shared" si="20"/>
        <v>110</v>
      </c>
      <c r="AD80" s="1262"/>
      <c r="AL80" s="1259">
        <f t="shared" si="13"/>
        <v>110</v>
      </c>
      <c r="AM80" s="1184">
        <f t="shared" si="17"/>
        <v>0</v>
      </c>
      <c r="AN80" s="1077" t="str">
        <f t="shared" si="18"/>
        <v>RBPIFloatSTL</v>
      </c>
      <c r="AO80" s="1077" t="str">
        <f t="shared" si="19"/>
        <v>RBPIFloatSTLno</v>
      </c>
    </row>
    <row r="81" spans="1:41">
      <c r="A81" s="1077" t="s">
        <v>96</v>
      </c>
      <c r="B81" s="1077" t="s">
        <v>41</v>
      </c>
      <c r="C81" s="1149" t="s">
        <v>723</v>
      </c>
      <c r="D81" s="1077" t="s">
        <v>591</v>
      </c>
      <c r="E81" s="1077" t="s">
        <v>710</v>
      </c>
      <c r="F81" s="1078">
        <v>89</v>
      </c>
      <c r="G81" s="1258">
        <v>89</v>
      </c>
      <c r="H81" s="1259">
        <f t="shared" si="16"/>
        <v>0</v>
      </c>
      <c r="I81" s="1080">
        <v>0.215</v>
      </c>
      <c r="K81" s="1080" t="s">
        <v>588</v>
      </c>
      <c r="L81" s="1183">
        <f t="shared" si="15"/>
        <v>19.134999999999998</v>
      </c>
      <c r="M81" s="1260">
        <v>45813</v>
      </c>
      <c r="N81" s="1260">
        <v>46177</v>
      </c>
      <c r="O81" s="1077"/>
      <c r="Q81" s="1262"/>
      <c r="R81" s="1262"/>
      <c r="S81" s="1262"/>
      <c r="T81" s="1262"/>
      <c r="U81" s="1262"/>
      <c r="V81" s="1262"/>
      <c r="W81" s="1262"/>
      <c r="X81" s="1262">
        <f t="shared" si="20"/>
        <v>0</v>
      </c>
      <c r="Y81" s="1262">
        <f t="shared" si="20"/>
        <v>0</v>
      </c>
      <c r="Z81" s="1262">
        <f t="shared" si="20"/>
        <v>0</v>
      </c>
      <c r="AA81" s="1262">
        <f t="shared" si="20"/>
        <v>0</v>
      </c>
      <c r="AB81" s="1262">
        <f t="shared" si="20"/>
        <v>0</v>
      </c>
      <c r="AC81" s="1262">
        <f t="shared" si="20"/>
        <v>89</v>
      </c>
      <c r="AD81" s="1262"/>
      <c r="AL81" s="1259">
        <f t="shared" ref="AL81:AL95" si="21">SUM(Q81:AK81)</f>
        <v>89</v>
      </c>
      <c r="AM81" s="1184">
        <f t="shared" si="17"/>
        <v>0</v>
      </c>
      <c r="AN81" s="1077" t="str">
        <f t="shared" si="18"/>
        <v>RBPIFloatSTL</v>
      </c>
      <c r="AO81" s="1077" t="str">
        <f t="shared" si="19"/>
        <v>RBPIFloatSTLno</v>
      </c>
    </row>
    <row r="82" spans="1:41">
      <c r="A82" s="1077" t="s">
        <v>96</v>
      </c>
      <c r="B82" s="1077" t="s">
        <v>583</v>
      </c>
      <c r="C82" s="1149" t="s">
        <v>716</v>
      </c>
      <c r="D82" s="1077" t="s">
        <v>100</v>
      </c>
      <c r="E82" s="1077" t="s">
        <v>710</v>
      </c>
      <c r="F82" s="1078">
        <v>50</v>
      </c>
      <c r="G82" s="1258">
        <v>50</v>
      </c>
      <c r="H82" s="1259">
        <f t="shared" si="16"/>
        <v>0</v>
      </c>
      <c r="I82" s="1080">
        <v>0.214</v>
      </c>
      <c r="K82" s="1080" t="s">
        <v>588</v>
      </c>
      <c r="L82" s="1183">
        <f t="shared" si="15"/>
        <v>10.7</v>
      </c>
      <c r="M82" s="1260">
        <v>45799</v>
      </c>
      <c r="N82" s="1260">
        <v>46163</v>
      </c>
      <c r="O82" s="1077"/>
      <c r="Q82" s="1262"/>
      <c r="R82" s="1262"/>
      <c r="S82" s="1262"/>
      <c r="T82" s="1262"/>
      <c r="U82" s="1262"/>
      <c r="V82" s="1262"/>
      <c r="W82" s="1262"/>
      <c r="X82" s="1262">
        <f t="shared" si="20"/>
        <v>0</v>
      </c>
      <c r="Y82" s="1262">
        <f t="shared" si="20"/>
        <v>0</v>
      </c>
      <c r="Z82" s="1262">
        <f t="shared" si="20"/>
        <v>0</v>
      </c>
      <c r="AA82" s="1262">
        <f t="shared" si="20"/>
        <v>0</v>
      </c>
      <c r="AB82" s="1262">
        <f t="shared" si="20"/>
        <v>0</v>
      </c>
      <c r="AC82" s="1262">
        <f t="shared" si="20"/>
        <v>50</v>
      </c>
      <c r="AD82" s="1262"/>
      <c r="AL82" s="1259">
        <f t="shared" si="21"/>
        <v>50</v>
      </c>
      <c r="AM82" s="1184">
        <f t="shared" si="17"/>
        <v>0</v>
      </c>
      <c r="AN82" s="1077" t="str">
        <f t="shared" si="18"/>
        <v>APKFloatSTL</v>
      </c>
      <c r="AO82" s="1077" t="str">
        <f t="shared" si="19"/>
        <v>APKFloatSTLno</v>
      </c>
    </row>
    <row r="83" spans="1:41">
      <c r="A83" s="1077" t="s">
        <v>96</v>
      </c>
      <c r="B83" s="1077" t="s">
        <v>41</v>
      </c>
      <c r="C83" s="1149" t="s">
        <v>624</v>
      </c>
      <c r="D83" s="1077" t="s">
        <v>591</v>
      </c>
      <c r="E83" s="1077" t="s">
        <v>710</v>
      </c>
      <c r="F83" s="1078">
        <v>200</v>
      </c>
      <c r="G83" s="1258">
        <v>200</v>
      </c>
      <c r="H83" s="1259">
        <f t="shared" si="16"/>
        <v>0</v>
      </c>
      <c r="I83" s="1080">
        <v>0.22499999999999998</v>
      </c>
      <c r="K83" s="1080" t="s">
        <v>588</v>
      </c>
      <c r="L83" s="1183">
        <f t="shared" si="15"/>
        <v>44.999999999999993</v>
      </c>
      <c r="M83" s="1260">
        <v>45651</v>
      </c>
      <c r="N83" s="1260">
        <v>46015</v>
      </c>
      <c r="O83" s="1077"/>
      <c r="Q83" s="1262"/>
      <c r="R83" s="1262"/>
      <c r="S83" s="1262"/>
      <c r="T83" s="1262"/>
      <c r="U83" s="1262"/>
      <c r="V83" s="1262"/>
      <c r="W83" s="1262"/>
      <c r="X83" s="1262">
        <f t="shared" si="20"/>
        <v>0</v>
      </c>
      <c r="Y83" s="1262">
        <f t="shared" si="20"/>
        <v>0</v>
      </c>
      <c r="Z83" s="1262">
        <f t="shared" si="20"/>
        <v>0</v>
      </c>
      <c r="AA83" s="1262">
        <f t="shared" si="20"/>
        <v>0</v>
      </c>
      <c r="AB83" s="1262">
        <f t="shared" si="20"/>
        <v>200</v>
      </c>
      <c r="AC83" s="1262">
        <f t="shared" si="20"/>
        <v>0</v>
      </c>
      <c r="AD83" s="1262"/>
      <c r="AL83" s="1259">
        <f t="shared" si="21"/>
        <v>200</v>
      </c>
      <c r="AM83" s="1184">
        <f t="shared" si="17"/>
        <v>0</v>
      </c>
      <c r="AN83" s="1077" t="str">
        <f t="shared" si="18"/>
        <v>RBPIFloatSTL</v>
      </c>
      <c r="AO83" s="1077" t="str">
        <f t="shared" si="19"/>
        <v>RBPIFloatSTLno</v>
      </c>
    </row>
    <row r="84" spans="1:41">
      <c r="A84" s="1077" t="s">
        <v>96</v>
      </c>
      <c r="B84" s="1077" t="s">
        <v>41</v>
      </c>
      <c r="C84" s="1149" t="s">
        <v>625</v>
      </c>
      <c r="D84" s="1077" t="s">
        <v>591</v>
      </c>
      <c r="E84" s="1077" t="s">
        <v>710</v>
      </c>
      <c r="F84" s="1078">
        <v>120</v>
      </c>
      <c r="G84" s="1258">
        <v>120</v>
      </c>
      <c r="H84" s="1259">
        <f t="shared" si="16"/>
        <v>0</v>
      </c>
      <c r="I84" s="1080">
        <v>0.22499999999999998</v>
      </c>
      <c r="K84" s="1080" t="s">
        <v>588</v>
      </c>
      <c r="L84" s="1183">
        <f t="shared" si="15"/>
        <v>26.999999999999996</v>
      </c>
      <c r="M84" s="1260">
        <v>45650</v>
      </c>
      <c r="N84" s="1260">
        <v>46014</v>
      </c>
      <c r="O84" s="1077"/>
      <c r="Q84" s="1262"/>
      <c r="R84" s="1262"/>
      <c r="S84" s="1262"/>
      <c r="T84" s="1262"/>
      <c r="U84" s="1262"/>
      <c r="V84" s="1262"/>
      <c r="W84" s="1262"/>
      <c r="X84" s="1262">
        <f t="shared" si="20"/>
        <v>0</v>
      </c>
      <c r="Y84" s="1262">
        <f t="shared" si="20"/>
        <v>0</v>
      </c>
      <c r="Z84" s="1262">
        <f t="shared" si="20"/>
        <v>0</v>
      </c>
      <c r="AA84" s="1262">
        <f t="shared" si="20"/>
        <v>0</v>
      </c>
      <c r="AB84" s="1262">
        <f t="shared" si="20"/>
        <v>120</v>
      </c>
      <c r="AC84" s="1262">
        <f t="shared" si="20"/>
        <v>0</v>
      </c>
      <c r="AD84" s="1262"/>
      <c r="AL84" s="1259">
        <f t="shared" si="21"/>
        <v>120</v>
      </c>
      <c r="AM84" s="1184">
        <f t="shared" si="17"/>
        <v>0</v>
      </c>
      <c r="AN84" s="1077" t="str">
        <f t="shared" si="18"/>
        <v>RBPIFloatSTL</v>
      </c>
      <c r="AO84" s="1077" t="str">
        <f t="shared" si="19"/>
        <v>RBPIFloatSTLno</v>
      </c>
    </row>
    <row r="85" spans="1:41">
      <c r="A85" s="1077" t="s">
        <v>96</v>
      </c>
      <c r="B85" s="1077" t="s">
        <v>41</v>
      </c>
      <c r="C85" s="1149" t="s">
        <v>724</v>
      </c>
      <c r="D85" s="1077" t="s">
        <v>591</v>
      </c>
      <c r="E85" s="1077" t="s">
        <v>710</v>
      </c>
      <c r="F85" s="1078">
        <v>100</v>
      </c>
      <c r="G85" s="1258">
        <v>100</v>
      </c>
      <c r="H85" s="1259">
        <f t="shared" si="16"/>
        <v>0</v>
      </c>
      <c r="I85" s="1080">
        <v>0.22499999999999998</v>
      </c>
      <c r="K85" s="1080" t="s">
        <v>588</v>
      </c>
      <c r="L85" s="1183">
        <f t="shared" si="15"/>
        <v>22.499999999999996</v>
      </c>
      <c r="M85" s="1260">
        <v>45681</v>
      </c>
      <c r="N85" s="1260">
        <v>46045</v>
      </c>
      <c r="O85" s="1077"/>
      <c r="Q85" s="1262"/>
      <c r="R85" s="1262"/>
      <c r="S85" s="1262"/>
      <c r="T85" s="1262"/>
      <c r="U85" s="1262"/>
      <c r="V85" s="1262"/>
      <c r="W85" s="1262"/>
      <c r="X85" s="1262">
        <f t="shared" si="20"/>
        <v>0</v>
      </c>
      <c r="Y85" s="1262">
        <f t="shared" si="20"/>
        <v>0</v>
      </c>
      <c r="Z85" s="1262">
        <f t="shared" si="20"/>
        <v>0</v>
      </c>
      <c r="AA85" s="1262">
        <f t="shared" si="20"/>
        <v>0</v>
      </c>
      <c r="AB85" s="1262">
        <f t="shared" si="20"/>
        <v>0</v>
      </c>
      <c r="AC85" s="1262">
        <f t="shared" si="20"/>
        <v>100</v>
      </c>
      <c r="AD85" s="1262"/>
      <c r="AL85" s="1259">
        <f t="shared" si="21"/>
        <v>100</v>
      </c>
      <c r="AM85" s="1184">
        <f t="shared" si="17"/>
        <v>0</v>
      </c>
      <c r="AN85" s="1077" t="str">
        <f t="shared" si="18"/>
        <v>RBPIFloatSTL</v>
      </c>
      <c r="AO85" s="1077" t="str">
        <f t="shared" si="19"/>
        <v>RBPIFloatSTLno</v>
      </c>
    </row>
    <row r="86" spans="1:41">
      <c r="A86" s="1077" t="s">
        <v>96</v>
      </c>
      <c r="B86" s="1077" t="s">
        <v>41</v>
      </c>
      <c r="C86" s="1149" t="s">
        <v>663</v>
      </c>
      <c r="D86" s="1077" t="s">
        <v>591</v>
      </c>
      <c r="E86" s="1077" t="s">
        <v>710</v>
      </c>
      <c r="F86" s="1078">
        <v>100</v>
      </c>
      <c r="G86" s="1258">
        <v>76.440852939999999</v>
      </c>
      <c r="H86" s="1259">
        <f t="shared" si="16"/>
        <v>23.559147060000001</v>
      </c>
      <c r="I86" s="1080">
        <v>0.22499999999999998</v>
      </c>
      <c r="K86" s="1080" t="s">
        <v>588</v>
      </c>
      <c r="L86" s="1183">
        <f t="shared" si="15"/>
        <v>17.199191911499998</v>
      </c>
      <c r="M86" s="1260">
        <v>45694</v>
      </c>
      <c r="N86" s="1260">
        <v>46058</v>
      </c>
      <c r="O86" s="1077"/>
      <c r="Q86" s="1262"/>
      <c r="R86" s="1262"/>
      <c r="S86" s="1262"/>
      <c r="T86" s="1262"/>
      <c r="U86" s="1262"/>
      <c r="V86" s="1262"/>
      <c r="W86" s="1262"/>
      <c r="X86" s="1262">
        <f t="shared" si="20"/>
        <v>0</v>
      </c>
      <c r="Y86" s="1262">
        <f t="shared" si="20"/>
        <v>0</v>
      </c>
      <c r="Z86" s="1262">
        <f t="shared" si="20"/>
        <v>0</v>
      </c>
      <c r="AA86" s="1262">
        <f t="shared" si="20"/>
        <v>0</v>
      </c>
      <c r="AB86" s="1262">
        <f t="shared" si="20"/>
        <v>0</v>
      </c>
      <c r="AC86" s="1262">
        <f t="shared" si="20"/>
        <v>76.440852939999999</v>
      </c>
      <c r="AD86" s="1262"/>
      <c r="AL86" s="1259">
        <f t="shared" si="21"/>
        <v>76.440852939999999</v>
      </c>
      <c r="AM86" s="1184">
        <f t="shared" si="17"/>
        <v>0</v>
      </c>
      <c r="AN86" s="1077" t="str">
        <f t="shared" si="18"/>
        <v>RBPIFloatSTL</v>
      </c>
      <c r="AO86" s="1077" t="str">
        <f t="shared" si="19"/>
        <v>RBPIFloatSTLno</v>
      </c>
    </row>
    <row r="87" spans="1:41">
      <c r="A87" s="1077" t="s">
        <v>96</v>
      </c>
      <c r="B87" s="1077" t="s">
        <v>41</v>
      </c>
      <c r="C87" s="1149" t="s">
        <v>687</v>
      </c>
      <c r="D87" s="1077" t="s">
        <v>591</v>
      </c>
      <c r="E87" s="1077" t="s">
        <v>709</v>
      </c>
      <c r="F87" s="1078">
        <v>80</v>
      </c>
      <c r="G87" s="1258">
        <v>80</v>
      </c>
      <c r="H87" s="1259">
        <f t="shared" si="16"/>
        <v>0</v>
      </c>
      <c r="I87" s="1080">
        <v>7.3999999999999996E-2</v>
      </c>
      <c r="K87" s="1080" t="s">
        <v>588</v>
      </c>
      <c r="L87" s="1183">
        <f t="shared" si="15"/>
        <v>5.92</v>
      </c>
      <c r="M87" s="1260">
        <v>45726</v>
      </c>
      <c r="N87" s="1260">
        <v>46090</v>
      </c>
      <c r="O87" s="1077"/>
      <c r="Q87" s="1262"/>
      <c r="R87" s="1262"/>
      <c r="S87" s="1262"/>
      <c r="T87" s="1262"/>
      <c r="U87" s="1262"/>
      <c r="V87" s="1262"/>
      <c r="W87" s="1262"/>
      <c r="X87" s="1262">
        <f t="shared" si="20"/>
        <v>0</v>
      </c>
      <c r="Y87" s="1262">
        <f t="shared" si="20"/>
        <v>0</v>
      </c>
      <c r="Z87" s="1262">
        <f t="shared" si="20"/>
        <v>0</v>
      </c>
      <c r="AA87" s="1262">
        <f t="shared" si="20"/>
        <v>0</v>
      </c>
      <c r="AB87" s="1262">
        <f t="shared" si="20"/>
        <v>0</v>
      </c>
      <c r="AC87" s="1262">
        <f t="shared" si="20"/>
        <v>80</v>
      </c>
      <c r="AD87" s="1262"/>
      <c r="AL87" s="1259">
        <f t="shared" si="21"/>
        <v>80</v>
      </c>
      <c r="AM87" s="1184">
        <f t="shared" si="17"/>
        <v>0</v>
      </c>
      <c r="AN87" s="1077" t="str">
        <f t="shared" si="18"/>
        <v>RBPIFloatSTL</v>
      </c>
      <c r="AO87" s="1077" t="str">
        <f t="shared" si="19"/>
        <v>RBPIFloatSTLyes</v>
      </c>
    </row>
    <row r="88" spans="1:41">
      <c r="A88" s="1077" t="s">
        <v>96</v>
      </c>
      <c r="B88" s="1077" t="s">
        <v>41</v>
      </c>
      <c r="C88" s="1149" t="s">
        <v>688</v>
      </c>
      <c r="D88" s="1077" t="s">
        <v>591</v>
      </c>
      <c r="E88" s="1077" t="s">
        <v>710</v>
      </c>
      <c r="F88" s="1078">
        <v>90</v>
      </c>
      <c r="G88" s="1258">
        <v>90</v>
      </c>
      <c r="H88" s="1259">
        <f t="shared" si="16"/>
        <v>0</v>
      </c>
      <c r="I88" s="1080">
        <v>0.22999999999999998</v>
      </c>
      <c r="K88" s="1080" t="s">
        <v>588</v>
      </c>
      <c r="L88" s="1183">
        <f t="shared" si="15"/>
        <v>20.7</v>
      </c>
      <c r="M88" s="1260">
        <v>45736</v>
      </c>
      <c r="N88" s="1260">
        <v>46100</v>
      </c>
      <c r="O88" s="1077"/>
      <c r="Q88" s="1262"/>
      <c r="R88" s="1262"/>
      <c r="S88" s="1262"/>
      <c r="T88" s="1262"/>
      <c r="U88" s="1262"/>
      <c r="V88" s="1262"/>
      <c r="W88" s="1262"/>
      <c r="X88" s="1262">
        <f t="shared" si="20"/>
        <v>0</v>
      </c>
      <c r="Y88" s="1262">
        <f t="shared" si="20"/>
        <v>0</v>
      </c>
      <c r="Z88" s="1262">
        <f t="shared" si="20"/>
        <v>0</v>
      </c>
      <c r="AA88" s="1262">
        <f t="shared" si="20"/>
        <v>0</v>
      </c>
      <c r="AB88" s="1262">
        <f t="shared" si="20"/>
        <v>0</v>
      </c>
      <c r="AC88" s="1262">
        <f t="shared" si="20"/>
        <v>90</v>
      </c>
      <c r="AD88" s="1262"/>
      <c r="AL88" s="1259">
        <f t="shared" si="21"/>
        <v>90</v>
      </c>
      <c r="AM88" s="1184">
        <f t="shared" si="17"/>
        <v>0</v>
      </c>
      <c r="AN88" s="1077" t="str">
        <f t="shared" si="18"/>
        <v>RBPIFloatSTL</v>
      </c>
      <c r="AO88" s="1077" t="str">
        <f t="shared" si="19"/>
        <v>RBPIFloatSTLno</v>
      </c>
    </row>
    <row r="89" spans="1:41">
      <c r="A89" s="1077" t="s">
        <v>96</v>
      </c>
      <c r="B89" s="1077" t="s">
        <v>41</v>
      </c>
      <c r="C89" s="1149" t="s">
        <v>689</v>
      </c>
      <c r="D89" s="1077" t="s">
        <v>591</v>
      </c>
      <c r="E89" s="1077" t="s">
        <v>710</v>
      </c>
      <c r="F89" s="1078">
        <v>110</v>
      </c>
      <c r="G89" s="1258">
        <v>110</v>
      </c>
      <c r="H89" s="1259">
        <f t="shared" si="16"/>
        <v>0</v>
      </c>
      <c r="I89" s="1080">
        <v>0.22999999999999998</v>
      </c>
      <c r="K89" s="1080" t="s">
        <v>588</v>
      </c>
      <c r="L89" s="1183">
        <f t="shared" si="15"/>
        <v>25.299999999999997</v>
      </c>
      <c r="M89" s="1260">
        <v>45741</v>
      </c>
      <c r="N89" s="1260">
        <v>46105</v>
      </c>
      <c r="O89" s="1077"/>
      <c r="Q89" s="1262"/>
      <c r="R89" s="1262"/>
      <c r="S89" s="1262"/>
      <c r="T89" s="1262"/>
      <c r="U89" s="1262"/>
      <c r="V89" s="1262"/>
      <c r="W89" s="1262"/>
      <c r="X89" s="1262">
        <f t="shared" si="20"/>
        <v>0</v>
      </c>
      <c r="Y89" s="1262">
        <f t="shared" si="20"/>
        <v>0</v>
      </c>
      <c r="Z89" s="1262">
        <f t="shared" si="20"/>
        <v>0</v>
      </c>
      <c r="AA89" s="1262">
        <f t="shared" si="20"/>
        <v>0</v>
      </c>
      <c r="AB89" s="1262">
        <f t="shared" si="20"/>
        <v>0</v>
      </c>
      <c r="AC89" s="1262">
        <f t="shared" si="20"/>
        <v>110</v>
      </c>
      <c r="AD89" s="1262"/>
      <c r="AL89" s="1259">
        <f t="shared" si="21"/>
        <v>110</v>
      </c>
      <c r="AM89" s="1184">
        <f t="shared" si="17"/>
        <v>0</v>
      </c>
      <c r="AN89" s="1077" t="str">
        <f t="shared" si="18"/>
        <v>RBPIFloatSTL</v>
      </c>
      <c r="AO89" s="1077" t="str">
        <f t="shared" si="19"/>
        <v>RBPIFloatSTLno</v>
      </c>
    </row>
    <row r="90" spans="1:41">
      <c r="A90" s="1077" t="s">
        <v>96</v>
      </c>
      <c r="B90" s="1077" t="s">
        <v>41</v>
      </c>
      <c r="C90" s="1149" t="s">
        <v>704</v>
      </c>
      <c r="D90" s="1077" t="s">
        <v>591</v>
      </c>
      <c r="E90" s="1077" t="s">
        <v>710</v>
      </c>
      <c r="F90" s="1078">
        <v>80</v>
      </c>
      <c r="G90" s="1258">
        <v>80</v>
      </c>
      <c r="H90" s="1259">
        <f t="shared" si="16"/>
        <v>0</v>
      </c>
      <c r="I90" s="1080">
        <v>0.22999999999999998</v>
      </c>
      <c r="K90" s="1080" t="s">
        <v>588</v>
      </c>
      <c r="L90" s="1183">
        <f t="shared" si="15"/>
        <v>18.399999999999999</v>
      </c>
      <c r="M90" s="1260">
        <v>45754</v>
      </c>
      <c r="N90" s="1260">
        <v>46118</v>
      </c>
      <c r="O90" s="1077"/>
      <c r="Q90" s="1262"/>
      <c r="R90" s="1262"/>
      <c r="S90" s="1262"/>
      <c r="T90" s="1262"/>
      <c r="U90" s="1262"/>
      <c r="V90" s="1262"/>
      <c r="W90" s="1262"/>
      <c r="X90" s="1262">
        <f t="shared" si="20"/>
        <v>0</v>
      </c>
      <c r="Y90" s="1262">
        <f t="shared" si="20"/>
        <v>0</v>
      </c>
      <c r="Z90" s="1262">
        <f t="shared" si="20"/>
        <v>0</v>
      </c>
      <c r="AA90" s="1262">
        <f t="shared" si="20"/>
        <v>0</v>
      </c>
      <c r="AB90" s="1262">
        <f t="shared" si="20"/>
        <v>0</v>
      </c>
      <c r="AC90" s="1262">
        <f t="shared" si="20"/>
        <v>80</v>
      </c>
      <c r="AD90" s="1262"/>
      <c r="AL90" s="1259">
        <f t="shared" si="21"/>
        <v>80</v>
      </c>
      <c r="AM90" s="1184">
        <f t="shared" si="17"/>
        <v>0</v>
      </c>
      <c r="AN90" s="1077" t="str">
        <f t="shared" si="18"/>
        <v>RBPIFloatSTL</v>
      </c>
      <c r="AO90" s="1077" t="str">
        <f t="shared" si="19"/>
        <v>RBPIFloatSTLno</v>
      </c>
    </row>
    <row r="91" spans="1:41">
      <c r="A91" s="1077" t="s">
        <v>96</v>
      </c>
      <c r="B91" s="1077" t="s">
        <v>41</v>
      </c>
      <c r="C91" s="1149" t="s">
        <v>705</v>
      </c>
      <c r="D91" s="1077" t="s">
        <v>591</v>
      </c>
      <c r="E91" s="1077" t="s">
        <v>710</v>
      </c>
      <c r="F91" s="1078">
        <v>100</v>
      </c>
      <c r="G91" s="1258">
        <v>100</v>
      </c>
      <c r="H91" s="1259">
        <f t="shared" si="16"/>
        <v>0</v>
      </c>
      <c r="I91" s="1080">
        <v>0.22999999999999998</v>
      </c>
      <c r="K91" s="1080" t="s">
        <v>588</v>
      </c>
      <c r="L91" s="1183">
        <f t="shared" si="15"/>
        <v>23</v>
      </c>
      <c r="M91" s="1260">
        <v>45754</v>
      </c>
      <c r="N91" s="1260">
        <v>46119</v>
      </c>
      <c r="O91" s="1077"/>
      <c r="Q91" s="1262"/>
      <c r="R91" s="1262"/>
      <c r="S91" s="1262"/>
      <c r="T91" s="1262"/>
      <c r="U91" s="1262"/>
      <c r="V91" s="1262"/>
      <c r="W91" s="1262"/>
      <c r="X91" s="1262">
        <f t="shared" si="20"/>
        <v>0</v>
      </c>
      <c r="Y91" s="1262">
        <f t="shared" si="20"/>
        <v>0</v>
      </c>
      <c r="Z91" s="1262">
        <f t="shared" si="20"/>
        <v>0</v>
      </c>
      <c r="AA91" s="1262">
        <f t="shared" si="20"/>
        <v>0</v>
      </c>
      <c r="AB91" s="1262">
        <f t="shared" si="20"/>
        <v>0</v>
      </c>
      <c r="AC91" s="1262">
        <f t="shared" si="20"/>
        <v>100</v>
      </c>
      <c r="AD91" s="1262"/>
      <c r="AL91" s="1259">
        <f t="shared" si="21"/>
        <v>100</v>
      </c>
      <c r="AM91" s="1184">
        <f t="shared" si="17"/>
        <v>0</v>
      </c>
      <c r="AN91" s="1077" t="str">
        <f t="shared" si="18"/>
        <v>RBPIFloatSTL</v>
      </c>
      <c r="AO91" s="1077" t="str">
        <f t="shared" si="19"/>
        <v>RBPIFloatSTLno</v>
      </c>
    </row>
    <row r="92" spans="1:41">
      <c r="A92" s="1077" t="s">
        <v>96</v>
      </c>
      <c r="B92" s="1077" t="s">
        <v>41</v>
      </c>
      <c r="C92" s="1149" t="s">
        <v>706</v>
      </c>
      <c r="D92" s="1077" t="s">
        <v>591</v>
      </c>
      <c r="E92" s="1077" t="s">
        <v>710</v>
      </c>
      <c r="F92" s="1078">
        <v>110</v>
      </c>
      <c r="G92" s="1258">
        <v>110</v>
      </c>
      <c r="H92" s="1259">
        <f t="shared" si="16"/>
        <v>0</v>
      </c>
      <c r="I92" s="1080">
        <v>0.22</v>
      </c>
      <c r="K92" s="1080" t="s">
        <v>588</v>
      </c>
      <c r="L92" s="1183">
        <f t="shared" si="15"/>
        <v>24.2</v>
      </c>
      <c r="M92" s="1260">
        <v>45771</v>
      </c>
      <c r="N92" s="1260">
        <v>46135</v>
      </c>
      <c r="O92" s="1077"/>
      <c r="Q92" s="1262"/>
      <c r="R92" s="1262"/>
      <c r="S92" s="1262"/>
      <c r="T92" s="1262"/>
      <c r="U92" s="1262"/>
      <c r="V92" s="1262"/>
      <c r="W92" s="1262"/>
      <c r="X92" s="1262">
        <f t="shared" si="20"/>
        <v>0</v>
      </c>
      <c r="Y92" s="1262">
        <f t="shared" si="20"/>
        <v>0</v>
      </c>
      <c r="Z92" s="1262">
        <f t="shared" si="20"/>
        <v>0</v>
      </c>
      <c r="AA92" s="1262">
        <f t="shared" si="20"/>
        <v>0</v>
      </c>
      <c r="AB92" s="1262">
        <f t="shared" si="20"/>
        <v>0</v>
      </c>
      <c r="AC92" s="1262">
        <f t="shared" si="20"/>
        <v>110</v>
      </c>
      <c r="AD92" s="1262"/>
      <c r="AL92" s="1259">
        <f t="shared" si="21"/>
        <v>110</v>
      </c>
      <c r="AM92" s="1184">
        <f t="shared" si="17"/>
        <v>0</v>
      </c>
      <c r="AN92" s="1077" t="str">
        <f t="shared" si="18"/>
        <v>RBPIFloatSTL</v>
      </c>
      <c r="AO92" s="1077" t="str">
        <f t="shared" si="19"/>
        <v>RBPIFloatSTLno</v>
      </c>
    </row>
    <row r="93" spans="1:41">
      <c r="A93" s="1077" t="s">
        <v>96</v>
      </c>
      <c r="B93" s="1077" t="s">
        <v>583</v>
      </c>
      <c r="C93" s="1149" t="s">
        <v>728</v>
      </c>
      <c r="D93" s="1077" t="s">
        <v>100</v>
      </c>
      <c r="E93" s="1077" t="s">
        <v>710</v>
      </c>
      <c r="F93" s="1078">
        <v>150</v>
      </c>
      <c r="G93" s="1258">
        <v>150</v>
      </c>
      <c r="H93" s="1259">
        <f t="shared" si="16"/>
        <v>0</v>
      </c>
      <c r="I93" s="1080">
        <v>0.20810000000000001</v>
      </c>
      <c r="K93" s="1080" t="s">
        <v>588</v>
      </c>
      <c r="L93" s="1183">
        <f t="shared" si="15"/>
        <v>31.215</v>
      </c>
      <c r="M93" s="1260">
        <v>45849</v>
      </c>
      <c r="N93" s="1260">
        <v>46212</v>
      </c>
      <c r="O93" s="1077"/>
      <c r="Q93" s="1262"/>
      <c r="R93" s="1262"/>
      <c r="S93" s="1262"/>
      <c r="T93" s="1262"/>
      <c r="U93" s="1262"/>
      <c r="V93" s="1262"/>
      <c r="W93" s="1262"/>
      <c r="X93" s="1262">
        <f t="shared" si="20"/>
        <v>0</v>
      </c>
      <c r="Y93" s="1262">
        <f t="shared" si="20"/>
        <v>0</v>
      </c>
      <c r="Z93" s="1262">
        <f t="shared" si="20"/>
        <v>0</v>
      </c>
      <c r="AA93" s="1262">
        <f t="shared" si="20"/>
        <v>0</v>
      </c>
      <c r="AB93" s="1262">
        <f t="shared" si="20"/>
        <v>0</v>
      </c>
      <c r="AC93" s="1262">
        <f t="shared" si="20"/>
        <v>150</v>
      </c>
      <c r="AD93" s="1262"/>
      <c r="AL93" s="1259">
        <f t="shared" si="21"/>
        <v>150</v>
      </c>
      <c r="AM93" s="1184">
        <f t="shared" si="17"/>
        <v>0</v>
      </c>
      <c r="AN93" s="1077" t="str">
        <f t="shared" si="18"/>
        <v>APKFloatSTL</v>
      </c>
      <c r="AO93" s="1077" t="str">
        <f t="shared" si="19"/>
        <v>APKFloatSTLno</v>
      </c>
    </row>
    <row r="94" spans="1:41">
      <c r="A94" s="1077" t="s">
        <v>96</v>
      </c>
      <c r="B94" s="1077" t="s">
        <v>41</v>
      </c>
      <c r="C94" s="1149" t="s">
        <v>729</v>
      </c>
      <c r="D94" s="1077" t="s">
        <v>100</v>
      </c>
      <c r="E94" s="1077" t="s">
        <v>710</v>
      </c>
      <c r="F94" s="1078">
        <v>100</v>
      </c>
      <c r="G94" s="1258">
        <v>23.975581999999999</v>
      </c>
      <c r="H94" s="1259">
        <f t="shared" si="16"/>
        <v>76.024417999999997</v>
      </c>
      <c r="I94" s="1080">
        <v>0.21179999999999999</v>
      </c>
      <c r="K94" s="1080" t="s">
        <v>588</v>
      </c>
      <c r="L94" s="1183">
        <f t="shared" si="15"/>
        <v>5.0780282675999997</v>
      </c>
      <c r="M94" s="1260">
        <v>45825</v>
      </c>
      <c r="N94" s="1260">
        <v>46189</v>
      </c>
      <c r="O94" s="1077"/>
      <c r="Q94" s="1262"/>
      <c r="R94" s="1262"/>
      <c r="S94" s="1262"/>
      <c r="T94" s="1262"/>
      <c r="U94" s="1262"/>
      <c r="V94" s="1262"/>
      <c r="W94" s="1262"/>
      <c r="X94" s="1262">
        <f t="shared" ref="X94:AC95" si="22">IF(Y$2&lt;$N94,0,IF($N94&gt;X$2,$G94,0))</f>
        <v>0</v>
      </c>
      <c r="Y94" s="1262">
        <f t="shared" si="22"/>
        <v>0</v>
      </c>
      <c r="Z94" s="1262">
        <f t="shared" si="22"/>
        <v>0</v>
      </c>
      <c r="AA94" s="1262">
        <f t="shared" si="22"/>
        <v>0</v>
      </c>
      <c r="AB94" s="1262">
        <f t="shared" si="22"/>
        <v>0</v>
      </c>
      <c r="AC94" s="1262">
        <f t="shared" si="22"/>
        <v>23.975581999999999</v>
      </c>
      <c r="AD94" s="1262"/>
      <c r="AL94" s="1259">
        <f t="shared" si="21"/>
        <v>23.975581999999999</v>
      </c>
      <c r="AM94" s="1184">
        <f t="shared" si="17"/>
        <v>0</v>
      </c>
      <c r="AN94" s="1077" t="str">
        <f t="shared" si="18"/>
        <v>RBPIFloatSTL</v>
      </c>
      <c r="AO94" s="1077" t="str">
        <f t="shared" si="19"/>
        <v>RBPIFloatSTLno</v>
      </c>
    </row>
    <row r="95" spans="1:41">
      <c r="A95" s="1077" t="s">
        <v>96</v>
      </c>
      <c r="B95" s="1077" t="s">
        <v>41</v>
      </c>
      <c r="C95" s="1149" t="s">
        <v>730</v>
      </c>
      <c r="D95" s="1077" t="s">
        <v>591</v>
      </c>
      <c r="E95" s="1077" t="s">
        <v>710</v>
      </c>
      <c r="F95" s="1078">
        <v>120</v>
      </c>
      <c r="G95" s="1258">
        <v>120</v>
      </c>
      <c r="H95" s="1259">
        <f t="shared" si="16"/>
        <v>0</v>
      </c>
      <c r="I95" s="1080">
        <v>0.215</v>
      </c>
      <c r="K95" s="1080" t="s">
        <v>588</v>
      </c>
      <c r="L95" s="1183">
        <f t="shared" si="15"/>
        <v>25.8</v>
      </c>
      <c r="M95" s="1260">
        <v>45861</v>
      </c>
      <c r="N95" s="1260">
        <v>46225</v>
      </c>
      <c r="O95" s="1077"/>
      <c r="Q95" s="1262"/>
      <c r="R95" s="1262"/>
      <c r="S95" s="1262"/>
      <c r="T95" s="1262"/>
      <c r="U95" s="1262"/>
      <c r="V95" s="1262"/>
      <c r="W95" s="1262"/>
      <c r="X95" s="1262">
        <f t="shared" si="22"/>
        <v>0</v>
      </c>
      <c r="Y95" s="1262">
        <f t="shared" si="22"/>
        <v>0</v>
      </c>
      <c r="Z95" s="1262">
        <f t="shared" si="22"/>
        <v>0</v>
      </c>
      <c r="AA95" s="1262">
        <f t="shared" si="22"/>
        <v>0</v>
      </c>
      <c r="AB95" s="1262">
        <f t="shared" si="22"/>
        <v>0</v>
      </c>
      <c r="AC95" s="1262">
        <f t="shared" si="22"/>
        <v>120</v>
      </c>
      <c r="AD95" s="1262"/>
      <c r="AL95" s="1259">
        <f t="shared" si="21"/>
        <v>120</v>
      </c>
      <c r="AM95" s="1184">
        <f t="shared" si="17"/>
        <v>0</v>
      </c>
      <c r="AN95" s="1077" t="str">
        <f t="shared" si="18"/>
        <v>RBPIFloatSTL</v>
      </c>
      <c r="AO95" s="1077" t="str">
        <f t="shared" si="19"/>
        <v>RBPIFloatSTLno</v>
      </c>
    </row>
    <row r="96" spans="1:41">
      <c r="G96" s="1258"/>
      <c r="H96" s="1259"/>
      <c r="M96" s="1260"/>
      <c r="N96" s="1260"/>
      <c r="O96" s="1077"/>
      <c r="Q96" s="1262"/>
      <c r="R96" s="1262"/>
      <c r="S96" s="1262"/>
      <c r="T96" s="1262"/>
      <c r="U96" s="1262"/>
      <c r="V96" s="1262"/>
      <c r="W96" s="1262"/>
      <c r="X96" s="1262"/>
      <c r="Y96" s="1262"/>
      <c r="Z96" s="1262"/>
      <c r="AA96" s="1262"/>
      <c r="AB96" s="1262"/>
      <c r="AC96" s="1262"/>
      <c r="AD96" s="1262"/>
      <c r="AM96" s="1184"/>
      <c r="AN96" s="1077"/>
      <c r="AO96" s="1077"/>
    </row>
    <row r="97" spans="1:43">
      <c r="A97" s="1077" t="s">
        <v>101</v>
      </c>
      <c r="B97" s="1077" t="s">
        <v>583</v>
      </c>
      <c r="C97" s="1149" t="s">
        <v>626</v>
      </c>
      <c r="D97" s="1077" t="s">
        <v>100</v>
      </c>
      <c r="E97" s="1077" t="s">
        <v>710</v>
      </c>
      <c r="F97" s="1078">
        <v>9098</v>
      </c>
      <c r="G97" s="1258">
        <v>9098</v>
      </c>
      <c r="H97" s="1259">
        <f t="shared" ref="H97:H118" si="23">F97-G97</f>
        <v>0</v>
      </c>
      <c r="I97" s="1080">
        <v>9.8500000000000004E-2</v>
      </c>
      <c r="K97" s="1170" t="s">
        <v>589</v>
      </c>
      <c r="L97" s="1183">
        <f t="shared" ref="L97:L118" si="24">+G97*I97</f>
        <v>896.15300000000002</v>
      </c>
      <c r="M97" s="1260">
        <v>44526</v>
      </c>
      <c r="N97" s="1260">
        <v>48177</v>
      </c>
      <c r="O97" s="1077"/>
      <c r="Q97" s="1262"/>
      <c r="R97" s="1286"/>
      <c r="S97" s="1286"/>
      <c r="T97" s="1286"/>
      <c r="U97" s="1286"/>
      <c r="V97" s="1286"/>
      <c r="W97" s="1286"/>
      <c r="X97" s="1286"/>
      <c r="Y97" s="1286">
        <v>295</v>
      </c>
      <c r="Z97" s="1286"/>
      <c r="AA97" s="1286"/>
      <c r="AB97" s="1286">
        <v>510</v>
      </c>
      <c r="AC97" s="1259">
        <v>1395</v>
      </c>
      <c r="AD97" s="1259">
        <v>1395</v>
      </c>
      <c r="AE97" s="1259">
        <v>1395</v>
      </c>
      <c r="AF97" s="1259">
        <v>1395</v>
      </c>
      <c r="AG97" s="1259">
        <v>1395</v>
      </c>
      <c r="AH97" s="1259">
        <v>1318</v>
      </c>
      <c r="AI97" s="1259"/>
      <c r="AL97" s="1259">
        <f t="shared" si="13"/>
        <v>9098</v>
      </c>
      <c r="AM97" s="1184">
        <f t="shared" si="17"/>
        <v>0</v>
      </c>
      <c r="AN97" s="1077" t="str">
        <f t="shared" si="18"/>
        <v>APKFixLTL</v>
      </c>
      <c r="AO97" s="1077" t="str">
        <f t="shared" si="19"/>
        <v>APKFixLTLno</v>
      </c>
    </row>
    <row r="98" spans="1:43">
      <c r="A98" s="1077" t="s">
        <v>101</v>
      </c>
      <c r="B98" s="1077" t="s">
        <v>583</v>
      </c>
      <c r="C98" s="1149" t="s">
        <v>627</v>
      </c>
      <c r="D98" s="1077" t="s">
        <v>100</v>
      </c>
      <c r="E98" s="1077" t="s">
        <v>710</v>
      </c>
      <c r="F98" s="1078">
        <v>3937</v>
      </c>
      <c r="G98" s="1258">
        <v>3937</v>
      </c>
      <c r="H98" s="1259">
        <f t="shared" si="23"/>
        <v>0</v>
      </c>
      <c r="I98" s="1080">
        <v>0.1201</v>
      </c>
      <c r="K98" s="1170" t="s">
        <v>589</v>
      </c>
      <c r="L98" s="1183">
        <f t="shared" si="24"/>
        <v>472.83370000000002</v>
      </c>
      <c r="M98" s="1260">
        <v>44526</v>
      </c>
      <c r="N98" s="1260">
        <v>48177</v>
      </c>
      <c r="O98" s="1077"/>
      <c r="Q98" s="1262"/>
      <c r="R98" s="1286"/>
      <c r="S98" s="1286"/>
      <c r="T98" s="1286"/>
      <c r="U98" s="1286"/>
      <c r="V98" s="1286"/>
      <c r="W98" s="1286"/>
      <c r="X98" s="1286"/>
      <c r="Y98" s="1286">
        <v>118.5</v>
      </c>
      <c r="Z98" s="1286"/>
      <c r="AA98" s="1286"/>
      <c r="AB98" s="1286">
        <v>238.5</v>
      </c>
      <c r="AC98" s="1259">
        <v>594</v>
      </c>
      <c r="AD98" s="1259">
        <v>594</v>
      </c>
      <c r="AE98" s="1259">
        <v>594</v>
      </c>
      <c r="AF98" s="1259">
        <v>594</v>
      </c>
      <c r="AG98" s="1259">
        <v>594</v>
      </c>
      <c r="AH98" s="1259">
        <v>610</v>
      </c>
      <c r="AI98" s="1259"/>
      <c r="AL98" s="1259">
        <f t="shared" si="13"/>
        <v>3937</v>
      </c>
      <c r="AM98" s="1184">
        <f t="shared" si="17"/>
        <v>0</v>
      </c>
      <c r="AN98" s="1077" t="str">
        <f t="shared" si="18"/>
        <v>APKFixLTL</v>
      </c>
      <c r="AO98" s="1077" t="str">
        <f t="shared" si="19"/>
        <v>APKFixLTLno</v>
      </c>
    </row>
    <row r="99" spans="1:43">
      <c r="A99" s="1077" t="s">
        <v>101</v>
      </c>
      <c r="B99" s="1077" t="s">
        <v>41</v>
      </c>
      <c r="C99" s="1149" t="s">
        <v>628</v>
      </c>
      <c r="D99" s="1077" t="s">
        <v>597</v>
      </c>
      <c r="E99" s="1077" t="s">
        <v>709</v>
      </c>
      <c r="F99" s="1258">
        <v>0</v>
      </c>
      <c r="G99" s="1258">
        <v>0</v>
      </c>
      <c r="H99" s="1259">
        <f t="shared" si="23"/>
        <v>0</v>
      </c>
      <c r="I99" s="1080">
        <v>0.09</v>
      </c>
      <c r="K99" s="1170" t="s">
        <v>588</v>
      </c>
      <c r="L99" s="1183">
        <f t="shared" si="24"/>
        <v>0</v>
      </c>
      <c r="M99" s="1260">
        <v>43307</v>
      </c>
      <c r="N99" s="1260">
        <v>45862</v>
      </c>
      <c r="O99" s="1077"/>
      <c r="Q99" s="1262"/>
      <c r="R99" s="1286"/>
      <c r="S99" s="1286"/>
      <c r="T99" s="1286"/>
      <c r="U99" s="1286"/>
      <c r="V99" s="1286"/>
      <c r="W99" s="1286"/>
      <c r="X99" s="1286"/>
      <c r="Y99" s="1286"/>
      <c r="Z99" s="1286"/>
      <c r="AA99" s="1286"/>
      <c r="AB99" s="1286"/>
      <c r="AC99" s="1259"/>
      <c r="AD99" s="1259"/>
      <c r="AE99" s="1259"/>
      <c r="AF99" s="1259"/>
      <c r="AG99" s="1259"/>
      <c r="AH99" s="1259"/>
      <c r="AI99" s="1259"/>
      <c r="AL99" s="1259">
        <f t="shared" si="13"/>
        <v>0</v>
      </c>
      <c r="AM99" s="1184">
        <f t="shared" si="17"/>
        <v>0</v>
      </c>
      <c r="AN99" s="1077" t="str">
        <f t="shared" si="18"/>
        <v>RBPIFloatLTL</v>
      </c>
      <c r="AO99" s="1077" t="str">
        <f t="shared" si="19"/>
        <v>RBPIFloatLTLyes</v>
      </c>
    </row>
    <row r="100" spans="1:43">
      <c r="A100" s="1077" t="s">
        <v>101</v>
      </c>
      <c r="B100" s="1077" t="s">
        <v>41</v>
      </c>
      <c r="C100" s="1149" t="s">
        <v>629</v>
      </c>
      <c r="D100" s="1077" t="s">
        <v>591</v>
      </c>
      <c r="E100" s="1077" t="s">
        <v>710</v>
      </c>
      <c r="F100" s="1258">
        <v>60.914640670000004</v>
      </c>
      <c r="G100" s="1258">
        <v>60.914640670000004</v>
      </c>
      <c r="H100" s="1259">
        <f t="shared" si="23"/>
        <v>0</v>
      </c>
      <c r="I100" s="1080">
        <v>0.23849999999999999</v>
      </c>
      <c r="K100" s="1170" t="s">
        <v>589</v>
      </c>
      <c r="L100" s="1183">
        <f t="shared" si="24"/>
        <v>14.528141799795</v>
      </c>
      <c r="M100" s="1260">
        <v>45323</v>
      </c>
      <c r="N100" s="1260">
        <v>47149</v>
      </c>
      <c r="O100" s="1077"/>
      <c r="Q100" s="1262"/>
      <c r="R100" s="1286"/>
      <c r="S100" s="1286"/>
      <c r="T100" s="1286"/>
      <c r="U100" s="1286"/>
      <c r="V100" s="1286"/>
      <c r="W100" s="1286"/>
      <c r="X100" s="1286">
        <v>1.4583330000000001</v>
      </c>
      <c r="Y100" s="1286">
        <v>1.4583330000000001</v>
      </c>
      <c r="Z100" s="1286">
        <v>1.4583330000000001</v>
      </c>
      <c r="AA100" s="1286">
        <v>1.4583330000000001</v>
      </c>
      <c r="AB100" s="1286">
        <v>1.4583330000000001</v>
      </c>
      <c r="AC100" s="1259">
        <v>17.499996000000003</v>
      </c>
      <c r="AD100" s="1259">
        <v>17.499996000000003</v>
      </c>
      <c r="AE100" s="1259">
        <v>17.499996000000003</v>
      </c>
      <c r="AF100" s="1259">
        <v>1.122987669999995</v>
      </c>
      <c r="AG100" s="1259"/>
      <c r="AH100" s="1259"/>
      <c r="AI100" s="1259"/>
      <c r="AL100" s="1259">
        <f t="shared" si="13"/>
        <v>60.914640670000004</v>
      </c>
      <c r="AM100" s="1184">
        <f t="shared" si="17"/>
        <v>0</v>
      </c>
      <c r="AN100" s="1077" t="str">
        <f t="shared" si="18"/>
        <v>RBPIFixLTL</v>
      </c>
      <c r="AO100" s="1077" t="str">
        <f t="shared" si="19"/>
        <v>RBPIFixLTLno</v>
      </c>
    </row>
    <row r="101" spans="1:43">
      <c r="A101" s="1077" t="s">
        <v>101</v>
      </c>
      <c r="B101" s="1077" t="s">
        <v>41</v>
      </c>
      <c r="C101" s="1149" t="s">
        <v>630</v>
      </c>
      <c r="D101" s="1077" t="s">
        <v>591</v>
      </c>
      <c r="E101" s="1077" t="s">
        <v>710</v>
      </c>
      <c r="F101" s="1258">
        <v>125.41666499999999</v>
      </c>
      <c r="G101" s="1258">
        <v>125.41666499999999</v>
      </c>
      <c r="H101" s="1259">
        <f t="shared" si="23"/>
        <v>0</v>
      </c>
      <c r="I101" s="1080">
        <v>0.23880000000000001</v>
      </c>
      <c r="K101" s="1170" t="s">
        <v>589</v>
      </c>
      <c r="L101" s="1183">
        <f t="shared" si="24"/>
        <v>29.949499601999999</v>
      </c>
      <c r="M101" s="1260">
        <v>45355</v>
      </c>
      <c r="N101" s="1260">
        <v>47179</v>
      </c>
      <c r="O101" s="1077"/>
      <c r="Q101" s="1262"/>
      <c r="R101" s="1286"/>
      <c r="S101" s="1286"/>
      <c r="T101" s="1286"/>
      <c r="U101" s="1286"/>
      <c r="V101" s="1286"/>
      <c r="W101" s="1286"/>
      <c r="X101" s="1286">
        <v>2.9166669999999999</v>
      </c>
      <c r="Y101" s="1286">
        <v>2.9166669999999999</v>
      </c>
      <c r="Z101" s="1286">
        <v>2.9166669999999999</v>
      </c>
      <c r="AA101" s="1286">
        <v>2.9166669999999999</v>
      </c>
      <c r="AB101" s="1286">
        <v>2.9166669999999999</v>
      </c>
      <c r="AC101" s="1259">
        <v>35.000003999999997</v>
      </c>
      <c r="AD101" s="1259">
        <v>35.000003999999997</v>
      </c>
      <c r="AE101" s="1259">
        <v>35.000003999999997</v>
      </c>
      <c r="AF101" s="1259">
        <v>5.8333180000000118</v>
      </c>
      <c r="AG101" s="1259"/>
      <c r="AH101" s="1259"/>
      <c r="AI101" s="1259"/>
      <c r="AL101" s="1259">
        <f t="shared" si="13"/>
        <v>125.41666499999998</v>
      </c>
      <c r="AM101" s="1259">
        <f t="shared" si="17"/>
        <v>0</v>
      </c>
      <c r="AN101" s="1077" t="str">
        <f t="shared" si="18"/>
        <v>RBPIFixLTL</v>
      </c>
      <c r="AO101" s="1077" t="str">
        <f t="shared" si="19"/>
        <v>RBPIFixLTLno</v>
      </c>
    </row>
    <row r="102" spans="1:43">
      <c r="A102" s="1077" t="s">
        <v>101</v>
      </c>
      <c r="B102" s="1077" t="s">
        <v>41</v>
      </c>
      <c r="C102" s="1149" t="s">
        <v>631</v>
      </c>
      <c r="D102" s="1077" t="s">
        <v>103</v>
      </c>
      <c r="E102" s="1077" t="s">
        <v>709</v>
      </c>
      <c r="F102" s="1258">
        <v>90.00069542</v>
      </c>
      <c r="G102" s="1258">
        <v>90.00069542</v>
      </c>
      <c r="H102" s="1259">
        <f t="shared" si="23"/>
        <v>0</v>
      </c>
      <c r="I102" s="1080">
        <v>0.09</v>
      </c>
      <c r="K102" s="1170" t="s">
        <v>589</v>
      </c>
      <c r="L102" s="1183">
        <f t="shared" si="24"/>
        <v>8.1000625878000001</v>
      </c>
      <c r="M102" s="1260">
        <v>43000</v>
      </c>
      <c r="N102" s="1260">
        <v>45919</v>
      </c>
      <c r="O102" s="1077"/>
      <c r="Q102" s="1262"/>
      <c r="R102" s="1286"/>
      <c r="S102" s="1286"/>
      <c r="T102" s="1286"/>
      <c r="U102" s="1286"/>
      <c r="V102" s="1286"/>
      <c r="W102" s="1286"/>
      <c r="X102" s="1286">
        <v>45</v>
      </c>
      <c r="Y102" s="1286">
        <v>45.00069542</v>
      </c>
      <c r="Z102" s="1286"/>
      <c r="AA102" s="1286"/>
      <c r="AB102" s="1286"/>
      <c r="AC102" s="1259"/>
      <c r="AD102" s="1259"/>
      <c r="AE102" s="1259"/>
      <c r="AF102" s="1259"/>
      <c r="AG102" s="1259"/>
      <c r="AH102" s="1259"/>
      <c r="AI102" s="1259"/>
      <c r="AL102" s="1259">
        <f t="shared" si="13"/>
        <v>90.00069542</v>
      </c>
      <c r="AM102" s="1259">
        <f t="shared" si="17"/>
        <v>0</v>
      </c>
      <c r="AN102" s="1077" t="str">
        <f t="shared" si="18"/>
        <v>RBPIFixLTL</v>
      </c>
      <c r="AO102" s="1077" t="str">
        <f t="shared" si="19"/>
        <v>RBPIFixLTLyes</v>
      </c>
    </row>
    <row r="103" spans="1:43">
      <c r="A103" s="1077" t="s">
        <v>101</v>
      </c>
      <c r="B103" s="1077" t="s">
        <v>41</v>
      </c>
      <c r="C103" s="1149" t="s">
        <v>632</v>
      </c>
      <c r="D103" s="1077" t="s">
        <v>103</v>
      </c>
      <c r="E103" s="1077" t="s">
        <v>709</v>
      </c>
      <c r="F103" s="1258">
        <v>1338.54224232</v>
      </c>
      <c r="G103" s="1258">
        <v>1338.54224232</v>
      </c>
      <c r="H103" s="1259">
        <f t="shared" si="23"/>
        <v>0</v>
      </c>
      <c r="I103" s="1080">
        <v>0.09</v>
      </c>
      <c r="K103" s="1170" t="s">
        <v>589</v>
      </c>
      <c r="L103" s="1183">
        <f t="shared" si="24"/>
        <v>120.4688018088</v>
      </c>
      <c r="M103" s="1260">
        <v>43304</v>
      </c>
      <c r="N103" s="1260">
        <v>46225</v>
      </c>
      <c r="O103" s="1077"/>
      <c r="Q103" s="1262"/>
      <c r="R103" s="1286"/>
      <c r="S103" s="1286"/>
      <c r="T103" s="1286"/>
      <c r="U103" s="1286"/>
      <c r="V103" s="1286"/>
      <c r="W103" s="1286"/>
      <c r="X103" s="1286"/>
      <c r="Y103" s="1286">
        <v>172.480107</v>
      </c>
      <c r="Z103" s="1286"/>
      <c r="AA103" s="1286"/>
      <c r="AB103" s="1286">
        <v>172.480107</v>
      </c>
      <c r="AC103" s="1259">
        <v>993.58202831999995</v>
      </c>
      <c r="AD103" s="1259"/>
      <c r="AE103" s="1259"/>
      <c r="AF103" s="1259"/>
      <c r="AG103" s="1259"/>
      <c r="AH103" s="1259"/>
      <c r="AI103" s="1259"/>
      <c r="AL103" s="1259">
        <f t="shared" si="13"/>
        <v>1338.54224232</v>
      </c>
      <c r="AM103" s="1259">
        <f t="shared" si="17"/>
        <v>0</v>
      </c>
      <c r="AN103" s="1077" t="str">
        <f t="shared" si="18"/>
        <v>RBPIFixLTL</v>
      </c>
      <c r="AO103" s="1077" t="str">
        <f t="shared" si="19"/>
        <v>RBPIFixLTLyes</v>
      </c>
    </row>
    <row r="104" spans="1:43">
      <c r="A104" s="1077" t="s">
        <v>101</v>
      </c>
      <c r="B104" s="1077" t="s">
        <v>41</v>
      </c>
      <c r="C104" s="1149" t="s">
        <v>633</v>
      </c>
      <c r="D104" s="1077" t="s">
        <v>103</v>
      </c>
      <c r="E104" s="1077" t="s">
        <v>709</v>
      </c>
      <c r="F104" s="1258">
        <v>1334.4832534000002</v>
      </c>
      <c r="G104" s="1258">
        <v>1334.4832534000002</v>
      </c>
      <c r="H104" s="1259">
        <f t="shared" si="23"/>
        <v>0</v>
      </c>
      <c r="I104" s="1080">
        <v>0.09</v>
      </c>
      <c r="K104" s="1170" t="s">
        <v>589</v>
      </c>
      <c r="L104" s="1183">
        <f t="shared" si="24"/>
        <v>120.10349280600002</v>
      </c>
      <c r="M104" s="1260">
        <v>43304</v>
      </c>
      <c r="N104" s="1260">
        <v>46225</v>
      </c>
      <c r="O104" s="1077"/>
      <c r="Q104" s="1262"/>
      <c r="R104" s="1286"/>
      <c r="S104" s="1286"/>
      <c r="T104" s="1286"/>
      <c r="U104" s="1286"/>
      <c r="V104" s="1286"/>
      <c r="W104" s="1286"/>
      <c r="X104" s="1286"/>
      <c r="Y104" s="1286">
        <v>179.97287399999999</v>
      </c>
      <c r="Z104" s="1286"/>
      <c r="AA104" s="1286"/>
      <c r="AB104" s="1286">
        <v>179.97287399999999</v>
      </c>
      <c r="AC104" s="1259">
        <v>974.53750540000033</v>
      </c>
      <c r="AD104" s="1259"/>
      <c r="AE104" s="1259"/>
      <c r="AF104" s="1259"/>
      <c r="AG104" s="1259"/>
      <c r="AH104" s="1259"/>
      <c r="AI104" s="1259"/>
      <c r="AL104" s="1259">
        <f t="shared" si="13"/>
        <v>1334.4832534000002</v>
      </c>
      <c r="AM104" s="1259">
        <f t="shared" si="17"/>
        <v>0</v>
      </c>
      <c r="AN104" s="1077" t="str">
        <f t="shared" si="18"/>
        <v>RBPIFixLTL</v>
      </c>
      <c r="AO104" s="1077" t="str">
        <f t="shared" si="19"/>
        <v>RBPIFixLTLyes</v>
      </c>
    </row>
    <row r="105" spans="1:43">
      <c r="A105" s="1077" t="s">
        <v>101</v>
      </c>
      <c r="B105" s="1077" t="s">
        <v>41</v>
      </c>
      <c r="C105" s="1149" t="s">
        <v>634</v>
      </c>
      <c r="D105" s="1077" t="s">
        <v>591</v>
      </c>
      <c r="E105" s="1077" t="s">
        <v>710</v>
      </c>
      <c r="F105" s="1258">
        <v>61.943806459999998</v>
      </c>
      <c r="G105" s="1258">
        <v>61.943806459999998</v>
      </c>
      <c r="H105" s="1259">
        <f t="shared" si="23"/>
        <v>0</v>
      </c>
      <c r="I105" s="1080">
        <v>0.215</v>
      </c>
      <c r="K105" s="1080" t="s">
        <v>588</v>
      </c>
      <c r="L105" s="1183">
        <f t="shared" si="24"/>
        <v>13.317918388899999</v>
      </c>
      <c r="M105" s="1260">
        <v>45436</v>
      </c>
      <c r="N105" s="1260">
        <v>47261</v>
      </c>
      <c r="O105" s="1077"/>
      <c r="Q105" s="1262"/>
      <c r="R105" s="1286"/>
      <c r="S105" s="1286"/>
      <c r="T105" s="1286"/>
      <c r="U105" s="1286"/>
      <c r="V105" s="1286"/>
      <c r="W105" s="1286"/>
      <c r="X105" s="1286">
        <v>1.3542000000000001</v>
      </c>
      <c r="Y105" s="1286">
        <v>1.3542000000000001</v>
      </c>
      <c r="Z105" s="1286">
        <v>1.3542000000000001</v>
      </c>
      <c r="AA105" s="1286">
        <v>1.3542000000000001</v>
      </c>
      <c r="AB105" s="1286">
        <v>1.3542000000000001</v>
      </c>
      <c r="AC105" s="1286">
        <v>16.250399999999999</v>
      </c>
      <c r="AD105" s="1286">
        <v>16.250399999999999</v>
      </c>
      <c r="AE105" s="1286">
        <v>16.250399999999999</v>
      </c>
      <c r="AF105" s="1286">
        <v>6.4216064600000005</v>
      </c>
      <c r="AG105" s="1286"/>
      <c r="AH105" s="1259"/>
      <c r="AI105" s="1259"/>
      <c r="AL105" s="1259">
        <f t="shared" si="13"/>
        <v>61.943806459999998</v>
      </c>
      <c r="AM105" s="1184">
        <f t="shared" si="17"/>
        <v>0</v>
      </c>
      <c r="AN105" s="1077" t="str">
        <f t="shared" si="18"/>
        <v>RBPIFloatLTL</v>
      </c>
      <c r="AO105" s="1077" t="str">
        <f t="shared" si="19"/>
        <v>RBPIFloatLTLno</v>
      </c>
    </row>
    <row r="106" spans="1:43">
      <c r="A106" s="1077" t="s">
        <v>101</v>
      </c>
      <c r="B106" s="1077" t="s">
        <v>41</v>
      </c>
      <c r="C106" s="1149" t="s">
        <v>635</v>
      </c>
      <c r="D106" s="1077" t="s">
        <v>591</v>
      </c>
      <c r="E106" s="1077" t="s">
        <v>710</v>
      </c>
      <c r="F106" s="1258">
        <v>73.333331999999999</v>
      </c>
      <c r="G106" s="1258">
        <v>73.333331999999999</v>
      </c>
      <c r="H106" s="1259">
        <f t="shared" si="23"/>
        <v>0</v>
      </c>
      <c r="I106" s="1080">
        <v>0.23880000000000001</v>
      </c>
      <c r="J106" s="1086"/>
      <c r="K106" s="1170" t="s">
        <v>589</v>
      </c>
      <c r="L106" s="1183">
        <f t="shared" si="24"/>
        <v>17.511999681599999</v>
      </c>
      <c r="M106" s="1277">
        <v>45370</v>
      </c>
      <c r="N106" s="1277">
        <v>47193</v>
      </c>
      <c r="O106" s="1287"/>
      <c r="Q106" s="1262"/>
      <c r="R106" s="1288"/>
      <c r="S106" s="1288"/>
      <c r="T106" s="1288"/>
      <c r="U106" s="1288"/>
      <c r="V106" s="1288"/>
      <c r="W106" s="1288"/>
      <c r="X106" s="1288">
        <v>1.6666669999999999</v>
      </c>
      <c r="Y106" s="1288">
        <v>1.6666669999999999</v>
      </c>
      <c r="Z106" s="1288">
        <v>1.6666669999999999</v>
      </c>
      <c r="AA106" s="1288">
        <v>1.6666669999999999</v>
      </c>
      <c r="AB106" s="1288">
        <v>1.6666669999999999</v>
      </c>
      <c r="AC106" s="1276">
        <v>20.000003999999997</v>
      </c>
      <c r="AD106" s="1276">
        <v>20.000003999999997</v>
      </c>
      <c r="AE106" s="1276">
        <v>20.000003999999997</v>
      </c>
      <c r="AF106" s="1276">
        <v>4.9999850000000139</v>
      </c>
      <c r="AG106" s="1276"/>
      <c r="AH106" s="1276"/>
      <c r="AI106" s="1276"/>
      <c r="AL106" s="1259">
        <f t="shared" si="13"/>
        <v>73.333331999999999</v>
      </c>
      <c r="AM106" s="1184">
        <f t="shared" si="17"/>
        <v>0</v>
      </c>
      <c r="AN106" s="1077" t="str">
        <f t="shared" si="18"/>
        <v>RBPIFixLTL</v>
      </c>
      <c r="AO106" s="1077" t="str">
        <f t="shared" si="19"/>
        <v>RBPIFixLTLno</v>
      </c>
    </row>
    <row r="107" spans="1:43" ht="15" customHeight="1">
      <c r="A107" s="1077" t="s">
        <v>101</v>
      </c>
      <c r="B107" s="1077" t="s">
        <v>41</v>
      </c>
      <c r="C107" s="1149" t="s">
        <v>690</v>
      </c>
      <c r="D107" s="1077" t="s">
        <v>591</v>
      </c>
      <c r="E107" s="1077" t="s">
        <v>710</v>
      </c>
      <c r="F107" s="1078">
        <v>100</v>
      </c>
      <c r="G107" s="1258">
        <v>96.088942010000011</v>
      </c>
      <c r="H107" s="1259">
        <f t="shared" si="23"/>
        <v>3.9110579899999891</v>
      </c>
      <c r="I107" s="1080">
        <v>0.23499999999999999</v>
      </c>
      <c r="J107" s="1086"/>
      <c r="K107" s="1170" t="s">
        <v>588</v>
      </c>
      <c r="L107" s="1183">
        <f t="shared" si="24"/>
        <v>22.580901372350002</v>
      </c>
      <c r="M107" s="1277">
        <v>45722</v>
      </c>
      <c r="N107" s="1277">
        <v>47193</v>
      </c>
      <c r="O107" s="1287"/>
      <c r="Q107" s="1262"/>
      <c r="R107" s="1288"/>
      <c r="S107" s="1288"/>
      <c r="T107" s="1288"/>
      <c r="U107" s="1288"/>
      <c r="V107" s="1288"/>
      <c r="W107" s="1288"/>
      <c r="X107" s="1288"/>
      <c r="Y107" s="1288"/>
      <c r="Z107" s="1288"/>
      <c r="AA107" s="1288"/>
      <c r="AB107" s="1288"/>
      <c r="AC107" s="1276"/>
      <c r="AD107" s="1276"/>
      <c r="AE107" s="1276"/>
      <c r="AF107" s="1276">
        <v>96.088942009999997</v>
      </c>
      <c r="AG107" s="1276"/>
      <c r="AH107" s="1276"/>
      <c r="AI107" s="1276"/>
      <c r="AL107" s="1259">
        <f t="shared" si="13"/>
        <v>96.088942009999997</v>
      </c>
      <c r="AM107" s="1184">
        <f t="shared" si="17"/>
        <v>0</v>
      </c>
      <c r="AN107" s="1077"/>
      <c r="AO107" s="1077"/>
      <c r="AQ107" s="1184"/>
    </row>
    <row r="108" spans="1:43">
      <c r="A108" s="1077" t="s">
        <v>101</v>
      </c>
      <c r="B108" s="1077" t="s">
        <v>41</v>
      </c>
      <c r="C108" s="1149" t="s">
        <v>636</v>
      </c>
      <c r="D108" s="1077" t="s">
        <v>591</v>
      </c>
      <c r="E108" s="1077" t="s">
        <v>710</v>
      </c>
      <c r="F108" s="1258">
        <v>39.716000000000001</v>
      </c>
      <c r="G108" s="1258">
        <v>39.716000000000001</v>
      </c>
      <c r="H108" s="1259">
        <f t="shared" si="23"/>
        <v>0</v>
      </c>
      <c r="I108" s="1080">
        <v>0.2354</v>
      </c>
      <c r="J108" s="1086"/>
      <c r="K108" s="1170" t="s">
        <v>589</v>
      </c>
      <c r="L108" s="1183">
        <f t="shared" si="24"/>
        <v>9.3491464000000004</v>
      </c>
      <c r="M108" s="1277">
        <v>45050</v>
      </c>
      <c r="N108" s="1277">
        <v>46507</v>
      </c>
      <c r="O108" s="1287"/>
      <c r="Q108" s="1262"/>
      <c r="R108" s="1288"/>
      <c r="S108" s="1288"/>
      <c r="T108" s="1288"/>
      <c r="U108" s="1288"/>
      <c r="V108" s="1288"/>
      <c r="W108" s="1288"/>
      <c r="X108" s="1288">
        <v>1.806</v>
      </c>
      <c r="Y108" s="1288">
        <v>1.806</v>
      </c>
      <c r="Z108" s="1288">
        <v>1.806</v>
      </c>
      <c r="AA108" s="1288">
        <v>1.806</v>
      </c>
      <c r="AB108" s="1288">
        <v>1.806</v>
      </c>
      <c r="AC108" s="1276">
        <v>21.672000000000001</v>
      </c>
      <c r="AD108" s="1276">
        <v>9.0139999999999993</v>
      </c>
      <c r="AE108" s="1276"/>
      <c r="AF108" s="1276"/>
      <c r="AG108" s="1276"/>
      <c r="AH108" s="1276"/>
      <c r="AI108" s="1276"/>
      <c r="AL108" s="1259">
        <f t="shared" si="13"/>
        <v>39.716000000000001</v>
      </c>
      <c r="AM108" s="1184">
        <f t="shared" si="17"/>
        <v>0</v>
      </c>
      <c r="AN108" s="1077" t="str">
        <f t="shared" si="18"/>
        <v>RBPIFixLTL</v>
      </c>
      <c r="AO108" s="1077" t="str">
        <f t="shared" si="19"/>
        <v>RBPIFixLTLno</v>
      </c>
    </row>
    <row r="109" spans="1:43">
      <c r="A109" s="1077" t="s">
        <v>101</v>
      </c>
      <c r="B109" s="1077" t="s">
        <v>41</v>
      </c>
      <c r="C109" s="1149" t="s">
        <v>637</v>
      </c>
      <c r="D109" s="1077" t="s">
        <v>591</v>
      </c>
      <c r="E109" s="1077" t="s">
        <v>710</v>
      </c>
      <c r="F109" s="1258">
        <v>50.55</v>
      </c>
      <c r="G109" s="1258">
        <v>50.55</v>
      </c>
      <c r="H109" s="1259">
        <f t="shared" si="23"/>
        <v>0</v>
      </c>
      <c r="I109" s="1080">
        <v>0.23849999999999999</v>
      </c>
      <c r="J109" s="1086"/>
      <c r="K109" s="1170" t="s">
        <v>589</v>
      </c>
      <c r="L109" s="1183">
        <f t="shared" si="24"/>
        <v>12.056175</v>
      </c>
      <c r="M109" s="1277">
        <v>45197</v>
      </c>
      <c r="N109" s="1277">
        <v>46657</v>
      </c>
      <c r="O109" s="1287"/>
      <c r="Q109" s="1262"/>
      <c r="R109" s="1288"/>
      <c r="S109" s="1288"/>
      <c r="T109" s="1288"/>
      <c r="U109" s="1288"/>
      <c r="V109" s="1288"/>
      <c r="W109" s="1288"/>
      <c r="X109" s="1288">
        <v>1.9450000000000001</v>
      </c>
      <c r="Y109" s="1288">
        <v>1.9450000000000001</v>
      </c>
      <c r="Z109" s="1288">
        <v>1.9450000000000001</v>
      </c>
      <c r="AA109" s="1288">
        <v>1.9450000000000001</v>
      </c>
      <c r="AB109" s="1288">
        <v>1.9450000000000001</v>
      </c>
      <c r="AC109" s="1288">
        <v>23.34</v>
      </c>
      <c r="AD109" s="1276">
        <v>17.484999999999999</v>
      </c>
      <c r="AE109" s="1276"/>
      <c r="AF109" s="1276"/>
      <c r="AG109" s="1276"/>
      <c r="AH109" s="1276"/>
      <c r="AI109" s="1276"/>
      <c r="AL109" s="1259">
        <f t="shared" si="13"/>
        <v>50.55</v>
      </c>
      <c r="AM109" s="1184">
        <f t="shared" si="17"/>
        <v>0</v>
      </c>
      <c r="AN109" s="1077" t="str">
        <f t="shared" si="18"/>
        <v>RBPIFixLTL</v>
      </c>
      <c r="AO109" s="1077" t="str">
        <f t="shared" si="19"/>
        <v>RBPIFixLTLno</v>
      </c>
    </row>
    <row r="110" spans="1:43">
      <c r="A110" s="1077" t="s">
        <v>101</v>
      </c>
      <c r="B110" s="1077" t="s">
        <v>41</v>
      </c>
      <c r="C110" s="1149" t="s">
        <v>638</v>
      </c>
      <c r="D110" s="1077" t="s">
        <v>591</v>
      </c>
      <c r="E110" s="1077" t="s">
        <v>710</v>
      </c>
      <c r="F110" s="1258">
        <v>230.625</v>
      </c>
      <c r="G110" s="1258">
        <v>230.625</v>
      </c>
      <c r="H110" s="1259">
        <f t="shared" si="23"/>
        <v>0</v>
      </c>
      <c r="I110" s="1080">
        <v>0.2465</v>
      </c>
      <c r="J110" s="1086"/>
      <c r="K110" s="1170" t="s">
        <v>589</v>
      </c>
      <c r="L110" s="1183">
        <f t="shared" si="24"/>
        <v>56.849062500000002</v>
      </c>
      <c r="M110" s="1277">
        <v>45271</v>
      </c>
      <c r="N110" s="1277">
        <v>47095</v>
      </c>
      <c r="O110" s="1287"/>
      <c r="Q110" s="1262"/>
      <c r="R110" s="1288"/>
      <c r="S110" s="1288"/>
      <c r="T110" s="1288"/>
      <c r="U110" s="1288"/>
      <c r="V110" s="1288"/>
      <c r="W110" s="1288"/>
      <c r="X110" s="1288">
        <v>5.625</v>
      </c>
      <c r="Y110" s="1288">
        <v>5.625</v>
      </c>
      <c r="Z110" s="1288">
        <v>5.625</v>
      </c>
      <c r="AA110" s="1288">
        <v>5.625</v>
      </c>
      <c r="AB110" s="1288">
        <v>5.625</v>
      </c>
      <c r="AC110" s="1276">
        <v>67.5</v>
      </c>
      <c r="AD110" s="1276">
        <v>67.5</v>
      </c>
      <c r="AE110" s="1276">
        <v>67.5</v>
      </c>
      <c r="AF110" s="1276"/>
      <c r="AG110" s="1276"/>
      <c r="AH110" s="1276"/>
      <c r="AI110" s="1276"/>
      <c r="AL110" s="1259">
        <f t="shared" si="13"/>
        <v>230.625</v>
      </c>
      <c r="AM110" s="1184">
        <f t="shared" si="17"/>
        <v>0</v>
      </c>
      <c r="AN110" s="1077" t="str">
        <f t="shared" si="18"/>
        <v>RBPIFixLTL</v>
      </c>
      <c r="AO110" s="1077" t="str">
        <f t="shared" si="19"/>
        <v>RBPIFixLTLno</v>
      </c>
    </row>
    <row r="111" spans="1:43">
      <c r="A111" s="1077" t="s">
        <v>101</v>
      </c>
      <c r="B111" s="1077" t="s">
        <v>41</v>
      </c>
      <c r="C111" s="1149" t="s">
        <v>639</v>
      </c>
      <c r="D111" s="1077" t="s">
        <v>591</v>
      </c>
      <c r="E111" s="1077" t="s">
        <v>710</v>
      </c>
      <c r="F111" s="1258">
        <v>54.799459460000001</v>
      </c>
      <c r="G111" s="1258">
        <v>54.799459460000001</v>
      </c>
      <c r="H111" s="1259">
        <f t="shared" si="23"/>
        <v>0</v>
      </c>
      <c r="I111" s="1080">
        <v>0.2424</v>
      </c>
      <c r="J111" s="1086"/>
      <c r="K111" s="1170" t="s">
        <v>589</v>
      </c>
      <c r="L111" s="1183">
        <f t="shared" si="24"/>
        <v>13.283388973104001</v>
      </c>
      <c r="M111" s="1277">
        <v>44616</v>
      </c>
      <c r="N111" s="1277">
        <v>46386</v>
      </c>
      <c r="O111" s="1287"/>
      <c r="Q111" s="1262"/>
      <c r="R111" s="1288"/>
      <c r="S111" s="1288"/>
      <c r="T111" s="1288"/>
      <c r="U111" s="1288"/>
      <c r="V111" s="1288"/>
      <c r="W111" s="1288"/>
      <c r="X111" s="1288">
        <v>3.260869</v>
      </c>
      <c r="Y111" s="1288">
        <v>3.260869</v>
      </c>
      <c r="Z111" s="1288">
        <v>3.260869</v>
      </c>
      <c r="AA111" s="1288">
        <v>3.260869</v>
      </c>
      <c r="AB111" s="1288">
        <v>3.260869</v>
      </c>
      <c r="AC111" s="1276">
        <v>38.495114459999996</v>
      </c>
      <c r="AD111" s="1276"/>
      <c r="AE111" s="1276"/>
      <c r="AF111" s="1276"/>
      <c r="AG111" s="1276"/>
      <c r="AH111" s="1276"/>
      <c r="AI111" s="1276"/>
      <c r="AL111" s="1259">
        <f t="shared" si="13"/>
        <v>54.799459459999994</v>
      </c>
      <c r="AM111" s="1184">
        <f t="shared" si="17"/>
        <v>0</v>
      </c>
      <c r="AN111" s="1077" t="str">
        <f t="shared" si="18"/>
        <v>RBPIFixLTL</v>
      </c>
      <c r="AO111" s="1077" t="str">
        <f t="shared" si="19"/>
        <v>RBPIFixLTLno</v>
      </c>
    </row>
    <row r="112" spans="1:43">
      <c r="A112" s="1077" t="s">
        <v>101</v>
      </c>
      <c r="B112" s="1077" t="s">
        <v>41</v>
      </c>
      <c r="C112" s="1149" t="s">
        <v>640</v>
      </c>
      <c r="D112" s="1077" t="s">
        <v>103</v>
      </c>
      <c r="E112" s="1077" t="s">
        <v>709</v>
      </c>
      <c r="F112" s="1258">
        <v>135.31214050999998</v>
      </c>
      <c r="G112" s="1258">
        <v>135.31214050999998</v>
      </c>
      <c r="H112" s="1259">
        <f t="shared" si="23"/>
        <v>0</v>
      </c>
      <c r="I112" s="1080">
        <v>0.09</v>
      </c>
      <c r="K112" s="1170" t="s">
        <v>589</v>
      </c>
      <c r="L112" s="1183">
        <f t="shared" si="24"/>
        <v>12.178092645899998</v>
      </c>
      <c r="M112" s="1260">
        <v>43434</v>
      </c>
      <c r="N112" s="1260">
        <v>46353</v>
      </c>
      <c r="Q112" s="1262"/>
      <c r="R112" s="1263"/>
      <c r="S112" s="1288"/>
      <c r="T112" s="1288"/>
      <c r="U112" s="1288"/>
      <c r="V112" s="1288"/>
      <c r="W112" s="1288"/>
      <c r="X112" s="1288"/>
      <c r="Y112" s="1288">
        <f>+V112</f>
        <v>0</v>
      </c>
      <c r="Z112" s="1288"/>
      <c r="AA112" s="1288"/>
      <c r="AB112" s="1288">
        <f>+Y112</f>
        <v>0</v>
      </c>
      <c r="AC112" s="1263">
        <v>90.208094860000003</v>
      </c>
      <c r="AD112" s="1263">
        <v>45.104045649999975</v>
      </c>
      <c r="AE112" s="1263"/>
      <c r="AF112" s="1263"/>
      <c r="AG112" s="1263"/>
      <c r="AH112" s="1263"/>
      <c r="AI112" s="1263"/>
      <c r="AL112" s="1259">
        <f t="shared" si="13"/>
        <v>135.31214050999998</v>
      </c>
      <c r="AM112" s="1184">
        <f t="shared" si="17"/>
        <v>0</v>
      </c>
      <c r="AN112" s="1077" t="str">
        <f t="shared" si="18"/>
        <v>RBPIFixLTL</v>
      </c>
      <c r="AO112" s="1077" t="str">
        <f t="shared" si="19"/>
        <v>RBPIFixLTLyes</v>
      </c>
    </row>
    <row r="113" spans="1:41">
      <c r="A113" s="1077" t="s">
        <v>101</v>
      </c>
      <c r="B113" s="1077" t="s">
        <v>41</v>
      </c>
      <c r="C113" s="1149" t="s">
        <v>641</v>
      </c>
      <c r="D113" s="1077" t="s">
        <v>103</v>
      </c>
      <c r="E113" s="1077" t="s">
        <v>709</v>
      </c>
      <c r="F113" s="1258">
        <v>60.65603085</v>
      </c>
      <c r="G113" s="1258">
        <v>60.65603085</v>
      </c>
      <c r="H113" s="1259">
        <f t="shared" si="23"/>
        <v>0</v>
      </c>
      <c r="I113" s="1080">
        <v>0.09</v>
      </c>
      <c r="K113" s="1170" t="s">
        <v>589</v>
      </c>
      <c r="L113" s="1183">
        <f t="shared" si="24"/>
        <v>5.4590427764999996</v>
      </c>
      <c r="M113" s="1260">
        <v>44341</v>
      </c>
      <c r="N113" s="1260">
        <v>46164</v>
      </c>
      <c r="Q113" s="1262"/>
      <c r="R113" s="1263"/>
      <c r="S113" s="1288"/>
      <c r="T113" s="1288"/>
      <c r="U113" s="1288"/>
      <c r="V113" s="1288"/>
      <c r="W113" s="1288"/>
      <c r="X113" s="1288"/>
      <c r="Y113" s="1288">
        <v>20.218676916666666</v>
      </c>
      <c r="Z113" s="1288"/>
      <c r="AA113" s="1288"/>
      <c r="AB113" s="1288">
        <f>+Y113</f>
        <v>20.218676916666666</v>
      </c>
      <c r="AC113" s="1263">
        <v>20.218677016666668</v>
      </c>
      <c r="AD113" s="1263"/>
      <c r="AE113" s="1263"/>
      <c r="AF113" s="1263"/>
      <c r="AG113" s="1263"/>
      <c r="AH113" s="1263"/>
      <c r="AI113" s="1263"/>
      <c r="AL113" s="1259">
        <f t="shared" si="13"/>
        <v>60.65603085</v>
      </c>
      <c r="AM113" s="1184">
        <f t="shared" si="17"/>
        <v>0</v>
      </c>
      <c r="AN113" s="1077" t="str">
        <f t="shared" si="18"/>
        <v>RBPIFixLTL</v>
      </c>
      <c r="AO113" s="1077" t="str">
        <f t="shared" si="19"/>
        <v>RBPIFixLTLyes</v>
      </c>
    </row>
    <row r="114" spans="1:41">
      <c r="A114" s="1077" t="s">
        <v>101</v>
      </c>
      <c r="B114" s="1077" t="s">
        <v>41</v>
      </c>
      <c r="C114" s="1149" t="s">
        <v>642</v>
      </c>
      <c r="D114" s="1077" t="s">
        <v>103</v>
      </c>
      <c r="E114" s="1077" t="s">
        <v>710</v>
      </c>
      <c r="F114" s="1258">
        <v>29.500489510000001</v>
      </c>
      <c r="G114" s="1258">
        <v>29.500489510000001</v>
      </c>
      <c r="H114" s="1259">
        <f t="shared" si="23"/>
        <v>0</v>
      </c>
      <c r="I114" s="1080">
        <v>0.21</v>
      </c>
      <c r="K114" s="1170" t="s">
        <v>588</v>
      </c>
      <c r="L114" s="1183">
        <f t="shared" si="24"/>
        <v>6.1951027970999997</v>
      </c>
      <c r="M114" s="1260">
        <v>44322</v>
      </c>
      <c r="N114" s="1260">
        <v>46147</v>
      </c>
      <c r="Q114" s="1262"/>
      <c r="R114" s="1263"/>
      <c r="S114" s="1288"/>
      <c r="T114" s="1288"/>
      <c r="U114" s="1288"/>
      <c r="V114" s="1288"/>
      <c r="W114" s="1288"/>
      <c r="X114" s="1288"/>
      <c r="Y114" s="1288">
        <v>9.8334965699999994</v>
      </c>
      <c r="Z114" s="1288"/>
      <c r="AA114" s="1288"/>
      <c r="AB114" s="1288">
        <f>+Y114</f>
        <v>9.8334965699999994</v>
      </c>
      <c r="AC114" s="1263">
        <v>9.8334963700000024</v>
      </c>
      <c r="AD114" s="1263"/>
      <c r="AE114" s="1263"/>
      <c r="AF114" s="1263"/>
      <c r="AG114" s="1263"/>
      <c r="AH114" s="1263"/>
      <c r="AI114" s="1263"/>
      <c r="AL114" s="1259">
        <f t="shared" si="13"/>
        <v>29.500489510000001</v>
      </c>
      <c r="AM114" s="1184">
        <f t="shared" si="17"/>
        <v>0</v>
      </c>
      <c r="AN114" s="1077" t="str">
        <f t="shared" si="18"/>
        <v>RBPIFloatLTL</v>
      </c>
      <c r="AO114" s="1077" t="str">
        <f t="shared" si="19"/>
        <v>RBPIFloatLTLno</v>
      </c>
    </row>
    <row r="115" spans="1:41">
      <c r="A115" s="1077" t="s">
        <v>101</v>
      </c>
      <c r="B115" s="1077" t="s">
        <v>41</v>
      </c>
      <c r="C115" s="1149" t="s">
        <v>643</v>
      </c>
      <c r="D115" s="1077" t="s">
        <v>103</v>
      </c>
      <c r="E115" s="1077" t="s">
        <v>709</v>
      </c>
      <c r="F115" s="1258">
        <v>400.00000032999998</v>
      </c>
      <c r="G115" s="1258">
        <v>400.00000032999998</v>
      </c>
      <c r="H115" s="1259">
        <f t="shared" si="23"/>
        <v>0</v>
      </c>
      <c r="I115" s="1080">
        <v>0.09</v>
      </c>
      <c r="K115" s="1170" t="s">
        <v>589</v>
      </c>
      <c r="L115" s="1183">
        <f t="shared" si="24"/>
        <v>36.000000029699997</v>
      </c>
      <c r="M115" s="1260">
        <v>44384</v>
      </c>
      <c r="N115" s="1260">
        <v>47305</v>
      </c>
      <c r="Q115" s="1262"/>
      <c r="R115" s="1263"/>
      <c r="S115" s="1288"/>
      <c r="T115" s="1288"/>
      <c r="U115" s="1288"/>
      <c r="V115" s="1288"/>
      <c r="W115" s="1288"/>
      <c r="X115" s="1288">
        <v>8.3333333300000003</v>
      </c>
      <c r="Y115" s="1288">
        <f t="shared" ref="Y115:AB116" si="25">+X115</f>
        <v>8.3333333300000003</v>
      </c>
      <c r="Z115" s="1288">
        <f t="shared" si="25"/>
        <v>8.3333333300000003</v>
      </c>
      <c r="AA115" s="1288">
        <f t="shared" si="25"/>
        <v>8.3333333300000003</v>
      </c>
      <c r="AB115" s="1288">
        <f t="shared" si="25"/>
        <v>8.3333333300000003</v>
      </c>
      <c r="AC115" s="1263">
        <f>+AB115*12</f>
        <v>99.999999959999997</v>
      </c>
      <c r="AD115" s="1263">
        <f>+AC115</f>
        <v>99.999999959999997</v>
      </c>
      <c r="AE115" s="1263">
        <f>+AD115</f>
        <v>99.999999959999997</v>
      </c>
      <c r="AF115" s="1263">
        <v>58.333333799999991</v>
      </c>
      <c r="AG115" s="1263"/>
      <c r="AH115" s="1263"/>
      <c r="AI115" s="1263"/>
      <c r="AL115" s="1259">
        <f t="shared" si="13"/>
        <v>400.00000032999998</v>
      </c>
      <c r="AM115" s="1184">
        <f t="shared" si="17"/>
        <v>0</v>
      </c>
      <c r="AN115" s="1077" t="str">
        <f t="shared" si="18"/>
        <v>RBPIFixLTL</v>
      </c>
      <c r="AO115" s="1077" t="str">
        <f t="shared" si="19"/>
        <v>RBPIFixLTLyes</v>
      </c>
    </row>
    <row r="116" spans="1:41">
      <c r="A116" s="1077" t="s">
        <v>101</v>
      </c>
      <c r="B116" s="1077" t="s">
        <v>41</v>
      </c>
      <c r="C116" s="1149" t="s">
        <v>707</v>
      </c>
      <c r="D116" s="1077" t="s">
        <v>591</v>
      </c>
      <c r="E116" s="1077" t="s">
        <v>710</v>
      </c>
      <c r="F116" s="1258">
        <v>50.137</v>
      </c>
      <c r="G116" s="1258">
        <v>50.137</v>
      </c>
      <c r="H116" s="1259">
        <f t="shared" si="23"/>
        <v>0</v>
      </c>
      <c r="I116" s="1080">
        <v>0.23449999999999999</v>
      </c>
      <c r="K116" s="1170" t="s">
        <v>589</v>
      </c>
      <c r="L116" s="1183">
        <f t="shared" si="24"/>
        <v>11.7571265</v>
      </c>
      <c r="M116" s="1260">
        <v>44959</v>
      </c>
      <c r="N116" s="1260">
        <v>46419</v>
      </c>
      <c r="Q116" s="1262"/>
      <c r="R116" s="1263"/>
      <c r="S116" s="1288"/>
      <c r="T116" s="1288"/>
      <c r="U116" s="1288"/>
      <c r="V116" s="1288"/>
      <c r="W116" s="1288"/>
      <c r="X116" s="1288">
        <v>2.6389999999999998</v>
      </c>
      <c r="Y116" s="1288">
        <f t="shared" si="25"/>
        <v>2.6389999999999998</v>
      </c>
      <c r="Z116" s="1288">
        <f t="shared" si="25"/>
        <v>2.6389999999999998</v>
      </c>
      <c r="AA116" s="1288">
        <f t="shared" si="25"/>
        <v>2.6389999999999998</v>
      </c>
      <c r="AB116" s="1288">
        <f t="shared" si="25"/>
        <v>2.6389999999999998</v>
      </c>
      <c r="AC116" s="1263">
        <f>+AB116*12</f>
        <v>31.667999999999999</v>
      </c>
      <c r="AD116" s="1263">
        <v>5.2740000000000009</v>
      </c>
      <c r="AE116" s="1263"/>
      <c r="AF116" s="1263"/>
      <c r="AG116" s="1263"/>
      <c r="AH116" s="1263"/>
      <c r="AI116" s="1263"/>
      <c r="AL116" s="1259">
        <f t="shared" si="13"/>
        <v>50.137</v>
      </c>
      <c r="AM116" s="1184">
        <f t="shared" si="17"/>
        <v>0</v>
      </c>
      <c r="AN116" s="1077" t="str">
        <f t="shared" si="18"/>
        <v>RBPIFixLTL</v>
      </c>
      <c r="AO116" s="1077" t="str">
        <f t="shared" si="19"/>
        <v>RBPIFixLTLno</v>
      </c>
    </row>
    <row r="117" spans="1:41">
      <c r="A117" s="1077" t="s">
        <v>101</v>
      </c>
      <c r="B117" s="1077" t="s">
        <v>41</v>
      </c>
      <c r="C117" s="1149" t="s">
        <v>644</v>
      </c>
      <c r="D117" s="1077" t="s">
        <v>591</v>
      </c>
      <c r="E117" s="1077" t="s">
        <v>710</v>
      </c>
      <c r="F117" s="1258">
        <v>35</v>
      </c>
      <c r="G117" s="1258">
        <v>35</v>
      </c>
      <c r="H117" s="1259">
        <f t="shared" si="23"/>
        <v>0</v>
      </c>
      <c r="I117" s="1080">
        <v>0.215</v>
      </c>
      <c r="K117" s="1170" t="s">
        <v>588</v>
      </c>
      <c r="L117" s="1183">
        <f t="shared" si="24"/>
        <v>7.5249999999999995</v>
      </c>
      <c r="M117" s="1260">
        <v>45503</v>
      </c>
      <c r="N117" s="1260">
        <v>47326</v>
      </c>
      <c r="Q117" s="1262"/>
      <c r="R117" s="1263"/>
      <c r="S117" s="1288"/>
      <c r="T117" s="1288"/>
      <c r="U117" s="1288"/>
      <c r="V117" s="1288"/>
      <c r="W117" s="1288"/>
      <c r="X117" s="1288">
        <f t="shared" ref="X117:AB117" si="26">0.72916667</f>
        <v>0.72916667000000002</v>
      </c>
      <c r="Y117" s="1288">
        <f t="shared" si="26"/>
        <v>0.72916667000000002</v>
      </c>
      <c r="Z117" s="1288">
        <f t="shared" si="26"/>
        <v>0.72916667000000002</v>
      </c>
      <c r="AA117" s="1288">
        <f t="shared" si="26"/>
        <v>0.72916667000000002</v>
      </c>
      <c r="AB117" s="1288">
        <f t="shared" si="26"/>
        <v>0.72916667000000002</v>
      </c>
      <c r="AC117" s="1263">
        <f>+AB117*12</f>
        <v>8.7500000399999998</v>
      </c>
      <c r="AD117" s="1263">
        <f>+AC117</f>
        <v>8.7500000399999998</v>
      </c>
      <c r="AE117" s="1263">
        <f>+AD117</f>
        <v>8.7500000399999998</v>
      </c>
      <c r="AF117" s="1263">
        <v>5.1041665300000005</v>
      </c>
      <c r="AG117" s="1263"/>
      <c r="AH117" s="1263"/>
      <c r="AI117" s="1263"/>
      <c r="AL117" s="1259">
        <f t="shared" si="13"/>
        <v>35</v>
      </c>
      <c r="AM117" s="1184">
        <f t="shared" si="17"/>
        <v>0</v>
      </c>
      <c r="AN117" s="1077" t="str">
        <f t="shared" si="18"/>
        <v>RBPIFloatLTL</v>
      </c>
      <c r="AO117" s="1077" t="str">
        <f t="shared" si="19"/>
        <v>RBPIFloatLTLno</v>
      </c>
    </row>
    <row r="118" spans="1:41">
      <c r="A118" s="1077" t="s">
        <v>101</v>
      </c>
      <c r="B118" s="1077" t="s">
        <v>41</v>
      </c>
      <c r="C118" s="1149" t="s">
        <v>731</v>
      </c>
      <c r="D118" s="1077" t="s">
        <v>100</v>
      </c>
      <c r="E118" s="1077" t="s">
        <v>709</v>
      </c>
      <c r="F118" s="1258">
        <v>227.95865913999998</v>
      </c>
      <c r="G118" s="1258">
        <v>227.95865913999998</v>
      </c>
      <c r="H118" s="1259">
        <f t="shared" si="23"/>
        <v>0</v>
      </c>
      <c r="I118" s="1080">
        <v>0.05</v>
      </c>
      <c r="K118" s="1170" t="s">
        <v>589</v>
      </c>
      <c r="L118" s="1183">
        <f t="shared" si="24"/>
        <v>11.397932957</v>
      </c>
      <c r="M118" s="1260">
        <v>45006</v>
      </c>
      <c r="N118" s="1260">
        <v>46832</v>
      </c>
      <c r="Q118" s="1262"/>
      <c r="R118" s="1263"/>
      <c r="S118" s="1288"/>
      <c r="T118" s="1288"/>
      <c r="U118" s="1288"/>
      <c r="V118" s="1288"/>
      <c r="W118" s="1288"/>
      <c r="X118" s="1288"/>
      <c r="Y118" s="1288"/>
      <c r="Z118" s="1288"/>
      <c r="AA118" s="1288"/>
      <c r="AB118" s="1288"/>
      <c r="AC118" s="1263"/>
      <c r="AD118" s="1263">
        <v>95.05876086137998</v>
      </c>
      <c r="AE118" s="1263">
        <v>114.07051303365598</v>
      </c>
      <c r="AF118" s="1263">
        <v>18.82938524496403</v>
      </c>
      <c r="AG118" s="1263"/>
      <c r="AH118" s="1263"/>
      <c r="AI118" s="1263"/>
      <c r="AL118" s="1259">
        <f t="shared" si="13"/>
        <v>227.95865914000001</v>
      </c>
      <c r="AM118" s="1184">
        <f t="shared" si="17"/>
        <v>0</v>
      </c>
      <c r="AN118" s="1077" t="str">
        <f t="shared" si="18"/>
        <v>RBPIFixLTL</v>
      </c>
      <c r="AO118" s="1077" t="str">
        <f t="shared" si="19"/>
        <v>RBPIFixLTLyes</v>
      </c>
    </row>
    <row r="119" spans="1:41">
      <c r="G119" s="1258"/>
      <c r="H119" s="1259"/>
      <c r="K119" s="1170"/>
      <c r="M119" s="1260"/>
      <c r="N119" s="1260"/>
      <c r="Q119" s="1262"/>
      <c r="R119" s="1263"/>
      <c r="S119" s="1288"/>
      <c r="T119" s="1288"/>
      <c r="U119" s="1288"/>
      <c r="V119" s="1288"/>
      <c r="W119" s="1288"/>
      <c r="X119" s="1288"/>
      <c r="Y119" s="1288"/>
      <c r="Z119" s="1288"/>
      <c r="AA119" s="1288"/>
      <c r="AB119" s="1288"/>
      <c r="AC119" s="1263"/>
      <c r="AD119" s="1263"/>
      <c r="AE119" s="1263"/>
      <c r="AF119" s="1263"/>
      <c r="AG119" s="1263"/>
      <c r="AH119" s="1263"/>
      <c r="AI119" s="1263"/>
      <c r="AM119" s="1184"/>
      <c r="AN119" s="1077"/>
      <c r="AO119" s="1077"/>
    </row>
    <row r="120" spans="1:41">
      <c r="G120" s="1259"/>
      <c r="H120" s="1276"/>
      <c r="K120" s="1170"/>
      <c r="M120" s="1260"/>
      <c r="N120" s="1260"/>
      <c r="Q120" s="1263"/>
      <c r="R120" s="1263"/>
      <c r="S120" s="1263"/>
      <c r="T120" s="1263"/>
      <c r="U120" s="1263"/>
      <c r="V120" s="1263"/>
      <c r="W120" s="1263"/>
      <c r="X120" s="1263"/>
      <c r="Y120" s="1263"/>
      <c r="Z120" s="1263"/>
      <c r="AA120" s="1263"/>
      <c r="AB120" s="1263"/>
      <c r="AC120" s="1263"/>
      <c r="AD120" s="1263"/>
      <c r="AE120" s="1263"/>
      <c r="AF120" s="1263"/>
      <c r="AG120" s="1263"/>
      <c r="AH120" s="1263"/>
      <c r="AI120" s="1263"/>
      <c r="AM120" s="1185"/>
    </row>
    <row r="121" spans="1:41" ht="15" thickBot="1">
      <c r="F121" s="1115">
        <f>SUM(F3:F120)</f>
        <v>34120.77780013001</v>
      </c>
      <c r="G121" s="1115">
        <f>SUM(G3:G120)</f>
        <v>32443.337321759995</v>
      </c>
      <c r="H121" s="1278">
        <f>SUM(H3:H120)</f>
        <v>1677.4404783699999</v>
      </c>
      <c r="I121" s="1116">
        <f>L121/G121</f>
        <v>0.12496075486348641</v>
      </c>
      <c r="J121" s="1116">
        <f>M121/H121</f>
        <v>0</v>
      </c>
      <c r="K121" s="1116"/>
      <c r="L121" s="1278">
        <f>SUM(L3:L120)</f>
        <v>4054.1439220178504</v>
      </c>
      <c r="M121" s="1279"/>
      <c r="N121" s="1279"/>
      <c r="O121" s="1077"/>
      <c r="Q121" s="1262"/>
      <c r="R121" s="1262"/>
      <c r="S121" s="1262"/>
      <c r="T121" s="1289"/>
      <c r="U121" s="1289">
        <f t="shared" ref="U121:AM121" si="27">SUM(U3:U120)</f>
        <v>0</v>
      </c>
      <c r="V121" s="1289">
        <f t="shared" si="27"/>
        <v>0</v>
      </c>
      <c r="W121" s="1289">
        <f t="shared" si="27"/>
        <v>0</v>
      </c>
      <c r="X121" s="1289">
        <f t="shared" si="27"/>
        <v>541.44220657999995</v>
      </c>
      <c r="Y121" s="1289">
        <f t="shared" si="27"/>
        <v>1450.6127873166668</v>
      </c>
      <c r="Z121" s="1289">
        <f t="shared" si="27"/>
        <v>427.69220661000003</v>
      </c>
      <c r="AA121" s="1289">
        <f t="shared" si="27"/>
        <v>1263.6922066099999</v>
      </c>
      <c r="AB121" s="1289">
        <f t="shared" si="27"/>
        <v>3300.036236646667</v>
      </c>
      <c r="AC121" s="1290">
        <f t="shared" si="27"/>
        <v>13276.490678786664</v>
      </c>
      <c r="AD121" s="1290">
        <f t="shared" si="27"/>
        <v>2927.3962105113801</v>
      </c>
      <c r="AE121" s="1290">
        <f t="shared" si="27"/>
        <v>2869.5309170336559</v>
      </c>
      <c r="AF121" s="1290">
        <f t="shared" si="27"/>
        <v>2469.4438716649638</v>
      </c>
      <c r="AG121" s="1290">
        <f t="shared" si="27"/>
        <v>1989</v>
      </c>
      <c r="AH121" s="1290">
        <f t="shared" si="27"/>
        <v>1928</v>
      </c>
      <c r="AI121" s="1290">
        <f t="shared" si="27"/>
        <v>0</v>
      </c>
      <c r="AJ121" s="1291">
        <f t="shared" si="27"/>
        <v>0</v>
      </c>
      <c r="AK121" s="1291">
        <f t="shared" si="27"/>
        <v>0</v>
      </c>
      <c r="AL121" s="1186">
        <f t="shared" si="27"/>
        <v>32443.337321759991</v>
      </c>
      <c r="AM121" s="1186">
        <f t="shared" si="27"/>
        <v>0</v>
      </c>
    </row>
    <row r="122" spans="1:41" ht="15" thickTop="1">
      <c r="O122" s="1074"/>
      <c r="Q122" s="1262"/>
      <c r="R122" s="1262"/>
      <c r="AM122" s="1187"/>
    </row>
    <row r="123" spans="1:41" ht="15">
      <c r="B123" s="1292"/>
      <c r="C123" s="1292"/>
      <c r="F123" s="1078" t="s">
        <v>732</v>
      </c>
      <c r="G123" s="1304">
        <v>27454.448937000001</v>
      </c>
      <c r="O123" s="1074"/>
      <c r="Q123" s="1262"/>
      <c r="R123" s="1262"/>
      <c r="AM123" s="1187"/>
    </row>
    <row r="124" spans="1:41">
      <c r="F124" s="1078" t="s">
        <v>21</v>
      </c>
      <c r="G124" s="1263">
        <f>SUM(G3:G4)</f>
        <v>1271.0883850600001</v>
      </c>
      <c r="O124" s="1074"/>
      <c r="Q124" s="1262"/>
      <c r="R124" s="1262"/>
      <c r="AM124" s="1188"/>
    </row>
    <row r="125" spans="1:41">
      <c r="F125" s="1078" t="s">
        <v>102</v>
      </c>
      <c r="G125" s="1263">
        <f>SUM(G6:G11)</f>
        <v>3717.8</v>
      </c>
      <c r="O125" s="1074"/>
      <c r="Q125" s="1262"/>
      <c r="R125" s="1262"/>
    </row>
    <row r="126" spans="1:41">
      <c r="G126" s="1304">
        <f>SUM(G123:G125)</f>
        <v>32443.337322060001</v>
      </c>
      <c r="V126" s="1263"/>
    </row>
    <row r="127" spans="1:41">
      <c r="G127" s="1313">
        <f>G126-G121</f>
        <v>3.0000592232681811E-7</v>
      </c>
      <c r="V127" s="1263"/>
    </row>
    <row r="128" spans="1:41">
      <c r="V128" s="1263"/>
    </row>
    <row r="129" spans="22:22">
      <c r="V129" s="1263"/>
    </row>
    <row r="130" spans="22:22">
      <c r="V130" s="1263"/>
    </row>
  </sheetData>
  <autoFilter ref="A2:N41" xr:uid="{9860EB7F-AA5A-4890-A493-5131782B179B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39-07B5-4674-A46B-40CC01BB0986}">
  <sheetPr>
    <pageSetUpPr fitToPage="1"/>
  </sheetPr>
  <dimension ref="B1:AC40"/>
  <sheetViews>
    <sheetView showGridLines="0" showZeros="0" zoomScale="60" zoomScaleNormal="60" workbookViewId="0">
      <selection activeCell="B2" sqref="B2:C3"/>
    </sheetView>
  </sheetViews>
  <sheetFormatPr defaultColWidth="10.77734375" defaultRowHeight="32.25" customHeight="1"/>
  <cols>
    <col min="1" max="1" width="10.77734375" style="925"/>
    <col min="2" max="2" width="25.6640625" style="925" customWidth="1"/>
    <col min="3" max="4" width="13.6640625" style="925" customWidth="1"/>
    <col min="5" max="5" width="10.77734375" style="926" hidden="1" customWidth="1"/>
    <col min="6" max="6" width="10.77734375" style="926"/>
    <col min="7" max="7" width="11.21875" style="926" customWidth="1"/>
    <col min="8" max="8" width="12.21875" style="926" customWidth="1"/>
    <col min="9" max="10" width="12.21875" style="926" bestFit="1" customWidth="1"/>
    <col min="11" max="11" width="13.21875" style="926" customWidth="1"/>
    <col min="12" max="12" width="10.77734375" style="926"/>
    <col min="13" max="27" width="10.77734375" style="925"/>
    <col min="28" max="28" width="2.21875" style="925" customWidth="1"/>
    <col min="29" max="29" width="20.21875" style="925" customWidth="1"/>
    <col min="30" max="16384" width="10.77734375" style="925"/>
  </cols>
  <sheetData>
    <row r="1" spans="2:29" ht="51" customHeight="1" thickBot="1">
      <c r="B1" s="1001" t="s">
        <v>652</v>
      </c>
    </row>
    <row r="2" spans="2:29" s="926" customFormat="1" ht="32.25" customHeight="1">
      <c r="B2" s="1350">
        <v>2025</v>
      </c>
      <c r="C2" s="1351"/>
      <c r="D2" s="1351" t="s">
        <v>98</v>
      </c>
      <c r="E2" s="1341" t="s">
        <v>653</v>
      </c>
      <c r="F2" s="1341" t="s">
        <v>725</v>
      </c>
      <c r="G2" s="1065" t="s">
        <v>378</v>
      </c>
      <c r="H2" s="1002" t="s">
        <v>378</v>
      </c>
      <c r="I2" s="1002" t="s">
        <v>378</v>
      </c>
      <c r="J2" s="1002" t="s">
        <v>378</v>
      </c>
      <c r="K2" s="1002" t="s">
        <v>378</v>
      </c>
      <c r="L2" s="1002" t="s">
        <v>378</v>
      </c>
      <c r="M2" s="1002" t="s">
        <v>379</v>
      </c>
      <c r="N2" s="1002" t="s">
        <v>379</v>
      </c>
      <c r="O2" s="1002" t="s">
        <v>379</v>
      </c>
      <c r="P2" s="1002" t="s">
        <v>379</v>
      </c>
      <c r="Q2" s="1002" t="s">
        <v>379</v>
      </c>
      <c r="R2" s="1247" t="s">
        <v>379</v>
      </c>
      <c r="S2" s="1343">
        <f>+B2+1</f>
        <v>2026</v>
      </c>
      <c r="T2" s="1345">
        <f t="shared" ref="T2:AA2" si="0">+S2+1</f>
        <v>2027</v>
      </c>
      <c r="U2" s="1345">
        <f t="shared" si="0"/>
        <v>2028</v>
      </c>
      <c r="V2" s="1345">
        <f t="shared" si="0"/>
        <v>2029</v>
      </c>
      <c r="W2" s="1345">
        <f t="shared" si="0"/>
        <v>2030</v>
      </c>
      <c r="X2" s="1345">
        <f t="shared" si="0"/>
        <v>2031</v>
      </c>
      <c r="Y2" s="1345">
        <f t="shared" si="0"/>
        <v>2032</v>
      </c>
      <c r="Z2" s="1345">
        <f t="shared" si="0"/>
        <v>2033</v>
      </c>
      <c r="AA2" s="1348">
        <f t="shared" si="0"/>
        <v>2034</v>
      </c>
      <c r="AC2" s="1348" t="s">
        <v>581</v>
      </c>
    </row>
    <row r="3" spans="2:29" s="926" customFormat="1" ht="32.25" customHeight="1" thickBot="1">
      <c r="B3" s="1352"/>
      <c r="C3" s="1353"/>
      <c r="D3" s="1353"/>
      <c r="E3" s="1342"/>
      <c r="F3" s="1342"/>
      <c r="G3" s="1066" t="s">
        <v>249</v>
      </c>
      <c r="H3" s="927" t="s">
        <v>250</v>
      </c>
      <c r="I3" s="927" t="s">
        <v>251</v>
      </c>
      <c r="J3" s="927" t="s">
        <v>252</v>
      </c>
      <c r="K3" s="927" t="s">
        <v>253</v>
      </c>
      <c r="L3" s="927" t="s">
        <v>254</v>
      </c>
      <c r="M3" s="927" t="s">
        <v>255</v>
      </c>
      <c r="N3" s="927" t="s">
        <v>256</v>
      </c>
      <c r="O3" s="927" t="s">
        <v>257</v>
      </c>
      <c r="P3" s="927" t="s">
        <v>258</v>
      </c>
      <c r="Q3" s="927" t="s">
        <v>259</v>
      </c>
      <c r="R3" s="1248" t="s">
        <v>260</v>
      </c>
      <c r="S3" s="1344"/>
      <c r="T3" s="1342"/>
      <c r="U3" s="1342"/>
      <c r="V3" s="1342"/>
      <c r="W3" s="1342"/>
      <c r="X3" s="1342"/>
      <c r="Y3" s="1342"/>
      <c r="Z3" s="1342"/>
      <c r="AA3" s="1349"/>
      <c r="AC3" s="1349"/>
    </row>
    <row r="4" spans="2:29" ht="32.25" customHeight="1">
      <c r="B4" s="1003" t="s">
        <v>21</v>
      </c>
      <c r="C4" s="1004" t="s">
        <v>96</v>
      </c>
      <c r="D4" s="1053" t="s">
        <v>568</v>
      </c>
      <c r="E4" s="1054">
        <f>SUM(G4:R4)</f>
        <v>500</v>
      </c>
      <c r="F4" s="1054">
        <f>SUM(N4:R4)</f>
        <v>500</v>
      </c>
      <c r="G4" s="1140">
        <f>SUMIFS('Bank loan table'!Q:Q,'Bank loan table'!$A:$A,'Repayment 25'!$C4,'Bank loan table'!$B:$B,'Repayment 25'!$B4,'Bank loan table'!$E:$E,'Repayment 25'!$D4)</f>
        <v>0</v>
      </c>
      <c r="H4" s="1005">
        <f>SUMIFS('Bank loan table'!R:R,'Bank loan table'!$A:$A,'Repayment 25'!$C4,'Bank loan table'!$B:$B,'Repayment 25'!$B4,'Bank loan table'!$E:$E,'Repayment 25'!$D4)</f>
        <v>0</v>
      </c>
      <c r="I4" s="1005">
        <f>SUMIFS('Bank loan table'!S:S,'Bank loan table'!$A:$A,'Repayment 25'!$C4,'Bank loan table'!$B:$B,'Repayment 25'!$B4,'Bank loan table'!$E:$E,'Repayment 25'!$D4)</f>
        <v>0</v>
      </c>
      <c r="J4" s="1005"/>
      <c r="K4" s="1005"/>
      <c r="L4" s="1005">
        <f>SUMIFS('Bank loan table'!V:V,'Bank loan table'!$A:$A,'Repayment 25'!$C4,'Bank loan table'!$B:$B,'Repayment 25'!$B4,'Bank loan table'!$E:$E,'Repayment 25'!$D4)</f>
        <v>0</v>
      </c>
      <c r="M4" s="1005">
        <f>SUMIFS('Bank loan table'!W:W,'Bank loan table'!$A:$A,'Repayment 25'!$C4,'Bank loan table'!$B:$B,'Repayment 25'!$B4,'Bank loan table'!$E:$E,'Repayment 25'!$D4)</f>
        <v>0</v>
      </c>
      <c r="N4" s="1005">
        <f>SUMIFS('Bank loan table'!X:X,'Bank loan table'!$A:$A,'Repayment 25'!$C4,'Bank loan table'!$B:$B,'Repayment 25'!$B4,'Bank loan table'!$E:$E,'Repayment 25'!$D4)</f>
        <v>0</v>
      </c>
      <c r="O4" s="1005">
        <f>SUMIFS('Bank loan table'!Y:Y,'Bank loan table'!$A:$A,'Repayment 25'!$C4,'Bank loan table'!$B:$B,'Repayment 25'!$B4,'Bank loan table'!$E:$E,'Repayment 25'!$D4)</f>
        <v>0</v>
      </c>
      <c r="P4" s="1005">
        <f>SUMIFS('Bank loan table'!Z:Z,'Bank loan table'!$A:$A,'Repayment 25'!$C4,'Bank loan table'!$B:$B,'Repayment 25'!$B4,'Bank loan table'!$E:$E,'Repayment 25'!$D4)</f>
        <v>0</v>
      </c>
      <c r="Q4" s="1005">
        <f>SUMIFS('Bank loan table'!AA:AA,'Bank loan table'!$A:$A,'Repayment 25'!$C4,'Bank loan table'!$B:$B,'Repayment 25'!$B4,'Bank loan table'!$E:$E,'Repayment 25'!$D4)</f>
        <v>0</v>
      </c>
      <c r="R4" s="1249">
        <f>SUMIFS('Bank loan table'!AB:AB,'Bank loan table'!$A:$A,'Repayment 25'!$C4,'Bank loan table'!$B:$B,'Repayment 25'!$B4,'Bank loan table'!$E:$E,'Repayment 25'!$D4)</f>
        <v>500</v>
      </c>
      <c r="S4" s="1006">
        <f>SUMIFS('Bank loan table'!AC:AC,'Bank loan table'!$A:$A,'Repayment 25'!$C4,'Bank loan table'!$B:$B,'Repayment 25'!$B4,'Bank loan table'!$E:$E,'Repayment 25'!$D4)</f>
        <v>0</v>
      </c>
      <c r="T4" s="1007">
        <f>SUMIFS('Bank loan table'!AD:AD,'Bank loan table'!$A:$A,'Repayment 25'!$C4,'Bank loan table'!$B:$B,'Repayment 25'!$B4,'Bank loan table'!$E:$E,'Repayment 25'!$D4)</f>
        <v>0</v>
      </c>
      <c r="U4" s="1007">
        <f>SUMIFS('Bank loan table'!AE:AE,'Bank loan table'!$A:$A,'Repayment 25'!$C4,'Bank loan table'!$B:$B,'Repayment 25'!$B4,'Bank loan table'!$E:$E,'Repayment 25'!$D4)</f>
        <v>0</v>
      </c>
      <c r="V4" s="1007">
        <f>SUMIFS('Bank loan table'!AF:AF,'Bank loan table'!$A:$A,'Repayment 25'!$C4,'Bank loan table'!$B:$B,'Repayment 25'!$B4,'Bank loan table'!$E:$E,'Repayment 25'!$D4)</f>
        <v>0</v>
      </c>
      <c r="W4" s="1007">
        <f>SUMIFS('Bank loan table'!AG:AG,'Bank loan table'!$A:$A,'Repayment 25'!$C4,'Bank loan table'!$B:$B,'Repayment 25'!$B4,'Bank loan table'!$E:$E,'Repayment 25'!$D4)</f>
        <v>0</v>
      </c>
      <c r="X4" s="1007">
        <f>SUMIFS('Bank loan table'!AH:AH,'Bank loan table'!$A:$A,'Repayment 25'!$C4,'Bank loan table'!$B:$B,'Repayment 25'!$B4,'Bank loan table'!$E:$E,'Repayment 25'!$D4)</f>
        <v>0</v>
      </c>
      <c r="Y4" s="1007">
        <f>SUMIFS('Bank loan table'!AI:AI,'Bank loan table'!$A:$A,'Repayment 25'!$C4,'Bank loan table'!$B:$B,'Repayment 25'!$B4,'Bank loan table'!$E:$E,'Repayment 25'!$D4)</f>
        <v>0</v>
      </c>
      <c r="Z4" s="1007">
        <f>SUMIFS('Bank loan table'!AJ:AJ,'Bank loan table'!$A:$A,'Repayment 25'!$C4,'Bank loan table'!$B:$B,'Repayment 25'!$B4,'Bank loan table'!$E:$E,'Repayment 25'!$D4)</f>
        <v>0</v>
      </c>
      <c r="AA4" s="1008">
        <f>SUMIFS('Bank loan table'!AK:AK,'Bank loan table'!$A:$A,'Repayment 25'!$C4,'Bank loan table'!$B:$B,'Repayment 25'!$B4,'Bank loan table'!$E:$E,'Repayment 25'!$D4)</f>
        <v>0</v>
      </c>
      <c r="AC4" s="1008">
        <f>SUM(S4:AA4)+F4</f>
        <v>500</v>
      </c>
    </row>
    <row r="5" spans="2:29" ht="32.25" customHeight="1">
      <c r="B5" s="1264" t="s">
        <v>21</v>
      </c>
      <c r="C5" s="1009" t="s">
        <v>101</v>
      </c>
      <c r="D5" s="1009" t="str">
        <f>+D4</f>
        <v>Yes</v>
      </c>
      <c r="E5" s="1055">
        <f t="shared" ref="E5:E28" si="1">SUM(G5:R5)</f>
        <v>514.05892328000004</v>
      </c>
      <c r="F5" s="1055">
        <f t="shared" ref="F5:F28" si="2">SUM(N5:R5)</f>
        <v>257.02946164000002</v>
      </c>
      <c r="G5" s="1141">
        <f>SUMIFS('Bank loan table'!Q:Q,'Bank loan table'!$A:$A,'Repayment 25'!$C5,'Bank loan table'!$B:$B,'Repayment 25'!$B5,'Bank loan table'!$E:$E,'Repayment 25'!$D5)</f>
        <v>0</v>
      </c>
      <c r="H5" s="1010">
        <f>SUMIFS('Bank loan table'!R:R,'Bank loan table'!$A:$A,'Repayment 25'!$C5,'Bank loan table'!$B:$B,'Repayment 25'!$B5,'Bank loan table'!$E:$E,'Repayment 25'!$D5)</f>
        <v>0</v>
      </c>
      <c r="I5" s="1010">
        <v>128.51473082000001</v>
      </c>
      <c r="J5" s="1010"/>
      <c r="K5" s="1010"/>
      <c r="L5" s="1010">
        <v>128.51473082000001</v>
      </c>
      <c r="M5" s="1010">
        <f>SUMIFS('Bank loan table'!W:W,'Bank loan table'!$A:$A,'Repayment 25'!$C5,'Bank loan table'!$B:$B,'Repayment 25'!$B5,'Bank loan table'!$E:$E,'Repayment 25'!$D5)</f>
        <v>0</v>
      </c>
      <c r="N5" s="1010">
        <f>SUMIFS('Bank loan table'!X:X,'Bank loan table'!$A:$A,'Repayment 25'!$C5,'Bank loan table'!$B:$B,'Repayment 25'!$B5,'Bank loan table'!$E:$E,'Repayment 25'!$D5)</f>
        <v>0</v>
      </c>
      <c r="O5" s="1010">
        <f>SUMIFS('Bank loan table'!Y:Y,'Bank loan table'!$A:$A,'Repayment 25'!$C5,'Bank loan table'!$B:$B,'Repayment 25'!$B5,'Bank loan table'!$E:$E,'Repayment 25'!$D5)</f>
        <v>128.51473082000001</v>
      </c>
      <c r="P5" s="1010">
        <f>SUMIFS('Bank loan table'!Z:Z,'Bank loan table'!$A:$A,'Repayment 25'!$C5,'Bank loan table'!$B:$B,'Repayment 25'!$B5,'Bank loan table'!$E:$E,'Repayment 25'!$D5)</f>
        <v>0</v>
      </c>
      <c r="Q5" s="1010">
        <f>SUMIFS('Bank loan table'!AA:AA,'Bank loan table'!$A:$A,'Repayment 25'!$C5,'Bank loan table'!$B:$B,'Repayment 25'!$B5,'Bank loan table'!$E:$E,'Repayment 25'!$D5)</f>
        <v>0</v>
      </c>
      <c r="R5" s="1250">
        <f>SUMIFS('Bank loan table'!AB:AB,'Bank loan table'!$A:$A,'Repayment 25'!$C5,'Bank loan table'!$B:$B,'Repayment 25'!$B5,'Bank loan table'!$E:$E,'Repayment 25'!$D5)</f>
        <v>128.51473082000001</v>
      </c>
      <c r="S5" s="1011">
        <f>SUMIFS('Bank loan table'!AC:AC,'Bank loan table'!$A:$A,'Repayment 25'!$C5,'Bank loan table'!$B:$B,'Repayment 25'!$B5,'Bank loan table'!$E:$E,'Repayment 25'!$D5)</f>
        <v>514.05892342000004</v>
      </c>
      <c r="T5" s="1012">
        <f>SUMIFS('Bank loan table'!AD:AD,'Bank loan table'!$A:$A,'Repayment 25'!$C5,'Bank loan table'!$B:$B,'Repayment 25'!$B5,'Bank loan table'!$E:$E,'Repayment 25'!$D5)</f>
        <v>0</v>
      </c>
      <c r="U5" s="1012">
        <f>SUMIFS('Bank loan table'!AE:AE,'Bank loan table'!$A:$A,'Repayment 25'!$C5,'Bank loan table'!$B:$B,'Repayment 25'!$B5,'Bank loan table'!$E:$E,'Repayment 25'!$D5)</f>
        <v>0</v>
      </c>
      <c r="V5" s="1012">
        <f>SUMIFS('Bank loan table'!AF:AF,'Bank loan table'!$A:$A,'Repayment 25'!$C5,'Bank loan table'!$B:$B,'Repayment 25'!$B5,'Bank loan table'!$E:$E,'Repayment 25'!$D5)</f>
        <v>0</v>
      </c>
      <c r="W5" s="1012">
        <f>SUMIFS('Bank loan table'!AG:AG,'Bank loan table'!$A:$A,'Repayment 25'!$C5,'Bank loan table'!$B:$B,'Repayment 25'!$B5,'Bank loan table'!$E:$E,'Repayment 25'!$D5)</f>
        <v>0</v>
      </c>
      <c r="X5" s="1012">
        <f>SUMIFS('Bank loan table'!AH:AH,'Bank loan table'!$A:$A,'Repayment 25'!$C5,'Bank loan table'!$B:$B,'Repayment 25'!$B5,'Bank loan table'!$E:$E,'Repayment 25'!$D5)</f>
        <v>0</v>
      </c>
      <c r="Y5" s="1012">
        <f>SUMIFS('Bank loan table'!AI:AI,'Bank loan table'!$A:$A,'Repayment 25'!$C5,'Bank loan table'!$B:$B,'Repayment 25'!$B5,'Bank loan table'!$E:$E,'Repayment 25'!$D5)</f>
        <v>0</v>
      </c>
      <c r="Z5" s="1012">
        <f>SUMIFS('Bank loan table'!AJ:AJ,'Bank loan table'!$A:$A,'Repayment 25'!$C5,'Bank loan table'!$B:$B,'Repayment 25'!$B5,'Bank loan table'!$E:$E,'Repayment 25'!$D5)</f>
        <v>0</v>
      </c>
      <c r="AA5" s="1013">
        <f>SUMIFS('Bank loan table'!AK:AK,'Bank loan table'!$A:$A,'Repayment 25'!$C5,'Bank loan table'!$B:$B,'Repayment 25'!$B5,'Bank loan table'!$E:$E,'Repayment 25'!$D5)</f>
        <v>0</v>
      </c>
      <c r="AC5" s="1013">
        <f t="shared" ref="AC5:AC28" si="3">SUM(S5:AA5)+F5</f>
        <v>771.08838506000006</v>
      </c>
    </row>
    <row r="6" spans="2:29" ht="32.25" hidden="1" customHeight="1">
      <c r="B6" s="1014"/>
      <c r="C6" s="1015" t="str">
        <f>+C4</f>
        <v>STL</v>
      </c>
      <c r="D6" s="1015" t="s">
        <v>567</v>
      </c>
      <c r="E6" s="1056">
        <f t="shared" si="1"/>
        <v>0</v>
      </c>
      <c r="F6" s="1056">
        <f t="shared" si="2"/>
        <v>0</v>
      </c>
      <c r="G6" s="1142">
        <f>SUMIFS('Bank loan table'!Q:Q,'Bank loan table'!$A:$A,'Repayment 25'!$C6,'Bank loan table'!$B:$B,'Repayment 25'!$B6,'Bank loan table'!$E:$E,'Repayment 25'!$D6)</f>
        <v>0</v>
      </c>
      <c r="H6" s="1016">
        <f>SUMIFS('Bank loan table'!R:R,'Bank loan table'!$A:$A,'Repayment 25'!$C6,'Bank loan table'!$B:$B,'Repayment 25'!$B6,'Bank loan table'!$E:$E,'Repayment 25'!$D6)</f>
        <v>0</v>
      </c>
      <c r="I6" s="1016">
        <f>SUMIFS('Bank loan table'!S:S,'Bank loan table'!$A:$A,'Repayment 25'!$C6,'Bank loan table'!$B:$B,'Repayment 25'!$B6,'Bank loan table'!$E:$E,'Repayment 25'!$D6)</f>
        <v>0</v>
      </c>
      <c r="J6" s="1016">
        <f>SUMIFS('Bank loan table'!T:T,'Bank loan table'!$A:$A,'Repayment 25'!$C6,'Bank loan table'!$B:$B,'Repayment 25'!$B6,'Bank loan table'!$E:$E,'Repayment 25'!$D6)</f>
        <v>0</v>
      </c>
      <c r="K6" s="1016">
        <f>SUMIFS('Bank loan table'!U:U,'Bank loan table'!$A:$A,'Repayment 25'!$C6,'Bank loan table'!$B:$B,'Repayment 25'!$B6,'Bank loan table'!$E:$E,'Repayment 25'!$D6)</f>
        <v>0</v>
      </c>
      <c r="L6" s="1016">
        <f>SUMIFS('Bank loan table'!V:V,'Bank loan table'!$A:$A,'Repayment 25'!$C6,'Bank loan table'!$B:$B,'Repayment 25'!$B6,'Bank loan table'!$E:$E,'Repayment 25'!$D6)</f>
        <v>0</v>
      </c>
      <c r="M6" s="1016">
        <f>SUMIFS('Bank loan table'!W:W,'Bank loan table'!$A:$A,'Repayment 25'!$C6,'Bank loan table'!$B:$B,'Repayment 25'!$B6,'Bank loan table'!$E:$E,'Repayment 25'!$D6)</f>
        <v>0</v>
      </c>
      <c r="N6" s="1016">
        <f>SUMIFS('Bank loan table'!X:X,'Bank loan table'!$A:$A,'Repayment 25'!$C6,'Bank loan table'!$B:$B,'Repayment 25'!$B6,'Bank loan table'!$E:$E,'Repayment 25'!$D6)</f>
        <v>0</v>
      </c>
      <c r="O6" s="1016">
        <f>SUMIFS('Bank loan table'!Y:Y,'Bank loan table'!$A:$A,'Repayment 25'!$C6,'Bank loan table'!$B:$B,'Repayment 25'!$B6,'Bank loan table'!$E:$E,'Repayment 25'!$D6)</f>
        <v>0</v>
      </c>
      <c r="P6" s="1016">
        <f>SUMIFS('Bank loan table'!Z:Z,'Bank loan table'!$A:$A,'Repayment 25'!$C6,'Bank loan table'!$B:$B,'Repayment 25'!$B6,'Bank loan table'!$E:$E,'Repayment 25'!$D6)</f>
        <v>0</v>
      </c>
      <c r="Q6" s="1016">
        <f>SUMIFS('Bank loan table'!AA:AA,'Bank loan table'!$A:$A,'Repayment 25'!$C6,'Bank loan table'!$B:$B,'Repayment 25'!$B6,'Bank loan table'!$E:$E,'Repayment 25'!$D6)</f>
        <v>0</v>
      </c>
      <c r="R6" s="1251">
        <f>SUMIFS('Bank loan table'!AB:AB,'Bank loan table'!$A:$A,'Repayment 25'!$C6,'Bank loan table'!$B:$B,'Repayment 25'!$B6,'Bank loan table'!$E:$E,'Repayment 25'!$D6)</f>
        <v>0</v>
      </c>
      <c r="S6" s="1017">
        <f>SUMIFS('Bank loan table'!AC:AC,'Bank loan table'!$A:$A,'Repayment 25'!$C6,'Bank loan table'!$B:$B,'Repayment 25'!$B6,'Bank loan table'!$E:$E,'Repayment 25'!$D6)</f>
        <v>0</v>
      </c>
      <c r="T6" s="1018">
        <f>SUMIFS('Bank loan table'!AD:AD,'Bank loan table'!$A:$A,'Repayment 25'!$C6,'Bank loan table'!$B:$B,'Repayment 25'!$B6,'Bank loan table'!$E:$E,'Repayment 25'!$D6)</f>
        <v>0</v>
      </c>
      <c r="U6" s="1018">
        <f>SUMIFS('Bank loan table'!AE:AE,'Bank loan table'!$A:$A,'Repayment 25'!$C6,'Bank loan table'!$B:$B,'Repayment 25'!$B6,'Bank loan table'!$E:$E,'Repayment 25'!$D6)</f>
        <v>0</v>
      </c>
      <c r="V6" s="1018">
        <f>SUMIFS('Bank loan table'!AF:AF,'Bank loan table'!$A:$A,'Repayment 25'!$C6,'Bank loan table'!$B:$B,'Repayment 25'!$B6,'Bank loan table'!$E:$E,'Repayment 25'!$D6)</f>
        <v>0</v>
      </c>
      <c r="W6" s="1018">
        <f>SUMIFS('Bank loan table'!AG:AG,'Bank loan table'!$A:$A,'Repayment 25'!$C6,'Bank loan table'!$B:$B,'Repayment 25'!$B6,'Bank loan table'!$E:$E,'Repayment 25'!$D6)</f>
        <v>0</v>
      </c>
      <c r="X6" s="1018">
        <f>SUMIFS('Bank loan table'!AH:AH,'Bank loan table'!$A:$A,'Repayment 25'!$C6,'Bank loan table'!$B:$B,'Repayment 25'!$B6,'Bank loan table'!$E:$E,'Repayment 25'!$D6)</f>
        <v>0</v>
      </c>
      <c r="Y6" s="1018">
        <f>SUMIFS('Bank loan table'!AI:AI,'Bank loan table'!$A:$A,'Repayment 25'!$C6,'Bank loan table'!$B:$B,'Repayment 25'!$B6,'Bank loan table'!$E:$E,'Repayment 25'!$D6)</f>
        <v>0</v>
      </c>
      <c r="Z6" s="1018">
        <f>SUMIFS('Bank loan table'!AJ:AJ,'Bank loan table'!$A:$A,'Repayment 25'!$C6,'Bank loan table'!$B:$B,'Repayment 25'!$B6,'Bank loan table'!$E:$E,'Repayment 25'!$D6)</f>
        <v>0</v>
      </c>
      <c r="AA6" s="1019">
        <f>SUMIFS('Bank loan table'!AK:AK,'Bank loan table'!$A:$A,'Repayment 25'!$C6,'Bank loan table'!$B:$B,'Repayment 25'!$B6,'Bank loan table'!$E:$E,'Repayment 25'!$D6)</f>
        <v>0</v>
      </c>
      <c r="AC6" s="1019">
        <f t="shared" si="3"/>
        <v>0</v>
      </c>
    </row>
    <row r="7" spans="2:29" ht="32.25" hidden="1" customHeight="1">
      <c r="B7" s="1020"/>
      <c r="C7" s="928" t="str">
        <f>+C5</f>
        <v>LTL</v>
      </c>
      <c r="D7" s="1057" t="str">
        <f>+D6</f>
        <v>No</v>
      </c>
      <c r="E7" s="1058">
        <f t="shared" si="1"/>
        <v>0</v>
      </c>
      <c r="F7" s="1058">
        <f t="shared" si="2"/>
        <v>0</v>
      </c>
      <c r="G7" s="1143">
        <f>SUMIFS('Bank loan table'!Q:Q,'Bank loan table'!$A:$A,'Repayment 25'!$C7,'Bank loan table'!$B:$B,'Repayment 25'!$B7,'Bank loan table'!$E:$E,'Repayment 25'!$D7)</f>
        <v>0</v>
      </c>
      <c r="H7" s="929">
        <f>SUMIFS('Bank loan table'!R:R,'Bank loan table'!$A:$A,'Repayment 25'!$C7,'Bank loan table'!$B:$B,'Repayment 25'!$B7,'Bank loan table'!$E:$E,'Repayment 25'!$D7)</f>
        <v>0</v>
      </c>
      <c r="I7" s="929">
        <f>SUMIFS('Bank loan table'!S:S,'Bank loan table'!$A:$A,'Repayment 25'!$C7,'Bank loan table'!$B:$B,'Repayment 25'!$B7,'Bank loan table'!$E:$E,'Repayment 25'!$D7)</f>
        <v>0</v>
      </c>
      <c r="J7" s="929">
        <f>SUMIFS('Bank loan table'!T:T,'Bank loan table'!$A:$A,'Repayment 25'!$C7,'Bank loan table'!$B:$B,'Repayment 25'!$B7,'Bank loan table'!$E:$E,'Repayment 25'!$D7)</f>
        <v>0</v>
      </c>
      <c r="K7" s="929">
        <f>SUMIFS('Bank loan table'!U:U,'Bank loan table'!$A:$A,'Repayment 25'!$C7,'Bank loan table'!$B:$B,'Repayment 25'!$B7,'Bank loan table'!$E:$E,'Repayment 25'!$D7)</f>
        <v>0</v>
      </c>
      <c r="L7" s="929">
        <f>SUMIFS('Bank loan table'!V:V,'Bank loan table'!$A:$A,'Repayment 25'!$C7,'Bank loan table'!$B:$B,'Repayment 25'!$B7,'Bank loan table'!$E:$E,'Repayment 25'!$D7)</f>
        <v>0</v>
      </c>
      <c r="M7" s="929">
        <f>SUMIFS('Bank loan table'!W:W,'Bank loan table'!$A:$A,'Repayment 25'!$C7,'Bank loan table'!$B:$B,'Repayment 25'!$B7,'Bank loan table'!$E:$E,'Repayment 25'!$D7)</f>
        <v>0</v>
      </c>
      <c r="N7" s="929">
        <f>SUMIFS('Bank loan table'!X:X,'Bank loan table'!$A:$A,'Repayment 25'!$C7,'Bank loan table'!$B:$B,'Repayment 25'!$B7,'Bank loan table'!$E:$E,'Repayment 25'!$D7)</f>
        <v>0</v>
      </c>
      <c r="O7" s="929">
        <f>SUMIFS('Bank loan table'!Y:Y,'Bank loan table'!$A:$A,'Repayment 25'!$C7,'Bank loan table'!$B:$B,'Repayment 25'!$B7,'Bank loan table'!$E:$E,'Repayment 25'!$D7)</f>
        <v>0</v>
      </c>
      <c r="P7" s="929">
        <f>SUMIFS('Bank loan table'!Z:Z,'Bank loan table'!$A:$A,'Repayment 25'!$C7,'Bank loan table'!$B:$B,'Repayment 25'!$B7,'Bank loan table'!$E:$E,'Repayment 25'!$D7)</f>
        <v>0</v>
      </c>
      <c r="Q7" s="929">
        <f>SUMIFS('Bank loan table'!AA:AA,'Bank loan table'!$A:$A,'Repayment 25'!$C7,'Bank loan table'!$B:$B,'Repayment 25'!$B7,'Bank loan table'!$E:$E,'Repayment 25'!$D7)</f>
        <v>0</v>
      </c>
      <c r="R7" s="1252">
        <f>SUMIFS('Bank loan table'!AB:AB,'Bank loan table'!$A:$A,'Repayment 25'!$C7,'Bank loan table'!$B:$B,'Repayment 25'!$B7,'Bank loan table'!$E:$E,'Repayment 25'!$D7)</f>
        <v>0</v>
      </c>
      <c r="S7" s="930">
        <f>SUMIFS('Bank loan table'!AC:AC,'Bank loan table'!$A:$A,'Repayment 25'!$C7,'Bank loan table'!$B:$B,'Repayment 25'!$B7,'Bank loan table'!$E:$E,'Repayment 25'!$D7)</f>
        <v>0</v>
      </c>
      <c r="T7" s="931">
        <f>SUMIFS('Bank loan table'!AD:AD,'Bank loan table'!$A:$A,'Repayment 25'!$C7,'Bank loan table'!$B:$B,'Repayment 25'!$B7,'Bank loan table'!$E:$E,'Repayment 25'!$D7)</f>
        <v>0</v>
      </c>
      <c r="U7" s="931">
        <f>SUMIFS('Bank loan table'!AE:AE,'Bank loan table'!$A:$A,'Repayment 25'!$C7,'Bank loan table'!$B:$B,'Repayment 25'!$B7,'Bank loan table'!$E:$E,'Repayment 25'!$D7)</f>
        <v>0</v>
      </c>
      <c r="V7" s="931">
        <f>SUMIFS('Bank loan table'!AF:AF,'Bank loan table'!$A:$A,'Repayment 25'!$C7,'Bank loan table'!$B:$B,'Repayment 25'!$B7,'Bank loan table'!$E:$E,'Repayment 25'!$D7)</f>
        <v>0</v>
      </c>
      <c r="W7" s="931">
        <f>SUMIFS('Bank loan table'!AG:AG,'Bank loan table'!$A:$A,'Repayment 25'!$C7,'Bank loan table'!$B:$B,'Repayment 25'!$B7,'Bank loan table'!$E:$E,'Repayment 25'!$D7)</f>
        <v>0</v>
      </c>
      <c r="X7" s="931">
        <f>SUMIFS('Bank loan table'!AH:AH,'Bank loan table'!$A:$A,'Repayment 25'!$C7,'Bank loan table'!$B:$B,'Repayment 25'!$B7,'Bank loan table'!$E:$E,'Repayment 25'!$D7)</f>
        <v>0</v>
      </c>
      <c r="Y7" s="931">
        <f>SUMIFS('Bank loan table'!AI:AI,'Bank loan table'!$A:$A,'Repayment 25'!$C7,'Bank loan table'!$B:$B,'Repayment 25'!$B7,'Bank loan table'!$E:$E,'Repayment 25'!$D7)</f>
        <v>0</v>
      </c>
      <c r="Z7" s="931">
        <f>SUMIFS('Bank loan table'!AJ:AJ,'Bank loan table'!$A:$A,'Repayment 25'!$C7,'Bank loan table'!$B:$B,'Repayment 25'!$B7,'Bank loan table'!$E:$E,'Repayment 25'!$D7)</f>
        <v>0</v>
      </c>
      <c r="AA7" s="932">
        <f>SUMIFS('Bank loan table'!AK:AK,'Bank loan table'!$A:$A,'Repayment 25'!$C7,'Bank loan table'!$B:$B,'Repayment 25'!$B7,'Bank loan table'!$E:$E,'Repayment 25'!$D7)</f>
        <v>0</v>
      </c>
      <c r="AC7" s="932">
        <f t="shared" si="3"/>
        <v>0</v>
      </c>
    </row>
    <row r="8" spans="2:29" s="926" customFormat="1" ht="32.25" customHeight="1" thickBot="1">
      <c r="B8" s="1346" t="s">
        <v>113</v>
      </c>
      <c r="C8" s="1347"/>
      <c r="D8" s="1052"/>
      <c r="E8" s="936">
        <f t="shared" si="1"/>
        <v>1014.05892328</v>
      </c>
      <c r="F8" s="936">
        <f t="shared" si="2"/>
        <v>757.02946164000014</v>
      </c>
      <c r="G8" s="1144">
        <f t="shared" ref="G8:AA8" si="4">SUM(G4:G7)</f>
        <v>0</v>
      </c>
      <c r="H8" s="934">
        <f t="shared" si="4"/>
        <v>0</v>
      </c>
      <c r="I8" s="934">
        <f t="shared" si="4"/>
        <v>128.51473082000001</v>
      </c>
      <c r="J8" s="934">
        <f t="shared" si="4"/>
        <v>0</v>
      </c>
      <c r="K8" s="934">
        <f t="shared" si="4"/>
        <v>0</v>
      </c>
      <c r="L8" s="934">
        <f t="shared" si="4"/>
        <v>128.51473082000001</v>
      </c>
      <c r="M8" s="934">
        <f t="shared" si="4"/>
        <v>0</v>
      </c>
      <c r="N8" s="934">
        <f t="shared" si="4"/>
        <v>0</v>
      </c>
      <c r="O8" s="934">
        <f t="shared" si="4"/>
        <v>128.51473082000001</v>
      </c>
      <c r="P8" s="934">
        <f t="shared" si="4"/>
        <v>0</v>
      </c>
      <c r="Q8" s="934">
        <f t="shared" si="4"/>
        <v>0</v>
      </c>
      <c r="R8" s="1253">
        <f t="shared" si="4"/>
        <v>628.51473082000007</v>
      </c>
      <c r="S8" s="935">
        <f t="shared" si="4"/>
        <v>514.05892342000004</v>
      </c>
      <c r="T8" s="936">
        <f t="shared" si="4"/>
        <v>0</v>
      </c>
      <c r="U8" s="936">
        <f t="shared" si="4"/>
        <v>0</v>
      </c>
      <c r="V8" s="936">
        <f t="shared" si="4"/>
        <v>0</v>
      </c>
      <c r="W8" s="936">
        <f t="shared" si="4"/>
        <v>0</v>
      </c>
      <c r="X8" s="936">
        <f t="shared" si="4"/>
        <v>0</v>
      </c>
      <c r="Y8" s="936">
        <f t="shared" si="4"/>
        <v>0</v>
      </c>
      <c r="Z8" s="936">
        <f t="shared" si="4"/>
        <v>0</v>
      </c>
      <c r="AA8" s="933">
        <f t="shared" si="4"/>
        <v>0</v>
      </c>
      <c r="AC8" s="933">
        <f t="shared" si="3"/>
        <v>1271.0883850600003</v>
      </c>
    </row>
    <row r="9" spans="2:29" ht="32.25" customHeight="1" thickTop="1">
      <c r="B9" s="1021" t="s">
        <v>41</v>
      </c>
      <c r="C9" s="1009" t="str">
        <f t="shared" ref="C9:D12" si="5">+C4</f>
        <v>STL</v>
      </c>
      <c r="D9" s="1053" t="str">
        <f t="shared" si="5"/>
        <v>Yes</v>
      </c>
      <c r="E9" s="1054">
        <f t="shared" si="1"/>
        <v>1251.2499999700001</v>
      </c>
      <c r="F9" s="1054">
        <f t="shared" si="2"/>
        <v>287.74999996999998</v>
      </c>
      <c r="G9" s="1140">
        <v>169</v>
      </c>
      <c r="H9" s="1005">
        <v>169</v>
      </c>
      <c r="I9" s="1005">
        <v>219</v>
      </c>
      <c r="J9" s="1005">
        <v>289</v>
      </c>
      <c r="K9" s="1005">
        <v>58.75</v>
      </c>
      <c r="L9" s="1005">
        <v>58.75</v>
      </c>
      <c r="M9" s="1314">
        <f>SUMIFS('Bank loan table'!W:W,'Bank loan table'!$A:$A,'Repayment 25'!$C9,'Bank loan table'!$B:$B,'Repayment 25'!$B9,'Bank loan table'!$E:$E,'Repayment 25'!$D9)</f>
        <v>0</v>
      </c>
      <c r="N9" s="1005">
        <f>SUMIFS('Bank loan table'!X:X,'Bank loan table'!$A:$A,'Repayment 25'!$C9,'Bank loan table'!$B:$B,'Repayment 25'!$B9,'Bank loan table'!$E:$E,'Repayment 25'!$D9)</f>
        <v>118.74999997</v>
      </c>
      <c r="O9" s="1005">
        <f>SUMIFS('Bank loan table'!Y:Y,'Bank loan table'!$A:$A,'Repayment 25'!$C9,'Bank loan table'!$B:$B,'Repayment 25'!$B9,'Bank loan table'!$E:$E,'Repayment 25'!$D9)</f>
        <v>0</v>
      </c>
      <c r="P9" s="1005">
        <f>SUMIFS('Bank loan table'!Z:Z,'Bank loan table'!$A:$A,'Repayment 25'!$C9,'Bank loan table'!$B:$B,'Repayment 25'!$B9,'Bank loan table'!$E:$E,'Repayment 25'!$D9)</f>
        <v>0</v>
      </c>
      <c r="Q9" s="1005">
        <f>SUMIFS('Bank loan table'!AA:AA,'Bank loan table'!$A:$A,'Repayment 25'!$C9,'Bank loan table'!$B:$B,'Repayment 25'!$B9,'Bank loan table'!$E:$E,'Repayment 25'!$D9)</f>
        <v>0</v>
      </c>
      <c r="R9" s="1249">
        <f>SUMIFS('Bank loan table'!AB:AB,'Bank loan table'!$A:$A,'Repayment 25'!$C9,'Bank loan table'!$B:$B,'Repayment 25'!$B9,'Bank loan table'!$E:$E,'Repayment 25'!$D9)</f>
        <v>169</v>
      </c>
      <c r="S9" s="1006">
        <f>SUMIFS('Bank loan table'!AC:AC,'Bank loan table'!$A:$A,'Repayment 25'!$C9,'Bank loan table'!$B:$B,'Repayment 25'!$B9,'Bank loan table'!$E:$E,'Repayment 25'!$D9)</f>
        <v>439</v>
      </c>
      <c r="T9" s="1007">
        <f>SUMIFS('Bank loan table'!AD:AD,'Bank loan table'!$A:$A,'Repayment 25'!$C9,'Bank loan table'!$B:$B,'Repayment 25'!$B9,'Bank loan table'!$E:$E,'Repayment 25'!$D9)</f>
        <v>0</v>
      </c>
      <c r="U9" s="1007">
        <f>SUMIFS('Bank loan table'!AE:AE,'Bank loan table'!$A:$A,'Repayment 25'!$C9,'Bank loan table'!$B:$B,'Repayment 25'!$B9,'Bank loan table'!$E:$E,'Repayment 25'!$D9)</f>
        <v>0</v>
      </c>
      <c r="V9" s="1007">
        <f>SUMIFS('Bank loan table'!AF:AF,'Bank loan table'!$A:$A,'Repayment 25'!$C9,'Bank loan table'!$B:$B,'Repayment 25'!$B9,'Bank loan table'!$E:$E,'Repayment 25'!$D9)</f>
        <v>0</v>
      </c>
      <c r="W9" s="1007">
        <f>SUMIFS('Bank loan table'!AG:AG,'Bank loan table'!$A:$A,'Repayment 25'!$C9,'Bank loan table'!$B:$B,'Repayment 25'!$B9,'Bank loan table'!$E:$E,'Repayment 25'!$D9)</f>
        <v>0</v>
      </c>
      <c r="X9" s="1007">
        <f>SUMIFS('Bank loan table'!AH:AH,'Bank loan table'!$A:$A,'Repayment 25'!$C9,'Bank loan table'!$B:$B,'Repayment 25'!$B9,'Bank loan table'!$E:$E,'Repayment 25'!$D9)</f>
        <v>0</v>
      </c>
      <c r="Y9" s="1007">
        <f>SUMIFS('Bank loan table'!AI:AI,'Bank loan table'!$A:$A,'Repayment 25'!$C9,'Bank loan table'!$B:$B,'Repayment 25'!$B9,'Bank loan table'!$E:$E,'Repayment 25'!$D9)</f>
        <v>0</v>
      </c>
      <c r="Z9" s="1007">
        <f>SUMIFS('Bank loan table'!AJ:AJ,'Bank loan table'!$A:$A,'Repayment 25'!$C9,'Bank loan table'!$B:$B,'Repayment 25'!$B9,'Bank loan table'!$E:$E,'Repayment 25'!$D9)</f>
        <v>0</v>
      </c>
      <c r="AA9" s="1008">
        <f>SUMIFS('Bank loan table'!AK:AK,'Bank loan table'!$A:$A,'Repayment 25'!$C9,'Bank loan table'!$B:$B,'Repayment 25'!$B9,'Bank loan table'!$E:$E,'Repayment 25'!$D9)</f>
        <v>0</v>
      </c>
      <c r="AC9" s="1008">
        <f t="shared" si="3"/>
        <v>726.74999996999998</v>
      </c>
    </row>
    <row r="10" spans="2:29" ht="32.25" customHeight="1">
      <c r="B10" s="1264" t="s">
        <v>41</v>
      </c>
      <c r="C10" s="1009" t="str">
        <f t="shared" si="5"/>
        <v>LTL</v>
      </c>
      <c r="D10" s="1009" t="str">
        <f t="shared" si="5"/>
        <v>Yes</v>
      </c>
      <c r="E10" s="1055">
        <f t="shared" si="1"/>
        <v>2067.908650403333</v>
      </c>
      <c r="F10" s="1055">
        <f t="shared" si="2"/>
        <v>877.01067790333332</v>
      </c>
      <c r="G10" s="1141">
        <v>87</v>
      </c>
      <c r="H10" s="1010">
        <v>67</v>
      </c>
      <c r="I10" s="1010">
        <v>441.67232648999999</v>
      </c>
      <c r="J10" s="1010">
        <v>86.88599825</v>
      </c>
      <c r="K10" s="1010">
        <v>66.667321330000007</v>
      </c>
      <c r="L10" s="1010">
        <v>441.67232643</v>
      </c>
      <c r="M10" s="1315">
        <f>SUMIFS('Bank loan table'!W:W,'Bank loan table'!$A:$A,'Repayment 25'!$C10,'Bank loan table'!$B:$B,'Repayment 25'!$B10,'Bank loan table'!$E:$E,'Repayment 25'!$D10)</f>
        <v>0</v>
      </c>
      <c r="N10" s="1010">
        <f>SUMIFS('Bank loan table'!X:X,'Bank loan table'!$A:$A,'Repayment 25'!$C10,'Bank loan table'!$B:$B,'Repayment 25'!$B10,'Bank loan table'!$E:$E,'Repayment 25'!$D10)</f>
        <v>53.333333330000002</v>
      </c>
      <c r="O10" s="1010">
        <f>SUMIFS('Bank loan table'!Y:Y,'Bank loan table'!$A:$A,'Repayment 25'!$C10,'Bank loan table'!$B:$B,'Repayment 25'!$B10,'Bank loan table'!$E:$E,'Repayment 25'!$D10)</f>
        <v>426.00568666666663</v>
      </c>
      <c r="P10" s="1010">
        <f>SUMIFS('Bank loan table'!Z:Z,'Bank loan table'!$A:$A,'Repayment 25'!$C10,'Bank loan table'!$B:$B,'Repayment 25'!$B10,'Bank loan table'!$E:$E,'Repayment 25'!$D10)</f>
        <v>8.3333333300000003</v>
      </c>
      <c r="Q10" s="1010">
        <f>SUMIFS('Bank loan table'!AA:AA,'Bank loan table'!$A:$A,'Repayment 25'!$C10,'Bank loan table'!$B:$B,'Repayment 25'!$B10,'Bank loan table'!$E:$E,'Repayment 25'!$D10)</f>
        <v>8.3333333300000003</v>
      </c>
      <c r="R10" s="1250">
        <f>SUMIFS('Bank loan table'!AB:AB,'Bank loan table'!$A:$A,'Repayment 25'!$C10,'Bank loan table'!$B:$B,'Repayment 25'!$B10,'Bank loan table'!$E:$E,'Repayment 25'!$D10)</f>
        <v>381.00499124666669</v>
      </c>
      <c r="S10" s="1011">
        <f>SUMIFS('Bank loan table'!AC:AC,'Bank loan table'!$A:$A,'Repayment 25'!$C10,'Bank loan table'!$B:$B,'Repayment 25'!$B10,'Bank loan table'!$E:$E,'Repayment 25'!$D10)</f>
        <v>2178.546305556667</v>
      </c>
      <c r="T10" s="1012">
        <f>SUMIFS('Bank loan table'!AD:AD,'Bank loan table'!$A:$A,'Repayment 25'!$C10,'Bank loan table'!$B:$B,'Repayment 25'!$B10,'Bank loan table'!$E:$E,'Repayment 25'!$D10)</f>
        <v>240.16280647137995</v>
      </c>
      <c r="U10" s="1012">
        <f>SUMIFS('Bank loan table'!AE:AE,'Bank loan table'!$A:$A,'Repayment 25'!$C10,'Bank loan table'!$B:$B,'Repayment 25'!$B10,'Bank loan table'!$E:$E,'Repayment 25'!$D10)</f>
        <v>214.070512993656</v>
      </c>
      <c r="V10" s="1012">
        <f>SUMIFS('Bank loan table'!AF:AF,'Bank loan table'!$A:$A,'Repayment 25'!$C10,'Bank loan table'!$B:$B,'Repayment 25'!$B10,'Bank loan table'!$E:$E,'Repayment 25'!$D10)</f>
        <v>77.162719044964021</v>
      </c>
      <c r="W10" s="1012">
        <f>SUMIFS('Bank loan table'!AG:AG,'Bank loan table'!$A:$A,'Repayment 25'!$C10,'Bank loan table'!$B:$B,'Repayment 25'!$B10,'Bank loan table'!$E:$E,'Repayment 25'!$D10)</f>
        <v>0</v>
      </c>
      <c r="X10" s="1012">
        <f>SUMIFS('Bank loan table'!AH:AH,'Bank loan table'!$A:$A,'Repayment 25'!$C10,'Bank loan table'!$B:$B,'Repayment 25'!$B10,'Bank loan table'!$E:$E,'Repayment 25'!$D10)</f>
        <v>0</v>
      </c>
      <c r="Y10" s="1012">
        <f>SUMIFS('Bank loan table'!AI:AI,'Bank loan table'!$A:$A,'Repayment 25'!$C10,'Bank loan table'!$B:$B,'Repayment 25'!$B10,'Bank loan table'!$E:$E,'Repayment 25'!$D10)</f>
        <v>0</v>
      </c>
      <c r="Z10" s="1012">
        <f>SUMIFS('Bank loan table'!AJ:AJ,'Bank loan table'!$A:$A,'Repayment 25'!$C10,'Bank loan table'!$B:$B,'Repayment 25'!$B10,'Bank loan table'!$E:$E,'Repayment 25'!$D10)</f>
        <v>0</v>
      </c>
      <c r="AA10" s="1013">
        <f>SUMIFS('Bank loan table'!AK:AK,'Bank loan table'!$A:$A,'Repayment 25'!$C10,'Bank loan table'!$B:$B,'Repayment 25'!$B10,'Bank loan table'!$E:$E,'Repayment 25'!$D10)</f>
        <v>0</v>
      </c>
      <c r="AC10" s="1013">
        <f t="shared" si="3"/>
        <v>3586.95302197</v>
      </c>
    </row>
    <row r="11" spans="2:29" ht="32.25" customHeight="1">
      <c r="B11" s="1265" t="s">
        <v>41</v>
      </c>
      <c r="C11" s="1015" t="str">
        <f t="shared" si="5"/>
        <v>STL</v>
      </c>
      <c r="D11" s="1015" t="str">
        <f t="shared" si="5"/>
        <v>No</v>
      </c>
      <c r="E11" s="1056">
        <f t="shared" si="1"/>
        <v>4496.7041447299989</v>
      </c>
      <c r="F11" s="1056">
        <f t="shared" si="2"/>
        <v>1633.3041447099999</v>
      </c>
      <c r="G11" s="1142">
        <v>557</v>
      </c>
      <c r="H11" s="1016">
        <v>543</v>
      </c>
      <c r="I11" s="1016">
        <v>415.00000002000002</v>
      </c>
      <c r="J11" s="1016">
        <v>655</v>
      </c>
      <c r="K11" s="1016">
        <v>431.7</v>
      </c>
      <c r="L11" s="1016">
        <v>261.7</v>
      </c>
      <c r="M11" s="1316">
        <f>SUMIFS('Bank loan table'!W:W,'Bank loan table'!$A:$A,'Repayment 25'!$C11,'Bank loan table'!$B:$B,'Repayment 25'!$B11,'Bank loan table'!$E:$E,'Repayment 25'!$D11)</f>
        <v>0</v>
      </c>
      <c r="N11" s="1016">
        <f>SUMIFS('Bank loan table'!X:X,'Bank loan table'!$A:$A,'Repayment 25'!$C11,'Bank loan table'!$B:$B,'Repayment 25'!$B11,'Bank loan table'!$E:$E,'Repayment 25'!$D11)</f>
        <v>0</v>
      </c>
      <c r="O11" s="1016">
        <f>SUMIFS('Bank loan table'!Y:Y,'Bank loan table'!$A:$A,'Repayment 25'!$C11,'Bank loan table'!$B:$B,'Repayment 25'!$B11,'Bank loan table'!$E:$E,'Repayment 25'!$D11)</f>
        <v>203.39999998000002</v>
      </c>
      <c r="P11" s="1016">
        <f>SUMIFS('Bank loan table'!Z:Z,'Bank loan table'!$A:$A,'Repayment 25'!$C11,'Bank loan table'!$B:$B,'Repayment 25'!$B11,'Bank loan table'!$E:$E,'Repayment 25'!$D11)</f>
        <v>0</v>
      </c>
      <c r="Q11" s="1016">
        <f>SUMIFS('Bank loan table'!AA:AA,'Bank loan table'!$A:$A,'Repayment 25'!$C11,'Bank loan table'!$B:$B,'Repayment 25'!$B11,'Bank loan table'!$E:$E,'Repayment 25'!$D11)</f>
        <v>486</v>
      </c>
      <c r="R11" s="1251">
        <f>SUMIFS('Bank loan table'!AB:AB,'Bank loan table'!$A:$A,'Repayment 25'!$C11,'Bank loan table'!$B:$B,'Repayment 25'!$B11,'Bank loan table'!$E:$E,'Repayment 25'!$D11)</f>
        <v>943.90414472999998</v>
      </c>
      <c r="S11" s="1017">
        <f>SUMIFS('Bank loan table'!AC:AC,'Bank loan table'!$A:$A,'Repayment 25'!$C11,'Bank loan table'!$B:$B,'Repayment 25'!$B11,'Bank loan table'!$E:$E,'Repayment 25'!$D11)</f>
        <v>3364.4164349399998</v>
      </c>
      <c r="T11" s="1018">
        <f>SUMIFS('Bank loan table'!AD:AD,'Bank loan table'!$A:$A,'Repayment 25'!$C11,'Bank loan table'!$B:$B,'Repayment 25'!$B11,'Bank loan table'!$E:$E,'Repayment 25'!$D11)</f>
        <v>0</v>
      </c>
      <c r="U11" s="1018">
        <f>SUMIFS('Bank loan table'!AE:AE,'Bank loan table'!$A:$A,'Repayment 25'!$C11,'Bank loan table'!$B:$B,'Repayment 25'!$B11,'Bank loan table'!$E:$E,'Repayment 25'!$D11)</f>
        <v>0</v>
      </c>
      <c r="V11" s="1018">
        <f>SUMIFS('Bank loan table'!AF:AF,'Bank loan table'!$A:$A,'Repayment 25'!$C11,'Bank loan table'!$B:$B,'Repayment 25'!$B11,'Bank loan table'!$E:$E,'Repayment 25'!$D11)</f>
        <v>0</v>
      </c>
      <c r="W11" s="1018">
        <f>SUMIFS('Bank loan table'!AG:AG,'Bank loan table'!$A:$A,'Repayment 25'!$C11,'Bank loan table'!$B:$B,'Repayment 25'!$B11,'Bank loan table'!$E:$E,'Repayment 25'!$D11)</f>
        <v>0</v>
      </c>
      <c r="X11" s="1018">
        <f>SUMIFS('Bank loan table'!AH:AH,'Bank loan table'!$A:$A,'Repayment 25'!$C11,'Bank loan table'!$B:$B,'Repayment 25'!$B11,'Bank loan table'!$E:$E,'Repayment 25'!$D11)</f>
        <v>0</v>
      </c>
      <c r="Y11" s="1018">
        <f>SUMIFS('Bank loan table'!AI:AI,'Bank loan table'!$A:$A,'Repayment 25'!$C11,'Bank loan table'!$B:$B,'Repayment 25'!$B11,'Bank loan table'!$E:$E,'Repayment 25'!$D11)</f>
        <v>0</v>
      </c>
      <c r="Z11" s="1018">
        <f>SUMIFS('Bank loan table'!AJ:AJ,'Bank loan table'!$A:$A,'Repayment 25'!$C11,'Bank loan table'!$B:$B,'Repayment 25'!$B11,'Bank loan table'!$E:$E,'Repayment 25'!$D11)</f>
        <v>0</v>
      </c>
      <c r="AA11" s="1019">
        <f>SUMIFS('Bank loan table'!AK:AK,'Bank loan table'!$A:$A,'Repayment 25'!$C11,'Bank loan table'!$B:$B,'Repayment 25'!$B11,'Bank loan table'!$E:$E,'Repayment 25'!$D11)</f>
        <v>0</v>
      </c>
      <c r="AC11" s="1019">
        <f t="shared" si="3"/>
        <v>4997.7205796500002</v>
      </c>
    </row>
    <row r="12" spans="2:29" ht="32.25" customHeight="1">
      <c r="B12" s="1266" t="s">
        <v>41</v>
      </c>
      <c r="C12" s="928" t="str">
        <f t="shared" si="5"/>
        <v>LTL</v>
      </c>
      <c r="D12" s="1057" t="str">
        <f t="shared" si="5"/>
        <v>No</v>
      </c>
      <c r="E12" s="1058">
        <f t="shared" si="1"/>
        <v>335.69270137000007</v>
      </c>
      <c r="F12" s="1058">
        <f t="shared" si="2"/>
        <v>136.67150649000001</v>
      </c>
      <c r="G12" s="1143">
        <v>53</v>
      </c>
      <c r="H12" s="929">
        <v>18</v>
      </c>
      <c r="I12" s="929">
        <v>23.354869000000001</v>
      </c>
      <c r="J12" s="929">
        <v>60.67705388000001</v>
      </c>
      <c r="K12" s="929">
        <v>21.317536000000008</v>
      </c>
      <c r="L12" s="929">
        <v>22.67173600000001</v>
      </c>
      <c r="M12" s="1317">
        <f>SUMIFS('Bank loan table'!W:W,'Bank loan table'!$A:$A,'Repayment 25'!$C12,'Bank loan table'!$B:$B,'Repayment 25'!$B12,'Bank loan table'!$E:$E,'Repayment 25'!$D12)</f>
        <v>0</v>
      </c>
      <c r="N12" s="929">
        <f>SUMIFS('Bank loan table'!X:X,'Bank loan table'!$A:$A,'Repayment 25'!$C12,'Bank loan table'!$B:$B,'Repayment 25'!$B12,'Bank loan table'!$E:$E,'Repayment 25'!$D12)</f>
        <v>23.400902670000001</v>
      </c>
      <c r="O12" s="929">
        <f>SUMIFS('Bank loan table'!Y:Y,'Bank loan table'!$A:$A,'Repayment 25'!$C12,'Bank loan table'!$B:$B,'Repayment 25'!$B12,'Bank loan table'!$E:$E,'Repayment 25'!$D12)</f>
        <v>33.234399240000002</v>
      </c>
      <c r="P12" s="929">
        <f>SUMIFS('Bank loan table'!Z:Z,'Bank loan table'!$A:$A,'Repayment 25'!$C12,'Bank loan table'!$B:$B,'Repayment 25'!$B12,'Bank loan table'!$E:$E,'Repayment 25'!$D12)</f>
        <v>23.400902670000001</v>
      </c>
      <c r="Q12" s="929">
        <f>SUMIFS('Bank loan table'!AA:AA,'Bank loan table'!$A:$A,'Repayment 25'!$C12,'Bank loan table'!$B:$B,'Repayment 25'!$B12,'Bank loan table'!$E:$E,'Repayment 25'!$D12)</f>
        <v>23.400902670000001</v>
      </c>
      <c r="R12" s="1252">
        <f>SUMIFS('Bank loan table'!AB:AB,'Bank loan table'!$A:$A,'Repayment 25'!$C12,'Bank loan table'!$B:$B,'Repayment 25'!$B12,'Bank loan table'!$E:$E,'Repayment 25'!$D12)</f>
        <v>33.234399240000002</v>
      </c>
      <c r="S12" s="930">
        <f>SUMIFS('Bank loan table'!AC:AC,'Bank loan table'!$A:$A,'Repayment 25'!$C12,'Bank loan table'!$B:$B,'Repayment 25'!$B12,'Bank loan table'!$E:$E,'Repayment 25'!$D12)</f>
        <v>290.00901486999999</v>
      </c>
      <c r="T12" s="931">
        <f>SUMIFS('Bank loan table'!AD:AD,'Bank loan table'!$A:$A,'Repayment 25'!$C12,'Bank loan table'!$B:$B,'Repayment 25'!$B12,'Bank loan table'!$E:$E,'Repayment 25'!$D12)</f>
        <v>196.77340404</v>
      </c>
      <c r="U12" s="931">
        <f>SUMIFS('Bank loan table'!AE:AE,'Bank loan table'!$A:$A,'Repayment 25'!$C12,'Bank loan table'!$B:$B,'Repayment 25'!$B12,'Bank loan table'!$E:$E,'Repayment 25'!$D12)</f>
        <v>165.00040404000001</v>
      </c>
      <c r="V12" s="931">
        <f>SUMIFS('Bank loan table'!AF:AF,'Bank loan table'!$A:$A,'Repayment 25'!$C12,'Bank loan table'!$B:$B,'Repayment 25'!$B12,'Bank loan table'!$E:$E,'Repayment 25'!$D12)</f>
        <v>119.57100567000002</v>
      </c>
      <c r="W12" s="931">
        <f>SUMIFS('Bank loan table'!AG:AG,'Bank loan table'!$A:$A,'Repayment 25'!$C12,'Bank loan table'!$B:$B,'Repayment 25'!$B12,'Bank loan table'!$E:$E,'Repayment 25'!$D12)</f>
        <v>0</v>
      </c>
      <c r="X12" s="931">
        <f>SUMIFS('Bank loan table'!AH:AH,'Bank loan table'!$A:$A,'Repayment 25'!$C12,'Bank loan table'!$B:$B,'Repayment 25'!$B12,'Bank loan table'!$E:$E,'Repayment 25'!$D12)</f>
        <v>0</v>
      </c>
      <c r="Y12" s="931">
        <f>SUMIFS('Bank loan table'!AI:AI,'Bank loan table'!$A:$A,'Repayment 25'!$C12,'Bank loan table'!$B:$B,'Repayment 25'!$B12,'Bank loan table'!$E:$E,'Repayment 25'!$D12)</f>
        <v>0</v>
      </c>
      <c r="Z12" s="931">
        <f>SUMIFS('Bank loan table'!AJ:AJ,'Bank loan table'!$A:$A,'Repayment 25'!$C12,'Bank loan table'!$B:$B,'Repayment 25'!$B12,'Bank loan table'!$E:$E,'Repayment 25'!$D12)</f>
        <v>0</v>
      </c>
      <c r="AA12" s="932">
        <f>SUMIFS('Bank loan table'!AK:AK,'Bank loan table'!$A:$A,'Repayment 25'!$C12,'Bank loan table'!$B:$B,'Repayment 25'!$B12,'Bank loan table'!$E:$E,'Repayment 25'!$D12)</f>
        <v>0</v>
      </c>
      <c r="AC12" s="932">
        <f t="shared" si="3"/>
        <v>908.02533511000001</v>
      </c>
    </row>
    <row r="13" spans="2:29" s="926" customFormat="1" ht="32.25" customHeight="1" thickBot="1">
      <c r="B13" s="1346" t="s">
        <v>113</v>
      </c>
      <c r="C13" s="1347"/>
      <c r="D13" s="1052"/>
      <c r="E13" s="936">
        <f t="shared" si="1"/>
        <v>8151.5554964733328</v>
      </c>
      <c r="F13" s="936">
        <f t="shared" si="2"/>
        <v>2934.7363290733333</v>
      </c>
      <c r="G13" s="1144">
        <f t="shared" ref="G13:AA13" si="6">SUM(G9:G12)</f>
        <v>866</v>
      </c>
      <c r="H13" s="934">
        <f t="shared" si="6"/>
        <v>797</v>
      </c>
      <c r="I13" s="934">
        <f t="shared" si="6"/>
        <v>1099.02719551</v>
      </c>
      <c r="J13" s="934">
        <f t="shared" si="6"/>
        <v>1091.56305213</v>
      </c>
      <c r="K13" s="934">
        <f t="shared" si="6"/>
        <v>578.43485733</v>
      </c>
      <c r="L13" s="934">
        <f t="shared" si="6"/>
        <v>784.79406242999994</v>
      </c>
      <c r="M13" s="934">
        <f t="shared" si="6"/>
        <v>0</v>
      </c>
      <c r="N13" s="934">
        <f t="shared" si="6"/>
        <v>195.48423596999999</v>
      </c>
      <c r="O13" s="934">
        <f t="shared" si="6"/>
        <v>662.64008588666672</v>
      </c>
      <c r="P13" s="934">
        <f t="shared" si="6"/>
        <v>31.734236000000003</v>
      </c>
      <c r="Q13" s="934">
        <f t="shared" si="6"/>
        <v>517.73423600000001</v>
      </c>
      <c r="R13" s="1253">
        <f t="shared" si="6"/>
        <v>1527.1435352166666</v>
      </c>
      <c r="S13" s="935">
        <f t="shared" si="6"/>
        <v>6271.9717553666669</v>
      </c>
      <c r="T13" s="936">
        <f t="shared" si="6"/>
        <v>436.93621051137995</v>
      </c>
      <c r="U13" s="936">
        <f t="shared" si="6"/>
        <v>379.07091703365597</v>
      </c>
      <c r="V13" s="936">
        <f t="shared" si="6"/>
        <v>196.73372471496404</v>
      </c>
      <c r="W13" s="936">
        <f t="shared" si="6"/>
        <v>0</v>
      </c>
      <c r="X13" s="936">
        <f t="shared" si="6"/>
        <v>0</v>
      </c>
      <c r="Y13" s="936">
        <f t="shared" si="6"/>
        <v>0</v>
      </c>
      <c r="Z13" s="936">
        <f t="shared" si="6"/>
        <v>0</v>
      </c>
      <c r="AA13" s="933">
        <f t="shared" si="6"/>
        <v>0</v>
      </c>
      <c r="AC13" s="933">
        <f t="shared" si="3"/>
        <v>10219.448936700001</v>
      </c>
    </row>
    <row r="14" spans="2:29" ht="32.25" customHeight="1" thickTop="1">
      <c r="B14" s="1021" t="s">
        <v>583</v>
      </c>
      <c r="C14" s="1009" t="str">
        <f>+C9</f>
        <v>STL</v>
      </c>
      <c r="D14" s="1053" t="str">
        <f>+D4</f>
        <v>Yes</v>
      </c>
      <c r="E14" s="1054">
        <f t="shared" si="1"/>
        <v>1990</v>
      </c>
      <c r="F14" s="1054">
        <f t="shared" si="2"/>
        <v>500</v>
      </c>
      <c r="G14" s="1140"/>
      <c r="H14" s="1005">
        <v>550</v>
      </c>
      <c r="I14" s="1005">
        <v>100</v>
      </c>
      <c r="J14" s="1005">
        <v>600</v>
      </c>
      <c r="K14" s="1005">
        <v>75</v>
      </c>
      <c r="L14" s="1005">
        <v>165</v>
      </c>
      <c r="M14" s="1314">
        <f>SUMIFS('Bank loan table'!W:W,'Bank loan table'!$A:$A,'Repayment 25'!$C14,'Bank loan table'!$B:$B,'Repayment 25'!$B14,'Bank loan table'!$E:$E,'Repayment 25'!$D14)</f>
        <v>0</v>
      </c>
      <c r="N14" s="1005">
        <f>SUMIFS('Bank loan table'!X:X,'Bank loan table'!$A:$A,'Repayment 25'!$C14,'Bank loan table'!$B:$B,'Repayment 25'!$B14,'Bank loan table'!$E:$E,'Repayment 25'!$D14)</f>
        <v>200</v>
      </c>
      <c r="O14" s="1005">
        <f>SUMIFS('Bank loan table'!Y:Y,'Bank loan table'!$A:$A,'Repayment 25'!$C14,'Bank loan table'!$B:$B,'Repayment 25'!$B14,'Bank loan table'!$E:$E,'Repayment 25'!$D14)</f>
        <v>50</v>
      </c>
      <c r="P14" s="1005">
        <f>SUMIFS('Bank loan table'!Z:Z,'Bank loan table'!$A:$A,'Repayment 25'!$C14,'Bank loan table'!$B:$B,'Repayment 25'!$B14,'Bank loan table'!$E:$E,'Repayment 25'!$D14)</f>
        <v>0</v>
      </c>
      <c r="Q14" s="1005">
        <f>SUMIFS('Bank loan table'!AA:AA,'Bank loan table'!$A:$A,'Repayment 25'!$C14,'Bank loan table'!$B:$B,'Repayment 25'!$B14,'Bank loan table'!$E:$E,'Repayment 25'!$D14)</f>
        <v>0</v>
      </c>
      <c r="R14" s="1249">
        <f>SUMIFS('Bank loan table'!AB:AB,'Bank loan table'!$A:$A,'Repayment 25'!$C14,'Bank loan table'!$B:$B,'Repayment 25'!$B14,'Bank loan table'!$E:$E,'Repayment 25'!$D14)</f>
        <v>250</v>
      </c>
      <c r="S14" s="1006">
        <f>SUMIFS('Bank loan table'!AC:AC,'Bank loan table'!$A:$A,'Repayment 25'!$C14,'Bank loan table'!$B:$B,'Repayment 25'!$B14,'Bank loan table'!$E:$E,'Repayment 25'!$D14)</f>
        <v>1900</v>
      </c>
      <c r="T14" s="1007">
        <f>SUMIFS('Bank loan table'!AD:AD,'Bank loan table'!$A:$A,'Repayment 25'!$C14,'Bank loan table'!$B:$B,'Repayment 25'!$B14,'Bank loan table'!$E:$E,'Repayment 25'!$D14)</f>
        <v>0</v>
      </c>
      <c r="U14" s="1007">
        <f>SUMIFS('Bank loan table'!AE:AE,'Bank loan table'!$A:$A,'Repayment 25'!$C14,'Bank loan table'!$B:$B,'Repayment 25'!$B14,'Bank loan table'!$E:$E,'Repayment 25'!$D14)</f>
        <v>0</v>
      </c>
      <c r="V14" s="1007">
        <f>SUMIFS('Bank loan table'!AF:AF,'Bank loan table'!$A:$A,'Repayment 25'!$C14,'Bank loan table'!$B:$B,'Repayment 25'!$B14,'Bank loan table'!$E:$E,'Repayment 25'!$D14)</f>
        <v>0</v>
      </c>
      <c r="W14" s="1007">
        <f>SUMIFS('Bank loan table'!AG:AG,'Bank loan table'!$A:$A,'Repayment 25'!$C14,'Bank loan table'!$B:$B,'Repayment 25'!$B14,'Bank loan table'!$E:$E,'Repayment 25'!$D14)</f>
        <v>0</v>
      </c>
      <c r="X14" s="1007">
        <f>SUMIFS('Bank loan table'!AH:AH,'Bank loan table'!$A:$A,'Repayment 25'!$C14,'Bank loan table'!$B:$B,'Repayment 25'!$B14,'Bank loan table'!$E:$E,'Repayment 25'!$D14)</f>
        <v>0</v>
      </c>
      <c r="Y14" s="1007">
        <f>SUMIFS('Bank loan table'!AI:AI,'Bank loan table'!$A:$A,'Repayment 25'!$C14,'Bank loan table'!$B:$B,'Repayment 25'!$B14,'Bank loan table'!$E:$E,'Repayment 25'!$D14)</f>
        <v>0</v>
      </c>
      <c r="Z14" s="1007">
        <f>SUMIFS('Bank loan table'!AJ:AJ,'Bank loan table'!$A:$A,'Repayment 25'!$C14,'Bank loan table'!$B:$B,'Repayment 25'!$B14,'Bank loan table'!$E:$E,'Repayment 25'!$D14)</f>
        <v>0</v>
      </c>
      <c r="AA14" s="1008">
        <f>SUMIFS('Bank loan table'!AK:AK,'Bank loan table'!$A:$A,'Repayment 25'!$C14,'Bank loan table'!$B:$B,'Repayment 25'!$B14,'Bank loan table'!$E:$E,'Repayment 25'!$D14)</f>
        <v>0</v>
      </c>
      <c r="AC14" s="1008">
        <f t="shared" si="3"/>
        <v>2400</v>
      </c>
    </row>
    <row r="15" spans="2:29" ht="32.25" customHeight="1">
      <c r="B15" s="1264" t="s">
        <v>583</v>
      </c>
      <c r="C15" s="1009" t="str">
        <f>+C10</f>
        <v>LTL</v>
      </c>
      <c r="D15" s="1009" t="str">
        <f>+D5</f>
        <v>Yes</v>
      </c>
      <c r="E15" s="1055">
        <f t="shared" si="1"/>
        <v>0</v>
      </c>
      <c r="F15" s="1055">
        <f t="shared" si="2"/>
        <v>0</v>
      </c>
      <c r="G15" s="1141"/>
      <c r="H15" s="1010"/>
      <c r="I15" s="1010"/>
      <c r="J15" s="1010">
        <v>0</v>
      </c>
      <c r="K15" s="1010">
        <v>0</v>
      </c>
      <c r="L15" s="1010">
        <v>0</v>
      </c>
      <c r="M15" s="1315">
        <f>SUMIFS('Bank loan table'!W:W,'Bank loan table'!$A:$A,'Repayment 25'!$C15,'Bank loan table'!$B:$B,'Repayment 25'!$B15,'Bank loan table'!$E:$E,'Repayment 25'!$D15)</f>
        <v>0</v>
      </c>
      <c r="N15" s="1010">
        <f>SUMIFS('Bank loan table'!X:X,'Bank loan table'!$A:$A,'Repayment 25'!$C15,'Bank loan table'!$B:$B,'Repayment 25'!$B15,'Bank loan table'!$E:$E,'Repayment 25'!$D15)</f>
        <v>0</v>
      </c>
      <c r="O15" s="1010">
        <f>SUMIFS('Bank loan table'!Y:Y,'Bank loan table'!$A:$A,'Repayment 25'!$C15,'Bank loan table'!$B:$B,'Repayment 25'!$B15,'Bank loan table'!$E:$E,'Repayment 25'!$D15)</f>
        <v>0</v>
      </c>
      <c r="P15" s="1010">
        <f>SUMIFS('Bank loan table'!Z:Z,'Bank loan table'!$A:$A,'Repayment 25'!$C15,'Bank loan table'!$B:$B,'Repayment 25'!$B15,'Bank loan table'!$E:$E,'Repayment 25'!$D15)</f>
        <v>0</v>
      </c>
      <c r="Q15" s="1010">
        <f>SUMIFS('Bank loan table'!AA:AA,'Bank loan table'!$A:$A,'Repayment 25'!$C15,'Bank loan table'!$B:$B,'Repayment 25'!$B15,'Bank loan table'!$E:$E,'Repayment 25'!$D15)</f>
        <v>0</v>
      </c>
      <c r="R15" s="1250">
        <f>SUMIFS('Bank loan table'!AB:AB,'Bank loan table'!$A:$A,'Repayment 25'!$C15,'Bank loan table'!$B:$B,'Repayment 25'!$B15,'Bank loan table'!$E:$E,'Repayment 25'!$D15)</f>
        <v>0</v>
      </c>
      <c r="S15" s="1011">
        <f>SUMIFS('Bank loan table'!AC:AC,'Bank loan table'!$A:$A,'Repayment 25'!$C15,'Bank loan table'!$B:$B,'Repayment 25'!$B15,'Bank loan table'!$E:$E,'Repayment 25'!$D15)</f>
        <v>0</v>
      </c>
      <c r="T15" s="1012">
        <f>SUMIFS('Bank loan table'!AD:AD,'Bank loan table'!$A:$A,'Repayment 25'!$C15,'Bank loan table'!$B:$B,'Repayment 25'!$B15,'Bank loan table'!$E:$E,'Repayment 25'!$D15)</f>
        <v>0</v>
      </c>
      <c r="U15" s="1012">
        <f>SUMIFS('Bank loan table'!AE:AE,'Bank loan table'!$A:$A,'Repayment 25'!$C15,'Bank loan table'!$B:$B,'Repayment 25'!$B15,'Bank loan table'!$E:$E,'Repayment 25'!$D15)</f>
        <v>0</v>
      </c>
      <c r="V15" s="1012">
        <f>SUMIFS('Bank loan table'!AF:AF,'Bank loan table'!$A:$A,'Repayment 25'!$C15,'Bank loan table'!$B:$B,'Repayment 25'!$B15,'Bank loan table'!$E:$E,'Repayment 25'!$D15)</f>
        <v>0</v>
      </c>
      <c r="W15" s="1012">
        <f>SUMIFS('Bank loan table'!AG:AG,'Bank loan table'!$A:$A,'Repayment 25'!$C15,'Bank loan table'!$B:$B,'Repayment 25'!$B15,'Bank loan table'!$E:$E,'Repayment 25'!$D15)</f>
        <v>0</v>
      </c>
      <c r="X15" s="1012">
        <f>SUMIFS('Bank loan table'!AH:AH,'Bank loan table'!$A:$A,'Repayment 25'!$C15,'Bank loan table'!$B:$B,'Repayment 25'!$B15,'Bank loan table'!$E:$E,'Repayment 25'!$D15)</f>
        <v>0</v>
      </c>
      <c r="Y15" s="1012">
        <f>SUMIFS('Bank loan table'!AI:AI,'Bank loan table'!$A:$A,'Repayment 25'!$C15,'Bank loan table'!$B:$B,'Repayment 25'!$B15,'Bank loan table'!$E:$E,'Repayment 25'!$D15)</f>
        <v>0</v>
      </c>
      <c r="Z15" s="1012">
        <f>SUMIFS('Bank loan table'!AJ:AJ,'Bank loan table'!$A:$A,'Repayment 25'!$C15,'Bank loan table'!$B:$B,'Repayment 25'!$B15,'Bank loan table'!$E:$E,'Repayment 25'!$D15)</f>
        <v>0</v>
      </c>
      <c r="AA15" s="1013">
        <f>SUMIFS('Bank loan table'!AK:AK,'Bank loan table'!$A:$A,'Repayment 25'!$C15,'Bank loan table'!$B:$B,'Repayment 25'!$B15,'Bank loan table'!$E:$E,'Repayment 25'!$D15)</f>
        <v>0</v>
      </c>
      <c r="AC15" s="1013">
        <f t="shared" si="3"/>
        <v>0</v>
      </c>
    </row>
    <row r="16" spans="2:29" ht="32.25" customHeight="1">
      <c r="B16" s="1265" t="s">
        <v>583</v>
      </c>
      <c r="C16" s="1015" t="str">
        <f>+C11</f>
        <v>STL</v>
      </c>
      <c r="D16" s="1015" t="str">
        <f>+D6</f>
        <v>No</v>
      </c>
      <c r="E16" s="1056">
        <f t="shared" si="1"/>
        <v>2125</v>
      </c>
      <c r="F16" s="1056">
        <f t="shared" si="2"/>
        <v>300</v>
      </c>
      <c r="G16" s="1142">
        <v>350</v>
      </c>
      <c r="H16" s="1016">
        <v>600</v>
      </c>
      <c r="I16" s="1016">
        <v>425</v>
      </c>
      <c r="J16" s="1016">
        <v>50</v>
      </c>
      <c r="K16" s="1016">
        <v>400</v>
      </c>
      <c r="L16" s="1016">
        <v>0</v>
      </c>
      <c r="M16" s="1316">
        <f>SUMIFS('Bank loan table'!W:W,'Bank loan table'!$A:$A,'Repayment 25'!$C16,'Bank loan table'!$B:$B,'Repayment 25'!$B16,'Bank loan table'!$E:$E,'Repayment 25'!$D16)</f>
        <v>0</v>
      </c>
      <c r="N16" s="1016">
        <f>SUMIFS('Bank loan table'!X:X,'Bank loan table'!$A:$A,'Repayment 25'!$C16,'Bank loan table'!$B:$B,'Repayment 25'!$B16,'Bank loan table'!$E:$E,'Repayment 25'!$D16)</f>
        <v>0</v>
      </c>
      <c r="O16" s="1016">
        <f>SUMIFS('Bank loan table'!Y:Y,'Bank loan table'!$A:$A,'Repayment 25'!$C16,'Bank loan table'!$B:$B,'Repayment 25'!$B16,'Bank loan table'!$E:$E,'Repayment 25'!$D16)</f>
        <v>50</v>
      </c>
      <c r="P16" s="1016">
        <f>SUMIFS('Bank loan table'!Z:Z,'Bank loan table'!$A:$A,'Repayment 25'!$C16,'Bank loan table'!$B:$B,'Repayment 25'!$B16,'Bank loan table'!$E:$E,'Repayment 25'!$D16)</f>
        <v>250</v>
      </c>
      <c r="Q16" s="1016">
        <f>SUMIFS('Bank loan table'!AA:AA,'Bank loan table'!$A:$A,'Repayment 25'!$C16,'Bank loan table'!$B:$B,'Repayment 25'!$B16,'Bank loan table'!$E:$E,'Repayment 25'!$D16)</f>
        <v>0</v>
      </c>
      <c r="R16" s="1251">
        <f>SUMIFS('Bank loan table'!AB:AB,'Bank loan table'!$A:$A,'Repayment 25'!$C16,'Bank loan table'!$B:$B,'Repayment 25'!$B16,'Bank loan table'!$E:$E,'Repayment 25'!$D16)</f>
        <v>0</v>
      </c>
      <c r="S16" s="1017">
        <f>SUMIFS('Bank loan table'!AC:AC,'Bank loan table'!$A:$A,'Repayment 25'!$C16,'Bank loan table'!$B:$B,'Repayment 25'!$B16,'Bank loan table'!$E:$E,'Repayment 25'!$D16)</f>
        <v>1500</v>
      </c>
      <c r="T16" s="1018">
        <f>SUMIFS('Bank loan table'!AD:AD,'Bank loan table'!$A:$A,'Repayment 25'!$C16,'Bank loan table'!$B:$B,'Repayment 25'!$B16,'Bank loan table'!$E:$E,'Repayment 25'!$D16)</f>
        <v>0</v>
      </c>
      <c r="U16" s="1018">
        <f>SUMIFS('Bank loan table'!AE:AE,'Bank loan table'!$A:$A,'Repayment 25'!$C16,'Bank loan table'!$B:$B,'Repayment 25'!$B16,'Bank loan table'!$E:$E,'Repayment 25'!$D16)</f>
        <v>0</v>
      </c>
      <c r="V16" s="1018">
        <f>SUMIFS('Bank loan table'!AF:AF,'Bank loan table'!$A:$A,'Repayment 25'!$C16,'Bank loan table'!$B:$B,'Repayment 25'!$B16,'Bank loan table'!$E:$E,'Repayment 25'!$D16)</f>
        <v>0</v>
      </c>
      <c r="W16" s="1018">
        <f>SUMIFS('Bank loan table'!AG:AG,'Bank loan table'!$A:$A,'Repayment 25'!$C16,'Bank loan table'!$B:$B,'Repayment 25'!$B16,'Bank loan table'!$E:$E,'Repayment 25'!$D16)</f>
        <v>0</v>
      </c>
      <c r="X16" s="1018">
        <f>SUMIFS('Bank loan table'!AH:AH,'Bank loan table'!$A:$A,'Repayment 25'!$C16,'Bank loan table'!$B:$B,'Repayment 25'!$B16,'Bank loan table'!$E:$E,'Repayment 25'!$D16)</f>
        <v>0</v>
      </c>
      <c r="Y16" s="1018">
        <f>SUMIFS('Bank loan table'!AI:AI,'Bank loan table'!$A:$A,'Repayment 25'!$C16,'Bank loan table'!$B:$B,'Repayment 25'!$B16,'Bank loan table'!$E:$E,'Repayment 25'!$D16)</f>
        <v>0</v>
      </c>
      <c r="Z16" s="1018">
        <f>SUMIFS('Bank loan table'!AJ:AJ,'Bank loan table'!$A:$A,'Repayment 25'!$C16,'Bank loan table'!$B:$B,'Repayment 25'!$B16,'Bank loan table'!$E:$E,'Repayment 25'!$D16)</f>
        <v>0</v>
      </c>
      <c r="AA16" s="1019">
        <f>SUMIFS('Bank loan table'!AK:AK,'Bank loan table'!$A:$A,'Repayment 25'!$C16,'Bank loan table'!$B:$B,'Repayment 25'!$B16,'Bank loan table'!$E:$E,'Repayment 25'!$D16)</f>
        <v>0</v>
      </c>
      <c r="AC16" s="1019">
        <f t="shared" si="3"/>
        <v>1800</v>
      </c>
    </row>
    <row r="17" spans="2:29" ht="32.25" customHeight="1">
      <c r="B17" s="1266" t="s">
        <v>583</v>
      </c>
      <c r="C17" s="928" t="str">
        <f>+C12</f>
        <v>LTL</v>
      </c>
      <c r="D17" s="1057" t="str">
        <f>+D7</f>
        <v>No</v>
      </c>
      <c r="E17" s="1058">
        <f t="shared" si="1"/>
        <v>1989</v>
      </c>
      <c r="F17" s="1058">
        <f t="shared" si="2"/>
        <v>1162</v>
      </c>
      <c r="G17" s="1143"/>
      <c r="H17" s="929"/>
      <c r="I17" s="929">
        <v>413.5</v>
      </c>
      <c r="J17" s="929">
        <v>0</v>
      </c>
      <c r="K17" s="929">
        <v>0</v>
      </c>
      <c r="L17" s="929">
        <v>413.5</v>
      </c>
      <c r="M17" s="1317">
        <f>SUMIFS('Bank loan table'!W:W,'Bank loan table'!$A:$A,'Repayment 25'!$C17,'Bank loan table'!$B:$B,'Repayment 25'!$B17,'Bank loan table'!$E:$E,'Repayment 25'!$D17)</f>
        <v>0</v>
      </c>
      <c r="N17" s="929">
        <f>SUMIFS('Bank loan table'!X:X,'Bank loan table'!$A:$A,'Repayment 25'!$C17,'Bank loan table'!$B:$B,'Repayment 25'!$B17,'Bank loan table'!$E:$E,'Repayment 25'!$D17)</f>
        <v>0</v>
      </c>
      <c r="O17" s="929">
        <f>SUMIFS('Bank loan table'!Y:Y,'Bank loan table'!$A:$A,'Repayment 25'!$C17,'Bank loan table'!$B:$B,'Repayment 25'!$B17,'Bank loan table'!$E:$E,'Repayment 25'!$D17)</f>
        <v>413.5</v>
      </c>
      <c r="P17" s="929">
        <f>SUMIFS('Bank loan table'!Z:Z,'Bank loan table'!$A:$A,'Repayment 25'!$C17,'Bank loan table'!$B:$B,'Repayment 25'!$B17,'Bank loan table'!$E:$E,'Repayment 25'!$D17)</f>
        <v>0</v>
      </c>
      <c r="Q17" s="929">
        <f>SUMIFS('Bank loan table'!AA:AA,'Bank loan table'!$A:$A,'Repayment 25'!$C17,'Bank loan table'!$B:$B,'Repayment 25'!$B17,'Bank loan table'!$E:$E,'Repayment 25'!$D17)</f>
        <v>0</v>
      </c>
      <c r="R17" s="1252">
        <f>SUMIFS('Bank loan table'!AB:AB,'Bank loan table'!$A:$A,'Repayment 25'!$C17,'Bank loan table'!$B:$B,'Repayment 25'!$B17,'Bank loan table'!$E:$E,'Repayment 25'!$D17)</f>
        <v>748.5</v>
      </c>
      <c r="S17" s="930">
        <f>SUMIFS('Bank loan table'!AC:AC,'Bank loan table'!$A:$A,'Repayment 25'!$C17,'Bank loan table'!$B:$B,'Repayment 25'!$B17,'Bank loan table'!$E:$E,'Repayment 25'!$D17)</f>
        <v>1989</v>
      </c>
      <c r="T17" s="931">
        <f>SUMIFS('Bank loan table'!AD:AD,'Bank loan table'!$A:$A,'Repayment 25'!$C17,'Bank loan table'!$B:$B,'Repayment 25'!$B17,'Bank loan table'!$E:$E,'Repayment 25'!$D17)</f>
        <v>1989</v>
      </c>
      <c r="U17" s="931">
        <f>SUMIFS('Bank loan table'!AE:AE,'Bank loan table'!$A:$A,'Repayment 25'!$C17,'Bank loan table'!$B:$B,'Repayment 25'!$B17,'Bank loan table'!$E:$E,'Repayment 25'!$D17)</f>
        <v>1989</v>
      </c>
      <c r="V17" s="931">
        <f>SUMIFS('Bank loan table'!AF:AF,'Bank loan table'!$A:$A,'Repayment 25'!$C17,'Bank loan table'!$B:$B,'Repayment 25'!$B17,'Bank loan table'!$E:$E,'Repayment 25'!$D17)</f>
        <v>1989</v>
      </c>
      <c r="W17" s="931">
        <f>SUMIFS('Bank loan table'!AG:AG,'Bank loan table'!$A:$A,'Repayment 25'!$C17,'Bank loan table'!$B:$B,'Repayment 25'!$B17,'Bank loan table'!$E:$E,'Repayment 25'!$D17)</f>
        <v>1989</v>
      </c>
      <c r="X17" s="931">
        <f>SUMIFS('Bank loan table'!AH:AH,'Bank loan table'!$A:$A,'Repayment 25'!$C17,'Bank loan table'!$B:$B,'Repayment 25'!$B17,'Bank loan table'!$E:$E,'Repayment 25'!$D17)</f>
        <v>1928</v>
      </c>
      <c r="Y17" s="931">
        <f>SUMIFS('Bank loan table'!AI:AI,'Bank loan table'!$A:$A,'Repayment 25'!$C17,'Bank loan table'!$B:$B,'Repayment 25'!$B17,'Bank loan table'!$E:$E,'Repayment 25'!$D17)</f>
        <v>0</v>
      </c>
      <c r="Z17" s="931">
        <f>SUMIFS('Bank loan table'!AJ:AJ,'Bank loan table'!$A:$A,'Repayment 25'!$C17,'Bank loan table'!$B:$B,'Repayment 25'!$B17,'Bank loan table'!$E:$E,'Repayment 25'!$D17)</f>
        <v>0</v>
      </c>
      <c r="AA17" s="932">
        <f>SUMIFS('Bank loan table'!AK:AK,'Bank loan table'!$A:$A,'Repayment 25'!$C17,'Bank loan table'!$B:$B,'Repayment 25'!$B17,'Bank loan table'!$E:$E,'Repayment 25'!$D17)</f>
        <v>0</v>
      </c>
      <c r="AC17" s="932">
        <f t="shared" si="3"/>
        <v>13035</v>
      </c>
    </row>
    <row r="18" spans="2:29" s="926" customFormat="1" ht="32.25" customHeight="1" thickBot="1">
      <c r="B18" s="1346" t="s">
        <v>113</v>
      </c>
      <c r="C18" s="1347"/>
      <c r="D18" s="1052"/>
      <c r="E18" s="936">
        <f t="shared" si="1"/>
        <v>6104</v>
      </c>
      <c r="F18" s="936">
        <f t="shared" si="2"/>
        <v>1962</v>
      </c>
      <c r="G18" s="1144">
        <f t="shared" ref="G18:AA18" si="7">SUM(G14:G17)</f>
        <v>350</v>
      </c>
      <c r="H18" s="934">
        <f t="shared" si="7"/>
        <v>1150</v>
      </c>
      <c r="I18" s="934">
        <f t="shared" si="7"/>
        <v>938.5</v>
      </c>
      <c r="J18" s="934">
        <f t="shared" si="7"/>
        <v>650</v>
      </c>
      <c r="K18" s="934">
        <f t="shared" si="7"/>
        <v>475</v>
      </c>
      <c r="L18" s="934">
        <f t="shared" si="7"/>
        <v>578.5</v>
      </c>
      <c r="M18" s="934">
        <f t="shared" si="7"/>
        <v>0</v>
      </c>
      <c r="N18" s="934">
        <f t="shared" si="7"/>
        <v>200</v>
      </c>
      <c r="O18" s="934">
        <f t="shared" si="7"/>
        <v>513.5</v>
      </c>
      <c r="P18" s="934">
        <f t="shared" si="7"/>
        <v>250</v>
      </c>
      <c r="Q18" s="934">
        <f t="shared" si="7"/>
        <v>0</v>
      </c>
      <c r="R18" s="1253">
        <f t="shared" si="7"/>
        <v>998.5</v>
      </c>
      <c r="S18" s="935">
        <f t="shared" si="7"/>
        <v>5389</v>
      </c>
      <c r="T18" s="936">
        <f t="shared" si="7"/>
        <v>1989</v>
      </c>
      <c r="U18" s="936">
        <f t="shared" si="7"/>
        <v>1989</v>
      </c>
      <c r="V18" s="936">
        <f t="shared" si="7"/>
        <v>1989</v>
      </c>
      <c r="W18" s="936">
        <f t="shared" si="7"/>
        <v>1989</v>
      </c>
      <c r="X18" s="936">
        <f t="shared" si="7"/>
        <v>1928</v>
      </c>
      <c r="Y18" s="936">
        <f t="shared" si="7"/>
        <v>0</v>
      </c>
      <c r="Z18" s="936">
        <f t="shared" si="7"/>
        <v>0</v>
      </c>
      <c r="AA18" s="933">
        <f t="shared" si="7"/>
        <v>0</v>
      </c>
      <c r="AC18" s="933">
        <f t="shared" si="3"/>
        <v>17235</v>
      </c>
    </row>
    <row r="19" spans="2:29" ht="32.25" customHeight="1" thickTop="1">
      <c r="B19" s="1021" t="s">
        <v>102</v>
      </c>
      <c r="C19" s="1009" t="str">
        <f>+C14</f>
        <v>STL</v>
      </c>
      <c r="D19" s="1053" t="str">
        <f>+D4</f>
        <v>Yes</v>
      </c>
      <c r="E19" s="1054">
        <f t="shared" si="1"/>
        <v>900</v>
      </c>
      <c r="F19" s="1054">
        <f t="shared" si="2"/>
        <v>600</v>
      </c>
      <c r="G19" s="1140">
        <f>SUMIFS('Bank loan table'!Q:Q,'Bank loan table'!$A:$A,'Repayment 25'!$C19,'Bank loan table'!$B:$B,'Repayment 25'!$B19,'Bank loan table'!$E:$E,'Repayment 25'!$D19)</f>
        <v>0</v>
      </c>
      <c r="H19" s="1005">
        <f>SUMIFS('Bank loan table'!R:R,'Bank loan table'!$A:$A,'Repayment 25'!$C19,'Bank loan table'!$B:$B,'Repayment 25'!$B19,'Bank loan table'!$E:$E,'Repayment 25'!$D19)</f>
        <v>0</v>
      </c>
      <c r="I19" s="1005">
        <v>300</v>
      </c>
      <c r="J19" s="1005"/>
      <c r="K19" s="1005"/>
      <c r="L19" s="1005">
        <f>SUMIFS('Bank loan table'!V:V,'Bank loan table'!$A:$A,'Repayment 25'!$C19,'Bank loan table'!$B:$B,'Repayment 25'!$B19,'Bank loan table'!$E:$E,'Repayment 25'!$D19)</f>
        <v>0</v>
      </c>
      <c r="M19" s="1005">
        <f>SUMIFS('Bank loan table'!W:W,'Bank loan table'!$A:$A,'Repayment 25'!$C19,'Bank loan table'!$B:$B,'Repayment 25'!$B19,'Bank loan table'!$E:$E,'Repayment 25'!$D19)</f>
        <v>0</v>
      </c>
      <c r="N19" s="1189">
        <f>SUMIFS('Bank loan table'!X:X,'Bank loan table'!$A:$A,'Repayment 25'!$C19,'Bank loan table'!$B:$B,'Repayment 25'!$B19,'Bank loan table'!$E:$E,'Repayment 25'!$D19)</f>
        <v>0</v>
      </c>
      <c r="O19" s="1189">
        <f>SUMIFS('Bank loan table'!Y:Y,'Bank loan table'!$A:$A,'Repayment 25'!$C19,'Bank loan table'!$B:$B,'Repayment 25'!$B19,'Bank loan table'!$E:$E,'Repayment 25'!$D19)</f>
        <v>0</v>
      </c>
      <c r="P19" s="1189">
        <f>SUMIFS('Bank loan table'!Z:Z,'Bank loan table'!$A:$A,'Repayment 25'!$C19,'Bank loan table'!$B:$B,'Repayment 25'!$B19,'Bank loan table'!$E:$E,'Repayment 25'!$D19)</f>
        <v>0</v>
      </c>
      <c r="Q19" s="1189">
        <f>SUMIFS('Bank loan table'!AA:AA,'Bank loan table'!$A:$A,'Repayment 25'!$C19,'Bank loan table'!$B:$B,'Repayment 25'!$B19,'Bank loan table'!$E:$E,'Repayment 25'!$D19)</f>
        <v>600</v>
      </c>
      <c r="R19" s="1249">
        <f>SUMIFS('Bank loan table'!AB:AB,'Bank loan table'!$A:$A,'Repayment 25'!$C19,'Bank loan table'!$B:$B,'Repayment 25'!$B19,'Bank loan table'!$E:$E,'Repayment 25'!$D19)</f>
        <v>0</v>
      </c>
      <c r="S19" s="1006">
        <f>SUMIFS('Bank loan table'!AC:AC,'Bank loan table'!$A:$A,'Repayment 25'!$C19,'Bank loan table'!$B:$B,'Repayment 25'!$B19,'Bank loan table'!$E:$E,'Repayment 25'!$D19)</f>
        <v>600</v>
      </c>
      <c r="T19" s="1007">
        <f>SUMIFS('Bank loan table'!AD:AD,'Bank loan table'!$A:$A,'Repayment 25'!$C19,'Bank loan table'!$B:$B,'Repayment 25'!$B19,'Bank loan table'!$E:$E,'Repayment 25'!$D19)</f>
        <v>0</v>
      </c>
      <c r="U19" s="1007">
        <f>SUMIFS('Bank loan table'!AE:AE,'Bank loan table'!$A:$A,'Repayment 25'!$C19,'Bank loan table'!$B:$B,'Repayment 25'!$B19,'Bank loan table'!$E:$E,'Repayment 25'!$D19)</f>
        <v>0</v>
      </c>
      <c r="V19" s="1007">
        <f>SUMIFS('Bank loan table'!AF:AF,'Bank loan table'!$A:$A,'Repayment 25'!$C19,'Bank loan table'!$B:$B,'Repayment 25'!$B19,'Bank loan table'!$E:$E,'Repayment 25'!$D19)</f>
        <v>0</v>
      </c>
      <c r="W19" s="1007">
        <f>SUMIFS('Bank loan table'!AG:AG,'Bank loan table'!$A:$A,'Repayment 25'!$C19,'Bank loan table'!$B:$B,'Repayment 25'!$B19,'Bank loan table'!$E:$E,'Repayment 25'!$D19)</f>
        <v>0</v>
      </c>
      <c r="X19" s="1007">
        <f>SUMIFS('Bank loan table'!AH:AH,'Bank loan table'!$A:$A,'Repayment 25'!$C19,'Bank loan table'!$B:$B,'Repayment 25'!$B19,'Bank loan table'!$E:$E,'Repayment 25'!$D19)</f>
        <v>0</v>
      </c>
      <c r="Y19" s="1007">
        <f>SUMIFS('Bank loan table'!AI:AI,'Bank loan table'!$A:$A,'Repayment 25'!$C19,'Bank loan table'!$B:$B,'Repayment 25'!$B19,'Bank loan table'!$E:$E,'Repayment 25'!$D19)</f>
        <v>0</v>
      </c>
      <c r="Z19" s="1007">
        <f>SUMIFS('Bank loan table'!AJ:AJ,'Bank loan table'!$A:$A,'Repayment 25'!$C19,'Bank loan table'!$B:$B,'Repayment 25'!$B19,'Bank loan table'!$E:$E,'Repayment 25'!$D19)</f>
        <v>0</v>
      </c>
      <c r="AA19" s="1008">
        <f>SUMIFS('Bank loan table'!AK:AK,'Bank loan table'!$A:$A,'Repayment 25'!$C19,'Bank loan table'!$B:$B,'Repayment 25'!$B19,'Bank loan table'!$E:$E,'Repayment 25'!$D19)</f>
        <v>0</v>
      </c>
      <c r="AC19" s="1008">
        <f t="shared" si="3"/>
        <v>1200</v>
      </c>
    </row>
    <row r="20" spans="2:29" ht="32.25" customHeight="1">
      <c r="B20" s="1264" t="s">
        <v>102</v>
      </c>
      <c r="C20" s="1009" t="str">
        <f>+C15</f>
        <v>LTL</v>
      </c>
      <c r="D20" s="1009" t="str">
        <f>+D5</f>
        <v>Yes</v>
      </c>
      <c r="E20" s="1055">
        <f t="shared" si="1"/>
        <v>1751.4156473200003</v>
      </c>
      <c r="F20" s="1055">
        <f t="shared" si="2"/>
        <v>729.70985304999977</v>
      </c>
      <c r="G20" s="1141">
        <v>145.95797061000002</v>
      </c>
      <c r="H20" s="1010">
        <v>145.95797061000002</v>
      </c>
      <c r="I20" s="1010">
        <v>145.95797061000002</v>
      </c>
      <c r="J20" s="1010">
        <v>145.95797061000002</v>
      </c>
      <c r="K20" s="1010">
        <v>145.95797061000002</v>
      </c>
      <c r="L20" s="1010">
        <v>145.95797061000002</v>
      </c>
      <c r="M20" s="1010">
        <v>145.95797061000002</v>
      </c>
      <c r="N20" s="1010">
        <f>SUMIFS('Bank loan table'!X:X,'Bank loan table'!$A:$A,'Repayment 25'!$C20,'Bank loan table'!$B:$B,'Repayment 25'!$B20,'Bank loan table'!$E:$E,'Repayment 25'!$D20)</f>
        <v>145.95797061000002</v>
      </c>
      <c r="O20" s="1010">
        <f>SUMIFS('Bank loan table'!Y:Y,'Bank loan table'!$A:$A,'Repayment 25'!$C20,'Bank loan table'!$B:$B,'Repayment 25'!$B20,'Bank loan table'!$E:$E,'Repayment 25'!$D20)</f>
        <v>145.95797061000002</v>
      </c>
      <c r="P20" s="1010">
        <f>SUMIFS('Bank loan table'!Z:Z,'Bank loan table'!$A:$A,'Repayment 25'!$C20,'Bank loan table'!$B:$B,'Repayment 25'!$B20,'Bank loan table'!$E:$E,'Repayment 25'!$D20)</f>
        <v>145.95797061000002</v>
      </c>
      <c r="Q20" s="1010">
        <f>SUMIFS('Bank loan table'!AA:AA,'Bank loan table'!$A:$A,'Repayment 25'!$C20,'Bank loan table'!$B:$B,'Repayment 25'!$B20,'Bank loan table'!$E:$E,'Repayment 25'!$D20)</f>
        <v>145.95797061000002</v>
      </c>
      <c r="R20" s="1250">
        <f>SUMIFS('Bank loan table'!AB:AB,'Bank loan table'!$A:$A,'Repayment 25'!$C20,'Bank loan table'!$B:$B,'Repayment 25'!$B20,'Bank loan table'!$E:$E,'Repayment 25'!$D20)</f>
        <v>145.87797060999964</v>
      </c>
      <c r="S20" s="1011">
        <f>SUMIFS('Bank loan table'!AC:AC,'Bank loan table'!$A:$A,'Repayment 25'!$C20,'Bank loan table'!$B:$B,'Repayment 25'!$B20,'Bank loan table'!$E:$E,'Repayment 25'!$D20)</f>
        <v>501.46</v>
      </c>
      <c r="T20" s="1012">
        <f>SUMIFS('Bank loan table'!AD:AD,'Bank loan table'!$A:$A,'Repayment 25'!$C20,'Bank loan table'!$B:$B,'Repayment 25'!$B20,'Bank loan table'!$E:$E,'Repayment 25'!$D20)</f>
        <v>501.46</v>
      </c>
      <c r="U20" s="1012">
        <f>SUMIFS('Bank loan table'!AE:AE,'Bank loan table'!$A:$A,'Repayment 25'!$C20,'Bank loan table'!$B:$B,'Repayment 25'!$B20,'Bank loan table'!$E:$E,'Repayment 25'!$D20)</f>
        <v>501.46</v>
      </c>
      <c r="V20" s="1012">
        <f>SUMIFS('Bank loan table'!AF:AF,'Bank loan table'!$A:$A,'Repayment 25'!$C20,'Bank loan table'!$B:$B,'Repayment 25'!$B20,'Bank loan table'!$E:$E,'Repayment 25'!$D20)</f>
        <v>283.71014694999985</v>
      </c>
      <c r="W20" s="1012">
        <f>SUMIFS('Bank loan table'!AG:AG,'Bank loan table'!$A:$A,'Repayment 25'!$C20,'Bank loan table'!$B:$B,'Repayment 25'!$B20,'Bank loan table'!$E:$E,'Repayment 25'!$D20)</f>
        <v>0</v>
      </c>
      <c r="X20" s="1012">
        <f>SUMIFS('Bank loan table'!AH:AH,'Bank loan table'!$A:$A,'Repayment 25'!$C20,'Bank loan table'!$B:$B,'Repayment 25'!$B20,'Bank loan table'!$E:$E,'Repayment 25'!$D20)</f>
        <v>0</v>
      </c>
      <c r="Y20" s="1012">
        <f>SUMIFS('Bank loan table'!AI:AI,'Bank loan table'!$A:$A,'Repayment 25'!$C20,'Bank loan table'!$B:$B,'Repayment 25'!$B20,'Bank loan table'!$E:$E,'Repayment 25'!$D20)</f>
        <v>0</v>
      </c>
      <c r="Z20" s="1012">
        <f>SUMIFS('Bank loan table'!AJ:AJ,'Bank loan table'!$A:$A,'Repayment 25'!$C20,'Bank loan table'!$B:$B,'Repayment 25'!$B20,'Bank loan table'!$E:$E,'Repayment 25'!$D20)</f>
        <v>0</v>
      </c>
      <c r="AA20" s="1013">
        <f>SUMIFS('Bank loan table'!AK:AK,'Bank loan table'!$A:$A,'Repayment 25'!$C20,'Bank loan table'!$B:$B,'Repayment 25'!$B20,'Bank loan table'!$E:$E,'Repayment 25'!$D20)</f>
        <v>0</v>
      </c>
      <c r="AC20" s="1013">
        <f t="shared" si="3"/>
        <v>2517.7999999999993</v>
      </c>
    </row>
    <row r="21" spans="2:29" ht="32.25" hidden="1" customHeight="1">
      <c r="B21" s="1265" t="s">
        <v>102</v>
      </c>
      <c r="C21" s="1015" t="str">
        <f>+C16</f>
        <v>STL</v>
      </c>
      <c r="D21" s="1015" t="str">
        <f>+D6</f>
        <v>No</v>
      </c>
      <c r="E21" s="1056">
        <f t="shared" si="1"/>
        <v>0</v>
      </c>
      <c r="F21" s="1056">
        <f t="shared" si="2"/>
        <v>0</v>
      </c>
      <c r="G21" s="1142">
        <f>SUMIFS('Bank loan table'!Q:Q,'Bank loan table'!$A:$A,'Repayment 25'!$C21,'Bank loan table'!$B:$B,'Repayment 25'!$B21,'Bank loan table'!$E:$E,'Repayment 25'!$D21)</f>
        <v>0</v>
      </c>
      <c r="H21" s="1016">
        <f>SUMIFS('Bank loan table'!R:R,'Bank loan table'!$A:$A,'Repayment 25'!$C21,'Bank loan table'!$B:$B,'Repayment 25'!$B21,'Bank loan table'!$E:$E,'Repayment 25'!$D21)</f>
        <v>0</v>
      </c>
      <c r="I21" s="1016">
        <f>SUMIFS('Bank loan table'!S:S,'Bank loan table'!$A:$A,'Repayment 25'!$C21,'Bank loan table'!$B:$B,'Repayment 25'!$B21,'Bank loan table'!$E:$E,'Repayment 25'!$D21)</f>
        <v>0</v>
      </c>
      <c r="J21" s="1010">
        <f>SUMIFS('Bank loan table'!T:T,'Bank loan table'!$A:$A,'Repayment 25'!$C21,'Bank loan table'!$B:$B,'Repayment 25'!$B21,'Bank loan table'!$E:$E,'Repayment 25'!$D21)</f>
        <v>0</v>
      </c>
      <c r="K21" s="1010">
        <f>SUMIFS('Bank loan table'!U:U,'Bank loan table'!$A:$A,'Repayment 25'!$C21,'Bank loan table'!$B:$B,'Repayment 25'!$B21,'Bank loan table'!$E:$E,'Repayment 25'!$D21)</f>
        <v>0</v>
      </c>
      <c r="L21" s="1010">
        <f>SUMIFS('Bank loan table'!V:V,'Bank loan table'!$A:$A,'Repayment 25'!$C21,'Bank loan table'!$B:$B,'Repayment 25'!$B21,'Bank loan table'!$E:$E,'Repayment 25'!$D21)</f>
        <v>0</v>
      </c>
      <c r="M21" s="1010">
        <f>SUMIFS('Bank loan table'!W:W,'Bank loan table'!$A:$A,'Repayment 25'!$C21,'Bank loan table'!$B:$B,'Repayment 25'!$B21,'Bank loan table'!$E:$E,'Repayment 25'!$D21)</f>
        <v>0</v>
      </c>
      <c r="N21" s="1010">
        <f>SUMIFS('Bank loan table'!X:X,'Bank loan table'!$A:$A,'Repayment 25'!$C21,'Bank loan table'!$B:$B,'Repayment 25'!$B21,'Bank loan table'!$E:$E,'Repayment 25'!$D21)</f>
        <v>0</v>
      </c>
      <c r="O21" s="1010">
        <f>SUMIFS('Bank loan table'!Y:Y,'Bank loan table'!$A:$A,'Repayment 25'!$C21,'Bank loan table'!$B:$B,'Repayment 25'!$B21,'Bank loan table'!$E:$E,'Repayment 25'!$D21)</f>
        <v>0</v>
      </c>
      <c r="P21" s="1010">
        <f>SUMIFS('Bank loan table'!Z:Z,'Bank loan table'!$A:$A,'Repayment 25'!$C21,'Bank loan table'!$B:$B,'Repayment 25'!$B21,'Bank loan table'!$E:$E,'Repayment 25'!$D21)</f>
        <v>0</v>
      </c>
      <c r="Q21" s="1010">
        <f>SUMIFS('Bank loan table'!AA:AA,'Bank loan table'!$A:$A,'Repayment 25'!$C21,'Bank loan table'!$B:$B,'Repayment 25'!$B21,'Bank loan table'!$E:$E,'Repayment 25'!$D21)</f>
        <v>0</v>
      </c>
      <c r="R21" s="1251">
        <f>SUMIFS('Bank loan table'!AB:AB,'Bank loan table'!$A:$A,'Repayment 25'!$C21,'Bank loan table'!$B:$B,'Repayment 25'!$B21,'Bank loan table'!$E:$E,'Repayment 25'!$D21)</f>
        <v>0</v>
      </c>
      <c r="S21" s="1017">
        <f>SUMIFS('Bank loan table'!AC:AC,'Bank loan table'!$A:$A,'Repayment 25'!$C21,'Bank loan table'!$B:$B,'Repayment 25'!$B21,'Bank loan table'!$E:$E,'Repayment 25'!$D21)</f>
        <v>0</v>
      </c>
      <c r="T21" s="1018">
        <f>SUMIFS('Bank loan table'!AD:AD,'Bank loan table'!$A:$A,'Repayment 25'!$C21,'Bank loan table'!$B:$B,'Repayment 25'!$B21,'Bank loan table'!$E:$E,'Repayment 25'!$D21)</f>
        <v>0</v>
      </c>
      <c r="U21" s="1018">
        <f>SUMIFS('Bank loan table'!AE:AE,'Bank loan table'!$A:$A,'Repayment 25'!$C21,'Bank loan table'!$B:$B,'Repayment 25'!$B21,'Bank loan table'!$E:$E,'Repayment 25'!$D21)</f>
        <v>0</v>
      </c>
      <c r="V21" s="1018">
        <f>SUMIFS('Bank loan table'!AF:AF,'Bank loan table'!$A:$A,'Repayment 25'!$C21,'Bank loan table'!$B:$B,'Repayment 25'!$B21,'Bank loan table'!$E:$E,'Repayment 25'!$D21)</f>
        <v>0</v>
      </c>
      <c r="W21" s="1018">
        <f>SUMIFS('Bank loan table'!AG:AG,'Bank loan table'!$A:$A,'Repayment 25'!$C21,'Bank loan table'!$B:$B,'Repayment 25'!$B21,'Bank loan table'!$E:$E,'Repayment 25'!$D21)</f>
        <v>0</v>
      </c>
      <c r="X21" s="1018">
        <f>SUMIFS('Bank loan table'!AH:AH,'Bank loan table'!$A:$A,'Repayment 25'!$C21,'Bank loan table'!$B:$B,'Repayment 25'!$B21,'Bank loan table'!$E:$E,'Repayment 25'!$D21)</f>
        <v>0</v>
      </c>
      <c r="Y21" s="1018">
        <f>SUMIFS('Bank loan table'!AI:AI,'Bank loan table'!$A:$A,'Repayment 25'!$C21,'Bank loan table'!$B:$B,'Repayment 25'!$B21,'Bank loan table'!$E:$E,'Repayment 25'!$D21)</f>
        <v>0</v>
      </c>
      <c r="Z21" s="1018">
        <f>SUMIFS('Bank loan table'!AJ:AJ,'Bank loan table'!$A:$A,'Repayment 25'!$C21,'Bank loan table'!$B:$B,'Repayment 25'!$B21,'Bank loan table'!$E:$E,'Repayment 25'!$D21)</f>
        <v>0</v>
      </c>
      <c r="AA21" s="1019">
        <f>SUMIFS('Bank loan table'!AK:AK,'Bank loan table'!$A:$A,'Repayment 25'!$C21,'Bank loan table'!$B:$B,'Repayment 25'!$B21,'Bank loan table'!$E:$E,'Repayment 25'!$D21)</f>
        <v>0</v>
      </c>
      <c r="AC21" s="1019">
        <f t="shared" si="3"/>
        <v>0</v>
      </c>
    </row>
    <row r="22" spans="2:29" ht="32.25" hidden="1" customHeight="1">
      <c r="B22" s="1266" t="s">
        <v>102</v>
      </c>
      <c r="C22" s="928" t="str">
        <f>+C17</f>
        <v>LTL</v>
      </c>
      <c r="D22" s="1057" t="str">
        <f>+D7</f>
        <v>No</v>
      </c>
      <c r="E22" s="1058">
        <f t="shared" si="1"/>
        <v>0</v>
      </c>
      <c r="F22" s="1058">
        <f t="shared" si="2"/>
        <v>0</v>
      </c>
      <c r="G22" s="1143">
        <f>SUMIFS('Bank loan table'!Q:Q,'Bank loan table'!$A:$A,'Repayment 25'!$C22,'Bank loan table'!$B:$B,'Repayment 25'!$B22,'Bank loan table'!$E:$E,'Repayment 25'!$D22)</f>
        <v>0</v>
      </c>
      <c r="H22" s="929">
        <f>SUMIFS('Bank loan table'!R:R,'Bank loan table'!$A:$A,'Repayment 25'!$C22,'Bank loan table'!$B:$B,'Repayment 25'!$B22,'Bank loan table'!$E:$E,'Repayment 25'!$D22)</f>
        <v>0</v>
      </c>
      <c r="I22" s="929">
        <f>SUMIFS('Bank loan table'!S:S,'Bank loan table'!$A:$A,'Repayment 25'!$C22,'Bank loan table'!$B:$B,'Repayment 25'!$B22,'Bank loan table'!$E:$E,'Repayment 25'!$D22)</f>
        <v>0</v>
      </c>
      <c r="J22" s="1010">
        <f>SUMIFS('Bank loan table'!T:T,'Bank loan table'!$A:$A,'Repayment 25'!$C22,'Bank loan table'!$B:$B,'Repayment 25'!$B22,'Bank loan table'!$E:$E,'Repayment 25'!$D22)</f>
        <v>0</v>
      </c>
      <c r="K22" s="1010">
        <f>SUMIFS('Bank loan table'!U:U,'Bank loan table'!$A:$A,'Repayment 25'!$C22,'Bank loan table'!$B:$B,'Repayment 25'!$B22,'Bank loan table'!$E:$E,'Repayment 25'!$D22)</f>
        <v>0</v>
      </c>
      <c r="L22" s="1010">
        <f>SUMIFS('Bank loan table'!V:V,'Bank loan table'!$A:$A,'Repayment 25'!$C22,'Bank loan table'!$B:$B,'Repayment 25'!$B22,'Bank loan table'!$E:$E,'Repayment 25'!$D22)</f>
        <v>0</v>
      </c>
      <c r="M22" s="1010">
        <f>SUMIFS('Bank loan table'!W:W,'Bank loan table'!$A:$A,'Repayment 25'!$C22,'Bank loan table'!$B:$B,'Repayment 25'!$B22,'Bank loan table'!$E:$E,'Repayment 25'!$D22)</f>
        <v>0</v>
      </c>
      <c r="N22" s="1010">
        <f>SUMIFS('Bank loan table'!X:X,'Bank loan table'!$A:$A,'Repayment 25'!$C22,'Bank loan table'!$B:$B,'Repayment 25'!$B22,'Bank loan table'!$E:$E,'Repayment 25'!$D22)</f>
        <v>0</v>
      </c>
      <c r="O22" s="1010">
        <f>SUMIFS('Bank loan table'!Y:Y,'Bank loan table'!$A:$A,'Repayment 25'!$C22,'Bank loan table'!$B:$B,'Repayment 25'!$B22,'Bank loan table'!$E:$E,'Repayment 25'!$D22)</f>
        <v>0</v>
      </c>
      <c r="P22" s="1010">
        <f>SUMIFS('Bank loan table'!Z:Z,'Bank loan table'!$A:$A,'Repayment 25'!$C22,'Bank loan table'!$B:$B,'Repayment 25'!$B22,'Bank loan table'!$E:$E,'Repayment 25'!$D22)</f>
        <v>0</v>
      </c>
      <c r="Q22" s="1010">
        <f>SUMIFS('Bank loan table'!AA:AA,'Bank loan table'!$A:$A,'Repayment 25'!$C22,'Bank loan table'!$B:$B,'Repayment 25'!$B22,'Bank loan table'!$E:$E,'Repayment 25'!$D22)</f>
        <v>0</v>
      </c>
      <c r="R22" s="1252">
        <f>SUMIFS('Bank loan table'!AB:AB,'Bank loan table'!$A:$A,'Repayment 25'!$C22,'Bank loan table'!$B:$B,'Repayment 25'!$B22,'Bank loan table'!$E:$E,'Repayment 25'!$D22)</f>
        <v>0</v>
      </c>
      <c r="S22" s="930">
        <f>SUMIFS('Bank loan table'!AC:AC,'Bank loan table'!$A:$A,'Repayment 25'!$C22,'Bank loan table'!$B:$B,'Repayment 25'!$B22,'Bank loan table'!$E:$E,'Repayment 25'!$D22)</f>
        <v>0</v>
      </c>
      <c r="T22" s="931">
        <f>SUMIFS('Bank loan table'!AD:AD,'Bank loan table'!$A:$A,'Repayment 25'!$C22,'Bank loan table'!$B:$B,'Repayment 25'!$B22,'Bank loan table'!$E:$E,'Repayment 25'!$D22)</f>
        <v>0</v>
      </c>
      <c r="U22" s="931">
        <f>SUMIFS('Bank loan table'!AE:AE,'Bank loan table'!$A:$A,'Repayment 25'!$C22,'Bank loan table'!$B:$B,'Repayment 25'!$B22,'Bank loan table'!$E:$E,'Repayment 25'!$D22)</f>
        <v>0</v>
      </c>
      <c r="V22" s="931">
        <f>SUMIFS('Bank loan table'!AF:AF,'Bank loan table'!$A:$A,'Repayment 25'!$C22,'Bank loan table'!$B:$B,'Repayment 25'!$B22,'Bank loan table'!$E:$E,'Repayment 25'!$D22)</f>
        <v>0</v>
      </c>
      <c r="W22" s="931">
        <f>SUMIFS('Bank loan table'!AG:AG,'Bank loan table'!$A:$A,'Repayment 25'!$C22,'Bank loan table'!$B:$B,'Repayment 25'!$B22,'Bank loan table'!$E:$E,'Repayment 25'!$D22)</f>
        <v>0</v>
      </c>
      <c r="X22" s="931">
        <f>SUMIFS('Bank loan table'!AH:AH,'Bank loan table'!$A:$A,'Repayment 25'!$C22,'Bank loan table'!$B:$B,'Repayment 25'!$B22,'Bank loan table'!$E:$E,'Repayment 25'!$D22)</f>
        <v>0</v>
      </c>
      <c r="Y22" s="931">
        <f>SUMIFS('Bank loan table'!AI:AI,'Bank loan table'!$A:$A,'Repayment 25'!$C22,'Bank loan table'!$B:$B,'Repayment 25'!$B22,'Bank loan table'!$E:$E,'Repayment 25'!$D22)</f>
        <v>0</v>
      </c>
      <c r="Z22" s="931">
        <f>SUMIFS('Bank loan table'!AJ:AJ,'Bank loan table'!$A:$A,'Repayment 25'!$C22,'Bank loan table'!$B:$B,'Repayment 25'!$B22,'Bank loan table'!$E:$E,'Repayment 25'!$D22)</f>
        <v>0</v>
      </c>
      <c r="AA22" s="932">
        <f>SUMIFS('Bank loan table'!AK:AK,'Bank loan table'!$A:$A,'Repayment 25'!$C22,'Bank loan table'!$B:$B,'Repayment 25'!$B22,'Bank loan table'!$E:$E,'Repayment 25'!$D22)</f>
        <v>0</v>
      </c>
      <c r="AC22" s="932">
        <f t="shared" si="3"/>
        <v>0</v>
      </c>
    </row>
    <row r="23" spans="2:29" s="926" customFormat="1" ht="32.25" customHeight="1" thickBot="1">
      <c r="B23" s="1346" t="s">
        <v>113</v>
      </c>
      <c r="C23" s="1347"/>
      <c r="D23" s="1052"/>
      <c r="E23" s="936">
        <f t="shared" si="1"/>
        <v>2651.4156473200001</v>
      </c>
      <c r="F23" s="936">
        <f t="shared" si="2"/>
        <v>1329.7098530499998</v>
      </c>
      <c r="G23" s="1144">
        <f t="shared" ref="G23:AA23" si="8">SUM(G19:G22)</f>
        <v>145.95797061000002</v>
      </c>
      <c r="H23" s="934">
        <f t="shared" si="8"/>
        <v>145.95797061000002</v>
      </c>
      <c r="I23" s="934">
        <f t="shared" si="8"/>
        <v>445.95797061000002</v>
      </c>
      <c r="J23" s="934">
        <f t="shared" si="8"/>
        <v>145.95797061000002</v>
      </c>
      <c r="K23" s="934">
        <f t="shared" si="8"/>
        <v>145.95797061000002</v>
      </c>
      <c r="L23" s="934">
        <f t="shared" si="8"/>
        <v>145.95797061000002</v>
      </c>
      <c r="M23" s="934">
        <f t="shared" si="8"/>
        <v>145.95797061000002</v>
      </c>
      <c r="N23" s="934">
        <f t="shared" si="8"/>
        <v>145.95797061000002</v>
      </c>
      <c r="O23" s="934">
        <f t="shared" si="8"/>
        <v>145.95797061000002</v>
      </c>
      <c r="P23" s="934">
        <f t="shared" si="8"/>
        <v>145.95797061000002</v>
      </c>
      <c r="Q23" s="934">
        <f t="shared" si="8"/>
        <v>745.95797061000007</v>
      </c>
      <c r="R23" s="1253">
        <f t="shared" si="8"/>
        <v>145.87797060999964</v>
      </c>
      <c r="S23" s="935">
        <f t="shared" si="8"/>
        <v>1101.46</v>
      </c>
      <c r="T23" s="936">
        <f t="shared" si="8"/>
        <v>501.46</v>
      </c>
      <c r="U23" s="936">
        <f t="shared" si="8"/>
        <v>501.46</v>
      </c>
      <c r="V23" s="936">
        <f t="shared" si="8"/>
        <v>283.71014694999985</v>
      </c>
      <c r="W23" s="936">
        <f t="shared" si="8"/>
        <v>0</v>
      </c>
      <c r="X23" s="936">
        <f t="shared" si="8"/>
        <v>0</v>
      </c>
      <c r="Y23" s="936">
        <f t="shared" si="8"/>
        <v>0</v>
      </c>
      <c r="Z23" s="936">
        <f t="shared" si="8"/>
        <v>0</v>
      </c>
      <c r="AA23" s="933">
        <f t="shared" si="8"/>
        <v>0</v>
      </c>
      <c r="AC23" s="933">
        <f t="shared" si="3"/>
        <v>3717.7999999999997</v>
      </c>
    </row>
    <row r="24" spans="2:29" s="926" customFormat="1" ht="32.25" customHeight="1" thickTop="1">
      <c r="B24" s="1022" t="s">
        <v>569</v>
      </c>
      <c r="C24" s="1023" t="s">
        <v>96</v>
      </c>
      <c r="D24" s="1059" t="str">
        <f>+D19</f>
        <v>Yes</v>
      </c>
      <c r="E24" s="1060">
        <f t="shared" si="1"/>
        <v>4641.2499999699994</v>
      </c>
      <c r="F24" s="1060">
        <f t="shared" si="2"/>
        <v>1887.7499999699999</v>
      </c>
      <c r="G24" s="1145">
        <f t="shared" ref="G24:AA27" si="9">+G4+G9+G14+G19</f>
        <v>169</v>
      </c>
      <c r="H24" s="1024">
        <f t="shared" si="9"/>
        <v>719</v>
      </c>
      <c r="I24" s="1024">
        <f t="shared" si="9"/>
        <v>619</v>
      </c>
      <c r="J24" s="1024">
        <f>+J4+J9+J14+J19</f>
        <v>889</v>
      </c>
      <c r="K24" s="1024">
        <f t="shared" si="9"/>
        <v>133.75</v>
      </c>
      <c r="L24" s="1024">
        <f t="shared" si="9"/>
        <v>223.75</v>
      </c>
      <c r="M24" s="1024">
        <f t="shared" si="9"/>
        <v>0</v>
      </c>
      <c r="N24" s="1024">
        <f t="shared" si="9"/>
        <v>318.74999996999998</v>
      </c>
      <c r="O24" s="1024">
        <f t="shared" si="9"/>
        <v>50</v>
      </c>
      <c r="P24" s="1024">
        <f t="shared" si="9"/>
        <v>0</v>
      </c>
      <c r="Q24" s="1024">
        <f t="shared" si="9"/>
        <v>600</v>
      </c>
      <c r="R24" s="1254">
        <f t="shared" si="9"/>
        <v>919</v>
      </c>
      <c r="S24" s="1025">
        <f t="shared" si="9"/>
        <v>2939</v>
      </c>
      <c r="T24" s="1026">
        <f t="shared" si="9"/>
        <v>0</v>
      </c>
      <c r="U24" s="1026">
        <f t="shared" si="9"/>
        <v>0</v>
      </c>
      <c r="V24" s="1026">
        <f t="shared" si="9"/>
        <v>0</v>
      </c>
      <c r="W24" s="1026">
        <f t="shared" si="9"/>
        <v>0</v>
      </c>
      <c r="X24" s="1026">
        <f t="shared" si="9"/>
        <v>0</v>
      </c>
      <c r="Y24" s="1026">
        <f t="shared" si="9"/>
        <v>0</v>
      </c>
      <c r="Z24" s="1026">
        <f t="shared" si="9"/>
        <v>0</v>
      </c>
      <c r="AA24" s="1027">
        <f t="shared" si="9"/>
        <v>0</v>
      </c>
      <c r="AC24" s="1027">
        <f t="shared" si="3"/>
        <v>4826.7499999699994</v>
      </c>
    </row>
    <row r="25" spans="2:29" s="926" customFormat="1" ht="32.25" customHeight="1">
      <c r="B25" s="1028"/>
      <c r="C25" s="1023" t="s">
        <v>101</v>
      </c>
      <c r="D25" s="1023" t="str">
        <f>+D20</f>
        <v>Yes</v>
      </c>
      <c r="E25" s="1061">
        <f t="shared" si="1"/>
        <v>4333.3832210033333</v>
      </c>
      <c r="F25" s="1061">
        <f t="shared" si="2"/>
        <v>1863.7499925933332</v>
      </c>
      <c r="G25" s="1146">
        <f t="shared" si="9"/>
        <v>232.95797061000002</v>
      </c>
      <c r="H25" s="1029">
        <f t="shared" si="9"/>
        <v>212.95797061000002</v>
      </c>
      <c r="I25" s="1029">
        <f t="shared" si="9"/>
        <v>716.14502792000008</v>
      </c>
      <c r="J25" s="1029">
        <f t="shared" si="9"/>
        <v>232.84396886000002</v>
      </c>
      <c r="K25" s="1029">
        <f t="shared" si="9"/>
        <v>212.62529194000001</v>
      </c>
      <c r="L25" s="1029">
        <f t="shared" si="9"/>
        <v>716.14502786000003</v>
      </c>
      <c r="M25" s="1029">
        <f t="shared" si="9"/>
        <v>145.95797061000002</v>
      </c>
      <c r="N25" s="1029">
        <f t="shared" si="9"/>
        <v>199.29130394000003</v>
      </c>
      <c r="O25" s="1029">
        <f t="shared" si="9"/>
        <v>700.47838809666678</v>
      </c>
      <c r="P25" s="1029">
        <f t="shared" si="9"/>
        <v>154.29130394000001</v>
      </c>
      <c r="Q25" s="1029">
        <f t="shared" si="9"/>
        <v>154.29130394000001</v>
      </c>
      <c r="R25" s="1255">
        <f t="shared" si="9"/>
        <v>655.39769267666634</v>
      </c>
      <c r="S25" s="1030">
        <f t="shared" si="9"/>
        <v>3194.0652289766672</v>
      </c>
      <c r="T25" s="1031">
        <f>+T5+T10+T15+T20</f>
        <v>741.62280647137993</v>
      </c>
      <c r="U25" s="1031">
        <f t="shared" si="9"/>
        <v>715.53051299365598</v>
      </c>
      <c r="V25" s="1031">
        <f t="shared" si="9"/>
        <v>360.87286599496389</v>
      </c>
      <c r="W25" s="1031">
        <f t="shared" si="9"/>
        <v>0</v>
      </c>
      <c r="X25" s="1031">
        <f t="shared" si="9"/>
        <v>0</v>
      </c>
      <c r="Y25" s="1031">
        <f t="shared" si="9"/>
        <v>0</v>
      </c>
      <c r="Z25" s="1031">
        <f t="shared" si="9"/>
        <v>0</v>
      </c>
      <c r="AA25" s="1032">
        <f t="shared" si="9"/>
        <v>0</v>
      </c>
      <c r="AC25" s="1032">
        <f t="shared" si="3"/>
        <v>6875.8414070300005</v>
      </c>
    </row>
    <row r="26" spans="2:29" s="926" customFormat="1" ht="32.25" customHeight="1">
      <c r="B26" s="1033"/>
      <c r="C26" s="1034" t="s">
        <v>96</v>
      </c>
      <c r="D26" s="1034" t="str">
        <f>+D21</f>
        <v>No</v>
      </c>
      <c r="E26" s="1062">
        <f t="shared" si="1"/>
        <v>6621.7041447299989</v>
      </c>
      <c r="F26" s="1062">
        <f t="shared" si="2"/>
        <v>1933.3041447099999</v>
      </c>
      <c r="G26" s="1147">
        <f t="shared" si="9"/>
        <v>907</v>
      </c>
      <c r="H26" s="1035">
        <f t="shared" si="9"/>
        <v>1143</v>
      </c>
      <c r="I26" s="1035">
        <f t="shared" si="9"/>
        <v>840.00000002000002</v>
      </c>
      <c r="J26" s="1035">
        <f t="shared" si="9"/>
        <v>705</v>
      </c>
      <c r="K26" s="1035">
        <f t="shared" si="9"/>
        <v>831.7</v>
      </c>
      <c r="L26" s="1035">
        <f t="shared" si="9"/>
        <v>261.7</v>
      </c>
      <c r="M26" s="1035">
        <f t="shared" si="9"/>
        <v>0</v>
      </c>
      <c r="N26" s="1035">
        <f t="shared" si="9"/>
        <v>0</v>
      </c>
      <c r="O26" s="1035">
        <f t="shared" si="9"/>
        <v>253.39999998000002</v>
      </c>
      <c r="P26" s="1035">
        <f t="shared" si="9"/>
        <v>250</v>
      </c>
      <c r="Q26" s="1035">
        <f t="shared" si="9"/>
        <v>486</v>
      </c>
      <c r="R26" s="1256">
        <f t="shared" si="9"/>
        <v>943.90414472999998</v>
      </c>
      <c r="S26" s="1036">
        <f t="shared" si="9"/>
        <v>4864.4164349399998</v>
      </c>
      <c r="T26" s="1037">
        <f t="shared" si="9"/>
        <v>0</v>
      </c>
      <c r="U26" s="1037">
        <f t="shared" si="9"/>
        <v>0</v>
      </c>
      <c r="V26" s="1037">
        <f t="shared" si="9"/>
        <v>0</v>
      </c>
      <c r="W26" s="1037">
        <f t="shared" si="9"/>
        <v>0</v>
      </c>
      <c r="X26" s="1037">
        <f t="shared" si="9"/>
        <v>0</v>
      </c>
      <c r="Y26" s="1037">
        <f t="shared" si="9"/>
        <v>0</v>
      </c>
      <c r="Z26" s="1037">
        <f t="shared" si="9"/>
        <v>0</v>
      </c>
      <c r="AA26" s="1038">
        <f t="shared" si="9"/>
        <v>0</v>
      </c>
      <c r="AC26" s="1038">
        <f t="shared" si="3"/>
        <v>6797.7205796500002</v>
      </c>
    </row>
    <row r="27" spans="2:29" s="926" customFormat="1" ht="32.25" customHeight="1">
      <c r="B27" s="1039"/>
      <c r="C27" s="1040" t="s">
        <v>101</v>
      </c>
      <c r="D27" s="1063" t="str">
        <f t="shared" ref="D27" si="10">+D22</f>
        <v>No</v>
      </c>
      <c r="E27" s="1064">
        <f t="shared" si="1"/>
        <v>2324.6927013700006</v>
      </c>
      <c r="F27" s="1064">
        <f t="shared" si="2"/>
        <v>1298.67150649</v>
      </c>
      <c r="G27" s="1148">
        <f t="shared" si="9"/>
        <v>53</v>
      </c>
      <c r="H27" s="1041">
        <f t="shared" si="9"/>
        <v>18</v>
      </c>
      <c r="I27" s="1041">
        <f t="shared" si="9"/>
        <v>436.85486900000001</v>
      </c>
      <c r="J27" s="1041">
        <f t="shared" si="9"/>
        <v>60.67705388000001</v>
      </c>
      <c r="K27" s="1041">
        <f t="shared" si="9"/>
        <v>21.317536000000008</v>
      </c>
      <c r="L27" s="1041">
        <f t="shared" si="9"/>
        <v>436.17173600000001</v>
      </c>
      <c r="M27" s="1041">
        <f t="shared" si="9"/>
        <v>0</v>
      </c>
      <c r="N27" s="1041">
        <f t="shared" si="9"/>
        <v>23.400902670000001</v>
      </c>
      <c r="O27" s="1041">
        <f t="shared" si="9"/>
        <v>446.73439924000002</v>
      </c>
      <c r="P27" s="1041">
        <f t="shared" si="9"/>
        <v>23.400902670000001</v>
      </c>
      <c r="Q27" s="1041">
        <f t="shared" si="9"/>
        <v>23.400902670000001</v>
      </c>
      <c r="R27" s="1257">
        <f t="shared" si="9"/>
        <v>781.73439924000002</v>
      </c>
      <c r="S27" s="1042">
        <f t="shared" si="9"/>
        <v>2279.0090148700001</v>
      </c>
      <c r="T27" s="1043">
        <f t="shared" si="9"/>
        <v>2185.7734040400001</v>
      </c>
      <c r="U27" s="1043">
        <f t="shared" si="9"/>
        <v>2154.0004040399999</v>
      </c>
      <c r="V27" s="1043">
        <f t="shared" si="9"/>
        <v>2108.57100567</v>
      </c>
      <c r="W27" s="1043">
        <f t="shared" si="9"/>
        <v>1989</v>
      </c>
      <c r="X27" s="1043">
        <f t="shared" si="9"/>
        <v>1928</v>
      </c>
      <c r="Y27" s="1043">
        <f t="shared" si="9"/>
        <v>0</v>
      </c>
      <c r="Z27" s="1043">
        <f t="shared" si="9"/>
        <v>0</v>
      </c>
      <c r="AA27" s="1044">
        <f t="shared" si="9"/>
        <v>0</v>
      </c>
      <c r="AC27" s="1044">
        <f t="shared" si="3"/>
        <v>13943.02533511</v>
      </c>
    </row>
    <row r="28" spans="2:29" s="926" customFormat="1" ht="32.25" customHeight="1" thickBot="1">
      <c r="B28" s="1346" t="s">
        <v>113</v>
      </c>
      <c r="C28" s="1347"/>
      <c r="D28" s="1052"/>
      <c r="E28" s="936">
        <f t="shared" si="1"/>
        <v>17921.030067073334</v>
      </c>
      <c r="F28" s="936">
        <f t="shared" si="2"/>
        <v>6983.4756437633332</v>
      </c>
      <c r="G28" s="1144">
        <f t="shared" ref="G28:AA28" si="11">SUM(G24:G27)</f>
        <v>1361.9579706100001</v>
      </c>
      <c r="H28" s="934">
        <f t="shared" si="11"/>
        <v>2092.9579706100003</v>
      </c>
      <c r="I28" s="934">
        <f t="shared" si="11"/>
        <v>2611.9998969400003</v>
      </c>
      <c r="J28" s="934">
        <f t="shared" si="11"/>
        <v>1887.52102274</v>
      </c>
      <c r="K28" s="934">
        <f t="shared" si="11"/>
        <v>1199.3928279400002</v>
      </c>
      <c r="L28" s="934">
        <f t="shared" si="11"/>
        <v>1637.7667638600001</v>
      </c>
      <c r="M28" s="934">
        <f t="shared" si="11"/>
        <v>145.95797061000002</v>
      </c>
      <c r="N28" s="934">
        <f t="shared" si="11"/>
        <v>541.44220658000006</v>
      </c>
      <c r="O28" s="934">
        <f t="shared" si="11"/>
        <v>1450.612787316667</v>
      </c>
      <c r="P28" s="934">
        <f t="shared" si="11"/>
        <v>427.69220661000003</v>
      </c>
      <c r="Q28" s="934">
        <f t="shared" si="11"/>
        <v>1263.6922066100001</v>
      </c>
      <c r="R28" s="1253">
        <f t="shared" si="11"/>
        <v>3300.0362366466666</v>
      </c>
      <c r="S28" s="935">
        <f t="shared" si="11"/>
        <v>13276.490678786668</v>
      </c>
      <c r="T28" s="936">
        <f t="shared" si="11"/>
        <v>2927.3962105113801</v>
      </c>
      <c r="U28" s="936">
        <f t="shared" si="11"/>
        <v>2869.5309170336559</v>
      </c>
      <c r="V28" s="936">
        <f t="shared" si="11"/>
        <v>2469.4438716649638</v>
      </c>
      <c r="W28" s="936">
        <f t="shared" si="11"/>
        <v>1989</v>
      </c>
      <c r="X28" s="936">
        <f t="shared" si="11"/>
        <v>1928</v>
      </c>
      <c r="Y28" s="936">
        <f t="shared" si="11"/>
        <v>0</v>
      </c>
      <c r="Z28" s="936">
        <f t="shared" si="11"/>
        <v>0</v>
      </c>
      <c r="AA28" s="933">
        <f t="shared" si="11"/>
        <v>0</v>
      </c>
      <c r="AC28" s="933">
        <f t="shared" si="3"/>
        <v>32443.337321760002</v>
      </c>
    </row>
    <row r="29" spans="2:29" ht="32.25" customHeight="1" thickTop="1">
      <c r="E29" s="937">
        <f t="shared" ref="E29:AA29" si="12">+E8+E13+E18+E23-E24-E26-E25-E27</f>
        <v>0</v>
      </c>
      <c r="F29" s="937">
        <f>+F8+F13+F18+F23-F24-F26-F25-F27</f>
        <v>0</v>
      </c>
      <c r="G29" s="937">
        <f t="shared" si="12"/>
        <v>5.6843418860808015E-14</v>
      </c>
      <c r="H29" s="937">
        <f t="shared" si="12"/>
        <v>-1.7053025658242404E-13</v>
      </c>
      <c r="I29" s="937">
        <f t="shared" si="12"/>
        <v>0</v>
      </c>
      <c r="J29" s="937">
        <f t="shared" si="12"/>
        <v>0</v>
      </c>
      <c r="K29" s="937">
        <f t="shared" si="12"/>
        <v>-1.0302869668521453E-13</v>
      </c>
      <c r="L29" s="937">
        <f t="shared" si="12"/>
        <v>0</v>
      </c>
      <c r="M29" s="937">
        <f t="shared" si="12"/>
        <v>0</v>
      </c>
      <c r="N29" s="937">
        <f t="shared" si="12"/>
        <v>-6.3948846218409017E-14</v>
      </c>
      <c r="O29" s="937">
        <f t="shared" si="12"/>
        <v>0</v>
      </c>
      <c r="P29" s="937">
        <f t="shared" si="12"/>
        <v>0</v>
      </c>
      <c r="Q29" s="937">
        <f t="shared" si="12"/>
        <v>7.815970093361102E-14</v>
      </c>
      <c r="R29" s="937">
        <f t="shared" si="12"/>
        <v>0</v>
      </c>
      <c r="S29" s="937">
        <f t="shared" si="12"/>
        <v>0</v>
      </c>
      <c r="T29" s="937">
        <f t="shared" si="12"/>
        <v>0</v>
      </c>
      <c r="U29" s="937">
        <f t="shared" si="12"/>
        <v>0</v>
      </c>
      <c r="V29" s="937">
        <f t="shared" si="12"/>
        <v>0</v>
      </c>
      <c r="W29" s="937">
        <f t="shared" si="12"/>
        <v>0</v>
      </c>
      <c r="X29" s="937">
        <f t="shared" si="12"/>
        <v>0</v>
      </c>
      <c r="Y29" s="937">
        <f t="shared" si="12"/>
        <v>0</v>
      </c>
      <c r="Z29" s="937">
        <f t="shared" si="12"/>
        <v>0</v>
      </c>
      <c r="AA29" s="937">
        <f t="shared" si="12"/>
        <v>0</v>
      </c>
      <c r="AC29" s="937">
        <f>+AC28-'SUM Loan (Subsidy)'!E20</f>
        <v>0</v>
      </c>
    </row>
    <row r="30" spans="2:29" ht="32.25" customHeight="1">
      <c r="B30" s="1045"/>
      <c r="C30" s="1046"/>
      <c r="D30" s="1046"/>
      <c r="G30" s="1293"/>
      <c r="H30" s="1294" t="s">
        <v>691</v>
      </c>
    </row>
    <row r="31" spans="2:29" ht="32.25" customHeight="1">
      <c r="B31" s="1045"/>
      <c r="C31" s="1046"/>
      <c r="D31" s="1046"/>
      <c r="H31" s="1047"/>
      <c r="AC31" s="1126"/>
    </row>
    <row r="32" spans="2:29" ht="32.25" customHeight="1">
      <c r="B32" s="1045"/>
      <c r="C32" s="1046"/>
      <c r="D32" s="1046"/>
      <c r="G32" s="1047"/>
    </row>
    <row r="33" spans="2:9" ht="32.25" customHeight="1">
      <c r="B33" s="1045"/>
      <c r="C33" s="1046"/>
      <c r="D33" s="1046"/>
      <c r="G33" s="1047"/>
    </row>
    <row r="34" spans="2:9" ht="32.25" customHeight="1">
      <c r="B34" s="1045"/>
      <c r="C34" s="1046"/>
      <c r="D34" s="1046"/>
      <c r="G34" s="1047"/>
    </row>
    <row r="35" spans="2:9" ht="32.25" customHeight="1">
      <c r="B35" s="1045"/>
      <c r="C35" s="1046"/>
      <c r="D35" s="1046"/>
      <c r="I35" s="1047"/>
    </row>
    <row r="36" spans="2:9" ht="32.25" customHeight="1">
      <c r="B36" s="1045"/>
      <c r="C36" s="1046"/>
      <c r="D36" s="1046"/>
      <c r="H36" s="1047"/>
    </row>
    <row r="37" spans="2:9" ht="32.25" customHeight="1">
      <c r="B37" s="1045"/>
      <c r="C37" s="1046"/>
      <c r="D37" s="1046"/>
      <c r="H37" s="1047"/>
    </row>
    <row r="38" spans="2:9" ht="32.25" customHeight="1">
      <c r="B38" s="1045"/>
      <c r="C38" s="1046"/>
      <c r="D38" s="1046"/>
      <c r="G38" s="1047"/>
    </row>
    <row r="39" spans="2:9" ht="32.25" customHeight="1">
      <c r="B39" s="1045"/>
      <c r="C39" s="1046"/>
      <c r="D39" s="1046"/>
      <c r="G39" s="1047"/>
    </row>
    <row r="40" spans="2:9" ht="32.25" customHeight="1">
      <c r="B40" s="1045"/>
      <c r="G40" s="1047"/>
      <c r="H40" s="1047"/>
      <c r="I40" s="1047"/>
    </row>
  </sheetData>
  <mergeCells count="19">
    <mergeCell ref="AC2:AC3"/>
    <mergeCell ref="B8:C8"/>
    <mergeCell ref="B13:C13"/>
    <mergeCell ref="B18:C18"/>
    <mergeCell ref="B23:C23"/>
    <mergeCell ref="U2:U3"/>
    <mergeCell ref="V2:V3"/>
    <mergeCell ref="W2:W3"/>
    <mergeCell ref="X2:X3"/>
    <mergeCell ref="Y2:Y3"/>
    <mergeCell ref="Z2:Z3"/>
    <mergeCell ref="B2:C3"/>
    <mergeCell ref="D2:D3"/>
    <mergeCell ref="E2:E3"/>
    <mergeCell ref="F2:F3"/>
    <mergeCell ref="S2:S3"/>
    <mergeCell ref="T2:T3"/>
    <mergeCell ref="B28:C28"/>
    <mergeCell ref="AA2:AA3"/>
  </mergeCells>
  <pageMargins left="0.7" right="0.7" top="0.75" bottom="0.75" header="0.3" footer="0.3"/>
  <pageSetup paperSize="9" scale="37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S66"/>
  <sheetViews>
    <sheetView showGridLines="0" showZeros="0" zoomScale="90" zoomScaleNormal="80" workbookViewId="0">
      <pane xSplit="2" ySplit="3" topLeftCell="C44" activePane="bottomRight" state="frozen"/>
      <selection pane="topRight" activeCell="C1" sqref="C1"/>
      <selection pane="bottomLeft" activeCell="A4" sqref="A4"/>
      <selection pane="bottomRight" sqref="A1:XFD1048576"/>
    </sheetView>
  </sheetViews>
  <sheetFormatPr defaultColWidth="9.21875" defaultRowHeight="21" customHeight="1"/>
  <cols>
    <col min="1" max="1" width="2.21875" style="867" customWidth="1"/>
    <col min="2" max="2" width="23" style="787" customWidth="1"/>
    <col min="3" max="3" width="15.6640625" style="867" customWidth="1"/>
    <col min="4" max="5" width="12.21875" style="867" customWidth="1"/>
    <col min="6" max="7" width="15.6640625" style="867" customWidth="1"/>
    <col min="8" max="8" width="0.77734375" style="867" customWidth="1"/>
    <col min="9" max="9" width="15.6640625" style="867" customWidth="1"/>
    <col min="10" max="11" width="12.21875" style="867" customWidth="1"/>
    <col min="12" max="13" width="15.6640625" style="867" customWidth="1"/>
    <col min="14" max="14" width="0.77734375" style="867" customWidth="1"/>
    <col min="15" max="15" width="15.6640625" style="867" customWidth="1"/>
    <col min="16" max="17" width="12.21875" style="867" customWidth="1"/>
    <col min="18" max="19" width="15.6640625" style="867" customWidth="1"/>
    <col min="20" max="16384" width="9.21875" style="867"/>
  </cols>
  <sheetData>
    <row r="1" spans="2:19" ht="21" customHeight="1">
      <c r="S1" s="868" t="s">
        <v>495</v>
      </c>
    </row>
    <row r="2" spans="2:19" ht="21" customHeight="1">
      <c r="B2" s="869" t="s">
        <v>532</v>
      </c>
      <c r="C2" s="1354" t="s">
        <v>488</v>
      </c>
      <c r="D2" s="1355"/>
      <c r="E2" s="1356"/>
      <c r="F2" s="870" t="s">
        <v>539</v>
      </c>
      <c r="G2" s="871">
        <f>+'Exchange plan'!E7</f>
        <v>20</v>
      </c>
      <c r="I2" s="1354" t="s">
        <v>155</v>
      </c>
      <c r="J2" s="1355"/>
      <c r="K2" s="1356"/>
      <c r="L2" s="870" t="s">
        <v>539</v>
      </c>
      <c r="M2" s="871">
        <f>+'Exchange plan'!E6</f>
        <v>11.46</v>
      </c>
      <c r="O2" s="1354" t="s">
        <v>487</v>
      </c>
      <c r="P2" s="1355"/>
      <c r="Q2" s="1356"/>
      <c r="R2" s="870" t="s">
        <v>539</v>
      </c>
      <c r="S2" s="871">
        <f>+'Exchange plan'!E5</f>
        <v>10</v>
      </c>
    </row>
    <row r="3" spans="2:19" ht="21" customHeight="1">
      <c r="B3" s="872" t="s">
        <v>538</v>
      </c>
      <c r="C3" s="872" t="s">
        <v>533</v>
      </c>
      <c r="D3" s="872" t="s">
        <v>534</v>
      </c>
      <c r="E3" s="872" t="s">
        <v>535</v>
      </c>
      <c r="F3" s="872" t="s">
        <v>536</v>
      </c>
      <c r="G3" s="872" t="s">
        <v>537</v>
      </c>
      <c r="I3" s="872" t="s">
        <v>533</v>
      </c>
      <c r="J3" s="872" t="s">
        <v>534</v>
      </c>
      <c r="K3" s="872" t="s">
        <v>535</v>
      </c>
      <c r="L3" s="872" t="s">
        <v>536</v>
      </c>
      <c r="M3" s="872" t="s">
        <v>537</v>
      </c>
      <c r="O3" s="872" t="s">
        <v>533</v>
      </c>
      <c r="P3" s="872" t="s">
        <v>534</v>
      </c>
      <c r="Q3" s="872" t="s">
        <v>535</v>
      </c>
      <c r="R3" s="872" t="s">
        <v>536</v>
      </c>
      <c r="S3" s="872" t="s">
        <v>537</v>
      </c>
    </row>
    <row r="4" spans="2:19" ht="21" customHeight="1">
      <c r="B4" s="876">
        <v>44988</v>
      </c>
      <c r="C4" s="873">
        <v>3.5</v>
      </c>
      <c r="D4" s="873">
        <f>+'Daily exchange'!I3</f>
        <v>13.6</v>
      </c>
      <c r="E4" s="873"/>
      <c r="F4" s="873">
        <f>+C4+D4+E4</f>
        <v>17.100000000000001</v>
      </c>
      <c r="G4" s="873">
        <f>+$G$2-F4</f>
        <v>2.8999999999999986</v>
      </c>
      <c r="H4" s="874"/>
      <c r="I4" s="873">
        <v>0.6</v>
      </c>
      <c r="J4" s="873">
        <f>+'Daily exchange'!F3</f>
        <v>3</v>
      </c>
      <c r="K4" s="873">
        <v>-0.5</v>
      </c>
      <c r="L4" s="873">
        <f>+I4+J4+K4</f>
        <v>3.1</v>
      </c>
      <c r="M4" s="873">
        <f>+$M$2-L4</f>
        <v>8.3600000000000012</v>
      </c>
      <c r="N4" s="874"/>
      <c r="O4" s="873">
        <v>1.4</v>
      </c>
      <c r="P4" s="873">
        <f>+'Daily exchange'!C3</f>
        <v>0</v>
      </c>
      <c r="Q4" s="873"/>
      <c r="R4" s="873">
        <f>+O4+P4+Q4</f>
        <v>1.4</v>
      </c>
      <c r="S4" s="873">
        <f>+$S$2-R4</f>
        <v>8.6</v>
      </c>
    </row>
    <row r="5" spans="2:19" ht="21" customHeight="1">
      <c r="B5" s="876">
        <v>44991</v>
      </c>
      <c r="C5" s="873">
        <f>+F4</f>
        <v>17.100000000000001</v>
      </c>
      <c r="D5" s="873"/>
      <c r="E5" s="873">
        <f>+F5-C5-D5</f>
        <v>4421.064137103298</v>
      </c>
      <c r="F5" s="873">
        <f>(SUMIF(Daily!$3:$3,$B5,Daily!$23:$23)+SUMIF(Daily!$3:$3,$B5,Daily!$25:$25))*'Cash in bank report'!$E$2/'Cash in bank report'!$E$4</f>
        <v>4438.1641371032983</v>
      </c>
      <c r="G5" s="873">
        <f t="shared" ref="G5:G30" si="0">+$G$2-F5</f>
        <v>-4418.1641371032983</v>
      </c>
      <c r="H5" s="874"/>
      <c r="I5" s="873">
        <f>+L4</f>
        <v>3.1</v>
      </c>
      <c r="J5" s="873"/>
      <c r="K5" s="873">
        <f>+L5-I5-J5</f>
        <v>-0.31192150146774278</v>
      </c>
      <c r="L5" s="873">
        <f>(SUMIF(Daily!$3:$3,$B5,Daily!$19:$19)+SUMIF(Daily!$3:$3,$B5,Daily!$21:$21))*'Cash in bank report'!$E$2/'Cash in bank report'!$E$3</f>
        <v>2.7880784985322573</v>
      </c>
      <c r="M5" s="873">
        <f t="shared" ref="M5:M30" si="1">+$M$2-L5</f>
        <v>8.6719215014677431</v>
      </c>
      <c r="N5" s="874"/>
      <c r="O5" s="873">
        <f>+R4</f>
        <v>1.4</v>
      </c>
      <c r="P5" s="873"/>
      <c r="Q5" s="873">
        <f>+R5-O5-P5</f>
        <v>-1.7209409999999759E-2</v>
      </c>
      <c r="R5" s="873">
        <f>(SUMIF(Daily!$3:$3,$B5,Daily!$15:$15)+SUMIF(Daily!$3:$3,$B5,Daily!$17:$17))</f>
        <v>1.3827905900000002</v>
      </c>
      <c r="S5" s="873">
        <f t="shared" ref="S5:S27" si="2">+$S$2-R5</f>
        <v>8.6172094099999992</v>
      </c>
    </row>
    <row r="6" spans="2:19" ht="21" customHeight="1">
      <c r="B6" s="876">
        <v>44992</v>
      </c>
      <c r="C6" s="873">
        <f>+F5</f>
        <v>4438.1641371032983</v>
      </c>
      <c r="D6" s="873"/>
      <c r="E6" s="873">
        <f>+F6-C6-D6</f>
        <v>-4427.4868817237011</v>
      </c>
      <c r="F6" s="873">
        <f>(SUMIF(Daily!$3:$3,$B6,Daily!$23:$23)+SUMIF(Daily!$3:$3,$B6,Daily!$25:$25))*'Cash in bank report'!$E$2/'Cash in bank report'!$E$4</f>
        <v>10.677255379596867</v>
      </c>
      <c r="G6" s="873">
        <f t="shared" si="0"/>
        <v>9.3227446204031335</v>
      </c>
      <c r="H6" s="874"/>
      <c r="I6" s="873">
        <f>+L5</f>
        <v>2.7880784985322573</v>
      </c>
      <c r="J6" s="873"/>
      <c r="K6" s="873">
        <f>+L6-I6-J6</f>
        <v>-0.17431368138582126</v>
      </c>
      <c r="L6" s="873">
        <f>(SUMIF(Daily!$3:$3,$B6,Daily!$19:$19)+SUMIF(Daily!$3:$3,$B6,Daily!$21:$21))*'Cash in bank report'!$E$2/'Cash in bank report'!$E$3</f>
        <v>2.613764817146436</v>
      </c>
      <c r="M6" s="873">
        <f t="shared" si="1"/>
        <v>8.8462351828535652</v>
      </c>
      <c r="N6" s="874"/>
      <c r="O6" s="873">
        <f>+R5</f>
        <v>1.3827905900000002</v>
      </c>
      <c r="P6" s="873"/>
      <c r="Q6" s="873">
        <f>+R6-O6-P6</f>
        <v>-0.10158100000000014</v>
      </c>
      <c r="R6" s="873">
        <f>(SUMIF(Daily!$3:$3,$B6,Daily!$15:$15)+SUMIF(Daily!$3:$3,$B6,Daily!$17:$17))</f>
        <v>1.28120959</v>
      </c>
      <c r="S6" s="873">
        <f t="shared" si="2"/>
        <v>8.7187904100000004</v>
      </c>
    </row>
    <row r="7" spans="2:19" ht="21" customHeight="1">
      <c r="B7" s="876">
        <v>45006</v>
      </c>
      <c r="C7" s="873">
        <f>+F6</f>
        <v>10.677255379596867</v>
      </c>
      <c r="D7" s="873"/>
      <c r="E7" s="873">
        <f>+F7-C7-D7</f>
        <v>-0.42327977615610024</v>
      </c>
      <c r="F7" s="873">
        <f>(SUMIF(Daily!$3:$3,$B7,Daily!$23:$23)+SUMIF(Daily!$3:$3,$B7,Daily!$25:$25))*'Cash in bank report'!$E$2/'Cash in bank report'!$E$4</f>
        <v>10.253975603440766</v>
      </c>
      <c r="G7" s="873">
        <f t="shared" si="0"/>
        <v>9.7460243965592337</v>
      </c>
      <c r="H7" s="874"/>
      <c r="I7" s="873">
        <f>+L6</f>
        <v>2.613764817146436</v>
      </c>
      <c r="J7" s="873"/>
      <c r="K7" s="873">
        <f>+L7-I7-J7</f>
        <v>-0.42364936617107229</v>
      </c>
      <c r="L7" s="873">
        <f>(SUMIF(Daily!$3:$3,$B7,Daily!$19:$19)+SUMIF(Daily!$3:$3,$B7,Daily!$21:$21))*'Cash in bank report'!$E$2/'Cash in bank report'!$E$3</f>
        <v>2.1901154509753638</v>
      </c>
      <c r="M7" s="873">
        <f t="shared" si="1"/>
        <v>9.2698845490246367</v>
      </c>
      <c r="N7" s="874"/>
      <c r="O7" s="873">
        <f>+R6</f>
        <v>1.28120959</v>
      </c>
      <c r="P7" s="873"/>
      <c r="Q7" s="873">
        <f>+R7-O7-P7</f>
        <v>0</v>
      </c>
      <c r="R7" s="873">
        <f>(SUMIF(Daily!$3:$3,$B7,Daily!$15:$15)+SUMIF(Daily!$3:$3,$B7,Daily!$17:$17))</f>
        <v>1.28120959</v>
      </c>
      <c r="S7" s="873">
        <f t="shared" si="2"/>
        <v>8.7187904100000004</v>
      </c>
    </row>
    <row r="8" spans="2:19" ht="21" customHeight="1">
      <c r="B8" s="876">
        <v>45007</v>
      </c>
      <c r="C8" s="873">
        <f>+F7</f>
        <v>10.253975603440766</v>
      </c>
      <c r="D8" s="873"/>
      <c r="E8" s="873"/>
      <c r="F8" s="873">
        <f>(SUMIF(Daily!$3:$3,$B8,Daily!$23:$23)+SUMIF(Daily!$3:$3,$B8,Daily!$25:$25))*'Cash in bank report'!$E$2/'Cash in bank report'!$E$4</f>
        <v>10.270754169271651</v>
      </c>
      <c r="G8" s="873">
        <f t="shared" si="0"/>
        <v>9.7292458307283489</v>
      </c>
      <c r="H8" s="874"/>
      <c r="I8" s="873"/>
      <c r="J8" s="873"/>
      <c r="K8" s="873"/>
      <c r="L8" s="873"/>
      <c r="M8" s="873">
        <f t="shared" si="1"/>
        <v>11.46</v>
      </c>
      <c r="N8" s="874"/>
      <c r="O8" s="873"/>
      <c r="P8" s="873"/>
      <c r="Q8" s="873"/>
      <c r="R8" s="873"/>
      <c r="S8" s="873">
        <f t="shared" si="2"/>
        <v>10</v>
      </c>
    </row>
    <row r="9" spans="2:19" ht="21" customHeight="1">
      <c r="B9" s="876">
        <v>45009</v>
      </c>
      <c r="C9" s="873">
        <f t="shared" ref="C9:C21" si="3">+F8</f>
        <v>10.270754169271651</v>
      </c>
      <c r="D9" s="873">
        <f>+'Daily exchange'!I7</f>
        <v>0</v>
      </c>
      <c r="E9" s="873"/>
      <c r="F9" s="873">
        <f>(SUMIF(Daily!$3:$3,$B9,Daily!$23:$23)+SUMIF(Daily!$3:$3,$B9,Daily!$25:$25))*'Cash in bank report'!$E$2/'Cash in bank report'!$E$4</f>
        <v>10.343030555217052</v>
      </c>
      <c r="G9" s="873">
        <f t="shared" si="0"/>
        <v>9.6569694447829484</v>
      </c>
      <c r="H9" s="874"/>
      <c r="I9" s="873">
        <f>+L7</f>
        <v>2.1901154509753638</v>
      </c>
      <c r="J9" s="873"/>
      <c r="K9" s="873">
        <f>+L9-I9-J9</f>
        <v>-0.44243358622877094</v>
      </c>
      <c r="L9" s="873">
        <f>(SUMIF(Daily!$3:$3,$B9,Daily!$19:$19)+SUMIF(Daily!$3:$3,$B9,Daily!$21:$21))*'Cash in bank report'!$E$2/'Cash in bank report'!$E$3</f>
        <v>1.7476818647465928</v>
      </c>
      <c r="M9" s="873">
        <f t="shared" si="1"/>
        <v>9.7123181352534083</v>
      </c>
      <c r="N9" s="874"/>
      <c r="O9" s="873">
        <f>+R7</f>
        <v>1.28120959</v>
      </c>
      <c r="P9" s="873"/>
      <c r="Q9" s="873"/>
      <c r="R9" s="873">
        <f>(SUMIF(Daily!$3:$3,$B9,Daily!$15:$15)+SUMIF(Daily!$3:$3,$B9,Daily!$17:$17))</f>
        <v>1.2812095900000002</v>
      </c>
      <c r="S9" s="873">
        <f t="shared" si="2"/>
        <v>8.7187904100000004</v>
      </c>
    </row>
    <row r="10" spans="2:19" ht="21" customHeight="1">
      <c r="B10" s="876">
        <v>45013</v>
      </c>
      <c r="C10" s="873">
        <f t="shared" si="3"/>
        <v>10.343030555217052</v>
      </c>
      <c r="D10" s="873"/>
      <c r="E10" s="873">
        <f>+F10-C10-D10</f>
        <v>-3.3676677973671945</v>
      </c>
      <c r="F10" s="873">
        <f>(SUMIF(Daily!$3:$3,$B10,Daily!$23:$23)+SUMIF(Daily!$3:$3,$B10,Daily!$25:$25))*'Cash in bank report'!$E$2/'Cash in bank report'!$E$4</f>
        <v>6.9753627578498572</v>
      </c>
      <c r="G10" s="873">
        <f t="shared" si="0"/>
        <v>13.024637242150142</v>
      </c>
      <c r="H10" s="874"/>
      <c r="I10" s="873">
        <f>+L9</f>
        <v>1.7476818647465928</v>
      </c>
      <c r="J10" s="873">
        <f>'Daily exchange'!F4</f>
        <v>0.27</v>
      </c>
      <c r="K10" s="873">
        <f>J10</f>
        <v>0.27</v>
      </c>
      <c r="L10" s="873">
        <f>(SUMIF(Daily!$3:$3,$B10,Daily!$19:$19)+SUMIF(Daily!$3:$3,$B10,Daily!$21:$21))*'Cash in bank report'!$E$2/'Cash in bank report'!$E$3</f>
        <v>1.7476818647465928</v>
      </c>
      <c r="M10" s="873">
        <f t="shared" si="1"/>
        <v>9.7123181352534083</v>
      </c>
      <c r="N10" s="874"/>
      <c r="O10" s="873">
        <f>+R9</f>
        <v>1.2812095900000002</v>
      </c>
      <c r="P10" s="873"/>
      <c r="Q10" s="873">
        <f>+R10-O10-P10</f>
        <v>0</v>
      </c>
      <c r="R10" s="873">
        <f>(SUMIF(Daily!$3:$3,$B10,Daily!$15:$15)+SUMIF(Daily!$3:$3,$B10,Daily!$17:$17))</f>
        <v>1.2812095900000002</v>
      </c>
      <c r="S10" s="873">
        <f t="shared" si="2"/>
        <v>8.7187904100000004</v>
      </c>
    </row>
    <row r="11" spans="2:19" ht="21" customHeight="1">
      <c r="B11" s="876">
        <v>45014</v>
      </c>
      <c r="C11" s="873">
        <f t="shared" si="3"/>
        <v>6.9753627578498572</v>
      </c>
      <c r="D11" s="873"/>
      <c r="E11" s="873">
        <f>+F11-C11-D11</f>
        <v>-2.8629316877892386E-2</v>
      </c>
      <c r="F11" s="873">
        <f>(SUMIF(Daily!$3:$3,$B11,Daily!$23:$23)+SUMIF(Daily!$3:$3,$B11,Daily!$25:$25))*'Cash in bank report'!$E$2/'Cash in bank report'!$E$4</f>
        <v>6.9467334409719648</v>
      </c>
      <c r="G11" s="873">
        <f t="shared" si="0"/>
        <v>13.053266559028035</v>
      </c>
      <c r="H11" s="874"/>
      <c r="I11" s="873">
        <f>+L10</f>
        <v>1.7476818647465928</v>
      </c>
      <c r="J11" s="873"/>
      <c r="K11" s="873">
        <f>+L11-I11-J11</f>
        <v>-1.4294121718052333E-2</v>
      </c>
      <c r="L11" s="873">
        <f>(SUMIF(Daily!$3:$3,$B11,Daily!$19:$19)+SUMIF(Daily!$3:$3,$B11,Daily!$21:$21))*'Cash in bank report'!$E$2/'Cash in bank report'!$E$3</f>
        <v>1.7333877430285405</v>
      </c>
      <c r="M11" s="873">
        <f t="shared" si="1"/>
        <v>9.7266122569714604</v>
      </c>
      <c r="N11" s="874"/>
      <c r="O11" s="873">
        <f>+R10</f>
        <v>1.2812095900000002</v>
      </c>
      <c r="P11" s="873"/>
      <c r="Q11" s="873">
        <f>+R11-O11-P11</f>
        <v>0</v>
      </c>
      <c r="R11" s="873">
        <f>(SUMIF(Daily!$3:$3,$B11,Daily!$15:$15)+SUMIF(Daily!$3:$3,$B11,Daily!$17:$17))</f>
        <v>1.2812095900000002</v>
      </c>
      <c r="S11" s="873">
        <f t="shared" si="2"/>
        <v>8.7187904100000004</v>
      </c>
    </row>
    <row r="12" spans="2:19" ht="21" customHeight="1">
      <c r="B12" s="876">
        <v>45015</v>
      </c>
      <c r="C12" s="873">
        <f t="shared" si="3"/>
        <v>6.9467334409719648</v>
      </c>
      <c r="D12" s="873"/>
      <c r="E12" s="873"/>
      <c r="F12" s="873">
        <f>(SUMIF(Daily!$3:$3,$B12,Daily!$23:$23)+SUMIF(Daily!$3:$3,$B12,Daily!$25:$25))*'Cash in bank report'!$E$2/'Cash in bank report'!$E$4</f>
        <v>6.9428509203398434</v>
      </c>
      <c r="G12" s="873">
        <f t="shared" si="0"/>
        <v>13.057149079660157</v>
      </c>
      <c r="H12" s="874"/>
      <c r="I12" s="873">
        <f t="shared" ref="I12" si="4">+L11</f>
        <v>1.7333877430285405</v>
      </c>
      <c r="J12" s="873"/>
      <c r="K12" s="873">
        <f t="shared" ref="K12" si="5">+L12-I12-J12</f>
        <v>6.1612353883633286E-3</v>
      </c>
      <c r="L12" s="873">
        <f>(SUMIF(Daily!$3:$3,$B12,Daily!$19:$19)+SUMIF(Daily!$3:$3,$B12,Daily!$21:$21))*'Cash in bank report'!$E$2/'Cash in bank report'!$E$3</f>
        <v>1.7395489784169038</v>
      </c>
      <c r="M12" s="873">
        <f t="shared" si="1"/>
        <v>9.7204510215830968</v>
      </c>
      <c r="N12" s="874"/>
      <c r="O12" s="873">
        <f t="shared" ref="O12" si="6">+R11</f>
        <v>1.2812095900000002</v>
      </c>
      <c r="P12" s="873"/>
      <c r="Q12" s="873"/>
      <c r="R12" s="873">
        <f>(SUMIF(Daily!$3:$3,$B12,Daily!$15:$15)+SUMIF(Daily!$3:$3,$B12,Daily!$17:$17))</f>
        <v>1.28120959</v>
      </c>
      <c r="S12" s="873">
        <f t="shared" si="2"/>
        <v>8.7187904100000004</v>
      </c>
    </row>
    <row r="13" spans="2:19" ht="21" customHeight="1">
      <c r="B13" s="876">
        <v>45020</v>
      </c>
      <c r="C13" s="873">
        <f t="shared" si="3"/>
        <v>6.9428509203398434</v>
      </c>
      <c r="D13" s="873"/>
      <c r="E13" s="873"/>
      <c r="F13" s="873">
        <f>(SUMIF(Daily!$3:$3,$B13,Daily!$23:$23)+SUMIF(Daily!$3:$3,$B13,Daily!$25:$25))*'Cash in bank report'!$E$2/'Cash in bank report'!$E$4</f>
        <v>6.9425590084130882</v>
      </c>
      <c r="G13" s="873">
        <f t="shared" si="0"/>
        <v>13.057440991586912</v>
      </c>
      <c r="H13" s="874"/>
      <c r="I13" s="873">
        <f t="shared" ref="I13:I22" si="7">+L12</f>
        <v>1.7395489784169038</v>
      </c>
      <c r="J13" s="873"/>
      <c r="K13" s="873">
        <f t="shared" ref="K13:K14" si="8">+L13-I13-J13</f>
        <v>1.5936435251291403E-3</v>
      </c>
      <c r="L13" s="873">
        <f>(SUMIF(Daily!$3:$3,$B13,Daily!$19:$19)+SUMIF(Daily!$3:$3,$B13,Daily!$21:$21))*'Cash in bank report'!$E$2/'Cash in bank report'!$E$3</f>
        <v>1.741142621942033</v>
      </c>
      <c r="M13" s="873">
        <f t="shared" si="1"/>
        <v>9.7188573780579688</v>
      </c>
      <c r="N13" s="874"/>
      <c r="O13" s="873">
        <f t="shared" ref="O13:O22" si="9">+R12</f>
        <v>1.28120959</v>
      </c>
      <c r="P13" s="873">
        <f>+R13-O13</f>
        <v>0.17503700000000011</v>
      </c>
      <c r="Q13" s="873"/>
      <c r="R13" s="873">
        <f>(SUMIF(Daily!$3:$3,$B13,Daily!$15:$15)+SUMIF(Daily!$3:$3,$B13,Daily!$17:$17))</f>
        <v>1.4562465900000001</v>
      </c>
      <c r="S13" s="873">
        <f t="shared" si="2"/>
        <v>8.5437534100000008</v>
      </c>
    </row>
    <row r="14" spans="2:19" ht="21" customHeight="1">
      <c r="B14" s="876">
        <v>45021</v>
      </c>
      <c r="C14" s="873">
        <f t="shared" si="3"/>
        <v>6.9425590084130882</v>
      </c>
      <c r="D14" s="873">
        <f>'Daily exchange'!I6</f>
        <v>9.8000000000000007</v>
      </c>
      <c r="E14" s="873"/>
      <c r="F14" s="873">
        <f>(SUMIF(Daily!$3:$3,$B14,Daily!$23:$23)+SUMIF(Daily!$3:$3,$B14,Daily!$25:$25))*'Cash in bank report'!$E$2/'Cash in bank report'!$E$4</f>
        <v>17.222811772168146</v>
      </c>
      <c r="G14" s="873">
        <f t="shared" si="0"/>
        <v>2.7771882278318536</v>
      </c>
      <c r="H14" s="874"/>
      <c r="I14" s="873">
        <f t="shared" si="7"/>
        <v>1.741142621942033</v>
      </c>
      <c r="J14" s="873"/>
      <c r="K14" s="873">
        <f t="shared" si="8"/>
        <v>1.1656227734916591E-2</v>
      </c>
      <c r="L14" s="873">
        <f>(SUMIF(Daily!$3:$3,$B14,Daily!$19:$19)+SUMIF(Daily!$3:$3,$B14,Daily!$21:$21))*'Cash in bank report'!$E$2/'Cash in bank report'!$E$3</f>
        <v>1.7527988496769495</v>
      </c>
      <c r="M14" s="873">
        <f t="shared" si="1"/>
        <v>9.7072011503230513</v>
      </c>
      <c r="N14" s="874"/>
      <c r="O14" s="873">
        <f t="shared" si="9"/>
        <v>1.4562465900000001</v>
      </c>
      <c r="P14" s="873"/>
      <c r="Q14" s="873"/>
      <c r="R14" s="873">
        <f>(SUMIF(Daily!$3:$3,$B14,Daily!$15:$15)+SUMIF(Daily!$3:$3,$B14,Daily!$17:$17))</f>
        <v>1.4562465899999999</v>
      </c>
      <c r="S14" s="873">
        <f t="shared" si="2"/>
        <v>8.5437534100000008</v>
      </c>
    </row>
    <row r="15" spans="2:19" ht="21" customHeight="1">
      <c r="B15" s="876">
        <v>45023</v>
      </c>
      <c r="C15" s="873">
        <f t="shared" si="3"/>
        <v>17.222811772168146</v>
      </c>
      <c r="D15" s="873"/>
      <c r="E15" s="873"/>
      <c r="F15" s="873">
        <f>(SUMIF(Daily!$3:$3,$B15,Daily!$23:$23)+SUMIF(Daily!$3:$3,$B15,Daily!$25:$25))*'Cash in bank report'!$E$2/'Cash in bank report'!$E$4</f>
        <v>17.196401373948316</v>
      </c>
      <c r="G15" s="873">
        <f t="shared" si="0"/>
        <v>2.8035986260516843</v>
      </c>
      <c r="H15" s="874"/>
      <c r="I15" s="873">
        <f t="shared" si="7"/>
        <v>1.7527988496769495</v>
      </c>
      <c r="J15" s="873">
        <f>'Daily exchange'!F7</f>
        <v>0.26</v>
      </c>
      <c r="K15" s="873"/>
      <c r="L15" s="873">
        <f>(SUMIF(Daily!$3:$3,$B15,Daily!$19:$19)+SUMIF(Daily!$3:$3,$B15,Daily!$21:$21))*'Cash in bank report'!$E$2/'Cash in bank report'!$E$3</f>
        <v>1.9988760638091363</v>
      </c>
      <c r="M15" s="873">
        <f t="shared" si="1"/>
        <v>9.4611239361908641</v>
      </c>
      <c r="N15" s="874"/>
      <c r="O15" s="873">
        <f t="shared" si="9"/>
        <v>1.4562465899999999</v>
      </c>
      <c r="P15" s="873"/>
      <c r="Q15" s="873"/>
      <c r="R15" s="873">
        <f>(SUMIF(Daily!$3:$3,$B15,Daily!$15:$15)+SUMIF(Daily!$3:$3,$B15,Daily!$17:$17))</f>
        <v>1.4562465899999999</v>
      </c>
      <c r="S15" s="873">
        <f t="shared" si="2"/>
        <v>8.5437534100000008</v>
      </c>
    </row>
    <row r="16" spans="2:19" ht="21" customHeight="1">
      <c r="B16" s="876">
        <v>45027</v>
      </c>
      <c r="C16" s="873">
        <f t="shared" si="3"/>
        <v>17.196401373948316</v>
      </c>
      <c r="D16" s="873"/>
      <c r="E16" s="873"/>
      <c r="F16" s="873">
        <f>(SUMIF(Daily!$3:$3,$B16,Daily!$23:$23)+SUMIF(Daily!$3:$3,$B16,Daily!$25:$25))*'Cash in bank report'!$E$2/'Cash in bank report'!$E$4</f>
        <v>17.218233731361043</v>
      </c>
      <c r="G16" s="873">
        <f t="shared" si="0"/>
        <v>2.7817662686389575</v>
      </c>
      <c r="H16" s="874"/>
      <c r="I16" s="873">
        <f t="shared" si="7"/>
        <v>1.9988760638091363</v>
      </c>
      <c r="J16" s="873"/>
      <c r="K16" s="873"/>
      <c r="L16" s="873">
        <f>(SUMIF(Daily!$3:$3,$B16,Daily!$19:$19)+SUMIF(Daily!$3:$3,$B16,Daily!$21:$21))*'Cash in bank report'!$E$2/'Cash in bank report'!$E$3</f>
        <v>1.9960181210604142</v>
      </c>
      <c r="M16" s="873">
        <f t="shared" si="1"/>
        <v>9.4639818789395864</v>
      </c>
      <c r="N16" s="874"/>
      <c r="O16" s="873">
        <f t="shared" si="9"/>
        <v>1.4562465899999999</v>
      </c>
      <c r="P16" s="873">
        <f>'Daily exchange'!C8</f>
        <v>1.8</v>
      </c>
      <c r="Q16" s="873"/>
      <c r="R16" s="873">
        <f>(SUMIF(Daily!$3:$3,$B16,Daily!$15:$15)+SUMIF(Daily!$3:$3,$B16,Daily!$17:$17))</f>
        <v>3.2562465899999999</v>
      </c>
      <c r="S16" s="873">
        <f t="shared" si="2"/>
        <v>6.7437534100000001</v>
      </c>
    </row>
    <row r="17" spans="2:19" ht="21" customHeight="1">
      <c r="B17" s="876">
        <v>45030</v>
      </c>
      <c r="C17" s="873">
        <f t="shared" si="3"/>
        <v>17.218233731361043</v>
      </c>
      <c r="D17" s="873"/>
      <c r="E17" s="873"/>
      <c r="F17" s="873">
        <f>(SUMIF(Daily!$3:$3,$B17,Daily!$23:$23)+SUMIF(Daily!$3:$3,$B17,Daily!$25:$25))*'Cash in bank report'!$E$2/'Cash in bank report'!$E$4</f>
        <v>17.206510264395725</v>
      </c>
      <c r="G17" s="873">
        <f t="shared" si="0"/>
        <v>2.7934897356042754</v>
      </c>
      <c r="H17" s="874"/>
      <c r="I17" s="873">
        <f t="shared" si="7"/>
        <v>1.9960181210604142</v>
      </c>
      <c r="J17" s="873"/>
      <c r="K17" s="873"/>
      <c r="L17" s="873">
        <f>(SUMIF(Daily!$3:$3,$B17,Daily!$19:$19)+SUMIF(Daily!$3:$3,$B17,Daily!$21:$21))*'Cash in bank report'!$E$2/'Cash in bank report'!$E$3</f>
        <v>2.0162766046759399</v>
      </c>
      <c r="M17" s="873">
        <f t="shared" si="1"/>
        <v>9.44372339532406</v>
      </c>
      <c r="N17" s="874"/>
      <c r="O17" s="873">
        <f t="shared" si="9"/>
        <v>3.2562465899999999</v>
      </c>
      <c r="Q17" s="873"/>
      <c r="R17" s="873">
        <f>(SUMIF(Daily!$3:$3,$B17,Daily!$15:$15)+SUMIF(Daily!$3:$3,$B17,Daily!$17:$17))</f>
        <v>3.25622159</v>
      </c>
      <c r="S17" s="873">
        <f t="shared" si="2"/>
        <v>6.74377841</v>
      </c>
    </row>
    <row r="18" spans="2:19" ht="21" customHeight="1">
      <c r="B18" s="876">
        <v>45033</v>
      </c>
      <c r="C18" s="873">
        <f t="shared" si="3"/>
        <v>17.206510264395725</v>
      </c>
      <c r="D18" s="873"/>
      <c r="E18" s="873">
        <f>+F18-C18-D18</f>
        <v>-1.1966661290623399</v>
      </c>
      <c r="F18" s="873">
        <f>(SUMIF(Daily!$3:$3,$B18,Daily!$23:$23)+SUMIF(Daily!$3:$3,$B18,Daily!$25:$25))*'Cash in bank report'!$E$2/'Cash in bank report'!$E$4</f>
        <v>16.009844135333385</v>
      </c>
      <c r="G18" s="873">
        <f t="shared" si="0"/>
        <v>3.9901558646666153</v>
      </c>
      <c r="H18" s="874"/>
      <c r="I18" s="873">
        <f t="shared" si="7"/>
        <v>2.0162766046759399</v>
      </c>
      <c r="J18" s="873"/>
      <c r="K18" s="873"/>
      <c r="L18" s="873">
        <f>(SUMIF(Daily!$3:$3,$B18,Daily!$19:$19)+SUMIF(Daily!$3:$3,$B18,Daily!$21:$21))*'Cash in bank report'!$E$2/'Cash in bank report'!$E$3</f>
        <v>2.0241106380313965</v>
      </c>
      <c r="M18" s="873">
        <f t="shared" si="1"/>
        <v>9.435889361968604</v>
      </c>
      <c r="N18" s="874"/>
      <c r="O18" s="873">
        <f t="shared" si="9"/>
        <v>3.25622159</v>
      </c>
      <c r="P18" s="873">
        <f>'Daily exchange'!C9</f>
        <v>0.5</v>
      </c>
      <c r="Q18" s="873"/>
      <c r="R18" s="873">
        <f>(SUMIF(Daily!$3:$3,$B18,Daily!$15:$15)+SUMIF(Daily!$3:$3,$B18,Daily!$17:$17))</f>
        <v>3.7562215899999996</v>
      </c>
      <c r="S18" s="873">
        <f t="shared" si="2"/>
        <v>6.2437784100000009</v>
      </c>
    </row>
    <row r="19" spans="2:19" ht="21" customHeight="1">
      <c r="B19" s="876">
        <v>45034</v>
      </c>
      <c r="C19" s="873">
        <f t="shared" si="3"/>
        <v>16.009844135333385</v>
      </c>
      <c r="D19" s="873"/>
      <c r="E19" s="873"/>
      <c r="F19" s="873">
        <f>(SUMIF(Daily!$3:$3,$B19,Daily!$23:$23)+SUMIF(Daily!$3:$3,$B19,Daily!$25:$25))*'Cash in bank report'!$E$2/'Cash in bank report'!$E$4</f>
        <v>15.947562133030203</v>
      </c>
      <c r="G19" s="873">
        <f t="shared" si="0"/>
        <v>4.0524378669697967</v>
      </c>
      <c r="H19" s="874"/>
      <c r="I19" s="873">
        <f t="shared" si="7"/>
        <v>2.0241106380313965</v>
      </c>
      <c r="J19" s="873"/>
      <c r="K19" s="873">
        <f t="shared" ref="K19" si="10">+L19-I19-J19</f>
        <v>-0.34043379526341555</v>
      </c>
      <c r="L19" s="873">
        <f>(SUMIF(Daily!$3:$3,$B19,Daily!$19:$19)+SUMIF(Daily!$3:$3,$B19,Daily!$21:$21))*'Cash in bank report'!$E$2/'Cash in bank report'!$E$3</f>
        <v>1.6836768427679809</v>
      </c>
      <c r="M19" s="873">
        <f t="shared" si="1"/>
        <v>9.7763231572320208</v>
      </c>
      <c r="N19" s="874"/>
      <c r="O19" s="873">
        <f t="shared" si="9"/>
        <v>3.7562215899999996</v>
      </c>
      <c r="P19" s="873"/>
      <c r="Q19" s="873"/>
      <c r="R19" s="873">
        <f>(SUMIF(Daily!$3:$3,$B19,Daily!$15:$15)+SUMIF(Daily!$3:$3,$B19,Daily!$17:$17))</f>
        <v>3.75622159</v>
      </c>
      <c r="S19" s="873">
        <f t="shared" si="2"/>
        <v>6.24377841</v>
      </c>
    </row>
    <row r="20" spans="2:19" ht="21" customHeight="1">
      <c r="B20" s="876">
        <v>45035</v>
      </c>
      <c r="C20" s="873">
        <f t="shared" si="3"/>
        <v>15.947562133030203</v>
      </c>
      <c r="D20" s="873"/>
      <c r="E20" s="873"/>
      <c r="F20" s="873">
        <f>(SUMIF(Daily!$3:$3,$B20,Daily!$23:$23)+SUMIF(Daily!$3:$3,$B20,Daily!$25:$25))*'Cash in bank report'!$E$2/'Cash in bank report'!$E$4</f>
        <v>15.947352707626921</v>
      </c>
      <c r="G20" s="873">
        <f t="shared" si="0"/>
        <v>4.052647292373079</v>
      </c>
      <c r="H20" s="874"/>
      <c r="I20" s="873">
        <f t="shared" si="7"/>
        <v>1.6836768427679809</v>
      </c>
      <c r="J20" s="873"/>
      <c r="K20" s="873"/>
      <c r="L20" s="873">
        <f>(SUMIF(Daily!$3:$3,$B20,Daily!$19:$19)+SUMIF(Daily!$3:$3,$B20,Daily!$21:$21))*'Cash in bank report'!$E$2/'Cash in bank report'!$E$3</f>
        <v>1.682547324703866</v>
      </c>
      <c r="M20" s="873">
        <f t="shared" si="1"/>
        <v>9.7774526752961357</v>
      </c>
      <c r="N20" s="874"/>
      <c r="O20" s="873">
        <f t="shared" si="9"/>
        <v>3.75622159</v>
      </c>
      <c r="P20" s="873">
        <f>'Daily exchange'!C10</f>
        <v>0.49</v>
      </c>
      <c r="Q20" s="873"/>
      <c r="R20" s="873">
        <f>(SUMIF(Daily!$3:$3,$B20,Daily!$15:$15)+SUMIF(Daily!$3:$3,$B20,Daily!$17:$17))</f>
        <v>4.2456245900000003</v>
      </c>
      <c r="S20" s="873">
        <f t="shared" si="2"/>
        <v>5.7543754099999997</v>
      </c>
    </row>
    <row r="21" spans="2:19" ht="21" customHeight="1">
      <c r="B21" s="876">
        <v>45050</v>
      </c>
      <c r="C21" s="873">
        <f t="shared" si="3"/>
        <v>15.947352707626921</v>
      </c>
      <c r="D21" s="873"/>
      <c r="E21" s="873">
        <f t="shared" ref="E21:E27" si="11">+F21-C21-D21</f>
        <v>-9.5947113173252774E-2</v>
      </c>
      <c r="F21" s="873">
        <f>(SUMIF(Daily!$3:$3,$B21,Daily!$23:$23)+SUMIF(Daily!$3:$3,$B21,Daily!$25:$25))*'Cash in bank report'!$E$2/'Cash in bank report'!$E$4</f>
        <v>15.851405594453668</v>
      </c>
      <c r="G21" s="873">
        <f t="shared" si="0"/>
        <v>4.1485944055463317</v>
      </c>
      <c r="H21" s="874"/>
      <c r="I21" s="873">
        <f t="shared" si="7"/>
        <v>1.682547324703866</v>
      </c>
      <c r="J21" s="873"/>
      <c r="K21" s="873">
        <f t="shared" ref="K21:K25" si="12">+L21-I21-J21</f>
        <v>-0.73580502394684977</v>
      </c>
      <c r="L21" s="873">
        <f>(SUMIF(Daily!$3:$3,$B21,Daily!$19:$19)+SUMIF(Daily!$3:$3,$B21,Daily!$21:$21))*'Cash in bank report'!$E$2/'Cash in bank report'!$E$3</f>
        <v>0.94674230075701626</v>
      </c>
      <c r="M21" s="873">
        <f t="shared" si="1"/>
        <v>10.513257699242985</v>
      </c>
      <c r="N21" s="874"/>
      <c r="O21" s="873">
        <f t="shared" si="9"/>
        <v>4.2456245900000003</v>
      </c>
      <c r="P21" s="873">
        <f>'Daily exchange'!C11</f>
        <v>0.5</v>
      </c>
      <c r="Q21" s="873"/>
      <c r="R21" s="873">
        <f>(SUMIF(Daily!$3:$3,$B21,Daily!$15:$15)+SUMIF(Daily!$3:$3,$B21,Daily!$17:$17))</f>
        <v>4.2560105899999989</v>
      </c>
      <c r="S21" s="873">
        <f t="shared" si="2"/>
        <v>5.7439894100000011</v>
      </c>
    </row>
    <row r="22" spans="2:19" ht="21" customHeight="1">
      <c r="B22" s="876">
        <v>45051</v>
      </c>
      <c r="C22" s="873">
        <f>+F21</f>
        <v>15.851405594453668</v>
      </c>
      <c r="D22" s="873"/>
      <c r="E22" s="873">
        <f t="shared" si="11"/>
        <v>-5.2475054915400392</v>
      </c>
      <c r="F22" s="873">
        <f>(SUMIF(Daily!$3:$3,$B22,Daily!$23:$23)+SUMIF(Daily!$3:$3,$B22,Daily!$25:$25))*'Cash in bank report'!$E$2/'Cash in bank report'!$E$4</f>
        <v>10.603900102913629</v>
      </c>
      <c r="G22" s="873">
        <f t="shared" si="0"/>
        <v>9.3960998970863709</v>
      </c>
      <c r="H22" s="874"/>
      <c r="I22" s="873">
        <f t="shared" si="7"/>
        <v>0.94674230075701626</v>
      </c>
      <c r="J22" s="873"/>
      <c r="K22" s="873">
        <f t="shared" si="12"/>
        <v>0</v>
      </c>
      <c r="L22" s="873">
        <f>(SUMIF(Daily!$3:$3,$B22,Daily!$19:$19)+SUMIF(Daily!$3:$3,$B22,Daily!$21:$21))*'Cash in bank report'!$E$2/'Cash in bank report'!$E$3</f>
        <v>0.94674230075701626</v>
      </c>
      <c r="M22" s="873">
        <f t="shared" si="1"/>
        <v>10.513257699242985</v>
      </c>
      <c r="N22" s="874"/>
      <c r="O22" s="873">
        <f t="shared" si="9"/>
        <v>4.2560105899999989</v>
      </c>
      <c r="P22" s="873">
        <f>'Daily exchange'!C12</f>
        <v>0.75</v>
      </c>
      <c r="Q22" s="873"/>
      <c r="R22" s="873">
        <f>(SUMIF(Daily!$3:$3,$B22,Daily!$15:$15)+SUMIF(Daily!$3:$3,$B22,Daily!$17:$17))</f>
        <v>4.2560105899999989</v>
      </c>
      <c r="S22" s="873">
        <f t="shared" si="2"/>
        <v>5.7439894100000011</v>
      </c>
    </row>
    <row r="23" spans="2:19" ht="21" customHeight="1">
      <c r="B23" s="876">
        <v>45057</v>
      </c>
      <c r="C23" s="873">
        <f>+F20</f>
        <v>15.947352707626921</v>
      </c>
      <c r="D23" s="873"/>
      <c r="E23" s="873">
        <f t="shared" si="11"/>
        <v>-5.3725778913189917</v>
      </c>
      <c r="F23" s="873">
        <f>(SUMIF(Daily!$3:$3,$B23,Daily!$23:$23)+SUMIF(Daily!$3:$3,$B23,Daily!$25:$25))*'Cash in bank report'!$E$2/'Cash in bank report'!$E$4</f>
        <v>10.574774816307929</v>
      </c>
      <c r="G23" s="873">
        <f t="shared" si="0"/>
        <v>9.4252251836920706</v>
      </c>
      <c r="H23" s="874"/>
      <c r="I23" s="873">
        <f>+L20</f>
        <v>1.682547324703866</v>
      </c>
      <c r="J23" s="873">
        <f>'Daily exchange'!F11</f>
        <v>0.103754</v>
      </c>
      <c r="K23" s="873"/>
      <c r="L23" s="873">
        <f>(SUMIF(Daily!$3:$3,$B23,Daily!$19:$19)+SUMIF(Daily!$3:$3,$B23,Daily!$21:$21))*'Cash in bank report'!$E$2/'Cash in bank report'!$E$3</f>
        <v>0.94072272075329988</v>
      </c>
      <c r="M23" s="873">
        <f t="shared" si="1"/>
        <v>10.519277279246701</v>
      </c>
      <c r="N23" s="874"/>
      <c r="O23" s="873">
        <f>+R20</f>
        <v>4.2456245900000003</v>
      </c>
      <c r="P23" s="873">
        <f>'Daily exchange'!C11</f>
        <v>0.5</v>
      </c>
      <c r="Q23" s="873"/>
      <c r="R23" s="873">
        <f>(SUMIF(Daily!$3:$3,$B23,Daily!$15:$15)+SUMIF(Daily!$3:$3,$B23,Daily!$17:$17))</f>
        <v>4.7560105899999998</v>
      </c>
      <c r="S23" s="873">
        <f t="shared" si="2"/>
        <v>5.2439894100000002</v>
      </c>
    </row>
    <row r="24" spans="2:19" ht="21" customHeight="1">
      <c r="B24" s="876">
        <v>45063</v>
      </c>
      <c r="C24" s="873">
        <f>+F23</f>
        <v>10.574774816307929</v>
      </c>
      <c r="D24" s="873"/>
      <c r="E24" s="873">
        <f t="shared" si="11"/>
        <v>4427.9734980314861</v>
      </c>
      <c r="F24" s="873">
        <f>(SUMIF(Daily!$3:$3,$B24,Daily!$23:$23)+SUMIF(Daily!$3:$3,$B24,Daily!$25:$25))*'Cash in bank report'!$E$2/'Cash in bank report'!$E$4</f>
        <v>4438.5482728477937</v>
      </c>
      <c r="G24" s="873">
        <f t="shared" si="0"/>
        <v>-4418.5482728477937</v>
      </c>
      <c r="H24" s="874"/>
      <c r="I24" s="873">
        <f>+L23</f>
        <v>0.94072272075329988</v>
      </c>
      <c r="J24" s="873"/>
      <c r="K24" s="873">
        <f t="shared" si="12"/>
        <v>-0.94072272075329988</v>
      </c>
      <c r="L24" s="873">
        <f>(SUMIF(Daily!$3:$3,$B24,Daily!$19:$19)+SUMIF(Daily!$3:$3,$B24,Daily!$21:$21))*'Cash in bank report'!$E$2/'Cash in bank report'!$E$3</f>
        <v>0</v>
      </c>
      <c r="M24" s="873">
        <f t="shared" si="1"/>
        <v>11.46</v>
      </c>
      <c r="N24" s="874"/>
      <c r="O24" s="873">
        <f>+R23</f>
        <v>4.7560105899999998</v>
      </c>
      <c r="P24" s="873">
        <f>'Daily exchange'!C12</f>
        <v>0.75</v>
      </c>
      <c r="Q24" s="873"/>
      <c r="R24" s="873">
        <f>(SUMIF(Daily!$3:$3,$B24,Daily!$15:$15)+SUMIF(Daily!$3:$3,$B24,Daily!$17:$17))</f>
        <v>2.933246</v>
      </c>
      <c r="S24" s="873">
        <f t="shared" si="2"/>
        <v>7.0667539999999995</v>
      </c>
    </row>
    <row r="25" spans="2:19" ht="21" customHeight="1">
      <c r="B25" s="876">
        <v>45075</v>
      </c>
      <c r="C25" s="873">
        <f>+F24</f>
        <v>4438.5482728477937</v>
      </c>
      <c r="D25" s="873"/>
      <c r="E25" s="873">
        <f t="shared" si="11"/>
        <v>-4428.2035619210601</v>
      </c>
      <c r="F25" s="873">
        <f>(SUMIF(Daily!$3:$3,$B25,Daily!$23:$23)+SUMIF(Daily!$3:$3,$B25,Daily!$25:$25))*'Cash in bank report'!$E$2/'Cash in bank report'!$E$4</f>
        <v>10.344710926733454</v>
      </c>
      <c r="G25" s="873">
        <f t="shared" si="0"/>
        <v>9.6552890732665464</v>
      </c>
      <c r="H25" s="874"/>
      <c r="I25" s="873">
        <f>+L24</f>
        <v>0</v>
      </c>
      <c r="J25" s="873">
        <f>'Daily exchange'!F13</f>
        <v>7.5197249999999993E-2</v>
      </c>
      <c r="K25" s="873">
        <f t="shared" si="12"/>
        <v>0.27824908281819316</v>
      </c>
      <c r="L25" s="873">
        <f>(SUMIF(Daily!$3:$3,$B25,Daily!$19:$19)+SUMIF(Daily!$3:$3,$B25,Daily!$21:$21))*'Cash in bank report'!$E$2/'Cash in bank report'!$E$3</f>
        <v>0.35344633281819315</v>
      </c>
      <c r="M25" s="873">
        <f t="shared" si="1"/>
        <v>11.106553667181808</v>
      </c>
      <c r="N25" s="874"/>
      <c r="O25" s="873">
        <f>+R24</f>
        <v>2.933246</v>
      </c>
      <c r="P25" s="873"/>
      <c r="Q25" s="873"/>
      <c r="R25" s="873">
        <f>(SUMIF(Daily!$3:$3,$B25,Daily!$15:$15)+SUMIF(Daily!$3:$3,$B25,Daily!$17:$17))</f>
        <v>5.5983775900000001</v>
      </c>
      <c r="S25" s="873">
        <f t="shared" si="2"/>
        <v>4.4016224099999999</v>
      </c>
    </row>
    <row r="26" spans="2:19" ht="21" customHeight="1">
      <c r="B26" s="876">
        <v>45083</v>
      </c>
      <c r="C26" s="873">
        <f>+F25</f>
        <v>10.344710926733454</v>
      </c>
      <c r="D26" s="873"/>
      <c r="E26" s="873">
        <f t="shared" si="11"/>
        <v>-0.11276981580577505</v>
      </c>
      <c r="F26" s="873">
        <f>(SUMIF(Daily!$3:$3,$B26,Daily!$23:$23)+SUMIF(Daily!$3:$3,$B26,Daily!$25:$25))*'Cash in bank report'!$E$2/'Cash in bank report'!$E$4</f>
        <v>10.231941110927679</v>
      </c>
      <c r="G26" s="873">
        <f t="shared" si="0"/>
        <v>9.7680588890723214</v>
      </c>
      <c r="H26" s="874"/>
      <c r="I26" s="873">
        <f>+L25</f>
        <v>0.35344633281819315</v>
      </c>
      <c r="K26" s="873"/>
      <c r="L26" s="873">
        <f>(SUMIF(Daily!$3:$3,$B26,Daily!$19:$19)+SUMIF(Daily!$3:$3,$B26,Daily!$21:$21))*'Cash in bank report'!$E$2/'Cash in bank report'!$E$3</f>
        <v>0.43033747184253512</v>
      </c>
      <c r="M26" s="873">
        <f t="shared" si="1"/>
        <v>11.029662528157466</v>
      </c>
      <c r="N26" s="874"/>
      <c r="O26" s="873">
        <f>+R25</f>
        <v>5.5983775900000001</v>
      </c>
      <c r="P26" s="873"/>
      <c r="Q26" s="873"/>
      <c r="R26" s="873">
        <f>(SUMIF(Daily!$3:$3,$B26,Daily!$15:$15)+SUMIF(Daily!$3:$3,$B26,Daily!$17:$17))</f>
        <v>5.5983775900000001</v>
      </c>
      <c r="S26" s="873">
        <f t="shared" si="2"/>
        <v>4.4016224099999999</v>
      </c>
    </row>
    <row r="27" spans="2:19" ht="21" customHeight="1">
      <c r="B27" s="876">
        <v>45085</v>
      </c>
      <c r="C27" s="873">
        <f>+F25</f>
        <v>10.344710926733454</v>
      </c>
      <c r="D27" s="873"/>
      <c r="E27" s="873">
        <f t="shared" si="11"/>
        <v>-2.9794805164569329</v>
      </c>
      <c r="F27" s="873">
        <f>(SUMIF(Daily!$3:$3,$B27,Daily!$23:$23)+SUMIF(Daily!$3:$3,$B27,Daily!$25:$25))*'Cash in bank report'!$E$2/'Cash in bank report'!$E$4</f>
        <v>7.3652304102765207</v>
      </c>
      <c r="G27" s="873">
        <f t="shared" si="0"/>
        <v>12.634769589723479</v>
      </c>
      <c r="H27" s="874"/>
      <c r="I27" s="873">
        <f>+L26</f>
        <v>0.43033747184253512</v>
      </c>
      <c r="J27" s="873">
        <f>'Daily exchange'!F14+'Daily exchange'!F15</f>
        <v>0.52300799999999992</v>
      </c>
      <c r="K27" s="873">
        <f>+L27-I27-J27</f>
        <v>-0.89362396235998354</v>
      </c>
      <c r="L27" s="873">
        <f>(SUMIF(Daily!$3:$3,$B27,Daily!$19:$19)+SUMIF(Daily!$3:$3,$B27,Daily!$21:$21))*'Cash in bank report'!$E$2/'Cash in bank report'!$E$3</f>
        <v>5.9721509482551477E-2</v>
      </c>
      <c r="M27" s="873">
        <f t="shared" si="1"/>
        <v>11.400278490517449</v>
      </c>
      <c r="N27" s="874"/>
      <c r="O27" s="873">
        <f>+R25</f>
        <v>5.5983775900000001</v>
      </c>
      <c r="P27" s="873">
        <f>'Daily exchange'!C16</f>
        <v>1</v>
      </c>
      <c r="R27" s="873">
        <f>(SUMIF(Daily!$3:$3,$B27,Daily!$15:$15)+SUMIF(Daily!$3:$3,$B27,Daily!$17:$17))</f>
        <v>6.5983775900000001</v>
      </c>
      <c r="S27" s="873">
        <f t="shared" si="2"/>
        <v>3.4016224099999999</v>
      </c>
    </row>
    <row r="28" spans="2:19" ht="21" customHeight="1">
      <c r="B28" s="876">
        <v>45103</v>
      </c>
      <c r="C28" s="873"/>
      <c r="D28" s="873"/>
      <c r="E28" s="873">
        <f t="shared" ref="E28:E30" si="13">+F28-C28-D28</f>
        <v>7.0290573577528352</v>
      </c>
      <c r="F28" s="873">
        <f>(SUMIF(Daily!$3:$3,$B28,Daily!$23:$23)+SUMIF(Daily!$3:$3,$B28,Daily!$25:$25))*'Cash in bank report'!$E$2/'Cash in bank report'!$E$4</f>
        <v>7.0290573577528352</v>
      </c>
      <c r="G28" s="873">
        <f t="shared" si="0"/>
        <v>12.970942642247165</v>
      </c>
      <c r="H28" s="874"/>
      <c r="I28" s="873"/>
      <c r="J28" s="873"/>
      <c r="K28" s="873">
        <f t="shared" ref="K28:K31" si="14">+L28-I28-J28</f>
        <v>0</v>
      </c>
      <c r="L28" s="873"/>
      <c r="M28" s="873"/>
      <c r="N28" s="874"/>
      <c r="O28" s="873">
        <f t="shared" ref="O28:O36" si="15">+R26</f>
        <v>5.5983775900000001</v>
      </c>
      <c r="P28" s="873">
        <f>'Daily exchange'!C17</f>
        <v>0</v>
      </c>
      <c r="Q28" s="873"/>
      <c r="R28" s="873">
        <f>(SUMIF(Daily!$3:$3,$B28,Daily!$15:$15)+SUMIF(Daily!$3:$3,$B28,Daily!$17:$17))</f>
        <v>6.5983775900000001</v>
      </c>
      <c r="S28" s="873">
        <f t="shared" ref="S28:S36" si="16">+$S$2-R28</f>
        <v>3.4016224099999999</v>
      </c>
    </row>
    <row r="29" spans="2:19" ht="21" customHeight="1">
      <c r="B29" s="876">
        <v>45104</v>
      </c>
      <c r="C29" s="873">
        <f t="shared" ref="C29:C36" si="17">F28</f>
        <v>7.0290573577528352</v>
      </c>
      <c r="D29" s="873">
        <f>'Daily exchange'!I17</f>
        <v>2.5</v>
      </c>
      <c r="E29" s="873">
        <f t="shared" si="13"/>
        <v>-3.2922776805312637E-2</v>
      </c>
      <c r="F29" s="873">
        <f>(SUMIF(Daily!$3:$3,$B29,Daily!$23:$23)+SUMIF(Daily!$3:$3,$B29,Daily!$25:$25))*'Cash in bank report'!$E$2/'Cash in bank report'!$E$4</f>
        <v>9.4961345809475226</v>
      </c>
      <c r="G29" s="873">
        <f t="shared" si="0"/>
        <v>10.503865419052477</v>
      </c>
      <c r="H29" s="874"/>
      <c r="I29" s="873"/>
      <c r="J29" s="873"/>
      <c r="K29" s="873">
        <f t="shared" si="14"/>
        <v>0.11929854263098497</v>
      </c>
      <c r="L29" s="873">
        <f>(SUMIF(Daily!$3:$3,$B29,Daily!$19:$19)+SUMIF(Daily!$3:$3,$B29,Daily!$21:$21))*'Cash in bank report'!$E$2/'Cash in bank report'!$E$3</f>
        <v>0.11929854263098497</v>
      </c>
      <c r="M29" s="873">
        <f t="shared" si="1"/>
        <v>11.340701457369017</v>
      </c>
      <c r="N29" s="874"/>
      <c r="O29" s="873">
        <f t="shared" si="15"/>
        <v>6.5983775900000001</v>
      </c>
      <c r="P29" s="873">
        <f>'Daily exchange'!C18</f>
        <v>0</v>
      </c>
      <c r="Q29" s="873"/>
      <c r="R29" s="873">
        <f>(SUMIF(Daily!$3:$3,$B29,Daily!$15:$15)+SUMIF(Daily!$3:$3,$B29,Daily!$17:$17))</f>
        <v>6.5983775899999992</v>
      </c>
      <c r="S29" s="873">
        <f t="shared" si="16"/>
        <v>3.4016224100000008</v>
      </c>
    </row>
    <row r="30" spans="2:19" ht="21" customHeight="1">
      <c r="B30" s="876">
        <v>45105</v>
      </c>
      <c r="C30" s="873">
        <f t="shared" si="17"/>
        <v>9.4961345809475226</v>
      </c>
      <c r="D30" s="873"/>
      <c r="E30" s="873">
        <f t="shared" si="13"/>
        <v>1.9481533374317905E-2</v>
      </c>
      <c r="F30" s="873">
        <f>(SUMIF(Daily!$3:$3,$B30,Daily!$23:$23)+SUMIF(Daily!$3:$3,$B30,Daily!$25:$25))*'Cash in bank report'!$E$2/'Cash in bank report'!$E$4</f>
        <v>9.5156161143218405</v>
      </c>
      <c r="G30" s="873">
        <f t="shared" si="0"/>
        <v>10.484383885678159</v>
      </c>
      <c r="H30" s="874"/>
      <c r="I30" s="873">
        <f>L29</f>
        <v>0.11929854263098497</v>
      </c>
      <c r="J30" s="873">
        <f>'Daily exchange'!F18</f>
        <v>1.2857909999999999</v>
      </c>
      <c r="K30" s="873">
        <f t="shared" si="14"/>
        <v>-7.581210418162776E-2</v>
      </c>
      <c r="L30" s="873">
        <f>(SUMIF(Daily!$3:$3,$B30,Daily!$19:$19)+SUMIF(Daily!$3:$3,$B30,Daily!$21:$21))*'Cash in bank report'!$E$2/'Cash in bank report'!$E$3</f>
        <v>1.3292774384493571</v>
      </c>
      <c r="M30" s="873">
        <f t="shared" si="1"/>
        <v>10.130722561550645</v>
      </c>
      <c r="N30" s="874"/>
      <c r="O30" s="873">
        <f t="shared" si="15"/>
        <v>6.5983775900000001</v>
      </c>
      <c r="P30" s="873">
        <f>'Daily exchange'!C19</f>
        <v>0</v>
      </c>
      <c r="Q30" s="873"/>
      <c r="R30" s="873">
        <f>(SUMIF(Daily!$3:$3,$B30,Daily!$15:$15)+SUMIF(Daily!$3:$3,$B30,Daily!$17:$17))</f>
        <v>6.5983775900000001</v>
      </c>
      <c r="S30" s="873">
        <f t="shared" si="16"/>
        <v>3.4016224099999999</v>
      </c>
    </row>
    <row r="31" spans="2:19" ht="21" customHeight="1">
      <c r="B31" s="876">
        <v>45106</v>
      </c>
      <c r="C31" s="873">
        <f t="shared" si="17"/>
        <v>9.5156161143218405</v>
      </c>
      <c r="D31" s="873"/>
      <c r="E31" s="873">
        <f t="shared" ref="E31:E36" si="18">+F31-C31-D31</f>
        <v>-4.0885986168351707E-2</v>
      </c>
      <c r="F31" s="873">
        <f>(SUMIF(Daily!$3:$3,$B31,Daily!$23:$23)+SUMIF(Daily!$3:$3,$B31,Daily!$25:$25))*'Cash in bank report'!$E$2/'Cash in bank report'!$E$4</f>
        <v>9.4747301281534888</v>
      </c>
      <c r="G31" s="873">
        <f t="shared" ref="G31:G36" si="19">+$G$2-F31</f>
        <v>10.525269871846511</v>
      </c>
      <c r="H31" s="874"/>
      <c r="I31" s="873">
        <f>L30</f>
        <v>1.3292774384493571</v>
      </c>
      <c r="J31" s="873">
        <f>'Daily exchange'!F19</f>
        <v>0</v>
      </c>
      <c r="K31" s="873">
        <f t="shared" si="14"/>
        <v>-1.2775081386039802</v>
      </c>
      <c r="L31" s="873">
        <f>(SUMIF(Daily!$3:$3,$B31,Daily!$19:$19)+SUMIF(Daily!$3:$3,$B31,Daily!$21:$21))*'Cash in bank report'!$E$2/'Cash in bank report'!$E$3</f>
        <v>5.1769299845376884E-2</v>
      </c>
      <c r="M31" s="873">
        <f t="shared" ref="M31:M36" si="20">+$M$2-L31</f>
        <v>11.408230700154624</v>
      </c>
      <c r="N31" s="874"/>
      <c r="O31" s="873">
        <f t="shared" si="15"/>
        <v>6.5983775899999992</v>
      </c>
      <c r="P31" s="873">
        <f>'Daily exchange'!C20</f>
        <v>0</v>
      </c>
      <c r="Q31" s="873"/>
      <c r="R31" s="873">
        <f>(SUMIF(Daily!$3:$3,$B31,Daily!$15:$15)+SUMIF(Daily!$3:$3,$B31,Daily!$17:$17))</f>
        <v>6.5983775899999992</v>
      </c>
      <c r="S31" s="873">
        <f t="shared" si="16"/>
        <v>3.4016224100000008</v>
      </c>
    </row>
    <row r="32" spans="2:19" ht="21" customHeight="1">
      <c r="B32" s="876">
        <v>45120</v>
      </c>
      <c r="C32" s="873">
        <f t="shared" si="17"/>
        <v>9.4747301281534888</v>
      </c>
      <c r="D32" s="873"/>
      <c r="E32" s="873">
        <f t="shared" si="18"/>
        <v>-0.2606430277624856</v>
      </c>
      <c r="F32" s="873">
        <f>(SUMIF(Daily!$3:$3,$B32,Daily!$23:$23)+SUMIF(Daily!$3:$3,$B32,Daily!$25:$25))*'Cash in bank report'!$E$2/'Cash in bank report'!$E$4</f>
        <v>9.2140871003910032</v>
      </c>
      <c r="G32" s="873">
        <f t="shared" si="19"/>
        <v>10.785912899608997</v>
      </c>
      <c r="H32" s="874"/>
      <c r="I32" s="873">
        <f t="shared" ref="I32:I36" si="21">L31</f>
        <v>5.1769299845376884E-2</v>
      </c>
      <c r="J32" s="873"/>
      <c r="K32" s="873"/>
      <c r="L32" s="873">
        <f>(SUMIF(Daily!$3:$3,$B32,Daily!$19:$19)+SUMIF(Daily!$3:$3,$B32,Daily!$21:$21))*'Cash in bank report'!$E$2/'Cash in bank report'!$E$3</f>
        <v>5.2048804261942853E-2</v>
      </c>
      <c r="M32" s="873">
        <f t="shared" si="20"/>
        <v>11.407951195738057</v>
      </c>
      <c r="N32" s="874"/>
      <c r="O32" s="873">
        <f t="shared" si="15"/>
        <v>6.5983775900000001</v>
      </c>
      <c r="P32" s="873"/>
      <c r="Q32" s="873"/>
      <c r="R32" s="873">
        <f>(SUMIF(Daily!$3:$3,$B32,Daily!$15:$15)+SUMIF(Daily!$3:$3,$B32,Daily!$17:$17))</f>
        <v>6.5973545900000001</v>
      </c>
      <c r="S32" s="873">
        <f t="shared" si="16"/>
        <v>3.4026454099999999</v>
      </c>
    </row>
    <row r="33" spans="2:19" ht="21" customHeight="1">
      <c r="B33" s="876">
        <v>45121</v>
      </c>
      <c r="C33" s="873">
        <f t="shared" si="17"/>
        <v>9.2140871003910032</v>
      </c>
      <c r="D33" s="873">
        <f>'Daily exchange'!I19</f>
        <v>2</v>
      </c>
      <c r="E33" s="873">
        <f t="shared" si="18"/>
        <v>-7.0707079949676555</v>
      </c>
      <c r="F33" s="873">
        <f>(SUMIF(Daily!$3:$3,$B33,Daily!$23:$23)+SUMIF(Daily!$3:$3,$B33,Daily!$25:$25))*'Cash in bank report'!$E$2/'Cash in bank report'!$E$4</f>
        <v>4.1433791054233478</v>
      </c>
      <c r="G33" s="873">
        <f t="shared" si="19"/>
        <v>15.856620894576652</v>
      </c>
      <c r="H33" s="874"/>
      <c r="I33" s="873">
        <f t="shared" si="21"/>
        <v>5.2048804261942853E-2</v>
      </c>
      <c r="J33" s="873"/>
      <c r="K33" s="873"/>
      <c r="L33" s="873">
        <f>(SUMIF(Daily!$3:$3,$B33,Daily!$19:$19)+SUMIF(Daily!$3:$3,$B33,Daily!$21:$21))*'Cash in bank report'!$E$2/'Cash in bank report'!$E$3</f>
        <v>5.2721900461809981E-2</v>
      </c>
      <c r="M33" s="873">
        <f t="shared" si="20"/>
        <v>11.407278099538191</v>
      </c>
      <c r="N33" s="874"/>
      <c r="O33" s="873">
        <f t="shared" si="15"/>
        <v>6.5983775899999992</v>
      </c>
      <c r="P33" s="873"/>
      <c r="Q33" s="873"/>
      <c r="R33" s="873">
        <f>(SUMIF(Daily!$3:$3,$B33,Daily!$15:$15)+SUMIF(Daily!$3:$3,$B33,Daily!$17:$17))</f>
        <v>6.5973545900000001</v>
      </c>
      <c r="S33" s="873">
        <f t="shared" si="16"/>
        <v>3.4026454099999999</v>
      </c>
    </row>
    <row r="34" spans="2:19" ht="21" customHeight="1">
      <c r="B34" s="876">
        <v>45124</v>
      </c>
      <c r="C34" s="873">
        <f t="shared" si="17"/>
        <v>4.1433791054233478</v>
      </c>
      <c r="D34" s="873">
        <f>'Daily exchange'!I20</f>
        <v>7.7</v>
      </c>
      <c r="E34" s="873"/>
      <c r="F34" s="873">
        <f>(SUMIF(Daily!$3:$3,$B34,Daily!$23:$23)+SUMIF(Daily!$3:$3,$B34,Daily!$25:$25))*'Cash in bank report'!$E$2/'Cash in bank report'!$E$4</f>
        <v>11.920212037441489</v>
      </c>
      <c r="G34" s="873">
        <f t="shared" si="19"/>
        <v>8.0797879625585107</v>
      </c>
      <c r="H34" s="874"/>
      <c r="I34" s="873">
        <f t="shared" si="21"/>
        <v>5.2721900461809981E-2</v>
      </c>
      <c r="J34" s="873"/>
      <c r="K34" s="873"/>
      <c r="L34" s="873">
        <f>(SUMIF(Daily!$3:$3,$B34,Daily!$19:$19)+SUMIF(Daily!$3:$3,$B34,Daily!$21:$21))*'Cash in bank report'!$E$2/'Cash in bank report'!$E$3</f>
        <v>5.3027757796055834E-2</v>
      </c>
      <c r="M34" s="873">
        <f t="shared" si="20"/>
        <v>11.406972242203945</v>
      </c>
      <c r="N34" s="874"/>
      <c r="O34" s="873">
        <f t="shared" si="15"/>
        <v>6.5973545900000001</v>
      </c>
      <c r="P34" s="873"/>
      <c r="Q34" s="873"/>
      <c r="R34" s="873">
        <f>(SUMIF(Daily!$3:$3,$B34,Daily!$15:$15)+SUMIF(Daily!$3:$3,$B34,Daily!$17:$17))</f>
        <v>6.5973545899999992</v>
      </c>
      <c r="S34" s="873">
        <f t="shared" si="16"/>
        <v>3.4026454100000008</v>
      </c>
    </row>
    <row r="35" spans="2:19" ht="21" customHeight="1">
      <c r="B35" s="876">
        <v>45125</v>
      </c>
      <c r="C35" s="873">
        <f t="shared" si="17"/>
        <v>11.920212037441489</v>
      </c>
      <c r="D35" s="873"/>
      <c r="E35" s="873">
        <f t="shared" si="18"/>
        <v>-0.40202314932923144</v>
      </c>
      <c r="F35" s="873">
        <f>(SUMIF(Daily!$3:$3,$B35,Daily!$23:$23)+SUMIF(Daily!$3:$3,$B35,Daily!$25:$25))*'Cash in bank report'!$E$2/'Cash in bank report'!$E$4</f>
        <v>11.518188888112258</v>
      </c>
      <c r="G35" s="873">
        <f t="shared" si="19"/>
        <v>8.4818111118877422</v>
      </c>
      <c r="H35" s="874"/>
      <c r="I35" s="873">
        <f t="shared" si="21"/>
        <v>5.3027757796055834E-2</v>
      </c>
      <c r="J35" s="873"/>
      <c r="K35" s="873"/>
      <c r="L35" s="873">
        <f>(SUMIF(Daily!$3:$3,$B35,Daily!$19:$19)+SUMIF(Daily!$3:$3,$B35,Daily!$21:$21))*'Cash in bank report'!$E$2/'Cash in bank report'!$E$3</f>
        <v>5.3085456301826893E-2</v>
      </c>
      <c r="M35" s="873">
        <f t="shared" si="20"/>
        <v>11.406914543698173</v>
      </c>
      <c r="N35" s="874"/>
      <c r="O35" s="873">
        <f t="shared" si="15"/>
        <v>6.5973545900000001</v>
      </c>
      <c r="P35" s="873"/>
      <c r="Q35" s="873"/>
      <c r="R35" s="873">
        <f>(SUMIF(Daily!$3:$3,$B35,Daily!$15:$15)+SUMIF(Daily!$3:$3,$B35,Daily!$17:$17))</f>
        <v>6.5973545900000001</v>
      </c>
      <c r="S35" s="873">
        <f t="shared" si="16"/>
        <v>3.4026454099999999</v>
      </c>
    </row>
    <row r="36" spans="2:19" ht="21" customHeight="1">
      <c r="B36" s="876">
        <v>45132</v>
      </c>
      <c r="C36" s="873">
        <f t="shared" si="17"/>
        <v>11.518188888112258</v>
      </c>
      <c r="D36" s="873">
        <f>'Daily exchange'!I21</f>
        <v>4.5</v>
      </c>
      <c r="E36" s="873">
        <f t="shared" si="18"/>
        <v>-4.374334982387218E-2</v>
      </c>
      <c r="F36" s="873">
        <f>(SUMIF(Daily!$3:$3,$B36,Daily!$23:$23)+SUMIF(Daily!$3:$3,$B36,Daily!$25:$25))*'Cash in bank report'!$E$2/'Cash in bank report'!$E$4</f>
        <v>15.974445538288386</v>
      </c>
      <c r="G36" s="873">
        <f t="shared" si="19"/>
        <v>4.0255544617116144</v>
      </c>
      <c r="H36" s="874"/>
      <c r="I36" s="873">
        <f t="shared" si="21"/>
        <v>5.3085456301826893E-2</v>
      </c>
      <c r="J36" s="873"/>
      <c r="K36" s="873"/>
      <c r="L36" s="873">
        <f>(SUMIF(Daily!$3:$3,$B36,Daily!$19:$19)+SUMIF(Daily!$3:$3,$B36,Daily!$21:$21))*'Cash in bank report'!$E$2/'Cash in bank report'!$E$3</f>
        <v>5.2373725864697088E-2</v>
      </c>
      <c r="M36" s="873">
        <f t="shared" si="20"/>
        <v>11.407626274135303</v>
      </c>
      <c r="N36" s="874"/>
      <c r="O36" s="873">
        <f t="shared" si="15"/>
        <v>6.5973545899999992</v>
      </c>
      <c r="P36" s="873"/>
      <c r="Q36" s="873"/>
      <c r="R36" s="873">
        <f>(SUMIF(Daily!$3:$3,$B36,Daily!$15:$15)+SUMIF(Daily!$3:$3,$B36,Daily!$17:$17))</f>
        <v>6.6712115900000004</v>
      </c>
      <c r="S36" s="873">
        <f t="shared" si="16"/>
        <v>3.3287884099999996</v>
      </c>
    </row>
    <row r="37" spans="2:19" ht="21" customHeight="1">
      <c r="B37" s="876">
        <v>45141</v>
      </c>
      <c r="C37" s="873">
        <f t="shared" ref="C37" si="22">F36</f>
        <v>15.974445538288386</v>
      </c>
      <c r="D37" s="873">
        <f>'Daily exchange'!I22</f>
        <v>4.2</v>
      </c>
      <c r="E37" s="873">
        <f t="shared" ref="E37" si="23">+F37-C37-D37</f>
        <v>6.6946454343670858E-2</v>
      </c>
      <c r="F37" s="873">
        <f>(SUMIF(Daily!$3:$3,$B37,Daily!$23:$23)+SUMIF(Daily!$3:$3,$B37,Daily!$25:$25))*'Cash in bank report'!$E$2/'Cash in bank report'!$E$4</f>
        <v>20.241391992632057</v>
      </c>
      <c r="G37" s="873">
        <f t="shared" ref="G37" si="24">+$G$2-F37</f>
        <v>-0.24139199263205668</v>
      </c>
      <c r="H37" s="874"/>
      <c r="I37" s="873">
        <f t="shared" ref="I37" si="25">L36</f>
        <v>5.2373725864697088E-2</v>
      </c>
      <c r="J37" s="873">
        <f>'Daily exchange'!F22</f>
        <v>0.432</v>
      </c>
      <c r="K37" s="873"/>
      <c r="L37" s="873">
        <f>(SUMIF(Daily!$3:$3,$B37,Daily!$19:$19)+SUMIF(Daily!$3:$3,$B37,Daily!$21:$21))*'Cash in bank report'!$E$2/'Cash in bank report'!$E$3</f>
        <v>0.44302806648636345</v>
      </c>
      <c r="M37" s="873">
        <f t="shared" ref="M37" si="26">+$M$2-L37</f>
        <v>11.016971933513638</v>
      </c>
      <c r="N37" s="874"/>
      <c r="O37" s="873">
        <f t="shared" ref="O37" si="27">+R35</f>
        <v>6.5973545900000001</v>
      </c>
      <c r="P37" s="873"/>
      <c r="Q37" s="873"/>
      <c r="R37" s="873">
        <f>(SUMIF(Daily!$3:$3,$B37,Daily!$15:$15)+SUMIF(Daily!$3:$3,$B37,Daily!$17:$17))</f>
        <v>6.65148107</v>
      </c>
      <c r="S37" s="873">
        <f t="shared" ref="S37" si="28">+$S$2-R37</f>
        <v>3.34851893</v>
      </c>
    </row>
    <row r="38" spans="2:19" ht="21" customHeight="1">
      <c r="B38" s="876">
        <v>45147</v>
      </c>
      <c r="C38" s="873">
        <f t="shared" ref="C38" si="29">F37</f>
        <v>20.241391992632057</v>
      </c>
      <c r="D38" s="873">
        <f>'Daily exchange'!I23</f>
        <v>0</v>
      </c>
      <c r="E38" s="873">
        <f t="shared" ref="E38" si="30">+F38-C38-D38</f>
        <v>-0.67244257905564098</v>
      </c>
      <c r="F38" s="873">
        <f>(SUMIF(Daily!$3:$3,$B38,Daily!$23:$23)+SUMIF(Daily!$3:$3,$B38,Daily!$25:$25))*'Cash in bank report'!$E$2/'Cash in bank report'!$E$4</f>
        <v>19.568949413576416</v>
      </c>
      <c r="G38" s="873">
        <f t="shared" ref="G38" si="31">+$G$2-F38</f>
        <v>0.43105058642358429</v>
      </c>
      <c r="H38" s="874"/>
      <c r="I38" s="873">
        <f t="shared" ref="I38" si="32">L37</f>
        <v>0.44302806648636345</v>
      </c>
      <c r="J38" s="873">
        <f>'Daily exchange'!F23</f>
        <v>8.3552000000000001E-2</v>
      </c>
      <c r="K38" s="873"/>
      <c r="L38" s="873">
        <f>(SUMIF(Daily!$3:$3,$B38,Daily!$19:$19)+SUMIF(Daily!$3:$3,$B38,Daily!$21:$21))*'Cash in bank report'!$E$2/'Cash in bank report'!$E$3</f>
        <v>0.44284896406389707</v>
      </c>
      <c r="M38" s="873">
        <f t="shared" ref="M38" si="33">+$M$2-L38</f>
        <v>11.017151035936104</v>
      </c>
      <c r="N38" s="874"/>
      <c r="O38" s="873">
        <f t="shared" ref="O38" si="34">+R36</f>
        <v>6.6712115900000004</v>
      </c>
      <c r="P38" s="873"/>
      <c r="Q38" s="873"/>
      <c r="R38" s="873">
        <f>(SUMIF(Daily!$3:$3,$B38,Daily!$15:$15)+SUMIF(Daily!$3:$3,$B38,Daily!$17:$17))</f>
        <v>6.65148107</v>
      </c>
      <c r="S38" s="873">
        <f t="shared" ref="S38" si="35">+$S$2-R38</f>
        <v>3.34851893</v>
      </c>
    </row>
    <row r="39" spans="2:19" ht="21" customHeight="1">
      <c r="B39" s="876">
        <v>45156</v>
      </c>
      <c r="C39" s="873">
        <f t="shared" ref="C39" si="36">F38</f>
        <v>19.568949413576416</v>
      </c>
      <c r="D39" s="873">
        <f>'Daily exchange'!I24</f>
        <v>0</v>
      </c>
      <c r="E39" s="873">
        <f t="shared" ref="E39" si="37">+F39-C39-D39</f>
        <v>0.34426264192535783</v>
      </c>
      <c r="F39" s="873">
        <f>(SUMIF(Daily!$3:$3,$B39,Daily!$23:$23)+SUMIF(Daily!$3:$3,$B39,Daily!$25:$25))*'Cash in bank report'!$E$2/'Cash in bank report'!$E$4</f>
        <v>19.913212055501774</v>
      </c>
      <c r="G39" s="873">
        <f t="shared" ref="G39" si="38">+$G$2-F39</f>
        <v>8.6787944498226466E-2</v>
      </c>
      <c r="I39" s="873">
        <f t="shared" ref="I39" si="39">L38</f>
        <v>0.44284896406389707</v>
      </c>
      <c r="J39" s="873">
        <f>'Daily exchange'!F23</f>
        <v>8.3552000000000001E-2</v>
      </c>
      <c r="K39" s="873"/>
      <c r="L39" s="873">
        <f>(SUMIF(Daily!$3:$3,$B39,Daily!$19:$19)+SUMIF(Daily!$3:$3,$B39,Daily!$21:$21))*'Cash in bank report'!$E$2/'Cash in bank report'!$E$3</f>
        <v>0.43984540844979941</v>
      </c>
      <c r="M39" s="873">
        <f t="shared" ref="M39" si="40">+$M$2-L39</f>
        <v>11.020154591550201</v>
      </c>
      <c r="O39" s="873">
        <f t="shared" ref="O39" si="41">+R37</f>
        <v>6.65148107</v>
      </c>
      <c r="P39" s="873"/>
      <c r="Q39" s="873"/>
      <c r="R39" s="873">
        <f>(SUMIF(Daily!$3:$3,$B39,Daily!$15:$15)+SUMIF(Daily!$3:$3,$B39,Daily!$17:$17))</f>
        <v>6.65148107</v>
      </c>
      <c r="S39" s="873">
        <f t="shared" ref="S39" si="42">+$S$2-R39</f>
        <v>3.34851893</v>
      </c>
    </row>
    <row r="40" spans="2:19" ht="21" customHeight="1">
      <c r="B40" s="876">
        <v>45167</v>
      </c>
      <c r="C40" s="873">
        <f t="shared" ref="C40" si="43">F39</f>
        <v>19.913212055501774</v>
      </c>
      <c r="D40" s="873">
        <f>'Daily exchange'!I25</f>
        <v>0</v>
      </c>
      <c r="E40" s="873">
        <f t="shared" ref="E40" si="44">+F40-C40-D40</f>
        <v>1.8290926948555644</v>
      </c>
      <c r="F40" s="873">
        <f>(SUMIF(Daily!$3:$3,$B40,Daily!$23:$23)+SUMIF(Daily!$3:$3,$B40,Daily!$25:$25))*'Cash in bank report'!$E$2/'Cash in bank report'!$E$4</f>
        <v>21.742304750357338</v>
      </c>
      <c r="G40" s="873">
        <f t="shared" ref="G40" si="45">+$G$2-F40</f>
        <v>-1.7423047503573379</v>
      </c>
      <c r="I40" s="873">
        <f t="shared" ref="I40" si="46">L39</f>
        <v>0.43984540844979941</v>
      </c>
      <c r="J40" s="873">
        <f>'Daily exchange'!F24</f>
        <v>0.36633599999999999</v>
      </c>
      <c r="K40" s="873"/>
      <c r="L40" s="873">
        <f>(SUMIF(Daily!$3:$3,$B40,Daily!$19:$19)+SUMIF(Daily!$3:$3,$B40,Daily!$21:$21))*'Cash in bank report'!$E$2/'Cash in bank report'!$E$3</f>
        <v>0.46764213585600223</v>
      </c>
      <c r="M40" s="873">
        <f t="shared" ref="M40" si="47">+$M$2-L40</f>
        <v>10.992357864143999</v>
      </c>
      <c r="O40" s="873">
        <f t="shared" ref="O40" si="48">+R38</f>
        <v>6.65148107</v>
      </c>
      <c r="P40" s="873"/>
      <c r="Q40" s="873"/>
      <c r="R40" s="873">
        <f>(SUMIF(Daily!$3:$3,$B40,Daily!$15:$15)+SUMIF(Daily!$3:$3,$B40,Daily!$17:$17))</f>
        <v>6.65148107</v>
      </c>
      <c r="S40" s="873">
        <f t="shared" ref="S40" si="49">+$S$2-R40</f>
        <v>3.34851893</v>
      </c>
    </row>
    <row r="41" spans="2:19" ht="21" customHeight="1">
      <c r="B41" s="876">
        <v>45173</v>
      </c>
      <c r="C41" s="873">
        <f t="shared" ref="C41" si="50">F40</f>
        <v>21.742304750357338</v>
      </c>
      <c r="D41" s="873">
        <f>'Daily exchange'!I26</f>
        <v>4.5</v>
      </c>
      <c r="E41" s="873">
        <f t="shared" ref="E41" si="51">+F41-C41-D41</f>
        <v>-5.6034877598990356</v>
      </c>
      <c r="F41" s="873">
        <f>(SUMIF(Daily!$3:$3,$B41,Daily!$23:$23)+SUMIF(Daily!$3:$3,$B41,Daily!$25:$25))*'Cash in bank report'!$E$2/'Cash in bank report'!$E$4</f>
        <v>20.638816990458302</v>
      </c>
      <c r="G41" s="873">
        <f t="shared" ref="G41" si="52">+$G$2-F41</f>
        <v>-0.63881699045830231</v>
      </c>
      <c r="I41" s="873">
        <f t="shared" ref="I41" si="53">L40</f>
        <v>0.46764213585600223</v>
      </c>
      <c r="J41" s="873">
        <f>'Daily exchange'!F25</f>
        <v>8.6400000000000005E-2</v>
      </c>
      <c r="K41" s="873"/>
      <c r="L41" s="873">
        <f>(SUMIF(Daily!$3:$3,$B41,Daily!$19:$19)+SUMIF(Daily!$3:$3,$B41,Daily!$21:$21))*'Cash in bank report'!$E$2/'Cash in bank report'!$E$3</f>
        <v>0.4381749874242617</v>
      </c>
      <c r="M41" s="873">
        <f t="shared" ref="M41" si="54">+$M$2-L41</f>
        <v>11.021825012575739</v>
      </c>
      <c r="O41" s="873">
        <f t="shared" ref="O41" si="55">+R39</f>
        <v>6.65148107</v>
      </c>
      <c r="P41" s="873"/>
      <c r="Q41" s="873"/>
      <c r="R41" s="873">
        <f>(SUMIF(Daily!$3:$3,$B41,Daily!$15:$15)+SUMIF(Daily!$3:$3,$B41,Daily!$17:$17))</f>
        <v>5.0601830000000003</v>
      </c>
      <c r="S41" s="873">
        <f t="shared" ref="S41" si="56">+$S$2-R41</f>
        <v>4.9398169999999997</v>
      </c>
    </row>
    <row r="42" spans="2:19" ht="21" customHeight="1">
      <c r="B42" s="876">
        <v>45223</v>
      </c>
      <c r="C42" s="873">
        <f t="shared" ref="C42" si="57">F41</f>
        <v>20.638816990458302</v>
      </c>
      <c r="D42" s="873">
        <f>'Daily exchange'!I26</f>
        <v>4.5</v>
      </c>
      <c r="E42" s="873">
        <f t="shared" ref="E42" si="58">+F42-C42-D42</f>
        <v>-17.604762237056541</v>
      </c>
      <c r="F42" s="873">
        <f>(SUMIF(Daily!$3:$3,$B42,Daily!$23:$23)+SUMIF(Daily!$3:$3,$B42,Daily!$25:$25))*'Cash in bank report'!$E$2/'Cash in bank report'!$E$4</f>
        <v>7.5340547534017599</v>
      </c>
      <c r="G42" s="873">
        <f t="shared" ref="G42" si="59">+$G$2-F42</f>
        <v>12.46594524659824</v>
      </c>
      <c r="I42" s="873">
        <f t="shared" ref="I42" si="60">L41</f>
        <v>0.4381749874242617</v>
      </c>
      <c r="J42" s="873">
        <f>'Daily exchange'!F26</f>
        <v>0</v>
      </c>
      <c r="K42" s="873"/>
      <c r="L42" s="873">
        <f>(SUMIF(Daily!$3:$3,$B42,Daily!$19:$19)+SUMIF(Daily!$3:$3,$B42,Daily!$21:$21))*'Cash in bank report'!$E$2/'Cash in bank report'!$E$3</f>
        <v>0.42737533956882889</v>
      </c>
      <c r="M42" s="873">
        <f t="shared" ref="M42" si="61">+$M$2-L42</f>
        <v>11.032624660431171</v>
      </c>
      <c r="O42" s="873">
        <f t="shared" ref="O42:O47" si="62">+R41</f>
        <v>5.0601830000000003</v>
      </c>
      <c r="P42" s="873"/>
      <c r="Q42" s="873">
        <f t="shared" ref="Q42" si="63">+R42-O42-P42</f>
        <v>1.6221839999999998</v>
      </c>
      <c r="R42" s="873">
        <f>(SUMIF(Daily!$3:$3,$B42,Daily!$15:$15)+SUMIF(Daily!$3:$3,$B42,Daily!$17:$17))</f>
        <v>6.6823670000000002</v>
      </c>
      <c r="S42" s="873">
        <f t="shared" ref="S42" si="64">+$S$2-R42</f>
        <v>3.3176329999999998</v>
      </c>
    </row>
    <row r="43" spans="2:19" ht="21" customHeight="1">
      <c r="B43" s="876">
        <v>45237</v>
      </c>
      <c r="C43" s="873">
        <f t="shared" ref="C43" si="65">F42</f>
        <v>7.5340547534017599</v>
      </c>
      <c r="D43" s="873">
        <f>'Daily exchange'!I27</f>
        <v>5</v>
      </c>
      <c r="E43" s="873">
        <f t="shared" ref="E43" si="66">+F43-C43-D43</f>
        <v>2.7365902545282808</v>
      </c>
      <c r="F43" s="873">
        <f>(SUMIF(Daily!$3:$3,$B43,Daily!$23:$23)+SUMIF(Daily!$3:$3,$B43,Daily!$25:$25))*'Cash in bank report'!$E$2/'Cash in bank report'!$E$4</f>
        <v>15.270645007930041</v>
      </c>
      <c r="G43" s="873">
        <f t="shared" ref="G43" si="67">+$G$2-F43</f>
        <v>4.7293549920699594</v>
      </c>
      <c r="I43" s="873">
        <f t="shared" ref="I43" si="68">L42</f>
        <v>0.42737533956882889</v>
      </c>
      <c r="J43" s="873">
        <f>'Daily exchange'!F27</f>
        <v>0</v>
      </c>
      <c r="K43" s="873">
        <f t="shared" ref="K43:K44" si="69">+L43-I43-J43</f>
        <v>0.33989196970954338</v>
      </c>
      <c r="L43" s="873">
        <f>(SUMIF(Daily!$3:$3,$B43,Daily!$19:$19)+SUMIF(Daily!$3:$3,$B43,Daily!$21:$21))*'Cash in bank report'!$E$2/'Cash in bank report'!$E$3</f>
        <v>0.76726730927837228</v>
      </c>
      <c r="M43" s="873">
        <f t="shared" ref="M43" si="70">+$M$2-L43</f>
        <v>10.692732690721629</v>
      </c>
      <c r="O43" s="873">
        <f t="shared" si="62"/>
        <v>6.6823670000000002</v>
      </c>
      <c r="P43" s="873"/>
      <c r="Q43" s="873">
        <f t="shared" ref="Q43" si="71">+R43-O43-P43</f>
        <v>-8.8817841970012523E-16</v>
      </c>
      <c r="R43" s="873">
        <f>(SUMIF(Daily!$3:$3,$B43,Daily!$15:$15)+SUMIF(Daily!$3:$3,$B43,Daily!$17:$17))</f>
        <v>6.6823669999999993</v>
      </c>
      <c r="S43" s="873">
        <f t="shared" ref="S43" si="72">+$S$2-R43</f>
        <v>3.3176330000000007</v>
      </c>
    </row>
    <row r="44" spans="2:19" ht="21" customHeight="1">
      <c r="B44" s="876">
        <v>45238</v>
      </c>
      <c r="C44" s="873">
        <f t="shared" ref="C44:C45" si="73">F43</f>
        <v>15.270645007930041</v>
      </c>
      <c r="D44" s="873">
        <f>'Daily exchange'!I28</f>
        <v>7</v>
      </c>
      <c r="E44" s="873">
        <f t="shared" ref="E44" si="74">+F44-C44-D44</f>
        <v>-14.050337171063513</v>
      </c>
      <c r="F44" s="873">
        <f>(SUMIF(Daily!$3:$3,$B44,Daily!$23:$23)+SUMIF(Daily!$3:$3,$B44,Daily!$25:$25))*'Cash in bank report'!$E$2/'Cash in bank report'!$E$4</f>
        <v>8.2203078368665281</v>
      </c>
      <c r="G44" s="873">
        <f t="shared" ref="G44" si="75">+$G$2-F44</f>
        <v>11.779692163133472</v>
      </c>
      <c r="I44" s="873">
        <f t="shared" ref="I44" si="76">L43</f>
        <v>0.76726730927837228</v>
      </c>
      <c r="J44" s="873">
        <f>'Daily exchange'!F28</f>
        <v>0</v>
      </c>
      <c r="K44" s="873">
        <f t="shared" si="69"/>
        <v>-0.33591071477014556</v>
      </c>
      <c r="L44" s="873">
        <f>(SUMIF(Daily!$3:$3,$B44,Daily!$19:$19)+SUMIF(Daily!$3:$3,$B44,Daily!$21:$21))*'Cash in bank report'!$E$2/'Cash in bank report'!$E$3</f>
        <v>0.43135659450822672</v>
      </c>
      <c r="M44" s="873">
        <f t="shared" ref="M44" si="77">+$M$2-L44</f>
        <v>11.028643405491774</v>
      </c>
      <c r="O44" s="873">
        <f t="shared" si="62"/>
        <v>6.6823669999999993</v>
      </c>
      <c r="P44" s="873"/>
      <c r="Q44" s="873">
        <f t="shared" ref="Q44" si="78">+R44-O44-P44</f>
        <v>8.8817841970012523E-16</v>
      </c>
      <c r="R44" s="873">
        <f>(SUMIF(Daily!$3:$3,$B44,Daily!$15:$15)+SUMIF(Daily!$3:$3,$B44,Daily!$17:$17))</f>
        <v>6.6823670000000002</v>
      </c>
      <c r="S44" s="873">
        <f t="shared" ref="S44" si="79">+$S$2-R44</f>
        <v>3.3176329999999998</v>
      </c>
    </row>
    <row r="45" spans="2:19" ht="21" customHeight="1">
      <c r="B45" s="876">
        <v>45239</v>
      </c>
      <c r="C45" s="873">
        <f t="shared" si="73"/>
        <v>8.2203078368665281</v>
      </c>
      <c r="D45" s="873">
        <f>'Daily exchange'!I29</f>
        <v>2</v>
      </c>
      <c r="E45" s="873">
        <f t="shared" ref="E45" si="80">+F45-C45-D45</f>
        <v>4.9190568493949396</v>
      </c>
      <c r="F45" s="873">
        <f>(SUMIF(Daily!$3:$3,$B45,Daily!$23:$23)+SUMIF(Daily!$3:$3,$B45,Daily!$25:$25))*'Cash in bank report'!$E$2/'Cash in bank report'!$E$4</f>
        <v>15.139364686261468</v>
      </c>
      <c r="G45" s="873">
        <f t="shared" ref="G45" si="81">+$G$2-F45</f>
        <v>4.8606353137385323</v>
      </c>
      <c r="I45" s="873">
        <f t="shared" ref="I45" si="82">L44</f>
        <v>0.43135659450822672</v>
      </c>
      <c r="J45" s="873">
        <f>'Daily exchange'!F29</f>
        <v>0</v>
      </c>
      <c r="K45" s="873">
        <f t="shared" ref="K45" si="83">+L45-I45-J45</f>
        <v>0.29306983758726712</v>
      </c>
      <c r="L45" s="873">
        <f>(SUMIF(Daily!$3:$3,$B45,Daily!$19:$19)+SUMIF(Daily!$3:$3,$B45,Daily!$21:$21))*'Cash in bank report'!$E$2/'Cash in bank report'!$E$3</f>
        <v>0.72442643209549384</v>
      </c>
      <c r="M45" s="873">
        <f t="shared" ref="M45" si="84">+$M$2-L45</f>
        <v>10.735573567904506</v>
      </c>
      <c r="O45" s="873">
        <f t="shared" si="62"/>
        <v>6.6823670000000002</v>
      </c>
      <c r="P45" s="873"/>
      <c r="Q45" s="873">
        <f t="shared" ref="Q45" si="85">+R45-O45-P45</f>
        <v>0</v>
      </c>
      <c r="R45" s="873">
        <f>(SUMIF(Daily!$3:$3,$B45,Daily!$15:$15)+SUMIF(Daily!$3:$3,$B45,Daily!$17:$17))</f>
        <v>6.6823670000000002</v>
      </c>
      <c r="S45" s="873">
        <f t="shared" ref="S45" si="86">+$S$2-R45</f>
        <v>3.3176329999999998</v>
      </c>
    </row>
    <row r="46" spans="2:19" ht="21" customHeight="1">
      <c r="B46" s="876">
        <v>45307</v>
      </c>
      <c r="C46" s="873">
        <f t="shared" ref="C46" si="87">F45</f>
        <v>15.139364686261468</v>
      </c>
      <c r="D46" s="873">
        <f>'Daily exchange'!I29</f>
        <v>2</v>
      </c>
      <c r="E46" s="873">
        <f t="shared" ref="E46" si="88">+F46-C46-D46</f>
        <v>-3.5021951630861139</v>
      </c>
      <c r="F46" s="873">
        <f>(SUMIF(Daily!$3:$3,$B46,Daily!$23:$23)+SUMIF(Daily!$3:$3,$B46,Daily!$25:$25))*'Cash in bank report'!$E$2/'Cash in bank report'!$E$4</f>
        <v>13.637169523175354</v>
      </c>
      <c r="G46" s="873">
        <f t="shared" ref="G46" si="89">+$G$2-F46</f>
        <v>6.3628304768246462</v>
      </c>
      <c r="I46" s="873">
        <f t="shared" ref="I46" si="90">L45</f>
        <v>0.72442643209549384</v>
      </c>
      <c r="J46" s="873">
        <f>'Daily exchange'!F30</f>
        <v>0</v>
      </c>
      <c r="K46" s="873">
        <f t="shared" ref="K46" si="91">+L46-I46-J46</f>
        <v>-0.21411539889355713</v>
      </c>
      <c r="L46" s="873">
        <f>(SUMIF(Daily!$3:$3,$B46,Daily!$19:$19)+SUMIF(Daily!$3:$3,$B46,Daily!$21:$21))*'Cash in bank report'!$E$2/'Cash in bank report'!$E$3</f>
        <v>0.51031103320193671</v>
      </c>
      <c r="M46" s="873">
        <f t="shared" ref="M46" si="92">+$M$2-L46</f>
        <v>10.949688966798064</v>
      </c>
      <c r="O46" s="873">
        <f t="shared" si="62"/>
        <v>6.6823670000000002</v>
      </c>
      <c r="P46" s="873"/>
      <c r="Q46" s="873">
        <f t="shared" ref="Q46" si="93">+R46-O46-P46</f>
        <v>-1.0644585200000005</v>
      </c>
      <c r="R46" s="873">
        <f>(SUMIF(Daily!$3:$3,$B46,Daily!$15:$15)+SUMIF(Daily!$3:$3,$B46,Daily!$17:$17))</f>
        <v>5.6179084799999996</v>
      </c>
      <c r="S46" s="873">
        <f t="shared" ref="S46" si="94">+$S$2-R46</f>
        <v>4.3820915200000004</v>
      </c>
    </row>
    <row r="47" spans="2:19" ht="21" customHeight="1">
      <c r="B47" s="876">
        <v>45315</v>
      </c>
      <c r="C47" s="873">
        <f t="shared" ref="C47" si="95">F46</f>
        <v>13.637169523175354</v>
      </c>
      <c r="D47" s="873">
        <f>'Daily exchange'!I30</f>
        <v>15.5</v>
      </c>
      <c r="E47" s="873">
        <f t="shared" ref="E47" si="96">+F47-C47-D47</f>
        <v>-0.22473697128115511</v>
      </c>
      <c r="F47" s="873">
        <f>(SUMIF(Daily!$3:$3,$B47,Daily!$23:$23)+SUMIF(Daily!$3:$3,$B47,Daily!$25:$25))*'Cash in bank report'!$E$2/'Cash in bank report'!$E$4</f>
        <v>28.912432551894199</v>
      </c>
      <c r="G47" s="873">
        <f t="shared" ref="G47" si="97">+$G$2-F47</f>
        <v>-8.9124325518941987</v>
      </c>
      <c r="I47" s="873">
        <f t="shared" ref="I47" si="98">L46</f>
        <v>0.51031103320193671</v>
      </c>
      <c r="J47" s="873">
        <f>'Daily exchange'!F31</f>
        <v>0</v>
      </c>
      <c r="K47" s="873">
        <f t="shared" ref="K47" si="99">+L47-I47-J47</f>
        <v>-2.6885252029840156E-3</v>
      </c>
      <c r="L47" s="873">
        <f>(SUMIF(Daily!$3:$3,$B47,Daily!$19:$19)+SUMIF(Daily!$3:$3,$B47,Daily!$21:$21))*'Cash in bank report'!$E$2/'Cash in bank report'!$E$3</f>
        <v>0.5076225079989527</v>
      </c>
      <c r="M47" s="873">
        <f t="shared" ref="M47" si="100">+$M$2-L47</f>
        <v>10.952377492001048</v>
      </c>
      <c r="O47" s="873">
        <f t="shared" si="62"/>
        <v>5.6179084799999996</v>
      </c>
      <c r="P47" s="873"/>
      <c r="Q47" s="873">
        <f t="shared" ref="Q47" si="101">+R47-O47-P47</f>
        <v>0</v>
      </c>
      <c r="R47" s="873">
        <f>(SUMIF(Daily!$3:$3,$B47,Daily!$15:$15)+SUMIF(Daily!$3:$3,$B47,Daily!$17:$17))</f>
        <v>5.6179084799999996</v>
      </c>
      <c r="S47" s="873">
        <f t="shared" ref="S47" si="102">+$S$2-R47</f>
        <v>4.3820915200000004</v>
      </c>
    </row>
    <row r="48" spans="2:19" ht="21" customHeight="1">
      <c r="B48" s="876">
        <v>45320</v>
      </c>
      <c r="C48" s="873">
        <f t="shared" ref="C48" si="103">F47</f>
        <v>28.912432551894199</v>
      </c>
      <c r="D48" s="873">
        <f>'Daily exchange'!I31</f>
        <v>8.9</v>
      </c>
      <c r="E48" s="873">
        <f t="shared" ref="E48" si="104">+F48-C48-D48</f>
        <v>0.51233746216112586</v>
      </c>
      <c r="F48" s="873">
        <f>(SUMIF(Daily!$3:$3,$B48,Daily!$23:$23)+SUMIF(Daily!$3:$3,$B48,Daily!$25:$25))*'Cash in bank report'!$E$2/'Cash in bank report'!$E$4</f>
        <v>38.324770014055325</v>
      </c>
      <c r="G48" s="873">
        <f t="shared" ref="G48" si="105">+$G$2-F48</f>
        <v>-18.324770014055325</v>
      </c>
      <c r="I48" s="873">
        <f t="shared" ref="I48" si="106">L47</f>
        <v>0.5076225079989527</v>
      </c>
      <c r="J48" s="873">
        <f>'Daily exchange'!F32</f>
        <v>0</v>
      </c>
      <c r="K48" s="873">
        <f t="shared" ref="K48" si="107">+L48-I48-J48</f>
        <v>-2.4538199464131383E-3</v>
      </c>
      <c r="L48" s="873">
        <f>(SUMIF(Daily!$3:$3,$B48,Daily!$19:$19)+SUMIF(Daily!$3:$3,$B48,Daily!$21:$21))*'Cash in bank report'!$E$2/'Cash in bank report'!$E$3</f>
        <v>0.50516868805253956</v>
      </c>
      <c r="M48" s="873">
        <f t="shared" ref="M48" si="108">+$M$2-L48</f>
        <v>10.954831311947462</v>
      </c>
      <c r="O48" s="873">
        <f t="shared" ref="O48" si="109">+R47</f>
        <v>5.6179084799999996</v>
      </c>
      <c r="P48" s="873"/>
      <c r="Q48" s="873">
        <f t="shared" ref="Q48" si="110">+R48-O48-P48</f>
        <v>0</v>
      </c>
      <c r="R48" s="873">
        <f>(SUMIF(Daily!$3:$3,$B48,Daily!$15:$15)+SUMIF(Daily!$3:$3,$B48,Daily!$17:$17))</f>
        <v>5.6179084799999996</v>
      </c>
      <c r="S48" s="873">
        <f t="shared" ref="S48" si="111">+$S$2-R48</f>
        <v>4.3820915200000004</v>
      </c>
    </row>
    <row r="49" spans="2:19" ht="21" customHeight="1">
      <c r="B49" s="876">
        <v>45327</v>
      </c>
      <c r="C49" s="873">
        <f t="shared" ref="C49" si="112">F48</f>
        <v>38.324770014055325</v>
      </c>
      <c r="D49" s="873">
        <f>'Daily exchange'!I32</f>
        <v>31</v>
      </c>
      <c r="E49" s="873">
        <f t="shared" ref="E49" si="113">+F49-C49-D49</f>
        <v>0.52334746549963285</v>
      </c>
      <c r="F49" s="873">
        <f>(SUMIF(Daily!$3:$3,$B49,Daily!$23:$23)+SUMIF(Daily!$3:$3,$B49,Daily!$25:$25))*'Cash in bank report'!$E$2/'Cash in bank report'!$E$4</f>
        <v>69.848117479554958</v>
      </c>
      <c r="G49" s="873">
        <f t="shared" ref="G49" si="114">+$G$2-F49</f>
        <v>-49.848117479554958</v>
      </c>
      <c r="I49" s="873">
        <f t="shared" ref="I49" si="115">L48</f>
        <v>0.50516868805253956</v>
      </c>
      <c r="J49" s="873">
        <f>'Daily exchange'!F33</f>
        <v>0</v>
      </c>
      <c r="K49" s="873">
        <f t="shared" ref="K49" si="116">+L49-I49-J49</f>
        <v>1.5689477023573817E-3</v>
      </c>
      <c r="L49" s="873">
        <f>(SUMIF(Daily!$3:$3,$B49,Daily!$19:$19)+SUMIF(Daily!$3:$3,$B49,Daily!$21:$21))*'Cash in bank report'!$E$2/'Cash in bank report'!$E$3</f>
        <v>0.50673763575489694</v>
      </c>
      <c r="M49" s="873">
        <f t="shared" ref="M49" si="117">+$M$2-L49</f>
        <v>10.953262364245104</v>
      </c>
      <c r="O49" s="873">
        <f t="shared" ref="O49" si="118">+R48</f>
        <v>5.6179084799999996</v>
      </c>
      <c r="P49" s="873"/>
      <c r="Q49" s="873">
        <f t="shared" ref="Q49" si="119">+R49-O49-P49</f>
        <v>0</v>
      </c>
      <c r="R49" s="873">
        <f>(SUMIF(Daily!$3:$3,$B49,Daily!$15:$15)+SUMIF(Daily!$3:$3,$B49,Daily!$17:$17))</f>
        <v>5.6179084799999996</v>
      </c>
      <c r="S49" s="873">
        <f t="shared" ref="S49" si="120">+$S$2-R49</f>
        <v>4.3820915200000004</v>
      </c>
    </row>
    <row r="50" spans="2:19" ht="21" customHeight="1">
      <c r="B50" s="876">
        <v>45376</v>
      </c>
      <c r="C50" s="873">
        <f t="shared" ref="C50" si="121">F49</f>
        <v>69.848117479554958</v>
      </c>
      <c r="D50" s="873">
        <f>'Daily exchange'!I33</f>
        <v>0</v>
      </c>
      <c r="E50" s="873">
        <f t="shared" ref="E50" si="122">+F50-C50-D50</f>
        <v>-0.96749275729243323</v>
      </c>
      <c r="F50" s="873">
        <f>(SUMIF(Daily!$3:$3,$B50,Daily!$23:$23)+SUMIF(Daily!$3:$3,$B50,Daily!$25:$25))*'Cash in bank report'!$E$2/'Cash in bank report'!$E$4</f>
        <v>68.880624722262525</v>
      </c>
      <c r="G50" s="873">
        <f t="shared" ref="G50" si="123">+$G$2-F50</f>
        <v>-48.880624722262525</v>
      </c>
      <c r="I50" s="873">
        <f t="shared" ref="I50" si="124">L49</f>
        <v>0.50673763575489694</v>
      </c>
      <c r="J50" s="873">
        <f>'Daily exchange'!F34</f>
        <v>0</v>
      </c>
      <c r="K50" s="873">
        <f t="shared" ref="K50" si="125">+L50-I50-J50</f>
        <v>-2.7532873072305675E-3</v>
      </c>
      <c r="L50" s="873">
        <f>(SUMIF(Daily!$3:$3,$B50,Daily!$19:$19)+SUMIF(Daily!$3:$3,$B50,Daily!$21:$21))*'Cash in bank report'!$E$2/'Cash in bank report'!$E$3</f>
        <v>0.50398434844766637</v>
      </c>
      <c r="M50" s="873">
        <f t="shared" ref="M50" si="126">+$M$2-L50</f>
        <v>10.956015651552335</v>
      </c>
      <c r="O50" s="873">
        <f t="shared" ref="O50" si="127">+R49</f>
        <v>5.6179084799999996</v>
      </c>
      <c r="P50" s="873">
        <f>'Daily exchange'!C33</f>
        <v>0.13100000000000001</v>
      </c>
      <c r="Q50" s="873">
        <f t="shared" ref="Q50" si="128">+R50-O50-P50</f>
        <v>-1.2861899999998538E-3</v>
      </c>
      <c r="R50" s="873">
        <f>(SUMIF(Daily!$3:$3,$B50,Daily!$15:$15)+SUMIF(Daily!$3:$3,$B50,Daily!$17:$17))</f>
        <v>5.7476222899999998</v>
      </c>
      <c r="S50" s="873">
        <f t="shared" ref="S50" si="129">+$S$2-R50</f>
        <v>4.2523777100000002</v>
      </c>
    </row>
    <row r="51" spans="2:19" ht="21" customHeight="1">
      <c r="B51" s="876">
        <v>45384</v>
      </c>
      <c r="C51" s="873">
        <f t="shared" ref="C51" si="130">F50</f>
        <v>68.880624722262525</v>
      </c>
      <c r="D51" s="873">
        <f>'Daily exchange'!I34</f>
        <v>7.7</v>
      </c>
      <c r="E51" s="873">
        <f t="shared" ref="E51" si="131">+F51-C51-D51</f>
        <v>-1.678360105713705</v>
      </c>
      <c r="F51" s="873">
        <f>(SUMIF(Daily!$3:$3,$B51,Daily!$23:$23)+SUMIF(Daily!$3:$3,$B51,Daily!$25:$25))*'Cash in bank report'!$E$2/'Cash in bank report'!$E$4</f>
        <v>74.90226461654882</v>
      </c>
      <c r="G51" s="873">
        <f t="shared" ref="G51" si="132">+$G$2-F51</f>
        <v>-54.90226461654882</v>
      </c>
      <c r="I51" s="873">
        <f t="shared" ref="I51" si="133">L50</f>
        <v>0.50398434844766637</v>
      </c>
      <c r="J51" s="873">
        <f>'Daily exchange'!F35</f>
        <v>0</v>
      </c>
      <c r="K51" s="873">
        <f t="shared" ref="K51" si="134">+L51-I51-J51</f>
        <v>-1.5350562487166375E-3</v>
      </c>
      <c r="L51" s="873">
        <f>(SUMIF(Daily!$3:$3,$B51,Daily!$19:$19)+SUMIF(Daily!$3:$3,$B51,Daily!$21:$21))*'Cash in bank report'!$E$2/'Cash in bank report'!$E$3</f>
        <v>0.50244929219894974</v>
      </c>
      <c r="M51" s="873">
        <f t="shared" ref="M51" si="135">+$M$2-L51</f>
        <v>10.957550707801051</v>
      </c>
      <c r="O51" s="873">
        <f t="shared" ref="O51" si="136">+R50</f>
        <v>5.7476222899999998</v>
      </c>
      <c r="P51" s="873">
        <f>'Daily exchange'!C34</f>
        <v>0</v>
      </c>
      <c r="Q51" s="873">
        <f t="shared" ref="Q51" si="137">+R51-O51-P51</f>
        <v>-1.3112999999999708E-2</v>
      </c>
      <c r="R51" s="873">
        <f>(SUMIF(Daily!$3:$3,$B51,Daily!$15:$15)+SUMIF(Daily!$3:$3,$B51,Daily!$17:$17))</f>
        <v>5.7345092900000001</v>
      </c>
      <c r="S51" s="873">
        <f t="shared" ref="S51" si="138">+$S$2-R51</f>
        <v>4.2654907099999999</v>
      </c>
    </row>
    <row r="52" spans="2:19" ht="21" customHeight="1">
      <c r="B52" s="876">
        <v>45385</v>
      </c>
      <c r="C52" s="873">
        <f t="shared" ref="C52" si="139">F51</f>
        <v>74.90226461654882</v>
      </c>
      <c r="D52" s="873">
        <f>'Daily exchange'!I35</f>
        <v>0.47504950000000001</v>
      </c>
      <c r="E52" s="873">
        <f t="shared" ref="E52" si="140">+F52-C52-D52</f>
        <v>0.42266107117475549</v>
      </c>
      <c r="F52" s="873">
        <f>(SUMIF(Daily!$3:$3,$B52,Daily!$23:$23)+SUMIF(Daily!$3:$3,$B52,Daily!$25:$25))*'Cash in bank report'!$E$2/'Cash in bank report'!$E$4</f>
        <v>75.799975187723575</v>
      </c>
      <c r="G52" s="873">
        <f t="shared" ref="G52" si="141">+$G$2-F52</f>
        <v>-55.799975187723575</v>
      </c>
      <c r="I52" s="873">
        <f t="shared" ref="I52" si="142">L51</f>
        <v>0.50244929219894974</v>
      </c>
      <c r="J52" s="873">
        <f>'Daily exchange'!F36</f>
        <v>0</v>
      </c>
      <c r="K52" s="873">
        <f t="shared" ref="K52" si="143">+L52-I52-J52</f>
        <v>-2.0484073079733989E-3</v>
      </c>
      <c r="L52" s="873">
        <f>(SUMIF(Daily!$3:$3,$B52,Daily!$19:$19)+SUMIF(Daily!$3:$3,$B52,Daily!$21:$21))*'Cash in bank report'!$E$2/'Cash in bank report'!$E$3</f>
        <v>0.50040088489097634</v>
      </c>
      <c r="M52" s="873">
        <f t="shared" ref="M52" si="144">+$M$2-L52</f>
        <v>10.959599115109025</v>
      </c>
      <c r="O52" s="873">
        <f t="shared" ref="O52" si="145">+R51</f>
        <v>5.7345092900000001</v>
      </c>
      <c r="P52" s="873">
        <f>'Daily exchange'!C35</f>
        <v>0</v>
      </c>
      <c r="Q52" s="873">
        <f t="shared" ref="Q52" si="146">+R52-O52-P52</f>
        <v>-8.8817841970012523E-16</v>
      </c>
      <c r="R52" s="873">
        <f>(SUMIF(Daily!$3:$3,$B52,Daily!$15:$15)+SUMIF(Daily!$3:$3,$B52,Daily!$17:$17))</f>
        <v>5.7345092899999992</v>
      </c>
      <c r="S52" s="873">
        <f t="shared" ref="S52" si="147">+$S$2-R52</f>
        <v>4.2654907100000008</v>
      </c>
    </row>
    <row r="53" spans="2:19" ht="21" customHeight="1">
      <c r="B53" s="876">
        <v>45392</v>
      </c>
      <c r="C53" s="873">
        <f t="shared" ref="C53" si="148">F52</f>
        <v>75.799975187723575</v>
      </c>
      <c r="D53" s="873">
        <f>'Daily exchange'!I36</f>
        <v>0.56699999999999995</v>
      </c>
      <c r="E53" s="873">
        <f t="shared" ref="E53" si="149">+F53-C53-D53</f>
        <v>0.26387491962555765</v>
      </c>
      <c r="F53" s="873">
        <f>(SUMIF(Daily!$3:$3,$B53,Daily!$23:$23)+SUMIF(Daily!$3:$3,$B53,Daily!$25:$25))*'Cash in bank report'!$E$2/'Cash in bank report'!$E$4</f>
        <v>76.630850107349133</v>
      </c>
      <c r="G53" s="873">
        <f t="shared" ref="G53" si="150">+$G$2-F53</f>
        <v>-56.630850107349133</v>
      </c>
      <c r="I53" s="873">
        <f t="shared" ref="I53" si="151">L52</f>
        <v>0.50040088489097634</v>
      </c>
      <c r="J53" s="873">
        <f>'Daily exchange'!F37</f>
        <v>0</v>
      </c>
      <c r="K53" s="873">
        <f t="shared" ref="K53" si="152">+L53-I53-J53</f>
        <v>5.5155636911028427E-3</v>
      </c>
      <c r="L53" s="873">
        <f>(SUMIF(Daily!$3:$3,$B53,Daily!$19:$19)+SUMIF(Daily!$3:$3,$B53,Daily!$21:$21))*'Cash in bank report'!$E$2/'Cash in bank report'!$E$3</f>
        <v>0.50591644858207918</v>
      </c>
      <c r="M53" s="873">
        <f t="shared" ref="M53" si="153">+$M$2-L53</f>
        <v>10.954083551417922</v>
      </c>
      <c r="O53" s="873">
        <f t="shared" ref="O53" si="154">+R52</f>
        <v>5.7345092899999992</v>
      </c>
      <c r="P53" s="873">
        <f>'Daily exchange'!C36</f>
        <v>0</v>
      </c>
      <c r="Q53" s="873">
        <f t="shared" ref="Q53" si="155">+R53-O53-P53</f>
        <v>8.8817841970012523E-16</v>
      </c>
      <c r="R53" s="873">
        <f>(SUMIF(Daily!$3:$3,$B53,Daily!$15:$15)+SUMIF(Daily!$3:$3,$B53,Daily!$17:$17))</f>
        <v>5.7345092900000001</v>
      </c>
      <c r="S53" s="873">
        <f t="shared" ref="S53" si="156">+$S$2-R53</f>
        <v>4.2654907099999999</v>
      </c>
    </row>
    <row r="54" spans="2:19" ht="21" customHeight="1">
      <c r="B54" s="876">
        <v>45433</v>
      </c>
      <c r="C54" s="873">
        <f t="shared" ref="C54" si="157">F53</f>
        <v>76.630850107349133</v>
      </c>
      <c r="D54" s="873">
        <f>'Daily exchange'!I37</f>
        <v>7.6296000000000003E-2</v>
      </c>
      <c r="E54" s="873">
        <f t="shared" ref="E54" si="158">+F54-C54-D54</f>
        <v>-6.8503732557793464</v>
      </c>
      <c r="F54" s="873">
        <f>(SUMIF(Daily!$3:$3,$B54,Daily!$23:$23)+SUMIF(Daily!$3:$3,$B54,Daily!$25:$25))*'Cash in bank report'!$E$2/'Cash in bank report'!$E$4</f>
        <v>69.856772851569787</v>
      </c>
      <c r="G54" s="873">
        <f t="shared" ref="G54" si="159">+$G$2-F54</f>
        <v>-49.856772851569787</v>
      </c>
      <c r="I54" s="873">
        <f t="shared" ref="I54" si="160">L53</f>
        <v>0.50591644858207918</v>
      </c>
      <c r="J54" s="873">
        <f>'Daily exchange'!F38</f>
        <v>0</v>
      </c>
      <c r="K54" s="873">
        <f t="shared" ref="K54" si="161">+L54-I54-J54</f>
        <v>0.98721193900810722</v>
      </c>
      <c r="L54" s="873">
        <f>(SUMIF(Daily!$3:$3,$B54,Daily!$19:$19)+SUMIF(Daily!$3:$3,$B54,Daily!$21:$21))*'Cash in bank report'!$E$2/'Cash in bank report'!$E$3</f>
        <v>1.4931283875901864</v>
      </c>
      <c r="M54" s="873">
        <f t="shared" ref="M54" si="162">+$M$2-L54</f>
        <v>9.9668716124098147</v>
      </c>
      <c r="O54" s="873">
        <f t="shared" ref="O54" si="163">+R53</f>
        <v>5.7345092900000001</v>
      </c>
      <c r="P54" s="873">
        <f>'Daily exchange'!C37</f>
        <v>0</v>
      </c>
      <c r="Q54" s="873">
        <f t="shared" ref="Q54" si="164">+R54-O54-P54</f>
        <v>0</v>
      </c>
      <c r="R54" s="873">
        <f>(SUMIF(Daily!$3:$3,$B54,Daily!$15:$15)+SUMIF(Daily!$3:$3,$B54,Daily!$17:$17))</f>
        <v>5.7345092900000001</v>
      </c>
      <c r="S54" s="873">
        <f t="shared" ref="S54" si="165">+$S$2-R54</f>
        <v>4.2654907099999999</v>
      </c>
    </row>
    <row r="55" spans="2:19" ht="21" customHeight="1">
      <c r="B55" s="876">
        <v>45625</v>
      </c>
      <c r="C55" s="873">
        <f t="shared" ref="C55" si="166">F54</f>
        <v>69.856772851569787</v>
      </c>
      <c r="D55" s="873">
        <f>'Daily exchange'!I38+'Daily exchange'!I39</f>
        <v>0.3433775</v>
      </c>
      <c r="E55" s="873">
        <f t="shared" ref="E55" si="167">+F55-C55-D55</f>
        <v>-4.2284598962240212</v>
      </c>
      <c r="F55" s="873">
        <f>(SUMIF(Daily!$3:$3,$B55,Daily!$23:$23)+SUMIF(Daily!$3:$3,$B55,Daily!$25:$25))*'Cash in bank report'!$E$2/'Cash in bank report'!$E$4</f>
        <v>65.971690455345765</v>
      </c>
      <c r="G55" s="873">
        <f t="shared" ref="G55" si="168">+$G$2-F55</f>
        <v>-45.971690455345765</v>
      </c>
      <c r="I55" s="873">
        <f t="shared" ref="I55" si="169">L54</f>
        <v>1.4931283875901864</v>
      </c>
      <c r="J55" s="873">
        <f>'Daily exchange'!F39</f>
        <v>0</v>
      </c>
      <c r="K55" s="873">
        <f t="shared" ref="K55" si="170">+L55-I55-J55</f>
        <v>0.82707603367270743</v>
      </c>
      <c r="L55" s="873">
        <f>(SUMIF(Daily!$3:$3,$B55,Daily!$19:$19)+SUMIF(Daily!$3:$3,$B55,Daily!$21:$21))*'Cash in bank report'!$E$2/'Cash in bank report'!$E$3</f>
        <v>2.3202044212628938</v>
      </c>
      <c r="M55" s="873">
        <f t="shared" ref="M55" si="171">+$M$2-L55</f>
        <v>9.1397955787371075</v>
      </c>
      <c r="O55" s="873">
        <f t="shared" ref="O55" si="172">+R54</f>
        <v>5.7345092900000001</v>
      </c>
      <c r="P55" s="873">
        <f>'Daily exchange'!C38</f>
        <v>0</v>
      </c>
      <c r="Q55" s="873">
        <f t="shared" ref="Q55" si="173">+R55-O55-P55</f>
        <v>-2.83474329</v>
      </c>
      <c r="R55" s="873">
        <f>(SUMIF(Daily!$3:$3,$B55,Daily!$15:$15)+SUMIF(Daily!$3:$3,$B55,Daily!$17:$17))</f>
        <v>2.8997660000000001</v>
      </c>
      <c r="S55" s="873">
        <f t="shared" ref="S55" si="174">+$S$2-R55</f>
        <v>7.1002340000000004</v>
      </c>
    </row>
    <row r="56" spans="2:19" ht="21" customHeight="1">
      <c r="B56" s="876">
        <v>45642</v>
      </c>
      <c r="C56" s="873">
        <f t="shared" ref="C56" si="175">F55</f>
        <v>65.971690455345765</v>
      </c>
      <c r="D56" s="873">
        <f>'Daily exchange'!I40</f>
        <v>0.25007552</v>
      </c>
      <c r="E56" s="873">
        <f t="shared" ref="E56" si="176">+F56-C56-D56</f>
        <v>0.56874671896218421</v>
      </c>
      <c r="F56" s="873">
        <f>(SUMIF(Daily!$3:$3,$B56,Daily!$23:$23)+SUMIF(Daily!$3:$3,$B56,Daily!$25:$25))*'Cash in bank report'!$E$2/'Cash in bank report'!$E$4</f>
        <v>66.790512694307949</v>
      </c>
      <c r="G56" s="873">
        <f t="shared" ref="G56" si="177">+$G$2-F56</f>
        <v>-46.790512694307949</v>
      </c>
      <c r="I56" s="873">
        <f t="shared" ref="I56" si="178">L55</f>
        <v>2.3202044212628938</v>
      </c>
      <c r="J56" s="873">
        <f>'Daily exchange'!F40</f>
        <v>0</v>
      </c>
      <c r="K56" s="873">
        <f t="shared" ref="K56" si="179">+L56-I56-J56</f>
        <v>-1.2963611079014115E-2</v>
      </c>
      <c r="L56" s="873">
        <f>(SUMIF(Daily!$3:$3,$B56,Daily!$19:$19)+SUMIF(Daily!$3:$3,$B56,Daily!$21:$21))*'Cash in bank report'!$E$2/'Cash in bank report'!$E$3</f>
        <v>2.3072408101838797</v>
      </c>
      <c r="M56" s="873">
        <f t="shared" ref="M56" si="180">+$M$2-L56</f>
        <v>9.1527591898161216</v>
      </c>
      <c r="O56" s="873">
        <f t="shared" ref="O56" si="181">+R55</f>
        <v>2.8997660000000001</v>
      </c>
      <c r="P56" s="873">
        <f>'Daily exchange'!C39</f>
        <v>0</v>
      </c>
      <c r="Q56" s="873">
        <f t="shared" ref="Q56" si="182">+R56-O56-P56</f>
        <v>0</v>
      </c>
      <c r="R56" s="873">
        <f>(SUMIF(Daily!$3:$3,$B56,Daily!$15:$15)+SUMIF(Daily!$3:$3,$B56,Daily!$17:$17))</f>
        <v>2.8997660000000001</v>
      </c>
      <c r="S56" s="873">
        <f t="shared" ref="S56" si="183">+$S$2-R56</f>
        <v>7.1002340000000004</v>
      </c>
    </row>
    <row r="57" spans="2:19" ht="21" customHeight="1">
      <c r="B57" s="876">
        <v>45666</v>
      </c>
      <c r="C57" s="873">
        <f t="shared" ref="C57:C58" si="184">F56</f>
        <v>66.790512694307949</v>
      </c>
      <c r="D57" s="873">
        <f>'Daily exchange'!I42+'Daily exchange'!I41</f>
        <v>0.99324100000000004</v>
      </c>
      <c r="E57" s="873">
        <f t="shared" ref="E57" si="185">+F57-C57-D57</f>
        <v>-1.4696745759377901</v>
      </c>
      <c r="F57" s="873">
        <f>(SUMIF(Daily!$3:$3,$B57,Daily!$23:$23)+SUMIF(Daily!$3:$3,$B57,Daily!$25:$25))*'Cash in bank report'!$E$2/'Cash in bank report'!$E$4</f>
        <v>66.314079118370159</v>
      </c>
      <c r="G57" s="873">
        <f t="shared" ref="G57" si="186">+$G$2-F57</f>
        <v>-46.314079118370159</v>
      </c>
      <c r="I57" s="873">
        <f t="shared" ref="I57:I58" si="187">L56</f>
        <v>2.3072408101838797</v>
      </c>
      <c r="J57" s="873">
        <f>'Daily exchange'!F42</f>
        <v>0</v>
      </c>
      <c r="K57" s="873">
        <f t="shared" ref="K57" si="188">+L57-I57-J57</f>
        <v>-2.2918192826717032E-2</v>
      </c>
      <c r="L57" s="873">
        <f>(SUMIF(Daily!$3:$3,$B57,Daily!$19:$19)+SUMIF(Daily!$3:$3,$B57,Daily!$21:$21))*'Cash in bank report'!$E$2/'Cash in bank report'!$E$3</f>
        <v>2.2843226173571627</v>
      </c>
      <c r="M57" s="873">
        <f t="shared" ref="M57" si="189">+$M$2-L57</f>
        <v>9.1756773826428386</v>
      </c>
      <c r="O57" s="873">
        <f t="shared" ref="O57:O58" si="190">+R56</f>
        <v>2.8997660000000001</v>
      </c>
      <c r="P57" s="873">
        <f>'Daily exchange'!C40</f>
        <v>0</v>
      </c>
      <c r="Q57" s="873">
        <f t="shared" ref="Q57" si="191">+R57-O57-P57</f>
        <v>-4.4408920985006262E-16</v>
      </c>
      <c r="R57" s="873">
        <f>(SUMIF(Daily!$3:$3,$B57,Daily!$15:$15)+SUMIF(Daily!$3:$3,$B57,Daily!$17:$17))</f>
        <v>2.8997659999999996</v>
      </c>
      <c r="S57" s="873">
        <f t="shared" ref="S57" si="192">+$S$2-R57</f>
        <v>7.1002340000000004</v>
      </c>
    </row>
    <row r="58" spans="2:19" ht="21" customHeight="1">
      <c r="B58" s="876">
        <v>45695</v>
      </c>
      <c r="C58" s="873">
        <f t="shared" si="184"/>
        <v>66.314079118370159</v>
      </c>
      <c r="D58" s="873">
        <f>'Daily exchange'!I44+'Daily exchange'!I43</f>
        <v>1.96431661</v>
      </c>
      <c r="E58" s="873">
        <f t="shared" ref="E58" si="193">+F58-C58-D58</f>
        <v>-17.599244742870685</v>
      </c>
      <c r="F58" s="873">
        <f>(SUMIF(Daily!$3:$3,$B58,Daily!$23:$23)+SUMIF(Daily!$3:$3,$B58,Daily!$25:$25))*'Cash in bank report'!$E$2/'Cash in bank report'!$E$4</f>
        <v>50.679150985499476</v>
      </c>
      <c r="G58" s="873">
        <f t="shared" ref="G58" si="194">+$G$2-F58</f>
        <v>-30.679150985499476</v>
      </c>
      <c r="I58" s="873">
        <f t="shared" si="187"/>
        <v>2.2843226173571627</v>
      </c>
      <c r="J58" s="873">
        <f>'Daily exchange'!F44</f>
        <v>0</v>
      </c>
      <c r="K58" s="873">
        <f t="shared" ref="K58" si="195">+L58-I58-J58</f>
        <v>-1.9026662870076372E-3</v>
      </c>
      <c r="L58" s="873">
        <f>(SUMIF(Daily!$3:$3,$B58,Daily!$19:$19)+SUMIF(Daily!$3:$3,$B58,Daily!$21:$21))*'Cash in bank report'!$E$2/'Cash in bank report'!$E$3</f>
        <v>2.2824199510701551</v>
      </c>
      <c r="M58" s="873">
        <f t="shared" ref="M58" si="196">+$M$2-L58</f>
        <v>9.1775800489298458</v>
      </c>
      <c r="O58" s="873">
        <f t="shared" si="190"/>
        <v>2.8997659999999996</v>
      </c>
      <c r="P58" s="873">
        <f>'Daily exchange'!C42</f>
        <v>0</v>
      </c>
      <c r="Q58" s="873">
        <f t="shared" ref="Q58" si="197">+R58-O58-P58</f>
        <v>3.3480000000000398E-2</v>
      </c>
      <c r="R58" s="873">
        <f>(SUMIF(Daily!$3:$3,$B58,Daily!$15:$15)+SUMIF(Daily!$3:$3,$B58,Daily!$17:$17))</f>
        <v>2.933246</v>
      </c>
      <c r="S58" s="873">
        <f t="shared" ref="S58" si="198">+$S$2-R58</f>
        <v>7.0667539999999995</v>
      </c>
    </row>
    <row r="59" spans="2:19" ht="21" customHeight="1">
      <c r="B59" s="876">
        <v>45702</v>
      </c>
      <c r="C59" s="873">
        <f t="shared" ref="C59" si="199">F58</f>
        <v>50.679150985499476</v>
      </c>
      <c r="D59" s="873">
        <f>'Daily exchange'!I44</f>
        <v>1.1718658400000002</v>
      </c>
      <c r="E59" s="873">
        <f t="shared" ref="E59" si="200">+F59-C59-D59</f>
        <v>3.3548247552828721</v>
      </c>
      <c r="F59" s="873">
        <f>(SUMIF(Daily!$3:$3,$B59,Daily!$23:$23)+SUMIF(Daily!$3:$3,$B59,Daily!$25:$25))*'Cash in bank report'!$E$2/'Cash in bank report'!$E$4</f>
        <v>55.205841580782348</v>
      </c>
      <c r="G59" s="873">
        <f t="shared" ref="G59" si="201">+$G$2-F59</f>
        <v>-35.205841580782348</v>
      </c>
      <c r="I59" s="873">
        <f t="shared" ref="I59" si="202">L58</f>
        <v>2.2824199510701551</v>
      </c>
      <c r="J59" s="873">
        <f>'Daily exchange'!F45</f>
        <v>0</v>
      </c>
      <c r="K59" s="873">
        <f t="shared" ref="K59" si="203">+L59-I59-J59</f>
        <v>2.4118116169180581E-4</v>
      </c>
      <c r="L59" s="873">
        <f>(SUMIF(Daily!$3:$3,$B59,Daily!$19:$19)+SUMIF(Daily!$3:$3,$B59,Daily!$21:$21))*'Cash in bank report'!$E$2/'Cash in bank report'!$E$3</f>
        <v>2.2826611322318469</v>
      </c>
      <c r="M59" s="873">
        <f t="shared" ref="M59" si="204">+$M$2-L59</f>
        <v>9.1773388677681531</v>
      </c>
      <c r="O59" s="873">
        <f t="shared" ref="O59" si="205">+R58</f>
        <v>2.933246</v>
      </c>
      <c r="P59" s="873">
        <f>'Daily exchange'!C43</f>
        <v>0</v>
      </c>
      <c r="Q59" s="873">
        <f t="shared" ref="Q59" si="206">+R59-O59-P59</f>
        <v>-3.3480000000000398E-2</v>
      </c>
      <c r="R59" s="873">
        <f>(SUMIF(Daily!$3:$3,$B59,Daily!$15:$15)+SUMIF(Daily!$3:$3,$B59,Daily!$17:$17))</f>
        <v>2.8997659999999996</v>
      </c>
      <c r="S59" s="873">
        <f t="shared" ref="S59" si="207">+$S$2-R59</f>
        <v>7.1002340000000004</v>
      </c>
    </row>
    <row r="60" spans="2:19" ht="21" customHeight="1">
      <c r="B60" s="876">
        <v>45706</v>
      </c>
      <c r="C60" s="873">
        <f t="shared" ref="C60" si="208">F59</f>
        <v>55.205841580782348</v>
      </c>
      <c r="D60" s="873">
        <f>'Daily exchange'!I45</f>
        <v>0.08</v>
      </c>
      <c r="E60" s="873">
        <f t="shared" ref="E60" si="209">+F60-C60-D60</f>
        <v>0.5962557480970202</v>
      </c>
      <c r="F60" s="873">
        <f>(SUMIF(Daily!$3:$3,$B60,Daily!$23:$23)+SUMIF(Daily!$3:$3,$B60,Daily!$25:$25))*'Cash in bank report'!$E$2/'Cash in bank report'!$E$4</f>
        <v>55.882097328879368</v>
      </c>
      <c r="G60" s="873">
        <f t="shared" ref="G60" si="210">+$G$2-F60</f>
        <v>-35.882097328879368</v>
      </c>
      <c r="I60" s="873">
        <f t="shared" ref="I60" si="211">L59</f>
        <v>2.2826611322318469</v>
      </c>
      <c r="J60" s="873">
        <f>'Daily exchange'!F46</f>
        <v>0</v>
      </c>
      <c r="K60" s="873">
        <f t="shared" ref="K60" si="212">+L60-I60-J60</f>
        <v>1.106242742478436E-2</v>
      </c>
      <c r="L60" s="873">
        <f>(SUMIF(Daily!$3:$3,$B60,Daily!$19:$19)+SUMIF(Daily!$3:$3,$B60,Daily!$21:$21))*'Cash in bank report'!$E$2/'Cash in bank report'!$E$3</f>
        <v>2.2937235596566312</v>
      </c>
      <c r="M60" s="873">
        <f t="shared" ref="M60" si="213">+$M$2-L60</f>
        <v>9.1662764403433705</v>
      </c>
      <c r="O60" s="873">
        <f t="shared" ref="O60" si="214">+R59</f>
        <v>2.8997659999999996</v>
      </c>
      <c r="P60" s="873">
        <f>'Daily exchange'!C44</f>
        <v>0</v>
      </c>
      <c r="Q60" s="873">
        <f t="shared" ref="Q60" si="215">+R60-O60-P60</f>
        <v>4.4408920985006262E-16</v>
      </c>
      <c r="R60" s="873">
        <f>(SUMIF(Daily!$3:$3,$B60,Daily!$15:$15)+SUMIF(Daily!$3:$3,$B60,Daily!$17:$17))</f>
        <v>2.8997660000000001</v>
      </c>
      <c r="S60" s="873">
        <f t="shared" ref="S60" si="216">+$S$2-R60</f>
        <v>7.1002340000000004</v>
      </c>
    </row>
    <row r="61" spans="2:19" ht="21" customHeight="1">
      <c r="B61" s="876">
        <v>45708</v>
      </c>
      <c r="C61" s="873">
        <f t="shared" ref="C61" si="217">F60</f>
        <v>55.882097328879368</v>
      </c>
      <c r="D61" s="873"/>
      <c r="E61" s="873">
        <f t="shared" ref="E61" si="218">+F61-C61-D61</f>
        <v>-1.2109460482524739</v>
      </c>
      <c r="F61" s="873">
        <f>(SUMIF(Daily!$3:$3,$B61,Daily!$23:$23)+SUMIF(Daily!$3:$3,$B61,Daily!$25:$25))*'Cash in bank report'!$E$2/'Cash in bank report'!$E$4</f>
        <v>54.671151280626894</v>
      </c>
      <c r="G61" s="873">
        <f t="shared" ref="G61" si="219">+$G$2-F61</f>
        <v>-34.671151280626894</v>
      </c>
      <c r="I61" s="873">
        <f t="shared" ref="I61" si="220">L60</f>
        <v>2.2937235596566312</v>
      </c>
      <c r="J61" s="873">
        <f>'Daily exchange'!F47</f>
        <v>0</v>
      </c>
      <c r="K61" s="873">
        <f t="shared" ref="K61" si="221">+L61-I61-J61</f>
        <v>-1.610657744972066E-2</v>
      </c>
      <c r="L61" s="873">
        <f>(SUMIF(Daily!$3:$3,$B61,Daily!$19:$19)+SUMIF(Daily!$3:$3,$B61,Daily!$21:$21))*'Cash in bank report'!$E$2/'Cash in bank report'!$E$3</f>
        <v>2.2776169822069106</v>
      </c>
      <c r="M61" s="873">
        <f t="shared" ref="M61" si="222">+$M$2-L61</f>
        <v>9.1823830177930894</v>
      </c>
      <c r="O61" s="873">
        <f t="shared" ref="O61" si="223">+R60</f>
        <v>2.8997660000000001</v>
      </c>
      <c r="P61" s="873">
        <f>'Daily exchange'!C45</f>
        <v>0</v>
      </c>
      <c r="Q61" s="873">
        <f t="shared" ref="Q61" si="224">+R61-O61-P61</f>
        <v>-4.4408920985006262E-16</v>
      </c>
      <c r="R61" s="873">
        <f>(SUMIF(Daily!$3:$3,$B61,Daily!$15:$15)+SUMIF(Daily!$3:$3,$B61,Daily!$17:$17))</f>
        <v>2.8997659999999996</v>
      </c>
      <c r="S61" s="873">
        <f t="shared" ref="S61" si="225">+$S$2-R61</f>
        <v>7.1002340000000004</v>
      </c>
    </row>
    <row r="62" spans="2:19" ht="21" customHeight="1">
      <c r="B62" s="876">
        <v>45727</v>
      </c>
      <c r="C62" s="873">
        <f t="shared" ref="C62" si="226">F61</f>
        <v>54.671151280626894</v>
      </c>
      <c r="D62" s="873">
        <f>'Daily exchange'!I46</f>
        <v>1.02684288</v>
      </c>
      <c r="E62" s="873">
        <f t="shared" ref="E62" si="227">+F62-C62-D62</f>
        <v>-0.10032490391717963</v>
      </c>
      <c r="F62" s="873">
        <f>(SUMIF(Daily!$3:$3,$B62,Daily!$23:$23)+SUMIF(Daily!$3:$3,$B62,Daily!$25:$25))*'Cash in bank report'!$E$2/'Cash in bank report'!$E$4</f>
        <v>55.597669256709715</v>
      </c>
      <c r="G62" s="873">
        <f t="shared" ref="G62" si="228">+$G$2-F62</f>
        <v>-35.597669256709715</v>
      </c>
      <c r="I62" s="873">
        <f t="shared" ref="I62" si="229">L61</f>
        <v>2.2776169822069106</v>
      </c>
      <c r="J62" s="873">
        <f>'Daily exchange'!F46</f>
        <v>0</v>
      </c>
      <c r="K62" s="873">
        <f t="shared" ref="K62" si="230">+L62-I62-J62</f>
        <v>8.6263267113605657E-2</v>
      </c>
      <c r="L62" s="873">
        <f>(SUMIF(Daily!$3:$3,$B62,Daily!$19:$19)+SUMIF(Daily!$3:$3,$B62,Daily!$21:$21))*'Cash in bank report'!$E$2/'Cash in bank report'!$E$3</f>
        <v>2.3638802493205162</v>
      </c>
      <c r="M62" s="873">
        <f t="shared" ref="M62" si="231">+$M$2-L62</f>
        <v>9.0961197506794846</v>
      </c>
      <c r="O62" s="873">
        <f t="shared" ref="O62" si="232">+R61</f>
        <v>2.8997659999999996</v>
      </c>
      <c r="P62" s="873">
        <f>'Daily exchange'!C46</f>
        <v>0</v>
      </c>
      <c r="Q62" s="873">
        <f t="shared" ref="Q62" si="233">+R62-O62-P62</f>
        <v>4.4408920985006262E-16</v>
      </c>
      <c r="R62" s="873">
        <f>(SUMIF(Daily!$3:$3,$B62,Daily!$15:$15)+SUMIF(Daily!$3:$3,$B62,Daily!$17:$17))</f>
        <v>2.8997660000000001</v>
      </c>
      <c r="S62" s="873">
        <f t="shared" ref="S62" si="234">+$S$2-R62</f>
        <v>7.1002340000000004</v>
      </c>
    </row>
    <row r="63" spans="2:19" ht="21" customHeight="1">
      <c r="B63" s="876">
        <v>45748</v>
      </c>
      <c r="C63" s="873">
        <f t="shared" ref="C63" si="235">F62</f>
        <v>55.597669256709715</v>
      </c>
      <c r="D63" s="873">
        <f>'Daily exchange'!I47</f>
        <v>1.1000000000000001</v>
      </c>
      <c r="E63" s="873">
        <f t="shared" ref="E63" si="236">+F63-C63-D63</f>
        <v>-1.5642237558955316</v>
      </c>
      <c r="F63" s="873">
        <f>(SUMIF(Daily!$3:$3,$B63,Daily!$23:$23)+SUMIF(Daily!$3:$3,$B63,Daily!$25:$25))*'Cash in bank report'!$E$2/'Cash in bank report'!$E$4</f>
        <v>55.133445500814183</v>
      </c>
      <c r="G63" s="873">
        <f t="shared" ref="G63" si="237">+$G$2-F63</f>
        <v>-35.133445500814183</v>
      </c>
      <c r="I63" s="873">
        <f t="shared" ref="I63" si="238">L62</f>
        <v>2.3638802493205162</v>
      </c>
      <c r="J63" s="873">
        <f>'Daily exchange'!F47</f>
        <v>0</v>
      </c>
      <c r="K63" s="873">
        <f t="shared" ref="K63" si="239">+L63-I63-J63</f>
        <v>1.1309045956771069E-2</v>
      </c>
      <c r="L63" s="873">
        <f>(SUMIF(Daily!$3:$3,$B63,Daily!$19:$19)+SUMIF(Daily!$3:$3,$B63,Daily!$21:$21))*'Cash in bank report'!$E$2/'Cash in bank report'!$E$3</f>
        <v>2.3751892952772873</v>
      </c>
      <c r="M63" s="873">
        <f t="shared" ref="M63" si="240">+$M$2-L63</f>
        <v>9.0848107047227131</v>
      </c>
      <c r="O63" s="873">
        <f t="shared" ref="O63" si="241">+R62</f>
        <v>2.8997660000000001</v>
      </c>
      <c r="P63" s="873">
        <f>'Daily exchange'!C47</f>
        <v>0</v>
      </c>
      <c r="Q63" s="873">
        <f t="shared" ref="Q63" si="242">+R63-O63-P63</f>
        <v>2.1340995575247046E-2</v>
      </c>
      <c r="R63" s="873">
        <f>(SUMIF(Daily!$3:$3,$B63,Daily!$15:$15)+SUMIF(Daily!$3:$3,$B63,Daily!$17:$17))</f>
        <v>2.9211069955752471</v>
      </c>
      <c r="S63" s="873">
        <f t="shared" ref="S63" si="243">+$S$2-R63</f>
        <v>7.0788930044247529</v>
      </c>
    </row>
    <row r="64" spans="2:19" ht="21" customHeight="1">
      <c r="B64" s="876">
        <v>45761</v>
      </c>
      <c r="C64" s="873">
        <f t="shared" ref="C64" si="244">F63</f>
        <v>55.133445500814183</v>
      </c>
      <c r="D64" s="873">
        <f>'Daily exchange'!I48</f>
        <v>0.21221999999999999</v>
      </c>
      <c r="E64" s="873">
        <f t="shared" ref="E64" si="245">+F64-C64-D64</f>
        <v>-0.11674878168738947</v>
      </c>
      <c r="F64" s="873">
        <f>(SUMIF(Daily!$3:$3,$B64,Daily!$23:$23)+SUMIF(Daily!$3:$3,$B64,Daily!$25:$25))*'Cash in bank report'!$E$2/'Cash in bank report'!$E$4</f>
        <v>55.228916719126794</v>
      </c>
      <c r="G64" s="873">
        <f t="shared" ref="G64" si="246">+$G$2-F64</f>
        <v>-35.228916719126794</v>
      </c>
      <c r="I64" s="873">
        <f t="shared" ref="I64" si="247">L63</f>
        <v>2.3751892952772873</v>
      </c>
      <c r="J64" s="873">
        <f>'Daily exchange'!F48</f>
        <v>0</v>
      </c>
      <c r="K64" s="873">
        <f t="shared" ref="K64" si="248">+L64-I64-J64</f>
        <v>0.14128533951245181</v>
      </c>
      <c r="L64" s="873">
        <f>(SUMIF(Daily!$3:$3,$B64,Daily!$19:$19)+SUMIF(Daily!$3:$3,$B64,Daily!$21:$21))*'Cash in bank report'!$E$2/'Cash in bank report'!$E$3</f>
        <v>2.5164746347897391</v>
      </c>
      <c r="M64" s="873">
        <f t="shared" ref="M64" si="249">+$M$2-L64</f>
        <v>8.9435253652102613</v>
      </c>
      <c r="O64" s="873">
        <f t="shared" ref="O64" si="250">+R63</f>
        <v>2.9211069955752471</v>
      </c>
      <c r="P64" s="873">
        <f>'Daily exchange'!C48</f>
        <v>0</v>
      </c>
      <c r="Q64" s="873">
        <f t="shared" ref="Q64" si="251">+R64-O64-P64</f>
        <v>-2.1340995575247046E-2</v>
      </c>
      <c r="R64" s="873">
        <f>(SUMIF(Daily!$3:$3,$B64,Daily!$15:$15)+SUMIF(Daily!$3:$3,$B64,Daily!$17:$17))</f>
        <v>2.8997660000000001</v>
      </c>
      <c r="S64" s="873">
        <f t="shared" ref="S64" si="252">+$S$2-R64</f>
        <v>7.1002340000000004</v>
      </c>
    </row>
    <row r="65" spans="2:19" ht="21" customHeight="1">
      <c r="B65" s="876">
        <v>45783</v>
      </c>
      <c r="C65" s="873">
        <f t="shared" ref="C65" si="253">F64</f>
        <v>55.228916719126794</v>
      </c>
      <c r="D65" s="873">
        <f>'Daily exchange'!I49</f>
        <v>1.48</v>
      </c>
      <c r="E65" s="873">
        <f t="shared" ref="E65" si="254">+F65-C65-D65</f>
        <v>1.8661432045275572</v>
      </c>
      <c r="F65" s="873">
        <f>(SUMIF(Daily!$3:$3,$B65,Daily!$23:$23)+SUMIF(Daily!$3:$3,$B65,Daily!$25:$25))*'Cash in bank report'!$E$2/'Cash in bank report'!$E$4</f>
        <v>58.575059923654351</v>
      </c>
      <c r="G65" s="873">
        <f t="shared" ref="G65" si="255">+$G$2-F65</f>
        <v>-38.575059923654351</v>
      </c>
      <c r="I65" s="873">
        <f t="shared" ref="I65" si="256">L64</f>
        <v>2.5164746347897391</v>
      </c>
      <c r="J65" s="873">
        <f>'Daily exchange'!F49</f>
        <v>0</v>
      </c>
      <c r="K65" s="873">
        <f t="shared" ref="K65" si="257">+L65-I65-J65</f>
        <v>-2.4512870972818401E-2</v>
      </c>
      <c r="L65" s="873">
        <f>(SUMIF(Daily!$3:$3,$B65,Daily!$19:$19)+SUMIF(Daily!$3:$3,$B65,Daily!$21:$21))*'Cash in bank report'!$E$2/'Cash in bank report'!$E$3</f>
        <v>2.4919617638169207</v>
      </c>
      <c r="M65" s="873">
        <f t="shared" ref="M65" si="258">+$M$2-L65</f>
        <v>8.9680382361830802</v>
      </c>
      <c r="O65" s="873">
        <f t="shared" ref="O65" si="259">+R64</f>
        <v>2.8997660000000001</v>
      </c>
      <c r="P65" s="873">
        <f>'Daily exchange'!C49</f>
        <v>0</v>
      </c>
      <c r="Q65" s="873">
        <f t="shared" ref="Q65" si="260">+R65-O65-P65</f>
        <v>1.6739999999999977E-2</v>
      </c>
      <c r="R65" s="873">
        <f>(SUMIF(Daily!$3:$3,$B65,Daily!$15:$15)+SUMIF(Daily!$3:$3,$B65,Daily!$17:$17))</f>
        <v>2.916506</v>
      </c>
      <c r="S65" s="873">
        <f t="shared" ref="S65" si="261">+$S$2-R65</f>
        <v>7.083494</v>
      </c>
    </row>
    <row r="66" spans="2:19" ht="21" customHeight="1">
      <c r="B66" s="876">
        <v>45784</v>
      </c>
      <c r="C66" s="873">
        <f t="shared" ref="C66" si="262">F65</f>
        <v>58.575059923654351</v>
      </c>
      <c r="D66" s="873">
        <f>'Daily exchange'!I50</f>
        <v>0.50233399999999995</v>
      </c>
      <c r="E66" s="873">
        <f t="shared" ref="E66" si="263">+F66-C66-D66</f>
        <v>-2.6304519933839807</v>
      </c>
      <c r="F66" s="873">
        <f>(SUMIF(Daily!$3:$3,$B66,Daily!$23:$23)+SUMIF(Daily!$3:$3,$B66,Daily!$25:$25))*'Cash in bank report'!$E$2/'Cash in bank report'!$E$4</f>
        <v>56.44694193027037</v>
      </c>
      <c r="G66" s="873">
        <f t="shared" ref="G66" si="264">+$G$2-F66</f>
        <v>-36.44694193027037</v>
      </c>
      <c r="I66" s="873">
        <f t="shared" ref="I66" si="265">L65</f>
        <v>2.4919617638169207</v>
      </c>
      <c r="J66" s="873">
        <f>'Daily exchange'!F50</f>
        <v>0</v>
      </c>
      <c r="K66" s="873">
        <f t="shared" ref="K66" si="266">+L66-I66-J66</f>
        <v>2.3178572919682061E-3</v>
      </c>
      <c r="L66" s="873">
        <f>(SUMIF(Daily!$3:$3,$B66,Daily!$19:$19)+SUMIF(Daily!$3:$3,$B66,Daily!$21:$21))*'Cash in bank report'!$E$2/'Cash in bank report'!$E$3</f>
        <v>2.4942796211088889</v>
      </c>
      <c r="M66" s="873">
        <f t="shared" ref="M66" si="267">+$M$2-L66</f>
        <v>8.9657203788911115</v>
      </c>
      <c r="O66" s="873">
        <f t="shared" ref="O66" si="268">+R65</f>
        <v>2.916506</v>
      </c>
      <c r="P66" s="873">
        <f>'Daily exchange'!C50</f>
        <v>0</v>
      </c>
      <c r="Q66" s="873">
        <f t="shared" ref="Q66" si="269">+R66-O66-P66</f>
        <v>0</v>
      </c>
      <c r="R66" s="873">
        <f>(SUMIF(Daily!$3:$3,$B66,Daily!$15:$15)+SUMIF(Daily!$3:$3,$B66,Daily!$17:$17))</f>
        <v>2.916506</v>
      </c>
      <c r="S66" s="873">
        <f t="shared" ref="S66" si="270">+$S$2-R66</f>
        <v>7.083494</v>
      </c>
    </row>
  </sheetData>
  <mergeCells count="3">
    <mergeCell ref="C2:E2"/>
    <mergeCell ref="I2:K2"/>
    <mergeCell ref="O2:Q2"/>
  </mergeCells>
  <printOptions horizontalCentered="1"/>
  <pageMargins left="0.2" right="0.2" top="0.75" bottom="0.75" header="0.3" footer="0.3"/>
  <pageSetup scale="35" orientation="landscape" r:id="rId1"/>
  <ignoredErrors>
    <ignoredError sqref="K1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T23"/>
  <sheetViews>
    <sheetView showGridLines="0" showZeros="0" zoomScaleNormal="100" workbookViewId="0">
      <selection sqref="A1:XFD1048576"/>
    </sheetView>
  </sheetViews>
  <sheetFormatPr defaultColWidth="9.21875" defaultRowHeight="14.4"/>
  <cols>
    <col min="1" max="1" width="3.77734375" style="763" customWidth="1"/>
    <col min="2" max="3" width="12.21875" style="131" customWidth="1"/>
    <col min="4" max="13" width="12.21875" style="763" customWidth="1"/>
    <col min="14" max="15" width="12.77734375" style="763" customWidth="1"/>
    <col min="16" max="19" width="9.21875" style="763"/>
    <col min="20" max="16384" width="9.21875" style="131"/>
  </cols>
  <sheetData>
    <row r="2" spans="2:20">
      <c r="D2" s="131"/>
      <c r="E2" s="131"/>
      <c r="F2" s="131"/>
      <c r="G2" s="131"/>
      <c r="H2" s="131"/>
      <c r="I2" s="131"/>
      <c r="J2" s="131"/>
      <c r="K2" s="131"/>
      <c r="L2" s="131"/>
    </row>
    <row r="3" spans="2:20" ht="32.25" customHeight="1">
      <c r="B3" s="1357" t="s">
        <v>495</v>
      </c>
      <c r="C3" s="1359"/>
      <c r="D3" s="1357" t="s">
        <v>494</v>
      </c>
      <c r="E3" s="1358"/>
      <c r="F3" s="1359"/>
      <c r="G3" s="1357" t="s">
        <v>493</v>
      </c>
      <c r="H3" s="1358"/>
      <c r="I3" s="1359"/>
      <c r="J3" s="1357" t="s">
        <v>496</v>
      </c>
      <c r="K3" s="1358"/>
      <c r="L3" s="1359"/>
    </row>
    <row r="4" spans="2:20" ht="18.75" customHeight="1">
      <c r="B4" s="781">
        <f>+'Cash in bank report'!B2</f>
        <v>45880</v>
      </c>
      <c r="C4" s="782"/>
      <c r="D4" s="764" t="s">
        <v>492</v>
      </c>
      <c r="E4" s="765" t="s">
        <v>491</v>
      </c>
      <c r="F4" s="765" t="s">
        <v>497</v>
      </c>
      <c r="G4" s="764" t="str">
        <f t="shared" ref="G4:L4" si="0">+D4</f>
        <v>On hand</v>
      </c>
      <c r="H4" s="765" t="str">
        <f t="shared" si="0"/>
        <v>Target</v>
      </c>
      <c r="I4" s="766" t="str">
        <f t="shared" si="0"/>
        <v>Needed</v>
      </c>
      <c r="J4" s="764" t="str">
        <f t="shared" si="0"/>
        <v>On hand</v>
      </c>
      <c r="K4" s="765" t="str">
        <f t="shared" si="0"/>
        <v>Target</v>
      </c>
      <c r="L4" s="766" t="str">
        <f t="shared" si="0"/>
        <v>Needed</v>
      </c>
      <c r="M4" s="773"/>
      <c r="N4" s="769"/>
      <c r="O4" s="769"/>
      <c r="P4" s="769"/>
      <c r="Q4" s="769"/>
      <c r="R4" s="769"/>
      <c r="S4" s="769"/>
      <c r="T4" s="769"/>
    </row>
    <row r="5" spans="2:20" ht="18.75" customHeight="1">
      <c r="B5" s="851" t="s">
        <v>487</v>
      </c>
      <c r="C5" s="767"/>
      <c r="D5" s="768">
        <f>+G5</f>
        <v>2.933246</v>
      </c>
      <c r="E5" s="769">
        <f>+'Est payment'!G11</f>
        <v>10</v>
      </c>
      <c r="F5" s="858">
        <f>+D5-E5</f>
        <v>-7.0667539999999995</v>
      </c>
      <c r="G5" s="768">
        <f>+'Cash in bank report'!D13</f>
        <v>2.933246</v>
      </c>
      <c r="H5" s="769">
        <f>+E5</f>
        <v>10</v>
      </c>
      <c r="I5" s="770">
        <f>+G5-H5</f>
        <v>-7.0667539999999995</v>
      </c>
      <c r="J5" s="771">
        <f t="shared" ref="J5:L7" si="1">+G5*$M$5</f>
        <v>234.01319258160001</v>
      </c>
      <c r="K5" s="772">
        <f t="shared" si="1"/>
        <v>797.79600000000005</v>
      </c>
      <c r="L5" s="864">
        <f t="shared" si="1"/>
        <v>-563.78280741840001</v>
      </c>
      <c r="M5" s="780">
        <f>'Cash in bank report'!E2</f>
        <v>79.779600000000002</v>
      </c>
      <c r="N5" s="763" t="s">
        <v>44</v>
      </c>
    </row>
    <row r="6" spans="2:20" ht="18.75" customHeight="1">
      <c r="B6" s="852" t="s">
        <v>155</v>
      </c>
      <c r="C6" s="767"/>
      <c r="D6" s="768">
        <f>+G6*M5/M6</f>
        <v>2.5578449999999999</v>
      </c>
      <c r="E6" s="769">
        <f>+'Est payment'!G21</f>
        <v>11.46</v>
      </c>
      <c r="F6" s="858">
        <f>+D6-E6</f>
        <v>-8.9021550000000005</v>
      </c>
      <c r="G6" s="768">
        <f>+'Cash in bank report'!D14</f>
        <v>2.9778620549614185</v>
      </c>
      <c r="H6" s="769">
        <f>+E6*M6/M5</f>
        <v>13.341816705022337</v>
      </c>
      <c r="I6" s="770">
        <f>+G6-H6</f>
        <v>-10.363954650060919</v>
      </c>
      <c r="J6" s="771">
        <f t="shared" si="1"/>
        <v>237.57264359999999</v>
      </c>
      <c r="K6" s="772">
        <f t="shared" si="1"/>
        <v>1064.4048</v>
      </c>
      <c r="L6" s="864">
        <f t="shared" si="1"/>
        <v>-826.83215640000003</v>
      </c>
      <c r="M6" s="780">
        <f>'Cash in bank report'!E3</f>
        <v>92.88</v>
      </c>
      <c r="N6" s="763" t="s">
        <v>80</v>
      </c>
      <c r="O6" s="769"/>
      <c r="P6" s="769"/>
      <c r="Q6" s="769"/>
      <c r="R6" s="769"/>
      <c r="S6" s="769"/>
      <c r="T6" s="769"/>
    </row>
    <row r="7" spans="2:20" ht="18.75" customHeight="1">
      <c r="B7" s="852" t="s">
        <v>488</v>
      </c>
      <c r="C7" s="767"/>
      <c r="D7" s="768">
        <f>+G7/'Cash in bank report'!E4*'Cash in bank report'!E2</f>
        <v>54.145320509999991</v>
      </c>
      <c r="E7" s="769">
        <f>+'Est payment'!E35</f>
        <v>20</v>
      </c>
      <c r="F7" s="858">
        <f t="shared" ref="F7" si="2">+D7-E7</f>
        <v>34.145320509999991</v>
      </c>
      <c r="G7" s="768">
        <f>+'Cash in bank report'!D15</f>
        <v>7.5106817961473222</v>
      </c>
      <c r="H7" s="769">
        <f>+E7*M7/M5</f>
        <v>2.7742681086393008</v>
      </c>
      <c r="I7" s="770">
        <f t="shared" ref="I7" si="3">+G7-H7</f>
        <v>4.7364136875080209</v>
      </c>
      <c r="J7" s="771">
        <f t="shared" si="1"/>
        <v>599.19918942391496</v>
      </c>
      <c r="K7" s="772">
        <f t="shared" si="1"/>
        <v>221.32999999999998</v>
      </c>
      <c r="L7" s="864">
        <f t="shared" si="1"/>
        <v>377.86918942391492</v>
      </c>
      <c r="M7" s="780">
        <f>'Cash in bank report'!E4</f>
        <v>11.0665</v>
      </c>
      <c r="N7" s="763" t="s">
        <v>531</v>
      </c>
    </row>
    <row r="8" spans="2:20" ht="18.75" customHeight="1">
      <c r="B8" s="853" t="s">
        <v>526</v>
      </c>
      <c r="C8" s="774"/>
      <c r="D8" s="775"/>
      <c r="E8" s="776">
        <f>+'Est payment'!E36</f>
        <v>45</v>
      </c>
      <c r="F8" s="859">
        <f t="shared" ref="F8" si="4">+D8-E8</f>
        <v>-45</v>
      </c>
      <c r="G8" s="775"/>
      <c r="H8" s="776">
        <f>+E8*M7/M5</f>
        <v>6.2421032444384279</v>
      </c>
      <c r="I8" s="777">
        <f>+G8-H8</f>
        <v>-6.2421032444384279</v>
      </c>
      <c r="J8" s="778"/>
      <c r="K8" s="779">
        <f>+H8*M5</f>
        <v>497.99250000000001</v>
      </c>
      <c r="L8" s="865">
        <f>+I8*$M$5</f>
        <v>-497.99250000000001</v>
      </c>
    </row>
    <row r="9" spans="2:20" ht="18.75" customHeight="1" thickBot="1">
      <c r="J9" s="855" t="s">
        <v>528</v>
      </c>
      <c r="K9" s="854"/>
      <c r="L9" s="866">
        <f>SUM(L5:L8)</f>
        <v>-1510.7382743944852</v>
      </c>
    </row>
    <row r="10" spans="2:20" ht="18.75" customHeight="1" thickTop="1">
      <c r="B10" s="131" t="s">
        <v>529</v>
      </c>
      <c r="D10" s="131"/>
      <c r="M10" s="769"/>
      <c r="N10" s="769"/>
      <c r="O10" s="769"/>
      <c r="P10" s="769"/>
      <c r="Q10" s="769"/>
      <c r="R10" s="769"/>
      <c r="S10" s="769"/>
      <c r="T10" s="769"/>
    </row>
    <row r="11" spans="2:20" ht="18.75" customHeight="1">
      <c r="B11" s="783" t="s">
        <v>498</v>
      </c>
      <c r="C11" s="783" t="s">
        <v>489</v>
      </c>
      <c r="D11" s="783" t="s">
        <v>490</v>
      </c>
      <c r="E11" s="783" t="s">
        <v>253</v>
      </c>
      <c r="F11" s="783" t="s">
        <v>506</v>
      </c>
      <c r="G11" s="783" t="s">
        <v>453</v>
      </c>
      <c r="H11" s="783" t="s">
        <v>507</v>
      </c>
      <c r="I11" s="783" t="s">
        <v>508</v>
      </c>
      <c r="J11" s="783" t="s">
        <v>509</v>
      </c>
      <c r="K11" s="783" t="s">
        <v>510</v>
      </c>
      <c r="L11" s="783" t="s">
        <v>511</v>
      </c>
      <c r="M11" s="783" t="s">
        <v>14</v>
      </c>
    </row>
    <row r="12" spans="2:20" ht="18.75" customHeight="1">
      <c r="B12" s="857" t="str">
        <f>+B5</f>
        <v>USD</v>
      </c>
      <c r="C12" s="815">
        <v>-2</v>
      </c>
      <c r="D12" s="815">
        <v>-2</v>
      </c>
      <c r="E12" s="815">
        <v>-2</v>
      </c>
      <c r="F12" s="815">
        <v>-2</v>
      </c>
      <c r="G12" s="815">
        <f>+F5-C12-D12-E12-F12</f>
        <v>0.93324600000000046</v>
      </c>
      <c r="H12" s="815"/>
      <c r="I12" s="815"/>
      <c r="J12" s="815"/>
      <c r="K12" s="815"/>
      <c r="L12" s="815"/>
      <c r="M12" s="860">
        <f t="shared" ref="M12" si="5">SUM(C12:L12)</f>
        <v>-7.0667539999999995</v>
      </c>
    </row>
    <row r="13" spans="2:20" ht="18.75" customHeight="1">
      <c r="B13" s="784" t="str">
        <f>+B6</f>
        <v>EUR</v>
      </c>
      <c r="C13" s="816">
        <v>-2</v>
      </c>
      <c r="D13" s="816">
        <v>-2</v>
      </c>
      <c r="E13" s="817">
        <v>-2</v>
      </c>
      <c r="F13" s="816">
        <f>+F6-C13-D13-E13</f>
        <v>-2.9021550000000005</v>
      </c>
      <c r="G13" s="816"/>
      <c r="H13" s="816"/>
      <c r="I13" s="816"/>
      <c r="J13" s="816"/>
      <c r="K13" s="816"/>
      <c r="L13" s="816"/>
      <c r="M13" s="861">
        <f>SUM(C13:L13)</f>
        <v>-8.9021550000000005</v>
      </c>
    </row>
    <row r="14" spans="2:20" ht="18.75" customHeight="1">
      <c r="B14" s="785" t="str">
        <f>+B7</f>
        <v>CNY</v>
      </c>
      <c r="C14" s="818">
        <f>+F7</f>
        <v>34.145320509999991</v>
      </c>
      <c r="D14" s="818"/>
      <c r="E14" s="818"/>
      <c r="F14" s="818"/>
      <c r="G14" s="818"/>
      <c r="H14" s="818"/>
      <c r="I14" s="818"/>
      <c r="J14" s="818"/>
      <c r="K14" s="818"/>
      <c r="L14" s="818"/>
      <c r="M14" s="862">
        <f>SUM(C14:L14)</f>
        <v>34.145320509999991</v>
      </c>
    </row>
    <row r="15" spans="2:20" ht="18.75" customHeight="1">
      <c r="B15" s="785" t="str">
        <f>+B8</f>
        <v>CNY สำรอง</v>
      </c>
      <c r="C15" s="818"/>
      <c r="D15" s="818">
        <v>-5</v>
      </c>
      <c r="E15" s="818">
        <f t="shared" ref="E15:L15" si="6">+D15</f>
        <v>-5</v>
      </c>
      <c r="F15" s="818">
        <f t="shared" si="6"/>
        <v>-5</v>
      </c>
      <c r="G15" s="818">
        <f t="shared" si="6"/>
        <v>-5</v>
      </c>
      <c r="H15" s="818">
        <f t="shared" si="6"/>
        <v>-5</v>
      </c>
      <c r="I15" s="818">
        <f t="shared" si="6"/>
        <v>-5</v>
      </c>
      <c r="J15" s="818">
        <f t="shared" si="6"/>
        <v>-5</v>
      </c>
      <c r="K15" s="818">
        <f t="shared" si="6"/>
        <v>-5</v>
      </c>
      <c r="L15" s="818">
        <f t="shared" si="6"/>
        <v>-5</v>
      </c>
      <c r="M15" s="862">
        <f t="shared" ref="M15" si="7">SUM(C15:L15)</f>
        <v>-45</v>
      </c>
    </row>
    <row r="16" spans="2:20" ht="18.75" customHeight="1"/>
    <row r="17" spans="2:13" ht="18.75" customHeight="1">
      <c r="B17" s="131" t="s">
        <v>530</v>
      </c>
    </row>
    <row r="18" spans="2:13" ht="18.75" customHeight="1">
      <c r="B18" s="783" t="s">
        <v>498</v>
      </c>
      <c r="C18" s="783" t="s">
        <v>489</v>
      </c>
      <c r="D18" s="783" t="s">
        <v>490</v>
      </c>
      <c r="E18" s="783" t="s">
        <v>253</v>
      </c>
      <c r="F18" s="783" t="s">
        <v>506</v>
      </c>
      <c r="G18" s="783" t="s">
        <v>453</v>
      </c>
      <c r="H18" s="783" t="s">
        <v>507</v>
      </c>
      <c r="I18" s="783" t="s">
        <v>508</v>
      </c>
      <c r="J18" s="783" t="s">
        <v>509</v>
      </c>
      <c r="K18" s="783" t="s">
        <v>510</v>
      </c>
      <c r="L18" s="783" t="s">
        <v>511</v>
      </c>
      <c r="M18" s="783" t="s">
        <v>14</v>
      </c>
    </row>
    <row r="19" spans="2:13" ht="18.75" customHeight="1">
      <c r="B19" s="857" t="str">
        <f>+B12</f>
        <v>USD</v>
      </c>
      <c r="C19" s="1118">
        <f t="shared" ref="C19:L19" si="8">+C12*$M$5</f>
        <v>-159.5592</v>
      </c>
      <c r="D19" s="1118">
        <f t="shared" si="8"/>
        <v>-159.5592</v>
      </c>
      <c r="E19" s="1118">
        <f t="shared" si="8"/>
        <v>-159.5592</v>
      </c>
      <c r="F19" s="1118">
        <f t="shared" si="8"/>
        <v>-159.5592</v>
      </c>
      <c r="G19" s="1118">
        <f t="shared" si="8"/>
        <v>74.453992581600033</v>
      </c>
      <c r="H19" s="1118">
        <f t="shared" si="8"/>
        <v>0</v>
      </c>
      <c r="I19" s="1118">
        <f t="shared" si="8"/>
        <v>0</v>
      </c>
      <c r="J19" s="1118">
        <f t="shared" si="8"/>
        <v>0</v>
      </c>
      <c r="K19" s="1118">
        <f t="shared" si="8"/>
        <v>0</v>
      </c>
      <c r="L19" s="1118">
        <f t="shared" si="8"/>
        <v>0</v>
      </c>
      <c r="M19" s="1119">
        <f t="shared" ref="M19" si="9">SUM(C19:L19)</f>
        <v>-563.78280741840001</v>
      </c>
    </row>
    <row r="20" spans="2:13" ht="18.75" customHeight="1">
      <c r="B20" s="784" t="str">
        <f>+B13</f>
        <v>EUR</v>
      </c>
      <c r="C20" s="1120">
        <f t="shared" ref="C20:L20" si="10">+C13*$M$6</f>
        <v>-185.76</v>
      </c>
      <c r="D20" s="1120">
        <f t="shared" si="10"/>
        <v>-185.76</v>
      </c>
      <c r="E20" s="1121">
        <f t="shared" si="10"/>
        <v>-185.76</v>
      </c>
      <c r="F20" s="1120">
        <f t="shared" si="10"/>
        <v>-269.55215640000006</v>
      </c>
      <c r="G20" s="1120">
        <f t="shared" si="10"/>
        <v>0</v>
      </c>
      <c r="H20" s="1120">
        <f t="shared" si="10"/>
        <v>0</v>
      </c>
      <c r="I20" s="1120">
        <f t="shared" si="10"/>
        <v>0</v>
      </c>
      <c r="J20" s="1120">
        <f t="shared" si="10"/>
        <v>0</v>
      </c>
      <c r="K20" s="1120">
        <f t="shared" si="10"/>
        <v>0</v>
      </c>
      <c r="L20" s="1120">
        <f t="shared" si="10"/>
        <v>0</v>
      </c>
      <c r="M20" s="1122">
        <f>SUM(C20:L20)</f>
        <v>-826.83215640000003</v>
      </c>
    </row>
    <row r="21" spans="2:13" ht="18.75" customHeight="1">
      <c r="B21" s="784" t="str">
        <f>+B14</f>
        <v>CNY</v>
      </c>
      <c r="C21" s="1120">
        <f t="shared" ref="C21:L21" si="11">+C14*$M$7</f>
        <v>377.86918942391486</v>
      </c>
      <c r="D21" s="1120">
        <f t="shared" si="11"/>
        <v>0</v>
      </c>
      <c r="E21" s="1120">
        <f t="shared" si="11"/>
        <v>0</v>
      </c>
      <c r="F21" s="1120">
        <f t="shared" si="11"/>
        <v>0</v>
      </c>
      <c r="G21" s="1120">
        <f t="shared" si="11"/>
        <v>0</v>
      </c>
      <c r="H21" s="1120">
        <f t="shared" si="11"/>
        <v>0</v>
      </c>
      <c r="I21" s="1120">
        <f t="shared" si="11"/>
        <v>0</v>
      </c>
      <c r="J21" s="1120">
        <f t="shared" si="11"/>
        <v>0</v>
      </c>
      <c r="K21" s="1120">
        <f t="shared" si="11"/>
        <v>0</v>
      </c>
      <c r="L21" s="1120">
        <f t="shared" si="11"/>
        <v>0</v>
      </c>
      <c r="M21" s="1122">
        <f t="shared" ref="M21:M22" si="12">SUM(C21:L21)</f>
        <v>377.86918942391486</v>
      </c>
    </row>
    <row r="22" spans="2:13" ht="18.75" customHeight="1">
      <c r="B22" s="785" t="str">
        <f>+B15</f>
        <v>CNY สำรอง</v>
      </c>
      <c r="C22" s="1123"/>
      <c r="D22" s="1123">
        <f>+D15*$M$7</f>
        <v>-55.332499999999996</v>
      </c>
      <c r="E22" s="1123">
        <f t="shared" ref="E22:L22" si="13">+D22</f>
        <v>-55.332499999999996</v>
      </c>
      <c r="F22" s="1123">
        <f t="shared" si="13"/>
        <v>-55.332499999999996</v>
      </c>
      <c r="G22" s="1123">
        <f t="shared" si="13"/>
        <v>-55.332499999999996</v>
      </c>
      <c r="H22" s="1123">
        <f t="shared" si="13"/>
        <v>-55.332499999999996</v>
      </c>
      <c r="I22" s="1123">
        <f t="shared" si="13"/>
        <v>-55.332499999999996</v>
      </c>
      <c r="J22" s="1123">
        <f t="shared" si="13"/>
        <v>-55.332499999999996</v>
      </c>
      <c r="K22" s="1123">
        <f t="shared" si="13"/>
        <v>-55.332499999999996</v>
      </c>
      <c r="L22" s="1123">
        <f t="shared" si="13"/>
        <v>-55.332499999999996</v>
      </c>
      <c r="M22" s="1124">
        <f t="shared" si="12"/>
        <v>-497.99249999999989</v>
      </c>
    </row>
    <row r="23" spans="2:13">
      <c r="B23" s="863" t="s">
        <v>413</v>
      </c>
      <c r="C23" s="1125">
        <f>SUM(C19:C22)</f>
        <v>32.549989423914838</v>
      </c>
      <c r="D23" s="1125">
        <f t="shared" ref="D23:M23" si="14">SUM(D19:D22)</f>
        <v>-400.65170000000001</v>
      </c>
      <c r="E23" s="1125">
        <f t="shared" si="14"/>
        <v>-400.65170000000001</v>
      </c>
      <c r="F23" s="1125">
        <f t="shared" si="14"/>
        <v>-484.44385640000007</v>
      </c>
      <c r="G23" s="1125">
        <f t="shared" si="14"/>
        <v>19.121492581600037</v>
      </c>
      <c r="H23" s="1125">
        <f t="shared" si="14"/>
        <v>-55.332499999999996</v>
      </c>
      <c r="I23" s="1125">
        <f t="shared" si="14"/>
        <v>-55.332499999999996</v>
      </c>
      <c r="J23" s="1125">
        <f t="shared" si="14"/>
        <v>-55.332499999999996</v>
      </c>
      <c r="K23" s="1125">
        <f t="shared" si="14"/>
        <v>-55.332499999999996</v>
      </c>
      <c r="L23" s="1125">
        <f t="shared" si="14"/>
        <v>-55.332499999999996</v>
      </c>
      <c r="M23" s="1124">
        <f t="shared" si="14"/>
        <v>-1510.7382743944852</v>
      </c>
    </row>
  </sheetData>
  <mergeCells count="4">
    <mergeCell ref="G3:I3"/>
    <mergeCell ref="D3:F3"/>
    <mergeCell ref="B3:C3"/>
    <mergeCell ref="J3:L3"/>
  </mergeCells>
  <pageMargins left="0.45" right="0.45" top="0.75" bottom="0.75" header="0.3" footer="0.3"/>
  <pageSetup scale="7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I38"/>
  <sheetViews>
    <sheetView showGridLines="0" zoomScale="80" zoomScaleNormal="80" workbookViewId="0">
      <selection sqref="A1:XFD1048576"/>
    </sheetView>
  </sheetViews>
  <sheetFormatPr defaultColWidth="8.77734375" defaultRowHeight="24.6"/>
  <cols>
    <col min="1" max="1" width="2.21875" style="679" customWidth="1"/>
    <col min="2" max="2" width="14.21875" style="679" customWidth="1"/>
    <col min="3" max="3" width="8.21875" style="679" customWidth="1"/>
    <col min="4" max="4" width="11.21875" style="679" bestFit="1" customWidth="1"/>
    <col min="5" max="5" width="17.21875" style="679" customWidth="1"/>
    <col min="6" max="6" width="16.6640625" style="679" customWidth="1"/>
    <col min="7" max="7" width="16.21875" style="680" customWidth="1"/>
    <col min="8" max="9" width="16.21875" style="680" hidden="1" customWidth="1"/>
    <col min="10" max="16384" width="8.77734375" style="679"/>
  </cols>
  <sheetData>
    <row r="1" spans="2:9" ht="25.2" thickBot="1">
      <c r="B1" s="700" t="s">
        <v>527</v>
      </c>
    </row>
    <row r="2" spans="2:9" s="700" customFormat="1" thickTop="1" thickBot="1">
      <c r="B2" s="823"/>
      <c r="C2" s="823"/>
      <c r="D2" s="824"/>
      <c r="E2" s="824"/>
      <c r="F2" s="824"/>
      <c r="G2" s="825"/>
      <c r="H2" s="826"/>
      <c r="I2" s="825"/>
    </row>
    <row r="3" spans="2:9" ht="25.2" hidden="1" thickBot="1">
      <c r="B3" s="701" t="s">
        <v>519</v>
      </c>
      <c r="C3" s="702"/>
      <c r="D3" s="702"/>
      <c r="E3" s="702"/>
      <c r="F3" s="702"/>
      <c r="G3" s="827" t="s">
        <v>68</v>
      </c>
      <c r="H3" s="699"/>
      <c r="I3" s="703" t="s">
        <v>68</v>
      </c>
    </row>
    <row r="4" spans="2:9" hidden="1">
      <c r="B4" s="704" t="s">
        <v>481</v>
      </c>
      <c r="C4" s="705"/>
      <c r="D4" s="705" t="s">
        <v>21</v>
      </c>
      <c r="E4" s="705"/>
      <c r="F4" s="705"/>
      <c r="G4" s="828">
        <v>21.34187</v>
      </c>
      <c r="H4" s="707">
        <v>1</v>
      </c>
      <c r="I4" s="706">
        <f>G4*H4</f>
        <v>21.34187</v>
      </c>
    </row>
    <row r="5" spans="2:9" hidden="1">
      <c r="B5" s="708"/>
      <c r="D5" s="679" t="s">
        <v>41</v>
      </c>
      <c r="G5" s="829">
        <v>26.076000000000001</v>
      </c>
      <c r="H5" s="710">
        <v>1</v>
      </c>
      <c r="I5" s="709">
        <f>G5*H5</f>
        <v>26.076000000000001</v>
      </c>
    </row>
    <row r="6" spans="2:9" ht="25.2" hidden="1" thickBot="1">
      <c r="B6" s="819" t="s">
        <v>413</v>
      </c>
      <c r="C6" s="830"/>
      <c r="D6" s="830"/>
      <c r="E6" s="830"/>
      <c r="F6" s="830"/>
      <c r="G6" s="831">
        <f>SUM(G4:G5)</f>
        <v>47.417870000000001</v>
      </c>
      <c r="H6" s="822"/>
      <c r="I6" s="832">
        <f>SUM(I4:I5)</f>
        <v>47.417870000000001</v>
      </c>
    </row>
    <row r="7" spans="2:9" ht="25.8" hidden="1" thickTop="1" thickBot="1">
      <c r="B7" s="823"/>
      <c r="C7" s="833"/>
      <c r="D7" s="833"/>
      <c r="E7" s="833"/>
      <c r="F7" s="833"/>
      <c r="G7" s="834"/>
      <c r="H7" s="826"/>
      <c r="I7" s="834"/>
    </row>
    <row r="8" spans="2:9" ht="25.2" thickBot="1">
      <c r="B8" s="701" t="s">
        <v>519</v>
      </c>
      <c r="C8" s="702"/>
      <c r="D8" s="702"/>
      <c r="E8" s="702"/>
      <c r="F8" s="702"/>
      <c r="G8" s="827" t="s">
        <v>68</v>
      </c>
      <c r="H8" s="699"/>
      <c r="I8" s="703" t="s">
        <v>68</v>
      </c>
    </row>
    <row r="9" spans="2:9">
      <c r="B9" s="704" t="s">
        <v>518</v>
      </c>
      <c r="C9" s="705"/>
      <c r="D9" s="705"/>
      <c r="E9" s="705"/>
      <c r="F9" s="705"/>
      <c r="G9" s="828">
        <v>10</v>
      </c>
      <c r="H9" s="707">
        <v>1</v>
      </c>
      <c r="I9" s="706">
        <f>G9*H9</f>
        <v>10</v>
      </c>
    </row>
    <row r="10" spans="2:9">
      <c r="B10" s="708"/>
      <c r="G10" s="829"/>
      <c r="H10" s="710"/>
      <c r="I10" s="709"/>
    </row>
    <row r="11" spans="2:9" ht="25.2" thickBot="1">
      <c r="B11" s="819" t="s">
        <v>413</v>
      </c>
      <c r="C11" s="830"/>
      <c r="D11" s="830"/>
      <c r="E11" s="830"/>
      <c r="F11" s="830"/>
      <c r="G11" s="831">
        <f>SUM(G9:G10)</f>
        <v>10</v>
      </c>
      <c r="H11" s="822"/>
      <c r="I11" s="832">
        <f>SUM(I9:I10)</f>
        <v>10</v>
      </c>
    </row>
    <row r="12" spans="2:9" ht="25.8" hidden="1" thickTop="1" thickBot="1">
      <c r="B12" s="823"/>
      <c r="C12" s="833"/>
      <c r="D12" s="833"/>
      <c r="E12" s="833"/>
      <c r="F12" s="833"/>
      <c r="G12" s="834"/>
      <c r="H12" s="826"/>
      <c r="I12" s="834"/>
    </row>
    <row r="13" spans="2:9" s="684" customFormat="1" ht="70.8" hidden="1" thickBot="1">
      <c r="B13" s="1360" t="s">
        <v>471</v>
      </c>
      <c r="C13" s="1361"/>
      <c r="D13" s="681" t="s">
        <v>472</v>
      </c>
      <c r="E13" s="682" t="s">
        <v>473</v>
      </c>
      <c r="F13" s="683" t="s">
        <v>474</v>
      </c>
      <c r="G13" s="813" t="s">
        <v>475</v>
      </c>
      <c r="H13" s="1362" t="s">
        <v>476</v>
      </c>
      <c r="I13" s="1363"/>
    </row>
    <row r="14" spans="2:9" ht="19.95" hidden="1" customHeight="1">
      <c r="B14" s="685" t="s">
        <v>477</v>
      </c>
      <c r="C14" s="686" t="s">
        <v>478</v>
      </c>
      <c r="D14" s="687">
        <v>45000</v>
      </c>
      <c r="E14" s="688">
        <f>D14*16</f>
        <v>720000</v>
      </c>
      <c r="F14" s="689">
        <v>5.5</v>
      </c>
      <c r="G14" s="690">
        <f>E14*F14/10^6</f>
        <v>3.96</v>
      </c>
      <c r="H14" s="691">
        <v>1</v>
      </c>
      <c r="I14" s="690">
        <f>G14*H14</f>
        <v>3.96</v>
      </c>
    </row>
    <row r="15" spans="2:9" ht="19.95" hidden="1" customHeight="1">
      <c r="B15" s="692" t="s">
        <v>479</v>
      </c>
      <c r="C15" s="693" t="s">
        <v>480</v>
      </c>
      <c r="D15" s="694">
        <v>280000</v>
      </c>
      <c r="E15" s="695">
        <v>25000000</v>
      </c>
      <c r="F15" s="696">
        <v>0.3</v>
      </c>
      <c r="G15" s="697">
        <f>E15*F15/10^6</f>
        <v>7.5</v>
      </c>
      <c r="H15" s="698">
        <v>1</v>
      </c>
      <c r="I15" s="697">
        <f>G15*H15</f>
        <v>7.5</v>
      </c>
    </row>
    <row r="16" spans="2:9" s="700" customFormat="1" ht="19.95" hidden="1" customHeight="1" thickBot="1">
      <c r="B16" s="819" t="s">
        <v>413</v>
      </c>
      <c r="C16" s="711"/>
      <c r="D16" s="820"/>
      <c r="E16" s="820"/>
      <c r="F16" s="820"/>
      <c r="G16" s="821">
        <f>SUM(G14:G15)</f>
        <v>11.46</v>
      </c>
      <c r="H16" s="822"/>
      <c r="I16" s="821">
        <f>SUM(I14:I15)</f>
        <v>11.46</v>
      </c>
    </row>
    <row r="17" spans="2:9" s="700" customFormat="1" thickTop="1" thickBot="1">
      <c r="B17" s="823"/>
      <c r="C17" s="823"/>
      <c r="D17" s="824"/>
      <c r="E17" s="824"/>
      <c r="F17" s="824"/>
      <c r="G17" s="825"/>
      <c r="H17" s="826"/>
      <c r="I17" s="825"/>
    </row>
    <row r="18" spans="2:9" ht="25.2" thickBot="1">
      <c r="B18" s="701" t="s">
        <v>521</v>
      </c>
      <c r="C18" s="702"/>
      <c r="D18" s="702"/>
      <c r="E18" s="702"/>
      <c r="F18" s="702"/>
      <c r="G18" s="827" t="s">
        <v>522</v>
      </c>
      <c r="H18" s="699"/>
      <c r="I18" s="703" t="s">
        <v>68</v>
      </c>
    </row>
    <row r="19" spans="2:9">
      <c r="B19" s="704" t="s">
        <v>477</v>
      </c>
      <c r="C19" s="705"/>
      <c r="D19" s="705"/>
      <c r="E19" s="705"/>
      <c r="F19" s="705"/>
      <c r="G19" s="828">
        <f>+G14</f>
        <v>3.96</v>
      </c>
      <c r="H19" s="707">
        <v>1</v>
      </c>
      <c r="I19" s="706">
        <f>G19*H19</f>
        <v>3.96</v>
      </c>
    </row>
    <row r="20" spans="2:9">
      <c r="B20" s="708" t="s">
        <v>479</v>
      </c>
      <c r="G20" s="829">
        <f>+G15</f>
        <v>7.5</v>
      </c>
      <c r="H20" s="710">
        <v>1</v>
      </c>
      <c r="I20" s="709">
        <f>G20*H20</f>
        <v>7.5</v>
      </c>
    </row>
    <row r="21" spans="2:9" ht="25.2" thickBot="1">
      <c r="B21" s="819" t="s">
        <v>413</v>
      </c>
      <c r="C21" s="830"/>
      <c r="D21" s="830"/>
      <c r="E21" s="830"/>
      <c r="F21" s="830"/>
      <c r="G21" s="831">
        <f>SUM(G19:G20)</f>
        <v>11.46</v>
      </c>
      <c r="H21" s="822"/>
      <c r="I21" s="832">
        <f>SUM(I19:I20)</f>
        <v>11.46</v>
      </c>
    </row>
    <row r="22" spans="2:9" ht="25.8" thickTop="1" thickBot="1">
      <c r="B22" s="700"/>
      <c r="G22" s="856"/>
      <c r="H22" s="848"/>
      <c r="I22" s="856"/>
    </row>
    <row r="23" spans="2:9" ht="25.2" thickBot="1">
      <c r="B23" s="701" t="s">
        <v>520</v>
      </c>
      <c r="C23" s="702"/>
      <c r="D23" s="702"/>
      <c r="E23" s="702"/>
      <c r="F23" s="702"/>
      <c r="G23" s="827" t="s">
        <v>512</v>
      </c>
      <c r="H23" s="835"/>
      <c r="I23" s="703" t="str">
        <f>G23</f>
        <v>M.CNY</v>
      </c>
    </row>
    <row r="24" spans="2:9">
      <c r="B24" s="704" t="s">
        <v>513</v>
      </c>
      <c r="C24" s="705"/>
      <c r="D24" s="705"/>
      <c r="E24" s="705"/>
      <c r="F24" s="705"/>
      <c r="G24" s="828">
        <v>20</v>
      </c>
      <c r="H24" s="707">
        <v>1</v>
      </c>
      <c r="I24" s="706">
        <f>G24*H24</f>
        <v>20</v>
      </c>
    </row>
    <row r="25" spans="2:9">
      <c r="B25" s="708" t="s">
        <v>524</v>
      </c>
      <c r="G25" s="829">
        <f>5*9</f>
        <v>45</v>
      </c>
      <c r="H25" s="710"/>
      <c r="I25" s="709"/>
    </row>
    <row r="26" spans="2:9" ht="25.2" thickBot="1">
      <c r="B26" s="819" t="s">
        <v>413</v>
      </c>
      <c r="C26" s="830"/>
      <c r="D26" s="830"/>
      <c r="E26" s="830"/>
      <c r="F26" s="830"/>
      <c r="G26" s="831">
        <f>SUM(G24:G25)</f>
        <v>65</v>
      </c>
      <c r="H26" s="822"/>
      <c r="I26" s="832">
        <f>SUM(I24:I24)</f>
        <v>20</v>
      </c>
    </row>
    <row r="27" spans="2:9" s="700" customFormat="1" thickTop="1" thickBot="1">
      <c r="G27" s="712"/>
      <c r="H27" s="712"/>
      <c r="I27" s="713"/>
    </row>
    <row r="28" spans="2:9" ht="25.2" thickBot="1">
      <c r="B28" s="1360" t="s">
        <v>471</v>
      </c>
      <c r="C28" s="1364"/>
      <c r="D28" s="1364"/>
      <c r="E28" s="836"/>
      <c r="F28" s="836"/>
      <c r="G28" s="837" t="s">
        <v>46</v>
      </c>
      <c r="H28" s="679"/>
      <c r="I28" s="679"/>
    </row>
    <row r="29" spans="2:9">
      <c r="B29" s="679" t="s">
        <v>525</v>
      </c>
      <c r="E29" s="838"/>
      <c r="F29" s="838"/>
      <c r="G29" s="839" t="e">
        <f>+Daily!#REF!</f>
        <v>#REF!</v>
      </c>
      <c r="H29" s="679"/>
      <c r="I29" s="679"/>
    </row>
    <row r="30" spans="2:9">
      <c r="B30" s="679" t="s">
        <v>482</v>
      </c>
      <c r="E30" s="838"/>
      <c r="F30" s="838"/>
      <c r="G30" s="839">
        <v>-3000</v>
      </c>
      <c r="H30" s="679"/>
      <c r="I30" s="679"/>
    </row>
    <row r="31" spans="2:9" ht="25.2" thickBot="1">
      <c r="B31" s="711" t="s">
        <v>483</v>
      </c>
      <c r="C31" s="711"/>
      <c r="D31" s="711"/>
      <c r="E31" s="840"/>
      <c r="F31" s="840"/>
      <c r="G31" s="841" t="e">
        <f>G29+G30</f>
        <v>#REF!</v>
      </c>
      <c r="H31" s="679"/>
      <c r="I31" s="679"/>
    </row>
    <row r="32" spans="2:9" ht="25.2" thickTop="1">
      <c r="B32" s="700"/>
      <c r="C32" s="700"/>
      <c r="D32" s="700"/>
      <c r="E32" s="842" t="s">
        <v>514</v>
      </c>
      <c r="F32" s="843" t="s">
        <v>515</v>
      </c>
      <c r="G32" s="838"/>
      <c r="H32" s="679"/>
      <c r="I32" s="679"/>
    </row>
    <row r="33" spans="2:9">
      <c r="B33" s="700" t="s">
        <v>516</v>
      </c>
      <c r="C33" s="700"/>
      <c r="D33" s="679" t="s">
        <v>487</v>
      </c>
      <c r="E33" s="844">
        <f>+G11</f>
        <v>10</v>
      </c>
      <c r="F33" s="844">
        <f>+'Cash in bank report'!E2</f>
        <v>79.779600000000002</v>
      </c>
      <c r="G33" s="845">
        <f>-E33*F33</f>
        <v>-797.79600000000005</v>
      </c>
      <c r="H33" s="679"/>
      <c r="I33" s="679"/>
    </row>
    <row r="34" spans="2:9">
      <c r="D34" s="679" t="s">
        <v>155</v>
      </c>
      <c r="E34" s="844">
        <f>I16</f>
        <v>11.46</v>
      </c>
      <c r="F34" s="844">
        <f>+'Cash in bank report'!E3</f>
        <v>92.88</v>
      </c>
      <c r="G34" s="845">
        <f>-E34*F34</f>
        <v>-1064.4048</v>
      </c>
      <c r="H34" s="679"/>
      <c r="I34" s="679"/>
    </row>
    <row r="35" spans="2:9">
      <c r="D35" s="679" t="s">
        <v>488</v>
      </c>
      <c r="E35" s="844">
        <f>I26</f>
        <v>20</v>
      </c>
      <c r="F35" s="844">
        <f>+'Cash in bank report'!E4</f>
        <v>11.0665</v>
      </c>
      <c r="G35" s="845">
        <f>-E35*F35</f>
        <v>-221.32999999999998</v>
      </c>
      <c r="H35" s="679"/>
      <c r="I35" s="679"/>
    </row>
    <row r="36" spans="2:9">
      <c r="B36" s="846"/>
      <c r="C36" s="846"/>
      <c r="D36" s="846" t="s">
        <v>523</v>
      </c>
      <c r="E36" s="849">
        <f>+G25</f>
        <v>45</v>
      </c>
      <c r="F36" s="849">
        <f>+F35</f>
        <v>11.0665</v>
      </c>
      <c r="G36" s="850">
        <f>-E36*F36</f>
        <v>-497.99250000000001</v>
      </c>
      <c r="H36" s="679"/>
      <c r="I36" s="679"/>
    </row>
    <row r="37" spans="2:9" s="700" customFormat="1" ht="24" thickBot="1">
      <c r="B37" s="711" t="s">
        <v>517</v>
      </c>
      <c r="C37" s="711"/>
      <c r="D37" s="711"/>
      <c r="E37" s="847"/>
      <c r="F37" s="847"/>
      <c r="G37" s="841" t="e">
        <f>SUM(G31:I36)</f>
        <v>#REF!</v>
      </c>
    </row>
    <row r="38" spans="2:9" ht="25.2" thickTop="1"/>
  </sheetData>
  <mergeCells count="3">
    <mergeCell ref="B13:C13"/>
    <mergeCell ref="H13:I13"/>
    <mergeCell ref="B28:D2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showGridLines="0" showZeros="0" zoomScale="90" zoomScaleNormal="90" workbookViewId="0">
      <selection activeCell="A2" sqref="A2"/>
    </sheetView>
  </sheetViews>
  <sheetFormatPr defaultColWidth="29" defaultRowHeight="20.399999999999999"/>
  <cols>
    <col min="1" max="1" width="63.21875" style="882" customWidth="1"/>
    <col min="2" max="16384" width="29" style="882"/>
  </cols>
  <sheetData>
    <row r="1" spans="1:6" ht="21">
      <c r="A1" s="877" t="s">
        <v>542</v>
      </c>
      <c r="B1" s="878"/>
      <c r="C1" s="879"/>
      <c r="D1" s="880"/>
      <c r="E1" s="881"/>
      <c r="F1" s="881"/>
    </row>
    <row r="2" spans="1:6" ht="21">
      <c r="A2" s="883">
        <f>+'Cash in bank report'!B2</f>
        <v>45880</v>
      </c>
      <c r="B2" s="884"/>
      <c r="C2" s="885"/>
      <c r="D2" s="886"/>
      <c r="E2" s="881"/>
      <c r="F2" s="881"/>
    </row>
    <row r="3" spans="1:6" ht="21">
      <c r="A3" s="877"/>
      <c r="B3" s="881"/>
      <c r="C3" s="885"/>
      <c r="D3" s="886"/>
      <c r="E3" s="881"/>
      <c r="F3" s="878" t="s">
        <v>110</v>
      </c>
    </row>
    <row r="4" spans="1:6" ht="36" customHeight="1">
      <c r="A4" s="887" t="s">
        <v>231</v>
      </c>
      <c r="B4" s="887" t="s">
        <v>14</v>
      </c>
      <c r="C4" s="887" t="s">
        <v>21</v>
      </c>
      <c r="D4" s="887" t="s">
        <v>58</v>
      </c>
      <c r="E4" s="887" t="s">
        <v>41</v>
      </c>
      <c r="F4" s="887" t="s">
        <v>43</v>
      </c>
    </row>
    <row r="5" spans="1:6" ht="36" customHeight="1">
      <c r="A5" s="888" t="str">
        <f>+'Cash in bank report'!B7</f>
        <v xml:space="preserve">  - Ruble</v>
      </c>
      <c r="B5" s="889">
        <f>SUM(C5:F5)</f>
        <v>7492.29605376787</v>
      </c>
      <c r="C5" s="890">
        <f>+'Cash in bank report'!E7</f>
        <v>752.99224331000005</v>
      </c>
      <c r="D5" s="890">
        <f>+'Cash in bank report'!F7</f>
        <v>983.1094912100001</v>
      </c>
      <c r="E5" s="890">
        <f>+'Cash in bank report'!G7</f>
        <v>810.37536354999986</v>
      </c>
      <c r="F5" s="890">
        <f>+'Cash in bank report'!H7</f>
        <v>4945.8189556978705</v>
      </c>
    </row>
    <row r="6" spans="1:6" ht="36" customHeight="1">
      <c r="A6" s="891" t="str">
        <f>+'Cash in bank report'!B8</f>
        <v xml:space="preserve">  - USD  (Equivalent To RUB)</v>
      </c>
      <c r="B6" s="892">
        <f t="shared" ref="B6:B9" si="0">SUM(C6:F6)</f>
        <v>234.01319258160001</v>
      </c>
      <c r="C6" s="893">
        <f>+'Cash in bank report'!E8</f>
        <v>0</v>
      </c>
      <c r="D6" s="893">
        <f>+'Cash in bank report'!F8</f>
        <v>0</v>
      </c>
      <c r="E6" s="893">
        <f>+'Cash in bank report'!G8</f>
        <v>0</v>
      </c>
      <c r="F6" s="893">
        <f>+'Cash in bank report'!H8</f>
        <v>234.01319258160001</v>
      </c>
    </row>
    <row r="7" spans="1:6" ht="36" customHeight="1">
      <c r="A7" s="891" t="str">
        <f>+'Cash in bank report'!B9</f>
        <v xml:space="preserve">  - EUR  (Equivalent To RUB)</v>
      </c>
      <c r="B7" s="892">
        <f t="shared" si="0"/>
        <v>237.57264359999999</v>
      </c>
      <c r="C7" s="893">
        <f>+'Cash in bank report'!E9</f>
        <v>0</v>
      </c>
      <c r="D7" s="893">
        <f>+'Cash in bank report'!F9</f>
        <v>0</v>
      </c>
      <c r="E7" s="893">
        <f>+'Cash in bank report'!G9</f>
        <v>0</v>
      </c>
      <c r="F7" s="893">
        <f>+'Cash in bank report'!H9</f>
        <v>237.57264359999999</v>
      </c>
    </row>
    <row r="8" spans="1:6" ht="36" customHeight="1">
      <c r="A8" s="894" t="str">
        <f>+'Cash in bank report'!B10</f>
        <v xml:space="preserve">  - CNY  (Equivalent To RUB)</v>
      </c>
      <c r="B8" s="895">
        <f t="shared" si="0"/>
        <v>599.19918942391496</v>
      </c>
      <c r="C8" s="896">
        <f>+'Cash in bank report'!E10</f>
        <v>0</v>
      </c>
      <c r="D8" s="896">
        <f>+'Cash in bank report'!F10</f>
        <v>0</v>
      </c>
      <c r="E8" s="896">
        <f>+'Cash in bank report'!G10</f>
        <v>0</v>
      </c>
      <c r="F8" s="896">
        <f>+'Cash in bank report'!H10</f>
        <v>599.19918942391496</v>
      </c>
    </row>
    <row r="9" spans="1:6" ht="36" customHeight="1">
      <c r="A9" s="897" t="s">
        <v>543</v>
      </c>
      <c r="B9" s="898">
        <f t="shared" si="0"/>
        <v>8563.0810793733854</v>
      </c>
      <c r="C9" s="898">
        <f>SUM(C5:C8)</f>
        <v>752.99224331000005</v>
      </c>
      <c r="D9" s="898">
        <f t="shared" ref="D9:E9" si="1">SUM(D5:D8)</f>
        <v>983.1094912100001</v>
      </c>
      <c r="E9" s="898">
        <f t="shared" si="1"/>
        <v>810.37536354999986</v>
      </c>
      <c r="F9" s="898">
        <f>SUM(F5:F8)</f>
        <v>6016.6039813033858</v>
      </c>
    </row>
    <row r="10" spans="1:6" ht="52.95" customHeight="1" thickBot="1">
      <c r="A10" s="899" t="s">
        <v>544</v>
      </c>
      <c r="B10" s="900" t="e">
        <f>SUM(C10:F10)</f>
        <v>#REF!</v>
      </c>
      <c r="C10" s="900" t="e">
        <f>+#REF!/1000000</f>
        <v>#REF!</v>
      </c>
      <c r="D10" s="900" t="e">
        <f>+#REF!/1000000</f>
        <v>#REF!</v>
      </c>
      <c r="E10" s="900" t="e">
        <f>+#REF!/1000000</f>
        <v>#REF!</v>
      </c>
      <c r="F10" s="900" t="e">
        <f>+#REF!/1000000</f>
        <v>#REF!</v>
      </c>
    </row>
    <row r="11" spans="1:6" ht="36" customHeight="1" thickTop="1">
      <c r="A11" s="901" t="s">
        <v>545</v>
      </c>
      <c r="B11" s="902"/>
      <c r="C11" s="902"/>
      <c r="D11" s="902"/>
      <c r="E11" s="902"/>
      <c r="F11" s="902"/>
    </row>
    <row r="12" spans="1:6" ht="36" customHeight="1">
      <c r="A12" s="903" t="s">
        <v>546</v>
      </c>
      <c r="B12" s="904" t="e">
        <f>SUM(C12:F12)</f>
        <v>#REF!</v>
      </c>
      <c r="C12" s="905">
        <v>950</v>
      </c>
      <c r="D12" s="905">
        <v>2590.9740000000002</v>
      </c>
      <c r="E12" s="905">
        <v>4869.4229999999998</v>
      </c>
      <c r="F12" s="905" t="e">
        <f>'Cash in bank report'!#REF!</f>
        <v>#REF!</v>
      </c>
    </row>
    <row r="13" spans="1:6" ht="36" customHeight="1">
      <c r="A13" s="903" t="s">
        <v>547</v>
      </c>
      <c r="B13" s="904">
        <f t="shared" ref="B13:B14" si="2">SUM(C13:F13)</f>
        <v>5361.1189233999994</v>
      </c>
      <c r="C13" s="905">
        <v>514.05892340000003</v>
      </c>
      <c r="D13" s="905">
        <v>2113</v>
      </c>
      <c r="E13" s="905">
        <v>2734.06</v>
      </c>
      <c r="F13" s="905"/>
    </row>
    <row r="14" spans="1:6" ht="36" customHeight="1" thickBot="1">
      <c r="A14" s="906" t="s">
        <v>548</v>
      </c>
      <c r="B14" s="907" t="e">
        <f t="shared" si="2"/>
        <v>#REF!</v>
      </c>
      <c r="C14" s="908">
        <f>SUM(C12:C13)</f>
        <v>1464.0589233999999</v>
      </c>
      <c r="D14" s="908">
        <f>SUM(D12:D13)</f>
        <v>4703.9740000000002</v>
      </c>
      <c r="E14" s="908">
        <f>SUM(E12:E13)</f>
        <v>7603.4830000000002</v>
      </c>
      <c r="F14" s="908" t="e">
        <f>SUM(F12:F13)</f>
        <v>#REF!</v>
      </c>
    </row>
    <row r="15" spans="1:6" ht="36" customHeight="1" thickTop="1" thickBot="1">
      <c r="A15" s="909" t="s">
        <v>549</v>
      </c>
      <c r="B15" s="910" t="e">
        <f>+B9+B10-B14</f>
        <v>#REF!</v>
      </c>
      <c r="C15" s="911" t="e">
        <f>+C9+C10-C14</f>
        <v>#REF!</v>
      </c>
      <c r="D15" s="911" t="e">
        <f>+D9+D10-D14</f>
        <v>#REF!</v>
      </c>
      <c r="E15" s="911" t="e">
        <f>+E9+E10-E14</f>
        <v>#REF!</v>
      </c>
      <c r="F15" s="911" t="e">
        <f>+F9+F10-F14</f>
        <v>#REF!</v>
      </c>
    </row>
    <row r="16" spans="1:6" ht="21" thickTop="1">
      <c r="A16" s="912" t="s">
        <v>550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35DC-3FF0-4758-B1F0-2FD1F4D1F7C9}">
  <dimension ref="A1:W70"/>
  <sheetViews>
    <sheetView showGridLines="0" showZeros="0" zoomScale="70" zoomScaleNormal="70" workbookViewId="0">
      <selection sqref="A1:XFD1048576"/>
    </sheetView>
  </sheetViews>
  <sheetFormatPr defaultColWidth="9.109375" defaultRowHeight="14.4"/>
  <cols>
    <col min="1" max="1" width="13.109375" style="1077" customWidth="1"/>
    <col min="2" max="2" width="10.109375" style="1077" customWidth="1"/>
    <col min="3" max="3" width="31.88671875" style="1077" customWidth="1"/>
    <col min="4" max="4" width="18.109375" style="1077" customWidth="1"/>
    <col min="5" max="5" width="14.21875" style="1077" bestFit="1" customWidth="1"/>
    <col min="6" max="6" width="15.109375" style="1078" bestFit="1" customWidth="1"/>
    <col min="7" max="7" width="15" style="1089" bestFit="1" customWidth="1"/>
    <col min="8" max="8" width="15" style="1107" bestFit="1" customWidth="1"/>
    <col min="9" max="9" width="12.109375" style="1080" bestFit="1" customWidth="1"/>
    <col min="10" max="10" width="13.109375" style="1080" bestFit="1" customWidth="1"/>
    <col min="11" max="11" width="10" style="1080" bestFit="1" customWidth="1"/>
    <col min="12" max="12" width="14.88671875" style="1081" hidden="1" customWidth="1"/>
    <col min="13" max="13" width="2.109375" style="1082" customWidth="1"/>
    <col min="14" max="14" width="12.21875" style="1077" customWidth="1"/>
    <col min="15" max="15" width="13" style="1077" customWidth="1"/>
    <col min="16" max="16" width="12.6640625" style="1077" customWidth="1"/>
    <col min="17" max="17" width="9.109375" style="1077"/>
    <col min="18" max="21" width="12.6640625" style="1077" customWidth="1"/>
    <col min="22" max="16384" width="9.109375" style="1089"/>
  </cols>
  <sheetData>
    <row r="1" spans="1:23">
      <c r="A1" s="1149" t="s">
        <v>582</v>
      </c>
    </row>
    <row r="2" spans="1:23">
      <c r="A2" s="1149" t="e">
        <f>+#REF!</f>
        <v>#REF!</v>
      </c>
    </row>
    <row r="3" spans="1:23" s="1075" customFormat="1" ht="15" thickBot="1">
      <c r="A3" s="1067"/>
      <c r="B3" s="1067" t="s">
        <v>146</v>
      </c>
      <c r="C3" s="1067" t="s">
        <v>86</v>
      </c>
      <c r="D3" s="1067" t="s">
        <v>145</v>
      </c>
      <c r="E3" s="1067"/>
      <c r="F3" s="1068" t="s">
        <v>90</v>
      </c>
      <c r="G3" s="1069" t="s">
        <v>91</v>
      </c>
      <c r="H3" s="1070" t="s">
        <v>92</v>
      </c>
      <c r="I3" s="1071" t="s">
        <v>93</v>
      </c>
      <c r="J3" s="1071" t="s">
        <v>94</v>
      </c>
      <c r="K3" s="1071" t="s">
        <v>95</v>
      </c>
      <c r="L3" s="1072"/>
      <c r="M3" s="1073"/>
      <c r="N3" s="1074"/>
      <c r="O3" s="1074"/>
      <c r="Q3" s="1074"/>
      <c r="R3" s="1074"/>
      <c r="S3" s="1074"/>
      <c r="T3" s="1074" t="s">
        <v>562</v>
      </c>
      <c r="U3" s="1074"/>
      <c r="V3" s="1076"/>
      <c r="W3" s="1076"/>
    </row>
    <row r="4" spans="1:23" s="1077" customFormat="1" ht="15" thickBot="1">
      <c r="A4" s="1077" t="s">
        <v>96</v>
      </c>
      <c r="B4" s="1077" t="s">
        <v>21</v>
      </c>
      <c r="C4" s="1077" t="s">
        <v>21</v>
      </c>
      <c r="D4" s="1077" t="s">
        <v>558</v>
      </c>
      <c r="F4" s="1078">
        <v>1299</v>
      </c>
      <c r="G4" s="1078">
        <v>1299</v>
      </c>
      <c r="H4" s="1079">
        <f>+F4-G4</f>
        <v>0</v>
      </c>
      <c r="I4" s="1080">
        <v>0.105</v>
      </c>
      <c r="J4" s="1080"/>
      <c r="K4" s="1080" t="s">
        <v>97</v>
      </c>
      <c r="L4" s="1081">
        <f>+F4*I4</f>
        <v>136.39499999999998</v>
      </c>
      <c r="M4" s="1082"/>
      <c r="N4" s="1083" t="s">
        <v>106</v>
      </c>
      <c r="O4" s="653" t="s">
        <v>95</v>
      </c>
      <c r="P4" s="653" t="s">
        <v>93</v>
      </c>
      <c r="Q4" s="653"/>
      <c r="R4" s="653" t="s">
        <v>90</v>
      </c>
      <c r="S4" s="653" t="s">
        <v>91</v>
      </c>
      <c r="T4" s="1084" t="s">
        <v>99</v>
      </c>
      <c r="V4" s="1076"/>
      <c r="W4" s="1076"/>
    </row>
    <row r="5" spans="1:23">
      <c r="G5" s="1078"/>
      <c r="H5" s="1079"/>
      <c r="L5" s="1081">
        <f t="shared" ref="L5:L62" si="0">+F5*I5</f>
        <v>0</v>
      </c>
      <c r="N5" s="1085" t="s">
        <v>21</v>
      </c>
      <c r="O5" s="1077" t="s">
        <v>97</v>
      </c>
      <c r="P5" s="1086">
        <f>IF(S5=0,0,SUMIFS(L:L,$B:$B,$N$5,$K:$K,$O5,$A:$A,$Q5)/S5)</f>
        <v>0.10499999999999998</v>
      </c>
      <c r="Q5" s="1077" t="s">
        <v>96</v>
      </c>
      <c r="R5" s="1087">
        <f t="shared" ref="R5:S8" si="1">SUMIFS(F:F,$B:$B,$N$5,$K:$K,$O5,$A:$A,$Q5)</f>
        <v>1299</v>
      </c>
      <c r="S5" s="1087">
        <f t="shared" si="1"/>
        <v>1299</v>
      </c>
      <c r="T5" s="1088">
        <f t="shared" ref="T5:T16" si="2">+R5-S5</f>
        <v>0</v>
      </c>
      <c r="V5" s="1076"/>
      <c r="W5" s="1076"/>
    </row>
    <row r="6" spans="1:23">
      <c r="A6" s="1077" t="s">
        <v>96</v>
      </c>
      <c r="B6" s="1077" t="s">
        <v>41</v>
      </c>
      <c r="C6" s="1077" t="s">
        <v>33</v>
      </c>
      <c r="D6" s="1077" t="s">
        <v>59</v>
      </c>
      <c r="F6" s="1078">
        <v>1250</v>
      </c>
      <c r="G6" s="1078">
        <v>1250</v>
      </c>
      <c r="H6" s="1079">
        <f t="shared" ref="H6:H8" si="3">+F6-G6</f>
        <v>0</v>
      </c>
      <c r="I6" s="1080">
        <v>0.105</v>
      </c>
      <c r="K6" s="1080" t="s">
        <v>97</v>
      </c>
      <c r="L6" s="1081">
        <f t="shared" si="0"/>
        <v>131.25</v>
      </c>
      <c r="N6" s="1085"/>
      <c r="O6" s="1077" t="s">
        <v>97</v>
      </c>
      <c r="P6" s="1086">
        <f>IF(S6=0,0,SUMIFS(L:L,$B:$B,$N$5,$K:$K,$O6,$A:$A,$Q6)/S6)</f>
        <v>0</v>
      </c>
      <c r="Q6" s="1077" t="s">
        <v>101</v>
      </c>
      <c r="R6" s="1087">
        <f t="shared" si="1"/>
        <v>0</v>
      </c>
      <c r="S6" s="1087">
        <f t="shared" si="1"/>
        <v>0</v>
      </c>
      <c r="T6" s="1088">
        <f t="shared" si="2"/>
        <v>0</v>
      </c>
      <c r="V6" s="1076"/>
      <c r="W6" s="1076"/>
    </row>
    <row r="7" spans="1:23">
      <c r="A7" s="1077" t="s">
        <v>101</v>
      </c>
      <c r="B7" s="1077" t="s">
        <v>41</v>
      </c>
      <c r="C7" s="1077" t="s">
        <v>35</v>
      </c>
      <c r="D7" s="1077" t="s">
        <v>59</v>
      </c>
      <c r="F7" s="1078">
        <v>200</v>
      </c>
      <c r="G7" s="1078">
        <v>200</v>
      </c>
      <c r="H7" s="1079">
        <f t="shared" si="3"/>
        <v>0</v>
      </c>
      <c r="I7" s="1080">
        <v>0.105</v>
      </c>
      <c r="K7" s="1080" t="s">
        <v>97</v>
      </c>
      <c r="N7" s="1085"/>
      <c r="O7" s="1077" t="s">
        <v>104</v>
      </c>
      <c r="P7" s="1086">
        <f>IF(S7=0,0,SUMIFS(L:L,$B:$B,$N$5,$K:$K,$O7,$A:$A,$Q7)/S7)</f>
        <v>0</v>
      </c>
      <c r="Q7" s="1077" t="s">
        <v>96</v>
      </c>
      <c r="R7" s="1087">
        <f t="shared" si="1"/>
        <v>0</v>
      </c>
      <c r="S7" s="1087">
        <f t="shared" si="1"/>
        <v>0</v>
      </c>
      <c r="T7" s="1088">
        <f t="shared" si="2"/>
        <v>0</v>
      </c>
      <c r="V7" s="1076"/>
      <c r="W7" s="1076"/>
    </row>
    <row r="8" spans="1:23">
      <c r="A8" s="1077" t="s">
        <v>96</v>
      </c>
      <c r="B8" s="1077" t="s">
        <v>41</v>
      </c>
      <c r="C8" s="1077" t="s">
        <v>33</v>
      </c>
      <c r="D8" s="1077" t="s">
        <v>59</v>
      </c>
      <c r="F8" s="1078">
        <v>150</v>
      </c>
      <c r="G8" s="1078">
        <v>150</v>
      </c>
      <c r="H8" s="1079">
        <f t="shared" si="3"/>
        <v>0</v>
      </c>
      <c r="I8" s="1080">
        <v>0.105</v>
      </c>
      <c r="K8" s="1080" t="s">
        <v>97</v>
      </c>
      <c r="L8" s="1081">
        <f t="shared" si="0"/>
        <v>15.75</v>
      </c>
      <c r="N8" s="1090"/>
      <c r="O8" s="1091" t="s">
        <v>104</v>
      </c>
      <c r="P8" s="1092">
        <f>IF(S8=0,0,SUMIFS(L:L,$B:$B,$N$5,$K:$K,$O8,$A:$A,$Q8)/S8)</f>
        <v>0</v>
      </c>
      <c r="Q8" s="1091" t="s">
        <v>101</v>
      </c>
      <c r="R8" s="1093">
        <f t="shared" si="1"/>
        <v>0</v>
      </c>
      <c r="S8" s="1093">
        <f t="shared" si="1"/>
        <v>0</v>
      </c>
      <c r="T8" s="1094">
        <f t="shared" si="2"/>
        <v>0</v>
      </c>
      <c r="V8" s="1076"/>
      <c r="W8" s="1076"/>
    </row>
    <row r="9" spans="1:23">
      <c r="A9" s="1077" t="s">
        <v>101</v>
      </c>
      <c r="B9" s="1077" t="s">
        <v>41</v>
      </c>
      <c r="C9" s="1077" t="s">
        <v>35</v>
      </c>
      <c r="D9" s="1077" t="s">
        <v>558</v>
      </c>
      <c r="F9" s="1078">
        <v>370</v>
      </c>
      <c r="G9" s="1078">
        <v>370</v>
      </c>
      <c r="H9" s="1079"/>
      <c r="I9" s="1080">
        <v>0.105</v>
      </c>
      <c r="K9" s="1080" t="s">
        <v>97</v>
      </c>
      <c r="L9" s="1081">
        <f t="shared" si="0"/>
        <v>38.85</v>
      </c>
      <c r="N9" s="1085"/>
      <c r="O9" s="1074"/>
      <c r="P9" s="1095">
        <f>IF(S9=0,0,SUMIFS(L:L,$B:$B,$N$5)/S9)</f>
        <v>0.10499999999999998</v>
      </c>
      <c r="Q9" s="1074"/>
      <c r="R9" s="1096">
        <f>SUM(R5:R8)</f>
        <v>1299</v>
      </c>
      <c r="S9" s="1096">
        <f>SUM(S5:S8)</f>
        <v>1299</v>
      </c>
      <c r="T9" s="1097">
        <f t="shared" si="2"/>
        <v>0</v>
      </c>
      <c r="V9" s="1076"/>
      <c r="W9" s="1076"/>
    </row>
    <row r="10" spans="1:23">
      <c r="A10" s="1077" t="s">
        <v>101</v>
      </c>
      <c r="B10" s="1077" t="s">
        <v>41</v>
      </c>
      <c r="C10" s="1077" t="s">
        <v>181</v>
      </c>
      <c r="D10" s="1077" t="s">
        <v>59</v>
      </c>
      <c r="F10" s="1078">
        <v>200</v>
      </c>
      <c r="G10" s="1078">
        <v>200</v>
      </c>
      <c r="H10" s="1079">
        <f t="shared" ref="H10:H15" si="4">+F10-G10</f>
        <v>0</v>
      </c>
      <c r="I10" s="1080">
        <v>0.105</v>
      </c>
      <c r="K10" s="1080" t="s">
        <v>97</v>
      </c>
      <c r="L10" s="1081">
        <f t="shared" si="0"/>
        <v>21</v>
      </c>
      <c r="N10" s="1098" t="s">
        <v>41</v>
      </c>
      <c r="O10" s="1099" t="s">
        <v>97</v>
      </c>
      <c r="P10" s="1100">
        <f>IF(S10=0,0,SUMIFS(L:L,$B:$B,$N$10,$K:$K,$O10,$A:$A,$Q10)/S10)</f>
        <v>9.3574527358327345E-2</v>
      </c>
      <c r="Q10" s="1099" t="s">
        <v>96</v>
      </c>
      <c r="R10" s="1101">
        <f t="shared" ref="R10:S13" si="5">SUMIFS(F:F,$B:$B,$N$10,$K:$K,$O10,$A:$A,$Q10)</f>
        <v>4046.152756</v>
      </c>
      <c r="S10" s="1101">
        <f t="shared" si="5"/>
        <v>4046.152756</v>
      </c>
      <c r="T10" s="1102">
        <f t="shared" si="2"/>
        <v>0</v>
      </c>
    </row>
    <row r="11" spans="1:23">
      <c r="A11" s="1077" t="s">
        <v>101</v>
      </c>
      <c r="B11" s="1077" t="s">
        <v>41</v>
      </c>
      <c r="C11" s="1077" t="s">
        <v>181</v>
      </c>
      <c r="D11" s="1077" t="s">
        <v>558</v>
      </c>
      <c r="F11" s="1078">
        <v>300</v>
      </c>
      <c r="G11" s="1078">
        <v>300</v>
      </c>
      <c r="H11" s="1079">
        <f t="shared" si="4"/>
        <v>0</v>
      </c>
      <c r="I11" s="1080">
        <v>0.105</v>
      </c>
      <c r="K11" s="1080" t="s">
        <v>97</v>
      </c>
      <c r="L11" s="1081">
        <f t="shared" si="0"/>
        <v>31.5</v>
      </c>
      <c r="N11" s="1085"/>
      <c r="O11" s="1077" t="s">
        <v>97</v>
      </c>
      <c r="P11" s="1086">
        <f>IF(S11=0,0,SUMIFS(L:L,$B:$B,$N$10,$K:$K,$O11,$A:$A,$Q11)/S11)</f>
        <v>9.1876691739423755E-2</v>
      </c>
      <c r="Q11" s="1077" t="s">
        <v>101</v>
      </c>
      <c r="R11" s="1087">
        <f t="shared" si="5"/>
        <v>10133.563854119999</v>
      </c>
      <c r="S11" s="1087">
        <f t="shared" si="5"/>
        <v>10133.563854119999</v>
      </c>
      <c r="T11" s="1088">
        <f t="shared" si="2"/>
        <v>0</v>
      </c>
    </row>
    <row r="12" spans="1:23">
      <c r="A12" s="1077" t="s">
        <v>101</v>
      </c>
      <c r="B12" s="1077" t="s">
        <v>41</v>
      </c>
      <c r="C12" s="1077" t="s">
        <v>181</v>
      </c>
      <c r="D12" s="1077" t="s">
        <v>558</v>
      </c>
      <c r="F12" s="1078">
        <v>1040</v>
      </c>
      <c r="G12" s="1078">
        <v>1040</v>
      </c>
      <c r="H12" s="1079">
        <f t="shared" si="4"/>
        <v>0</v>
      </c>
      <c r="I12" s="1080">
        <v>0.105</v>
      </c>
      <c r="K12" s="1080" t="s">
        <v>97</v>
      </c>
      <c r="L12" s="1081">
        <f t="shared" si="0"/>
        <v>109.2</v>
      </c>
      <c r="N12" s="1085"/>
      <c r="O12" s="1077" t="s">
        <v>104</v>
      </c>
      <c r="P12" s="1086">
        <f>IF(S12=0,0,SUMIFS(L:L,$B:$B,$N$10,$K:$K,$O12,$A:$A,$Q12)/S12)</f>
        <v>0</v>
      </c>
      <c r="Q12" s="1077" t="s">
        <v>96</v>
      </c>
      <c r="R12" s="1087">
        <f t="shared" si="5"/>
        <v>0</v>
      </c>
      <c r="S12" s="1087">
        <f t="shared" si="5"/>
        <v>0</v>
      </c>
      <c r="T12" s="1088">
        <f t="shared" si="2"/>
        <v>0</v>
      </c>
    </row>
    <row r="13" spans="1:23" s="1075" customFormat="1">
      <c r="A13" s="1077" t="s">
        <v>101</v>
      </c>
      <c r="B13" s="1077" t="s">
        <v>41</v>
      </c>
      <c r="C13" s="1077" t="s">
        <v>33</v>
      </c>
      <c r="D13" s="1077" t="s">
        <v>558</v>
      </c>
      <c r="E13" s="1077"/>
      <c r="F13" s="1078">
        <v>500</v>
      </c>
      <c r="G13" s="1078">
        <v>500</v>
      </c>
      <c r="H13" s="1079">
        <f t="shared" si="4"/>
        <v>0</v>
      </c>
      <c r="I13" s="1080">
        <v>0.105</v>
      </c>
      <c r="J13" s="1080"/>
      <c r="K13" s="1080" t="s">
        <v>97</v>
      </c>
      <c r="L13" s="1081">
        <f t="shared" si="0"/>
        <v>52.5</v>
      </c>
      <c r="M13" s="1073"/>
      <c r="N13" s="1090"/>
      <c r="O13" s="1091" t="s">
        <v>104</v>
      </c>
      <c r="P13" s="1092">
        <f>IF(S13=0,0,SUMIFS(L:L,$B:$B,$N$10,$K:$K,$O13,$A:$A,$Q13)/S13)</f>
        <v>0</v>
      </c>
      <c r="Q13" s="1091" t="s">
        <v>101</v>
      </c>
      <c r="R13" s="1093">
        <f t="shared" si="5"/>
        <v>0</v>
      </c>
      <c r="S13" s="1093">
        <f t="shared" si="5"/>
        <v>0</v>
      </c>
      <c r="T13" s="1094">
        <f t="shared" si="2"/>
        <v>0</v>
      </c>
      <c r="U13" s="1074"/>
    </row>
    <row r="14" spans="1:23" s="1075" customFormat="1">
      <c r="A14" s="1077" t="s">
        <v>101</v>
      </c>
      <c r="B14" s="1077" t="s">
        <v>41</v>
      </c>
      <c r="C14" s="1077" t="s">
        <v>33</v>
      </c>
      <c r="D14" s="1077" t="s">
        <v>59</v>
      </c>
      <c r="E14" s="1077"/>
      <c r="F14" s="1078">
        <v>1000</v>
      </c>
      <c r="G14" s="1078">
        <v>1000</v>
      </c>
      <c r="H14" s="1079">
        <f t="shared" si="4"/>
        <v>0</v>
      </c>
      <c r="I14" s="1080">
        <v>0.105</v>
      </c>
      <c r="J14" s="1080"/>
      <c r="K14" s="1080" t="s">
        <v>97</v>
      </c>
      <c r="L14" s="1081">
        <f t="shared" si="0"/>
        <v>105</v>
      </c>
      <c r="M14" s="1073"/>
      <c r="N14" s="1085"/>
      <c r="O14" s="1074"/>
      <c r="P14" s="1103">
        <f>IF(S14=0,0,SUMIFS(L:L,$B:$B,N10)/S14)</f>
        <v>9.236116561556304E-2</v>
      </c>
      <c r="Q14" s="1074"/>
      <c r="R14" s="1096">
        <f>SUM(R10:R13)</f>
        <v>14179.716610119998</v>
      </c>
      <c r="S14" s="1096">
        <f>SUM(S10:S13)</f>
        <v>14179.716610119998</v>
      </c>
      <c r="T14" s="1104">
        <f t="shared" si="2"/>
        <v>0</v>
      </c>
      <c r="U14" s="1074"/>
    </row>
    <row r="15" spans="1:23" s="1075" customFormat="1">
      <c r="A15" s="1077" t="s">
        <v>96</v>
      </c>
      <c r="B15" s="1077" t="s">
        <v>41</v>
      </c>
      <c r="C15" s="1077" t="s">
        <v>33</v>
      </c>
      <c r="D15" s="1077" t="s">
        <v>59</v>
      </c>
      <c r="E15" s="1077"/>
      <c r="F15" s="1078">
        <v>600</v>
      </c>
      <c r="G15" s="1078">
        <v>600</v>
      </c>
      <c r="H15" s="1079">
        <f t="shared" si="4"/>
        <v>0</v>
      </c>
      <c r="I15" s="1080">
        <v>0.11</v>
      </c>
      <c r="J15" s="1080"/>
      <c r="K15" s="1080" t="s">
        <v>97</v>
      </c>
      <c r="L15" s="1081">
        <f t="shared" si="0"/>
        <v>66</v>
      </c>
      <c r="M15" s="1073"/>
      <c r="N15" s="1098" t="s">
        <v>583</v>
      </c>
      <c r="O15" s="1099" t="s">
        <v>97</v>
      </c>
      <c r="P15" s="1100">
        <f>IF(S15=0,0,SUMIFS(L:L,$B:$B,$N$15,$K:$K,$O15,$A:$A,$Q15)/S15)</f>
        <v>0.13580893409096462</v>
      </c>
      <c r="Q15" s="1099" t="s">
        <v>96</v>
      </c>
      <c r="R15" s="1101">
        <f>SUMIFS(F:F,$B:$B,$N$15,$K:$K,$O15,$A:$A,$Q15)</f>
        <v>2740.0549225300001</v>
      </c>
      <c r="S15" s="1101">
        <f>SUMIFS(G:G,$B:$B,$N$15,$K:$K,$O15,$A:$A,$Q15)</f>
        <v>2740.0549225300001</v>
      </c>
      <c r="T15" s="1102">
        <f t="shared" si="2"/>
        <v>0</v>
      </c>
      <c r="U15" s="1074"/>
    </row>
    <row r="16" spans="1:23" s="1075" customFormat="1">
      <c r="A16" s="1077"/>
      <c r="B16" s="1077"/>
      <c r="C16" s="1077"/>
      <c r="D16" s="1077"/>
      <c r="E16" s="1077"/>
      <c r="F16" s="1078"/>
      <c r="G16" s="1078"/>
      <c r="H16" s="1079"/>
      <c r="I16" s="1080"/>
      <c r="J16" s="1080"/>
      <c r="K16" s="1080"/>
      <c r="L16" s="1081">
        <f t="shared" si="0"/>
        <v>0</v>
      </c>
      <c r="M16" s="1073"/>
      <c r="N16" s="1085"/>
      <c r="O16" s="1077" t="s">
        <v>97</v>
      </c>
      <c r="P16" s="1086">
        <f>IF(S16=0,0,SUMIFS(L:L,$B:$B,$N$15,$K:$K,$O16,$A:$A,$Q16)/S16)</f>
        <v>0.11185260608866805</v>
      </c>
      <c r="Q16" s="1077" t="s">
        <v>101</v>
      </c>
      <c r="R16" s="1087">
        <f>SUMIFS(F:F,$B:$B,$N$15,$K:$K,$O16,$A:$A,$Q16)</f>
        <v>7221.9246605300004</v>
      </c>
      <c r="S16" s="1087">
        <f>SUMIFS(G:G,$B:$B,$N$15,$K:$K,$O16,$A:$A,$Q16)</f>
        <v>7221.9246605300004</v>
      </c>
      <c r="T16" s="1088">
        <f t="shared" si="2"/>
        <v>0</v>
      </c>
      <c r="U16" s="1074"/>
    </row>
    <row r="17" spans="1:23">
      <c r="A17" s="1077" t="s">
        <v>101</v>
      </c>
      <c r="B17" s="1077" t="s">
        <v>583</v>
      </c>
      <c r="C17" s="1077" t="s">
        <v>461</v>
      </c>
      <c r="D17" s="1077" t="s">
        <v>59</v>
      </c>
      <c r="F17" s="1078">
        <v>700</v>
      </c>
      <c r="G17" s="1078">
        <v>700</v>
      </c>
      <c r="H17" s="1079">
        <f t="shared" ref="H17:H23" si="6">+F17-G17</f>
        <v>0</v>
      </c>
      <c r="I17" s="1080">
        <v>0.105</v>
      </c>
      <c r="K17" s="1080" t="s">
        <v>97</v>
      </c>
      <c r="L17" s="1081">
        <f t="shared" si="0"/>
        <v>73.5</v>
      </c>
      <c r="N17" s="1085"/>
      <c r="P17" s="1086"/>
      <c r="R17" s="1087"/>
      <c r="S17" s="1087"/>
      <c r="T17" s="1088"/>
    </row>
    <row r="18" spans="1:23" s="1075" customFormat="1">
      <c r="A18" s="1077" t="s">
        <v>101</v>
      </c>
      <c r="B18" s="1077" t="s">
        <v>583</v>
      </c>
      <c r="C18" s="1077" t="s">
        <v>462</v>
      </c>
      <c r="D18" s="1077" t="s">
        <v>59</v>
      </c>
      <c r="E18" s="1077"/>
      <c r="F18" s="1078">
        <v>650</v>
      </c>
      <c r="G18" s="1078">
        <v>650</v>
      </c>
      <c r="H18" s="1079">
        <f t="shared" si="6"/>
        <v>0</v>
      </c>
      <c r="I18" s="1080">
        <v>0.105</v>
      </c>
      <c r="J18" s="1080"/>
      <c r="K18" s="1080" t="s">
        <v>97</v>
      </c>
      <c r="L18" s="1081">
        <f t="shared" si="0"/>
        <v>68.25</v>
      </c>
      <c r="M18" s="1073"/>
      <c r="N18" s="1085"/>
      <c r="O18" s="1077" t="s">
        <v>104</v>
      </c>
      <c r="P18" s="1086">
        <f>IF(S18=0,0,SUMIFS(L:L,$B:$B,$N$15,$K:$K,$O18,$A:$A,$Q18)/S18)</f>
        <v>0</v>
      </c>
      <c r="Q18" s="1077" t="s">
        <v>96</v>
      </c>
      <c r="R18" s="1087">
        <f>SUMIFS(F:F,$B:$B,$N$15,$K:$K,$O18,$A:$A,$Q18)</f>
        <v>0</v>
      </c>
      <c r="S18" s="1087">
        <f>SUMIFS(G:G,$B:$B,$N$15,$K:$K,$O18,$A:$A,$Q18)</f>
        <v>0</v>
      </c>
      <c r="T18" s="1088">
        <f>+R18-S18</f>
        <v>0</v>
      </c>
      <c r="U18" s="1074"/>
    </row>
    <row r="19" spans="1:23" s="1075" customFormat="1">
      <c r="A19" s="1077" t="s">
        <v>101</v>
      </c>
      <c r="B19" s="1077" t="s">
        <v>583</v>
      </c>
      <c r="C19" s="1077" t="s">
        <v>461</v>
      </c>
      <c r="D19" s="1077" t="s">
        <v>558</v>
      </c>
      <c r="E19" s="1077"/>
      <c r="F19" s="1078">
        <v>500</v>
      </c>
      <c r="G19" s="1078">
        <v>500</v>
      </c>
      <c r="H19" s="1079">
        <f t="shared" si="6"/>
        <v>0</v>
      </c>
      <c r="I19" s="1080">
        <v>0.11</v>
      </c>
      <c r="J19" s="1080"/>
      <c r="K19" s="1080" t="s">
        <v>97</v>
      </c>
      <c r="L19" s="1081">
        <f t="shared" si="0"/>
        <v>55</v>
      </c>
      <c r="M19" s="1073"/>
      <c r="N19" s="1090"/>
      <c r="O19" s="1091" t="s">
        <v>104</v>
      </c>
      <c r="P19" s="1092">
        <f>IF(S19=0,0,SUMIFS(L:L,$B:$B,$N$15,$K:$K,$O19,$A:$A,$Q19)/S19)</f>
        <v>0</v>
      </c>
      <c r="Q19" s="1091" t="s">
        <v>101</v>
      </c>
      <c r="R19" s="1093">
        <f>SUMIFS(F:F,$B:$B,$N$15,$K:$K,$O19,$A:$A,$Q19)</f>
        <v>0</v>
      </c>
      <c r="S19" s="1093">
        <f>SUMIFS(G:G,$B:$B,$N$15,$K:$K,$O19,$A:$A,$Q19)</f>
        <v>0</v>
      </c>
      <c r="T19" s="1094">
        <f>+R19-S19</f>
        <v>0</v>
      </c>
      <c r="U19" s="1074"/>
    </row>
    <row r="20" spans="1:23" ht="15" customHeight="1">
      <c r="A20" s="1077" t="s">
        <v>101</v>
      </c>
      <c r="B20" s="1077" t="s">
        <v>583</v>
      </c>
      <c r="C20" s="1077" t="s">
        <v>461</v>
      </c>
      <c r="D20" s="1077" t="s">
        <v>558</v>
      </c>
      <c r="F20" s="1078">
        <v>650</v>
      </c>
      <c r="G20" s="1078">
        <v>650</v>
      </c>
      <c r="H20" s="1079">
        <f t="shared" si="6"/>
        <v>0</v>
      </c>
      <c r="I20" s="1080">
        <v>0.105</v>
      </c>
      <c r="K20" s="1080" t="s">
        <v>97</v>
      </c>
      <c r="L20" s="1081">
        <f t="shared" si="0"/>
        <v>68.25</v>
      </c>
      <c r="N20" s="1085"/>
      <c r="O20" s="1074"/>
      <c r="P20" s="1105">
        <f>IF(S20=0,0,SUMIFS(L:L,$B:$B,N15)/S20)</f>
        <v>0.11844182401680528</v>
      </c>
      <c r="Q20" s="1074"/>
      <c r="R20" s="1096">
        <f>SUM(R15:R19)</f>
        <v>9961.9795830600015</v>
      </c>
      <c r="S20" s="1096">
        <f>SUM(S15:S19)</f>
        <v>9961.9795830600015</v>
      </c>
      <c r="T20" s="1106">
        <f>+R20-S20</f>
        <v>0</v>
      </c>
    </row>
    <row r="21" spans="1:23" ht="15" thickBot="1">
      <c r="A21" s="1077" t="s">
        <v>101</v>
      </c>
      <c r="B21" s="1077" t="s">
        <v>583</v>
      </c>
      <c r="C21" s="1077" t="s">
        <v>462</v>
      </c>
      <c r="D21" s="1077" t="s">
        <v>558</v>
      </c>
      <c r="F21" s="1078">
        <v>600</v>
      </c>
      <c r="G21" s="1078">
        <v>600</v>
      </c>
      <c r="H21" s="1079">
        <f t="shared" si="6"/>
        <v>0</v>
      </c>
      <c r="I21" s="1080">
        <v>0.105</v>
      </c>
      <c r="K21" s="1080" t="s">
        <v>97</v>
      </c>
      <c r="L21" s="1081">
        <f t="shared" si="0"/>
        <v>63</v>
      </c>
      <c r="N21" s="1108" t="s">
        <v>105</v>
      </c>
      <c r="O21" s="1109"/>
      <c r="P21" s="1110">
        <f>+I63</f>
        <v>0.10321907729666605</v>
      </c>
      <c r="Q21" s="1109"/>
      <c r="R21" s="1111">
        <f>R9+R14+R20</f>
        <v>25440.69619318</v>
      </c>
      <c r="S21" s="1111">
        <f>S9+S14+S20</f>
        <v>25440.69619318</v>
      </c>
      <c r="T21" s="1112">
        <f>+R21-S21</f>
        <v>0</v>
      </c>
    </row>
    <row r="22" spans="1:23">
      <c r="A22" s="1077" t="s">
        <v>101</v>
      </c>
      <c r="B22" s="1077" t="s">
        <v>583</v>
      </c>
      <c r="C22" s="1077" t="s">
        <v>462</v>
      </c>
      <c r="D22" s="1077" t="s">
        <v>558</v>
      </c>
      <c r="F22" s="1078">
        <v>600</v>
      </c>
      <c r="G22" s="1078">
        <v>600</v>
      </c>
      <c r="H22" s="1079">
        <f t="shared" si="6"/>
        <v>0</v>
      </c>
      <c r="I22" s="1080">
        <v>0.105</v>
      </c>
      <c r="K22" s="1080" t="s">
        <v>97</v>
      </c>
      <c r="L22" s="1081">
        <f t="shared" si="0"/>
        <v>63</v>
      </c>
      <c r="N22" s="1113"/>
      <c r="O22" s="1074"/>
      <c r="P22" s="1095"/>
      <c r="Q22" s="1074"/>
      <c r="R22" s="1096"/>
      <c r="S22" s="1096"/>
      <c r="T22" s="1096"/>
    </row>
    <row r="23" spans="1:23">
      <c r="A23" s="1077" t="s">
        <v>96</v>
      </c>
      <c r="B23" s="1077" t="s">
        <v>583</v>
      </c>
      <c r="C23" s="1077" t="s">
        <v>462</v>
      </c>
      <c r="D23" s="1077" t="s">
        <v>558</v>
      </c>
      <c r="F23" s="1078">
        <v>420</v>
      </c>
      <c r="G23" s="1078">
        <v>420</v>
      </c>
      <c r="H23" s="1079">
        <f t="shared" si="6"/>
        <v>0</v>
      </c>
      <c r="I23" s="1080">
        <v>0.11</v>
      </c>
      <c r="K23" s="1080" t="s">
        <v>97</v>
      </c>
      <c r="L23" s="1081">
        <f t="shared" si="0"/>
        <v>46.2</v>
      </c>
      <c r="N23" s="1113" t="s">
        <v>145</v>
      </c>
      <c r="O23" s="1113" t="s">
        <v>146</v>
      </c>
      <c r="P23" s="1095" t="s">
        <v>46</v>
      </c>
      <c r="R23" s="1087"/>
      <c r="S23" s="1087"/>
      <c r="T23" s="1087"/>
    </row>
    <row r="24" spans="1:23">
      <c r="A24" s="1077" t="s">
        <v>96</v>
      </c>
      <c r="B24" s="1077" t="s">
        <v>583</v>
      </c>
      <c r="C24" s="1077" t="s">
        <v>461</v>
      </c>
      <c r="D24" s="1077" t="s">
        <v>21</v>
      </c>
      <c r="F24" s="1078">
        <v>300</v>
      </c>
      <c r="G24" s="1078">
        <v>300</v>
      </c>
      <c r="H24" s="1079"/>
      <c r="I24" s="1080">
        <v>0.105</v>
      </c>
      <c r="K24" s="1080" t="s">
        <v>97</v>
      </c>
      <c r="L24" s="1081">
        <f t="shared" si="0"/>
        <v>31.5</v>
      </c>
      <c r="N24" s="1149" t="s">
        <v>558</v>
      </c>
      <c r="O24" s="1077" t="s">
        <v>21</v>
      </c>
      <c r="P24" s="1267">
        <f>SUMIFS(G:G,D:D,N24,B:B,O24)</f>
        <v>1299</v>
      </c>
      <c r="R24" s="1087"/>
      <c r="S24" s="1087"/>
      <c r="T24" s="1087"/>
    </row>
    <row r="25" spans="1:23">
      <c r="G25" s="1078"/>
      <c r="H25" s="1079"/>
      <c r="L25" s="1081">
        <f t="shared" si="0"/>
        <v>0</v>
      </c>
      <c r="N25" s="1149" t="s">
        <v>558</v>
      </c>
      <c r="O25" s="1077" t="s">
        <v>41</v>
      </c>
      <c r="P25" s="1267">
        <f>SUMIFS(G:G,D:D,N25,B:B,O25)</f>
        <v>2210</v>
      </c>
      <c r="R25" s="1087"/>
      <c r="S25" s="1087"/>
      <c r="T25" s="1087"/>
      <c r="V25" s="1076"/>
      <c r="W25" s="1076"/>
    </row>
    <row r="26" spans="1:23">
      <c r="G26" s="1078"/>
      <c r="H26" s="1079"/>
      <c r="L26" s="1081">
        <f t="shared" si="0"/>
        <v>0</v>
      </c>
      <c r="N26" s="1149" t="s">
        <v>558</v>
      </c>
      <c r="O26" s="1077" t="s">
        <v>583</v>
      </c>
      <c r="P26" s="1267">
        <f>SUMIFS(G:G,D:D,N26,B:B,O26)</f>
        <v>2770</v>
      </c>
      <c r="R26" s="1087"/>
      <c r="S26" s="1087"/>
      <c r="T26" s="1087"/>
      <c r="V26" s="1076"/>
      <c r="W26" s="1076"/>
    </row>
    <row r="27" spans="1:23" ht="15" thickBot="1">
      <c r="A27" s="1077" t="s">
        <v>101</v>
      </c>
      <c r="B27" s="1077" t="s">
        <v>41</v>
      </c>
      <c r="C27" s="1077" t="s">
        <v>572</v>
      </c>
      <c r="D27" s="1077" t="s">
        <v>573</v>
      </c>
      <c r="F27" s="1078">
        <v>169.44342028</v>
      </c>
      <c r="G27" s="1078">
        <f>+F27</f>
        <v>169.44342028</v>
      </c>
      <c r="H27" s="1079">
        <v>0</v>
      </c>
      <c r="I27" s="1080">
        <v>0.09</v>
      </c>
      <c r="K27" s="1080" t="s">
        <v>97</v>
      </c>
      <c r="L27" s="1081">
        <f t="shared" si="0"/>
        <v>15.249907825199999</v>
      </c>
      <c r="N27" s="1268"/>
      <c r="O27" s="1269"/>
      <c r="P27" s="1270">
        <f>SUM(P24:P26)</f>
        <v>6279</v>
      </c>
      <c r="Q27" s="1074"/>
      <c r="R27" s="1096"/>
      <c r="S27" s="1096"/>
      <c r="T27" s="1096"/>
      <c r="V27" s="1076"/>
      <c r="W27" s="1076"/>
    </row>
    <row r="28" spans="1:23" ht="15" thickTop="1">
      <c r="A28" s="1077" t="s">
        <v>101</v>
      </c>
      <c r="B28" s="1077" t="s">
        <v>41</v>
      </c>
      <c r="C28" s="1077" t="s">
        <v>572</v>
      </c>
      <c r="D28" s="1077" t="s">
        <v>181</v>
      </c>
      <c r="F28" s="1078">
        <v>100</v>
      </c>
      <c r="G28" s="1078">
        <f t="shared" ref="G28:G60" si="7">+F28</f>
        <v>100</v>
      </c>
      <c r="H28" s="1079">
        <v>0</v>
      </c>
      <c r="I28" s="1080">
        <v>0.1</v>
      </c>
      <c r="K28" s="1080" t="s">
        <v>97</v>
      </c>
      <c r="L28" s="1081">
        <f t="shared" si="0"/>
        <v>10</v>
      </c>
      <c r="N28" s="1113"/>
      <c r="O28" s="1074"/>
      <c r="P28" s="1095"/>
      <c r="Q28" s="1074"/>
      <c r="R28" s="1096"/>
      <c r="S28" s="1096"/>
      <c r="T28" s="1096"/>
      <c r="V28" s="1076"/>
      <c r="W28" s="1076"/>
    </row>
    <row r="29" spans="1:23">
      <c r="A29" s="1077" t="s">
        <v>101</v>
      </c>
      <c r="B29" s="1077" t="s">
        <v>41</v>
      </c>
      <c r="C29" s="1077" t="s">
        <v>572</v>
      </c>
      <c r="D29" s="1077" t="s">
        <v>35</v>
      </c>
      <c r="F29" s="1078">
        <v>233.88933111</v>
      </c>
      <c r="G29" s="1078">
        <f t="shared" si="7"/>
        <v>233.88933111</v>
      </c>
      <c r="H29" s="1079"/>
      <c r="I29" s="1080">
        <v>0.09</v>
      </c>
      <c r="K29" s="1080" t="s">
        <v>97</v>
      </c>
      <c r="L29" s="1081">
        <f t="shared" si="0"/>
        <v>21.050039799899999</v>
      </c>
      <c r="N29" s="1113" t="s">
        <v>145</v>
      </c>
      <c r="O29" s="1113" t="s">
        <v>146</v>
      </c>
      <c r="P29" s="1095" t="s">
        <v>46</v>
      </c>
      <c r="Q29" s="1074"/>
      <c r="R29" s="1096"/>
      <c r="S29" s="1096"/>
      <c r="T29" s="1096"/>
      <c r="V29" s="1076"/>
      <c r="W29" s="1076"/>
    </row>
    <row r="30" spans="1:23">
      <c r="A30" s="1077" t="s">
        <v>101</v>
      </c>
      <c r="B30" s="1077" t="s">
        <v>41</v>
      </c>
      <c r="C30" s="1077" t="s">
        <v>181</v>
      </c>
      <c r="D30" s="1077" t="s">
        <v>35</v>
      </c>
      <c r="F30" s="1078">
        <v>658.09201144999997</v>
      </c>
      <c r="G30" s="1078">
        <f t="shared" si="7"/>
        <v>658.09201144999997</v>
      </c>
      <c r="H30" s="1079"/>
      <c r="I30" s="1080">
        <v>0.1</v>
      </c>
      <c r="K30" s="1080" t="s">
        <v>97</v>
      </c>
      <c r="L30" s="1081">
        <f t="shared" si="0"/>
        <v>65.809201145000003</v>
      </c>
      <c r="N30" s="1149" t="s">
        <v>59</v>
      </c>
      <c r="O30" s="1077" t="s">
        <v>21</v>
      </c>
      <c r="P30" s="1267">
        <f>SUMIFS(G:G,D:D,N30,B:B,O30)</f>
        <v>0</v>
      </c>
      <c r="V30" s="1076"/>
      <c r="W30" s="1076"/>
    </row>
    <row r="31" spans="1:23">
      <c r="A31" s="1077" t="s">
        <v>101</v>
      </c>
      <c r="B31" s="1077" t="s">
        <v>41</v>
      </c>
      <c r="C31" s="1077" t="s">
        <v>181</v>
      </c>
      <c r="D31" s="1077" t="s">
        <v>35</v>
      </c>
      <c r="F31" s="1078">
        <v>300</v>
      </c>
      <c r="G31" s="1078">
        <f t="shared" si="7"/>
        <v>300</v>
      </c>
      <c r="H31" s="1079"/>
      <c r="I31" s="1080">
        <v>0.08</v>
      </c>
      <c r="K31" s="1080" t="s">
        <v>97</v>
      </c>
      <c r="L31" s="1081">
        <f t="shared" si="0"/>
        <v>24</v>
      </c>
      <c r="N31" s="1149" t="s">
        <v>59</v>
      </c>
      <c r="O31" s="1077" t="s">
        <v>41</v>
      </c>
      <c r="P31" s="1267">
        <f>SUMIFS(G:G,D:D,N31,B:B,O31)</f>
        <v>3400</v>
      </c>
      <c r="V31" s="1076"/>
      <c r="W31" s="1076"/>
    </row>
    <row r="32" spans="1:23">
      <c r="A32" s="1077" t="s">
        <v>101</v>
      </c>
      <c r="B32" s="1077" t="s">
        <v>41</v>
      </c>
      <c r="C32" s="1077" t="s">
        <v>172</v>
      </c>
      <c r="D32" s="1077" t="s">
        <v>35</v>
      </c>
      <c r="F32" s="1078">
        <v>90.896493160000006</v>
      </c>
      <c r="G32" s="1078">
        <f t="shared" si="7"/>
        <v>90.896493160000006</v>
      </c>
      <c r="H32" s="1079"/>
      <c r="I32" s="1080">
        <v>0.1</v>
      </c>
      <c r="K32" s="1080" t="s">
        <v>97</v>
      </c>
      <c r="L32" s="1081">
        <f t="shared" si="0"/>
        <v>9.0896493160000009</v>
      </c>
      <c r="N32" s="1149" t="s">
        <v>59</v>
      </c>
      <c r="O32" s="1077" t="s">
        <v>583</v>
      </c>
      <c r="P32" s="1267">
        <f>SUMIFS(G:G,D:D,N32,B:B,O32)</f>
        <v>1350</v>
      </c>
      <c r="V32" s="1076"/>
      <c r="W32" s="1076"/>
    </row>
    <row r="33" spans="1:23" ht="15" thickBot="1">
      <c r="A33" s="1077" t="s">
        <v>101</v>
      </c>
      <c r="B33" s="1077" t="s">
        <v>41</v>
      </c>
      <c r="C33" s="1077" t="s">
        <v>574</v>
      </c>
      <c r="D33" s="1077" t="s">
        <v>35</v>
      </c>
      <c r="F33" s="1078">
        <v>156</v>
      </c>
      <c r="G33" s="1078">
        <f t="shared" si="7"/>
        <v>156</v>
      </c>
      <c r="H33" s="1079"/>
      <c r="I33" s="1080">
        <v>0.09</v>
      </c>
      <c r="K33" s="1080" t="s">
        <v>97</v>
      </c>
      <c r="L33" s="1081">
        <f t="shared" si="0"/>
        <v>14.04</v>
      </c>
      <c r="N33" s="1268"/>
      <c r="O33" s="1269"/>
      <c r="P33" s="1270">
        <f>SUM(P30:P32)</f>
        <v>4750</v>
      </c>
      <c r="V33" s="1076"/>
      <c r="W33" s="1076"/>
    </row>
    <row r="34" spans="1:23" ht="15" thickTop="1">
      <c r="A34" s="1077" t="s">
        <v>101</v>
      </c>
      <c r="B34" s="1077" t="s">
        <v>41</v>
      </c>
      <c r="C34" s="1077" t="s">
        <v>172</v>
      </c>
      <c r="D34" s="1077" t="s">
        <v>33</v>
      </c>
      <c r="F34" s="1078">
        <v>1925.6509143400001</v>
      </c>
      <c r="G34" s="1078">
        <f t="shared" si="7"/>
        <v>1925.6509143400001</v>
      </c>
      <c r="H34" s="1079"/>
      <c r="I34" s="1080">
        <v>0.08</v>
      </c>
      <c r="K34" s="1080" t="s">
        <v>97</v>
      </c>
      <c r="L34" s="1081">
        <f t="shared" si="0"/>
        <v>154.05207314720002</v>
      </c>
      <c r="V34" s="1076"/>
      <c r="W34" s="1076"/>
    </row>
    <row r="35" spans="1:23">
      <c r="A35" s="1077" t="s">
        <v>101</v>
      </c>
      <c r="B35" s="1077" t="s">
        <v>41</v>
      </c>
      <c r="C35" s="1077" t="s">
        <v>172</v>
      </c>
      <c r="D35" s="1077" t="s">
        <v>33</v>
      </c>
      <c r="F35" s="1078">
        <f>1291.45453837</f>
        <v>1291.4545383699999</v>
      </c>
      <c r="G35" s="1078">
        <f t="shared" si="7"/>
        <v>1291.4545383699999</v>
      </c>
      <c r="H35" s="1079"/>
      <c r="I35" s="1080">
        <v>0.1</v>
      </c>
      <c r="K35" s="1080" t="s">
        <v>97</v>
      </c>
      <c r="L35" s="1081">
        <f t="shared" si="0"/>
        <v>129.14545383699999</v>
      </c>
      <c r="V35" s="1076"/>
      <c r="W35" s="1076"/>
    </row>
    <row r="36" spans="1:23">
      <c r="A36" s="1077" t="s">
        <v>101</v>
      </c>
      <c r="B36" s="1077" t="s">
        <v>41</v>
      </c>
      <c r="C36" s="1077" t="s">
        <v>38</v>
      </c>
      <c r="D36" s="1077" t="s">
        <v>33</v>
      </c>
      <c r="F36" s="1078">
        <v>719.21445700000004</v>
      </c>
      <c r="G36" s="1078">
        <f t="shared" si="7"/>
        <v>719.21445700000004</v>
      </c>
      <c r="H36" s="1079"/>
      <c r="I36" s="1080">
        <v>8.3275537267252106E-2</v>
      </c>
      <c r="K36" s="1080" t="s">
        <v>97</v>
      </c>
      <c r="L36" s="1081">
        <f t="shared" si="0"/>
        <v>59.892970317049993</v>
      </c>
      <c r="V36" s="1076"/>
      <c r="W36" s="1076"/>
    </row>
    <row r="37" spans="1:23">
      <c r="A37" s="1077" t="s">
        <v>101</v>
      </c>
      <c r="B37" s="1077" t="s">
        <v>41</v>
      </c>
      <c r="C37" s="1077" t="s">
        <v>199</v>
      </c>
      <c r="D37" s="1077" t="s">
        <v>33</v>
      </c>
      <c r="F37" s="1078">
        <v>296.57683341000001</v>
      </c>
      <c r="G37" s="1078">
        <f t="shared" si="7"/>
        <v>296.57683341000001</v>
      </c>
      <c r="H37" s="1079"/>
      <c r="I37" s="1080">
        <v>0.09</v>
      </c>
      <c r="K37" s="1080" t="s">
        <v>97</v>
      </c>
      <c r="L37" s="1081">
        <f t="shared" si="0"/>
        <v>26.6919150069</v>
      </c>
      <c r="V37" s="1076"/>
      <c r="W37" s="1076"/>
    </row>
    <row r="38" spans="1:23">
      <c r="A38" s="1077" t="s">
        <v>101</v>
      </c>
      <c r="B38" s="1077" t="s">
        <v>583</v>
      </c>
      <c r="C38" s="1077" t="s">
        <v>461</v>
      </c>
      <c r="D38" s="1077" t="s">
        <v>575</v>
      </c>
      <c r="F38" s="1078">
        <v>622.64148038999997</v>
      </c>
      <c r="G38" s="1078">
        <f t="shared" si="7"/>
        <v>622.64148038999997</v>
      </c>
      <c r="H38" s="1079"/>
      <c r="I38" s="1080">
        <v>0.19</v>
      </c>
      <c r="K38" s="1080" t="s">
        <v>97</v>
      </c>
      <c r="L38" s="1081">
        <f t="shared" si="0"/>
        <v>118.3018812741</v>
      </c>
      <c r="V38" s="1076"/>
      <c r="W38" s="1076"/>
    </row>
    <row r="39" spans="1:23">
      <c r="A39" s="1077" t="s">
        <v>96</v>
      </c>
      <c r="B39" s="1077" t="s">
        <v>583</v>
      </c>
      <c r="C39" s="1077" t="s">
        <v>461</v>
      </c>
      <c r="D39" s="1077" t="s">
        <v>574</v>
      </c>
      <c r="F39" s="1078">
        <v>60</v>
      </c>
      <c r="G39" s="1078">
        <f t="shared" si="7"/>
        <v>60</v>
      </c>
      <c r="H39" s="1079"/>
      <c r="I39" s="1080">
        <v>0.14000000000000001</v>
      </c>
      <c r="K39" s="1080" t="s">
        <v>97</v>
      </c>
      <c r="L39" s="1081">
        <f t="shared" si="0"/>
        <v>8.4</v>
      </c>
      <c r="V39" s="1076"/>
      <c r="W39" s="1076"/>
    </row>
    <row r="40" spans="1:23">
      <c r="A40" s="1077" t="s">
        <v>101</v>
      </c>
      <c r="B40" s="1077" t="s">
        <v>583</v>
      </c>
      <c r="C40" s="1077" t="s">
        <v>462</v>
      </c>
      <c r="D40" s="1077" t="s">
        <v>575</v>
      </c>
      <c r="F40" s="1078">
        <v>501.78335486999998</v>
      </c>
      <c r="G40" s="1078">
        <f t="shared" si="7"/>
        <v>501.78335486999998</v>
      </c>
      <c r="I40" s="1080">
        <v>0.19</v>
      </c>
      <c r="K40" s="1080" t="s">
        <v>97</v>
      </c>
      <c r="L40" s="1081">
        <f t="shared" si="0"/>
        <v>95.338837425299999</v>
      </c>
      <c r="V40" s="1076"/>
      <c r="W40" s="1076"/>
    </row>
    <row r="41" spans="1:23">
      <c r="A41" s="1077" t="s">
        <v>96</v>
      </c>
      <c r="B41" s="1077" t="s">
        <v>583</v>
      </c>
      <c r="C41" s="1077" t="s">
        <v>576</v>
      </c>
      <c r="D41" s="1077" t="s">
        <v>461</v>
      </c>
      <c r="F41" s="1078">
        <v>100</v>
      </c>
      <c r="G41" s="1078">
        <f t="shared" si="7"/>
        <v>100</v>
      </c>
      <c r="I41" s="1080">
        <v>0.15</v>
      </c>
      <c r="K41" s="1080" t="s">
        <v>97</v>
      </c>
      <c r="L41" s="1081">
        <f t="shared" si="0"/>
        <v>15</v>
      </c>
      <c r="V41" s="1076"/>
      <c r="W41" s="1076"/>
    </row>
    <row r="42" spans="1:23">
      <c r="A42" s="1077" t="s">
        <v>101</v>
      </c>
      <c r="B42" s="1077" t="s">
        <v>583</v>
      </c>
      <c r="C42" s="1077" t="s">
        <v>576</v>
      </c>
      <c r="D42" s="763" t="s">
        <v>462</v>
      </c>
      <c r="E42" s="1089"/>
      <c r="F42" s="1114">
        <v>200</v>
      </c>
      <c r="G42" s="1078">
        <f t="shared" si="7"/>
        <v>200</v>
      </c>
      <c r="I42" s="1080">
        <v>0.19</v>
      </c>
      <c r="K42" s="1080" t="s">
        <v>97</v>
      </c>
      <c r="L42" s="1081">
        <f t="shared" si="0"/>
        <v>38</v>
      </c>
      <c r="V42" s="1076"/>
      <c r="W42" s="1076"/>
    </row>
    <row r="43" spans="1:23">
      <c r="A43" s="1077" t="s">
        <v>96</v>
      </c>
      <c r="B43" s="1077" t="s">
        <v>583</v>
      </c>
      <c r="C43" s="1077" t="s">
        <v>30</v>
      </c>
      <c r="D43" s="1077" t="s">
        <v>576</v>
      </c>
      <c r="F43" s="1078">
        <v>575.54999999999995</v>
      </c>
      <c r="G43" s="1078">
        <f t="shared" si="7"/>
        <v>575.54999999999995</v>
      </c>
      <c r="I43" s="1080">
        <v>0.15</v>
      </c>
      <c r="K43" s="1080" t="s">
        <v>97</v>
      </c>
      <c r="L43" s="1081">
        <f t="shared" si="0"/>
        <v>86.332499999999996</v>
      </c>
      <c r="V43" s="1076"/>
      <c r="W43" s="1076"/>
    </row>
    <row r="44" spans="1:23">
      <c r="A44" s="1077" t="s">
        <v>96</v>
      </c>
      <c r="B44" s="1077" t="s">
        <v>583</v>
      </c>
      <c r="C44" s="1077" t="s">
        <v>30</v>
      </c>
      <c r="D44" s="1077" t="s">
        <v>576</v>
      </c>
      <c r="F44" s="1078">
        <v>21.25</v>
      </c>
      <c r="G44" s="1078">
        <f t="shared" si="7"/>
        <v>21.25</v>
      </c>
      <c r="I44" s="1080">
        <v>0.03</v>
      </c>
      <c r="K44" s="1080" t="s">
        <v>97</v>
      </c>
      <c r="V44" s="1076"/>
      <c r="W44" s="1076"/>
    </row>
    <row r="45" spans="1:23">
      <c r="A45" s="1077" t="s">
        <v>96</v>
      </c>
      <c r="B45" s="1077" t="s">
        <v>583</v>
      </c>
      <c r="C45" s="1077" t="s">
        <v>30</v>
      </c>
      <c r="D45" s="1077" t="s">
        <v>461</v>
      </c>
      <c r="F45" s="1078">
        <v>150</v>
      </c>
      <c r="G45" s="1078">
        <f t="shared" si="7"/>
        <v>150</v>
      </c>
      <c r="I45" s="1080">
        <v>0.15</v>
      </c>
      <c r="K45" s="1080" t="s">
        <v>97</v>
      </c>
      <c r="L45" s="1081">
        <f t="shared" si="0"/>
        <v>22.5</v>
      </c>
      <c r="V45" s="1076"/>
      <c r="W45" s="1076"/>
    </row>
    <row r="46" spans="1:23">
      <c r="A46" s="1077" t="s">
        <v>101</v>
      </c>
      <c r="B46" s="1077" t="s">
        <v>583</v>
      </c>
      <c r="C46" s="1077" t="s">
        <v>30</v>
      </c>
      <c r="D46" s="1077" t="s">
        <v>461</v>
      </c>
      <c r="F46" s="1078">
        <v>334.84001916</v>
      </c>
      <c r="G46" s="1078">
        <f t="shared" si="7"/>
        <v>334.84001916</v>
      </c>
      <c r="I46" s="1080">
        <v>0.19</v>
      </c>
      <c r="K46" s="1080" t="s">
        <v>97</v>
      </c>
      <c r="L46" s="1081">
        <f t="shared" si="0"/>
        <v>63.619603640400001</v>
      </c>
      <c r="V46" s="1076"/>
      <c r="W46" s="1076"/>
    </row>
    <row r="47" spans="1:23">
      <c r="A47" s="1077" t="s">
        <v>96</v>
      </c>
      <c r="B47" s="1077" t="s">
        <v>583</v>
      </c>
      <c r="C47" s="1077" t="s">
        <v>577</v>
      </c>
      <c r="D47" s="1077" t="s">
        <v>576</v>
      </c>
      <c r="F47" s="1078">
        <v>179.25492252999999</v>
      </c>
      <c r="G47" s="1078">
        <f t="shared" si="7"/>
        <v>179.25492252999999</v>
      </c>
      <c r="I47" s="1080">
        <v>0.15</v>
      </c>
      <c r="K47" s="1080" t="s">
        <v>97</v>
      </c>
      <c r="L47" s="1081">
        <f t="shared" si="0"/>
        <v>26.888238379499999</v>
      </c>
      <c r="V47" s="1076"/>
      <c r="W47" s="1076"/>
    </row>
    <row r="48" spans="1:23">
      <c r="A48" s="1077" t="s">
        <v>96</v>
      </c>
      <c r="B48" s="1077" t="s">
        <v>583</v>
      </c>
      <c r="C48" s="1077" t="s">
        <v>577</v>
      </c>
      <c r="D48" s="1077" t="s">
        <v>461</v>
      </c>
      <c r="F48" s="1078">
        <v>32</v>
      </c>
      <c r="G48" s="1078">
        <f t="shared" si="7"/>
        <v>32</v>
      </c>
      <c r="I48" s="1080">
        <v>1E-4</v>
      </c>
      <c r="K48" s="1080" t="s">
        <v>97</v>
      </c>
      <c r="L48" s="1081">
        <f t="shared" si="0"/>
        <v>3.2000000000000002E-3</v>
      </c>
      <c r="V48" s="1076"/>
      <c r="W48" s="1076"/>
    </row>
    <row r="49" spans="1:23">
      <c r="A49" s="1077" t="s">
        <v>101</v>
      </c>
      <c r="B49" s="1077" t="s">
        <v>583</v>
      </c>
      <c r="C49" s="1077" t="s">
        <v>579</v>
      </c>
      <c r="D49" s="1077" t="s">
        <v>576</v>
      </c>
      <c r="F49" s="1078">
        <v>218.38780611000001</v>
      </c>
      <c r="G49" s="1078">
        <f t="shared" si="7"/>
        <v>218.38780611000001</v>
      </c>
      <c r="H49" s="1079"/>
      <c r="I49" s="1080">
        <v>0.15</v>
      </c>
      <c r="K49" s="1080" t="s">
        <v>97</v>
      </c>
      <c r="L49" s="1081">
        <f t="shared" si="0"/>
        <v>32.758170916499999</v>
      </c>
      <c r="V49" s="1076"/>
      <c r="W49" s="1076"/>
    </row>
    <row r="50" spans="1:23">
      <c r="A50" s="1077" t="s">
        <v>101</v>
      </c>
      <c r="B50" s="1077" t="s">
        <v>583</v>
      </c>
      <c r="C50" s="1077" t="s">
        <v>579</v>
      </c>
      <c r="D50" s="1077" t="s">
        <v>461</v>
      </c>
      <c r="F50" s="1078">
        <v>360</v>
      </c>
      <c r="G50" s="1078">
        <f t="shared" si="7"/>
        <v>360</v>
      </c>
      <c r="H50" s="1079"/>
      <c r="I50" s="1080">
        <v>0.19</v>
      </c>
      <c r="K50" s="1080" t="s">
        <v>97</v>
      </c>
      <c r="L50" s="1081">
        <f t="shared" si="0"/>
        <v>68.400000000000006</v>
      </c>
      <c r="V50" s="1076"/>
      <c r="W50" s="1076"/>
    </row>
    <row r="51" spans="1:23">
      <c r="A51" s="1077" t="s">
        <v>101</v>
      </c>
      <c r="B51" s="1077" t="s">
        <v>583</v>
      </c>
      <c r="C51" s="1077" t="s">
        <v>580</v>
      </c>
      <c r="D51" s="1077" t="s">
        <v>461</v>
      </c>
      <c r="E51" s="1089"/>
      <c r="F51" s="1078">
        <v>100</v>
      </c>
      <c r="G51" s="1078">
        <f t="shared" si="7"/>
        <v>100</v>
      </c>
      <c r="H51" s="1079"/>
      <c r="I51" s="1080">
        <v>1E-4</v>
      </c>
      <c r="K51" s="1080" t="s">
        <v>97</v>
      </c>
      <c r="L51" s="1081">
        <f t="shared" si="0"/>
        <v>0.01</v>
      </c>
      <c r="V51" s="1076"/>
      <c r="W51" s="1076"/>
    </row>
    <row r="52" spans="1:23">
      <c r="A52" s="1077" t="s">
        <v>101</v>
      </c>
      <c r="B52" s="1077" t="s">
        <v>583</v>
      </c>
      <c r="C52" s="1077" t="s">
        <v>580</v>
      </c>
      <c r="D52" s="1077" t="s">
        <v>461</v>
      </c>
      <c r="E52" s="1089"/>
      <c r="F52" s="1078">
        <v>344.7</v>
      </c>
      <c r="G52" s="1078">
        <f t="shared" si="7"/>
        <v>344.7</v>
      </c>
      <c r="H52" s="1079"/>
      <c r="I52" s="1080">
        <v>1E-3</v>
      </c>
      <c r="K52" s="1080" t="s">
        <v>97</v>
      </c>
      <c r="L52" s="1081">
        <f t="shared" si="0"/>
        <v>0.34470000000000001</v>
      </c>
      <c r="V52" s="1076"/>
      <c r="W52" s="1076"/>
    </row>
    <row r="53" spans="1:23">
      <c r="A53" s="1077" t="s">
        <v>101</v>
      </c>
      <c r="B53" s="1077" t="s">
        <v>583</v>
      </c>
      <c r="C53" s="1077" t="s">
        <v>580</v>
      </c>
      <c r="D53" s="1077" t="s">
        <v>462</v>
      </c>
      <c r="E53" s="1089"/>
      <c r="F53" s="1078">
        <v>158.6</v>
      </c>
      <c r="G53" s="1078">
        <f t="shared" si="7"/>
        <v>158.6</v>
      </c>
      <c r="H53" s="1079"/>
      <c r="I53" s="1080">
        <v>1E-4</v>
      </c>
      <c r="K53" s="1080" t="s">
        <v>97</v>
      </c>
      <c r="L53" s="1081">
        <f t="shared" si="0"/>
        <v>1.5859999999999999E-2</v>
      </c>
      <c r="V53" s="1076"/>
      <c r="W53" s="1076"/>
    </row>
    <row r="54" spans="1:23">
      <c r="A54" s="1077" t="s">
        <v>96</v>
      </c>
      <c r="B54" s="1077" t="s">
        <v>583</v>
      </c>
      <c r="C54" s="1077" t="s">
        <v>30</v>
      </c>
      <c r="D54" s="1077" t="s">
        <v>462</v>
      </c>
      <c r="E54" s="1089"/>
      <c r="F54" s="1078">
        <v>520</v>
      </c>
      <c r="G54" s="1078">
        <f t="shared" si="7"/>
        <v>520</v>
      </c>
      <c r="H54" s="1079"/>
      <c r="I54" s="1080">
        <v>0.15</v>
      </c>
      <c r="K54" s="1080" t="s">
        <v>97</v>
      </c>
      <c r="L54" s="1081">
        <f t="shared" si="0"/>
        <v>78</v>
      </c>
      <c r="V54" s="1076"/>
      <c r="W54" s="1076"/>
    </row>
    <row r="55" spans="1:23">
      <c r="A55" s="1077" t="s">
        <v>96</v>
      </c>
      <c r="B55" s="1077" t="s">
        <v>583</v>
      </c>
      <c r="C55" s="1077" t="s">
        <v>578</v>
      </c>
      <c r="D55" s="1077" t="s">
        <v>462</v>
      </c>
      <c r="E55" s="1089"/>
      <c r="F55" s="1078">
        <v>150</v>
      </c>
      <c r="G55" s="1078">
        <f t="shared" si="7"/>
        <v>150</v>
      </c>
      <c r="H55" s="1079"/>
      <c r="I55" s="1080">
        <v>0.15</v>
      </c>
      <c r="K55" s="1080" t="s">
        <v>97</v>
      </c>
      <c r="L55" s="1081">
        <f t="shared" si="0"/>
        <v>22.5</v>
      </c>
      <c r="V55" s="1076"/>
      <c r="W55" s="1076"/>
    </row>
    <row r="56" spans="1:23">
      <c r="A56" s="1077" t="s">
        <v>101</v>
      </c>
      <c r="B56" s="1077" t="s">
        <v>583</v>
      </c>
      <c r="C56" s="1077" t="s">
        <v>577</v>
      </c>
      <c r="D56" s="1077" t="s">
        <v>461</v>
      </c>
      <c r="E56" s="1089"/>
      <c r="F56" s="1078">
        <v>20.41</v>
      </c>
      <c r="G56" s="1078">
        <f t="shared" si="7"/>
        <v>20.41</v>
      </c>
      <c r="H56" s="1079"/>
      <c r="I56" s="1080">
        <v>1E-4</v>
      </c>
      <c r="K56" s="1080" t="s">
        <v>97</v>
      </c>
      <c r="L56" s="1081">
        <f t="shared" si="0"/>
        <v>2.0410000000000003E-3</v>
      </c>
      <c r="V56" s="1076"/>
      <c r="W56" s="1076"/>
    </row>
    <row r="57" spans="1:23">
      <c r="A57" s="1077" t="s">
        <v>101</v>
      </c>
      <c r="B57" s="1077" t="s">
        <v>583</v>
      </c>
      <c r="C57" s="1077" t="s">
        <v>577</v>
      </c>
      <c r="D57" s="1077" t="s">
        <v>576</v>
      </c>
      <c r="E57" s="1089"/>
      <c r="F57" s="1078">
        <v>570.56200000000001</v>
      </c>
      <c r="G57" s="1078">
        <f t="shared" si="7"/>
        <v>570.56200000000001</v>
      </c>
      <c r="H57" s="1079"/>
      <c r="I57" s="1080">
        <v>1E-4</v>
      </c>
      <c r="K57" s="1080" t="s">
        <v>97</v>
      </c>
      <c r="V57" s="1076"/>
      <c r="W57" s="1076"/>
    </row>
    <row r="58" spans="1:23">
      <c r="A58" s="1077" t="s">
        <v>101</v>
      </c>
      <c r="B58" s="1077" t="s">
        <v>583</v>
      </c>
      <c r="C58" s="1077" t="s">
        <v>577</v>
      </c>
      <c r="D58" s="1077" t="s">
        <v>692</v>
      </c>
      <c r="E58" s="1089"/>
      <c r="F58" s="1078">
        <v>90</v>
      </c>
      <c r="G58" s="1078">
        <f t="shared" si="7"/>
        <v>90</v>
      </c>
      <c r="H58" s="1079"/>
      <c r="I58" s="1080">
        <v>1E-4</v>
      </c>
      <c r="K58" s="1080" t="s">
        <v>97</v>
      </c>
      <c r="V58" s="1076"/>
      <c r="W58" s="1076"/>
    </row>
    <row r="59" spans="1:23">
      <c r="A59" s="1077" t="s">
        <v>96</v>
      </c>
      <c r="B59" s="1077" t="s">
        <v>583</v>
      </c>
      <c r="C59" s="1077" t="s">
        <v>577</v>
      </c>
      <c r="D59" s="1077" t="s">
        <v>462</v>
      </c>
      <c r="E59" s="1089"/>
      <c r="F59" s="1078">
        <v>222</v>
      </c>
      <c r="G59" s="1078">
        <f t="shared" si="7"/>
        <v>222</v>
      </c>
      <c r="H59" s="1079"/>
      <c r="I59" s="1080">
        <v>0.15</v>
      </c>
      <c r="K59" s="1080" t="s">
        <v>97</v>
      </c>
      <c r="L59" s="1081">
        <f t="shared" si="0"/>
        <v>33.299999999999997</v>
      </c>
      <c r="V59" s="1076"/>
      <c r="W59" s="1076"/>
    </row>
    <row r="60" spans="1:23">
      <c r="A60" s="1077" t="s">
        <v>96</v>
      </c>
      <c r="B60" s="1077" t="s">
        <v>583</v>
      </c>
      <c r="C60" s="1077" t="s">
        <v>577</v>
      </c>
      <c r="D60" s="1077" t="s">
        <v>693</v>
      </c>
      <c r="E60" s="1089"/>
      <c r="F60" s="1078">
        <v>10</v>
      </c>
      <c r="G60" s="1078">
        <f t="shared" si="7"/>
        <v>10</v>
      </c>
      <c r="H60" s="1079"/>
      <c r="I60" s="1080">
        <v>0.15</v>
      </c>
      <c r="K60" s="1080" t="s">
        <v>97</v>
      </c>
      <c r="L60" s="1081">
        <f t="shared" si="0"/>
        <v>1.5</v>
      </c>
      <c r="V60" s="1076"/>
      <c r="W60" s="1076"/>
    </row>
    <row r="61" spans="1:23">
      <c r="A61" s="1077" t="s">
        <v>101</v>
      </c>
      <c r="B61" s="1077" t="s">
        <v>41</v>
      </c>
      <c r="C61" s="1077" t="s">
        <v>585</v>
      </c>
      <c r="D61" s="1077" t="s">
        <v>599</v>
      </c>
      <c r="E61" s="1089" t="s">
        <v>726</v>
      </c>
      <c r="F61" s="1078">
        <v>582.34585500000003</v>
      </c>
      <c r="G61" s="1079">
        <f>+F61</f>
        <v>582.34585500000003</v>
      </c>
      <c r="H61" s="1079"/>
      <c r="I61" s="1080">
        <v>7.5499999999999998E-2</v>
      </c>
      <c r="K61" s="1080" t="s">
        <v>97</v>
      </c>
      <c r="L61" s="1081">
        <f t="shared" si="0"/>
        <v>43.967112052499999</v>
      </c>
      <c r="V61" s="1076"/>
      <c r="W61" s="1076"/>
    </row>
    <row r="62" spans="1:23">
      <c r="A62" s="1077" t="s">
        <v>96</v>
      </c>
      <c r="B62" s="1077" t="s">
        <v>41</v>
      </c>
      <c r="C62" s="1077" t="s">
        <v>33</v>
      </c>
      <c r="D62" s="1077" t="s">
        <v>598</v>
      </c>
      <c r="E62" s="1089" t="s">
        <v>654</v>
      </c>
      <c r="F62" s="1078">
        <v>2046.152756</v>
      </c>
      <c r="G62" s="1079">
        <f>+F62</f>
        <v>2046.152756</v>
      </c>
      <c r="H62" s="1079"/>
      <c r="I62" s="1080">
        <v>8.0940600000000001E-2</v>
      </c>
      <c r="K62" s="1080" t="s">
        <v>97</v>
      </c>
      <c r="L62" s="1081">
        <f t="shared" si="0"/>
        <v>165.6168317622936</v>
      </c>
      <c r="V62" s="1076"/>
      <c r="W62" s="1076"/>
    </row>
    <row r="63" spans="1:23" ht="15" thickBot="1">
      <c r="F63" s="1115">
        <f>SUM(F4:F62)</f>
        <v>25440.696193180003</v>
      </c>
      <c r="G63" s="1115">
        <f>SUM(G4:G62)</f>
        <v>25440.696193180003</v>
      </c>
      <c r="H63" s="1115">
        <f t="shared" ref="H63" si="8">+F63-G63</f>
        <v>0</v>
      </c>
      <c r="I63" s="1116">
        <f>L63/G63</f>
        <v>0.10321907729666605</v>
      </c>
      <c r="J63" s="1116"/>
      <c r="K63" s="1116"/>
      <c r="L63" s="1117">
        <f>SUM(L4:L62)</f>
        <v>2625.9651868448445</v>
      </c>
      <c r="M63" s="1074"/>
    </row>
    <row r="64" spans="1:23" ht="15" thickTop="1">
      <c r="L64" s="1074"/>
      <c r="M64" s="1074"/>
    </row>
    <row r="65" spans="9:13">
      <c r="I65" s="1074"/>
      <c r="J65" s="1074"/>
      <c r="K65" s="1074"/>
      <c r="L65" s="1074"/>
      <c r="M65" s="1074"/>
    </row>
    <row r="66" spans="9:13">
      <c r="I66" s="1074"/>
      <c r="J66" s="1074"/>
      <c r="K66" s="1074"/>
      <c r="L66" s="1074"/>
      <c r="M66" s="1074"/>
    </row>
    <row r="67" spans="9:13">
      <c r="I67" s="1074"/>
      <c r="J67" s="1074"/>
      <c r="K67" s="1074"/>
    </row>
    <row r="68" spans="9:13">
      <c r="I68" s="1074"/>
      <c r="J68" s="1074"/>
      <c r="K68" s="1074"/>
    </row>
    <row r="69" spans="9:13">
      <c r="I69" s="1074"/>
      <c r="J69" s="1074"/>
      <c r="K69" s="1074"/>
    </row>
    <row r="70" spans="9:13">
      <c r="I70" s="1074"/>
      <c r="J70" s="1074"/>
      <c r="K70" s="1074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16F3-74D9-4728-872C-44A759799687}">
  <sheetPr>
    <pageSetUpPr fitToPage="1"/>
  </sheetPr>
  <dimension ref="B1:O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4" width="17.44140625" bestFit="1" customWidth="1"/>
    <col min="5" max="5" width="16.44140625" bestFit="1" customWidth="1"/>
    <col min="6" max="6" width="16.6640625" bestFit="1" customWidth="1"/>
    <col min="7" max="8" width="17.21875" bestFit="1" customWidth="1"/>
    <col min="9" max="9" width="17.44140625" bestFit="1" customWidth="1"/>
    <col min="10" max="12" width="16.6640625" bestFit="1" customWidth="1"/>
    <col min="13" max="13" width="17.21875" bestFit="1" customWidth="1"/>
    <col min="14" max="14" width="17.44140625" bestFit="1" customWidth="1"/>
    <col min="15" max="15" width="17" customWidth="1"/>
    <col min="16" max="16" width="15.77734375" bestFit="1" customWidth="1"/>
    <col min="17" max="17" width="12.77734375" bestFit="1" customWidth="1"/>
    <col min="18" max="19" width="13.21875" bestFit="1" customWidth="1"/>
  </cols>
  <sheetData>
    <row r="1" spans="2:15" ht="15" customHeight="1">
      <c r="B1" s="589" t="s">
        <v>114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">
        <v>655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">
        <v>378</v>
      </c>
      <c r="D3" s="972" t="s">
        <v>378</v>
      </c>
      <c r="E3" s="973" t="s">
        <v>378</v>
      </c>
      <c r="F3" s="973" t="s">
        <v>378</v>
      </c>
      <c r="G3" s="973" t="s">
        <v>378</v>
      </c>
      <c r="H3" s="973" t="s">
        <v>378</v>
      </c>
      <c r="I3" s="973" t="s">
        <v>379</v>
      </c>
      <c r="J3" s="973" t="s">
        <v>379</v>
      </c>
      <c r="K3" s="973" t="s">
        <v>379</v>
      </c>
      <c r="L3" s="973" t="s">
        <v>379</v>
      </c>
      <c r="M3" s="973" t="s">
        <v>379</v>
      </c>
      <c r="N3" s="1048" t="s">
        <v>379</v>
      </c>
      <c r="O3" s="592"/>
    </row>
    <row r="4" spans="2:15" ht="15" customHeight="1" thickBot="1">
      <c r="B4" s="1366"/>
      <c r="C4" s="938" t="s">
        <v>249</v>
      </c>
      <c r="D4" s="594" t="s">
        <v>250</v>
      </c>
      <c r="E4" s="594" t="s">
        <v>251</v>
      </c>
      <c r="F4" s="594" t="s">
        <v>252</v>
      </c>
      <c r="G4" s="594" t="s">
        <v>253</v>
      </c>
      <c r="H4" s="594" t="s">
        <v>254</v>
      </c>
      <c r="I4" s="594" t="s">
        <v>255</v>
      </c>
      <c r="J4" s="594" t="s">
        <v>256</v>
      </c>
      <c r="K4" s="594" t="s">
        <v>257</v>
      </c>
      <c r="L4" s="594" t="s">
        <v>258</v>
      </c>
      <c r="M4" s="594" t="s">
        <v>259</v>
      </c>
      <c r="N4" s="595" t="s">
        <v>260</v>
      </c>
      <c r="O4" s="1174"/>
    </row>
    <row r="5" spans="2:15" ht="15" customHeight="1">
      <c r="B5" s="596" t="s">
        <v>423</v>
      </c>
      <c r="C5" s="597">
        <f>'SW CF'!C5+'CPFO CF'!C5+'APK CF'!C5+'RBPI CF'!C5</f>
        <v>-197686992.42727745</v>
      </c>
      <c r="D5" s="598">
        <f>'SW CF'!D5+'CPFO CF'!D5+'APK CF'!D5+'RBPI CF'!D5</f>
        <v>807982345.09381974</v>
      </c>
      <c r="E5" s="598">
        <f>'SW CF'!E5+'CPFO CF'!E5+'APK CF'!E5+'RBPI CF'!E5</f>
        <v>570301398.88017774</v>
      </c>
      <c r="F5" s="598">
        <f>'SW CF'!F5+'CPFO CF'!F5+'APK CF'!F5+'RBPI CF'!F5</f>
        <v>754889712.87416112</v>
      </c>
      <c r="G5" s="598">
        <f>'SW CF'!G5+'CPFO CF'!G5+'APK CF'!G5+'RBPI CF'!G5</f>
        <v>730910508.55000913</v>
      </c>
      <c r="H5" s="598">
        <f>'SW CF'!H5+'CPFO CF'!H5+'APK CF'!H5+'RBPI CF'!H5</f>
        <v>1214328352.616663</v>
      </c>
      <c r="I5" s="598">
        <f>'SW CF'!I5+'CPFO CF'!I5+'APK CF'!I5+'RBPI CF'!I5</f>
        <v>2829213711.0281568</v>
      </c>
      <c r="J5" s="598">
        <f>'SW CF'!J5+'CPFO CF'!J5+'APK CF'!J5+'RBPI CF'!J5</f>
        <v>534476330.42440379</v>
      </c>
      <c r="K5" s="598">
        <f>'SW CF'!K5+'CPFO CF'!K5+'APK CF'!K5+'RBPI CF'!K5</f>
        <v>3924708664.9164753</v>
      </c>
      <c r="L5" s="598">
        <f>'SW CF'!L5+'CPFO CF'!L5+'APK CF'!L5+'RBPI CF'!L5</f>
        <v>526984910.35254002</v>
      </c>
      <c r="M5" s="598">
        <f>'SW CF'!M5+'CPFO CF'!M5+'APK CF'!M5+'RBPI CF'!M5</f>
        <v>472097288.58619845</v>
      </c>
      <c r="N5" s="953">
        <f>'SW CF'!N5+'CPFO CF'!N5+'APK CF'!N5+'RBPI CF'!N5</f>
        <v>778663655.76855421</v>
      </c>
      <c r="O5" s="599"/>
    </row>
    <row r="6" spans="2:15" ht="15" customHeight="1">
      <c r="B6" s="596" t="s">
        <v>424</v>
      </c>
      <c r="C6" s="600">
        <f>'SW CF'!C6+'CPFO CF'!C6+'APK CF'!C6+'RBPI CF'!C6</f>
        <v>0</v>
      </c>
      <c r="D6" s="601">
        <f>'SW CF'!D6+'CPFO CF'!D6+'APK CF'!D6+'RBPI CF'!D6</f>
        <v>0</v>
      </c>
      <c r="E6" s="601">
        <f>'SW CF'!E6+'CPFO CF'!E6+'APK CF'!E6+'RBPI CF'!E6</f>
        <v>0</v>
      </c>
      <c r="F6" s="601">
        <f>'SW CF'!F6+'CPFO CF'!F6+'APK CF'!F6+'RBPI CF'!F6</f>
        <v>0</v>
      </c>
      <c r="G6" s="601">
        <f>'SW CF'!G6+'CPFO CF'!G6+'APK CF'!G6+'RBPI CF'!G6</f>
        <v>0</v>
      </c>
      <c r="H6" s="601">
        <f>'SW CF'!H6+'CPFO CF'!H6+'APK CF'!H6+'RBPI CF'!H6</f>
        <v>0</v>
      </c>
      <c r="I6" s="601">
        <f>'SW CF'!I6+'CPFO CF'!I6+'APK CF'!I6+'RBPI CF'!I6</f>
        <v>0</v>
      </c>
      <c r="J6" s="601">
        <f>'SW CF'!J6+'CPFO CF'!J6+'APK CF'!J6+'RBPI CF'!J6</f>
        <v>0</v>
      </c>
      <c r="K6" s="601">
        <f>'SW CF'!K6+'CPFO CF'!K6+'APK CF'!K6+'RBPI CF'!K6</f>
        <v>0</v>
      </c>
      <c r="L6" s="601">
        <f>'SW CF'!L6+'CPFO CF'!L6+'APK CF'!L6+'RBPI CF'!L6</f>
        <v>0</v>
      </c>
      <c r="M6" s="601">
        <f>'SW CF'!M6+'CPFO CF'!M6+'APK CF'!M6+'RBPI CF'!M6</f>
        <v>0</v>
      </c>
      <c r="N6" s="954">
        <f>'SW CF'!N6+'CPFO CF'!N6+'APK CF'!N6+'RBPI CF'!N6</f>
        <v>0</v>
      </c>
      <c r="O6" s="599"/>
    </row>
    <row r="7" spans="2:15" ht="15" customHeight="1">
      <c r="B7" s="596" t="s">
        <v>425</v>
      </c>
      <c r="C7" s="600">
        <f>'SW CF'!C7+'CPFO CF'!C7+'APK CF'!C7+'RBPI CF'!C7</f>
        <v>-12466729.520000001</v>
      </c>
      <c r="D7" s="601">
        <f>'SW CF'!D7+'CPFO CF'!D7+'APK CF'!D7+'RBPI CF'!D7</f>
        <v>367873</v>
      </c>
      <c r="E7" s="601">
        <f>'SW CF'!E7+'CPFO CF'!E7+'APK CF'!E7+'RBPI CF'!E7</f>
        <v>1499667.2300000004</v>
      </c>
      <c r="F7" s="601">
        <f>'SW CF'!F7+'CPFO CF'!F7+'APK CF'!F7+'RBPI CF'!F7</f>
        <v>-2046378.0600000024</v>
      </c>
      <c r="G7" s="601">
        <f>'SW CF'!G7+'CPFO CF'!G7+'APK CF'!G7+'RBPI CF'!G7</f>
        <v>68335.710000000894</v>
      </c>
      <c r="H7" s="601">
        <f>'SW CF'!H7+'CPFO CF'!H7+'APK CF'!H7+'RBPI CF'!H7</f>
        <v>-147099.05999999866</v>
      </c>
      <c r="I7" s="601">
        <f>'SW CF'!I7+'CPFO CF'!I7+'APK CF'!I7+'RBPI CF'!I7</f>
        <v>0</v>
      </c>
      <c r="J7" s="601">
        <f>'SW CF'!J7+'CPFO CF'!J7+'APK CF'!J7+'RBPI CF'!J7</f>
        <v>0</v>
      </c>
      <c r="K7" s="601">
        <f>'SW CF'!K7+'CPFO CF'!K7+'APK CF'!K7+'RBPI CF'!K7</f>
        <v>0</v>
      </c>
      <c r="L7" s="601">
        <f>'SW CF'!L7+'CPFO CF'!L7+'APK CF'!L7+'RBPI CF'!L7</f>
        <v>0</v>
      </c>
      <c r="M7" s="601">
        <f>'SW CF'!M7+'CPFO CF'!M7+'APK CF'!M7+'RBPI CF'!M7</f>
        <v>0</v>
      </c>
      <c r="N7" s="954">
        <f>'SW CF'!N7+'CPFO CF'!N7+'APK CF'!N7+'RBPI CF'!N7</f>
        <v>0</v>
      </c>
      <c r="O7" s="599"/>
    </row>
    <row r="8" spans="2:15" ht="15" customHeight="1">
      <c r="B8" s="596" t="s">
        <v>426</v>
      </c>
      <c r="C8" s="600">
        <f>'SW CF'!C8+'CPFO CF'!C8+'APK CF'!C8+'RBPI CF'!C8</f>
        <v>0</v>
      </c>
      <c r="D8" s="601">
        <f>'SW CF'!D8+'CPFO CF'!D8+'APK CF'!D8+'RBPI CF'!D8</f>
        <v>0</v>
      </c>
      <c r="E8" s="601">
        <f>'SW CF'!E8+'CPFO CF'!E8+'APK CF'!E8+'RBPI CF'!E8</f>
        <v>0</v>
      </c>
      <c r="F8" s="601">
        <f>'SW CF'!F8+'CPFO CF'!F8+'APK CF'!F8+'RBPI CF'!F8</f>
        <v>0</v>
      </c>
      <c r="G8" s="601">
        <f>'SW CF'!G8+'CPFO CF'!G8+'APK CF'!G8+'RBPI CF'!G8</f>
        <v>0</v>
      </c>
      <c r="H8" s="601">
        <f>'SW CF'!H8+'CPFO CF'!H8+'APK CF'!H8+'RBPI CF'!H8</f>
        <v>0</v>
      </c>
      <c r="I8" s="601">
        <f>'SW CF'!I8+'CPFO CF'!I8+'APK CF'!I8+'RBPI CF'!I8</f>
        <v>0</v>
      </c>
      <c r="J8" s="601">
        <f>'SW CF'!J8+'CPFO CF'!J8+'APK CF'!J8+'RBPI CF'!J8</f>
        <v>0</v>
      </c>
      <c r="K8" s="601">
        <f>'SW CF'!K8+'CPFO CF'!K8+'APK CF'!K8+'RBPI CF'!K8</f>
        <v>0</v>
      </c>
      <c r="L8" s="601">
        <f>'SW CF'!L8+'CPFO CF'!L8+'APK CF'!L8+'RBPI CF'!L8</f>
        <v>0</v>
      </c>
      <c r="M8" s="601">
        <f>'SW CF'!M8+'CPFO CF'!M8+'APK CF'!M8+'RBPI CF'!M8</f>
        <v>0</v>
      </c>
      <c r="N8" s="954">
        <f>'SW CF'!N8+'CPFO CF'!N8+'APK CF'!N8+'RBPI CF'!N8</f>
        <v>0</v>
      </c>
      <c r="O8" s="599"/>
    </row>
    <row r="9" spans="2:15" ht="15" customHeight="1">
      <c r="B9" s="596" t="s">
        <v>427</v>
      </c>
      <c r="C9" s="600">
        <f>'SW CF'!C9+'CPFO CF'!C9+'APK CF'!C9+'RBPI CF'!C9</f>
        <v>-3669309.0600000005</v>
      </c>
      <c r="D9" s="601">
        <f>'SW CF'!D9+'CPFO CF'!D9+'APK CF'!D9+'RBPI CF'!D9</f>
        <v>2240678</v>
      </c>
      <c r="E9" s="601">
        <f>'SW CF'!E9+'CPFO CF'!E9+'APK CF'!E9+'RBPI CF'!E9</f>
        <v>-11620559</v>
      </c>
      <c r="F9" s="601">
        <f>'SW CF'!F9+'CPFO CF'!F9+'APK CF'!F9+'RBPI CF'!F9</f>
        <v>5566387.5300000003</v>
      </c>
      <c r="G9" s="601">
        <f>'SW CF'!G9+'CPFO CF'!G9+'APK CF'!G9+'RBPI CF'!G9</f>
        <v>9511092.4700000007</v>
      </c>
      <c r="H9" s="601">
        <f>'SW CF'!H9+'CPFO CF'!H9+'APK CF'!H9+'RBPI CF'!H9</f>
        <v>9906923</v>
      </c>
      <c r="I9" s="601">
        <f>'SW CF'!I9+'CPFO CF'!I9+'APK CF'!I9+'RBPI CF'!I9</f>
        <v>-28229254.217106849</v>
      </c>
      <c r="J9" s="601">
        <f>'SW CF'!J9+'CPFO CF'!J9+'APK CF'!J9+'RBPI CF'!J9</f>
        <v>-684336.59535890399</v>
      </c>
      <c r="K9" s="601">
        <f>'SW CF'!K9+'CPFO CF'!K9+'APK CF'!K9+'RBPI CF'!K9</f>
        <v>377397.26027397258</v>
      </c>
      <c r="L9" s="601">
        <f>'SW CF'!L9+'CPFO CF'!L9+'APK CF'!L9+'RBPI CF'!L9</f>
        <v>-175684.93150684936</v>
      </c>
      <c r="M9" s="601">
        <f>'SW CF'!M9+'CPFO CF'!M9+'APK CF'!M9+'RBPI CF'!M9</f>
        <v>-19520.547945205471</v>
      </c>
      <c r="N9" s="954">
        <f>'SW CF'!N9+'CPFO CF'!N9+'APK CF'!N9+'RBPI CF'!N9</f>
        <v>-182191.78082191775</v>
      </c>
      <c r="O9" s="599"/>
    </row>
    <row r="10" spans="2:15" ht="15" customHeight="1">
      <c r="B10" s="596" t="s">
        <v>428</v>
      </c>
      <c r="C10" s="602">
        <f>'SW CF'!C10+'CPFO CF'!C10+'APK CF'!C10+'RBPI CF'!C10</f>
        <v>349001134.09412652</v>
      </c>
      <c r="D10" s="603">
        <f>'SW CF'!D10+'CPFO CF'!D10+'APK CF'!D10+'RBPI CF'!D10</f>
        <v>371460102.43000156</v>
      </c>
      <c r="E10" s="603">
        <f>'SW CF'!E10+'CPFO CF'!E10+'APK CF'!E10+'RBPI CF'!E10</f>
        <v>379026622.17061383</v>
      </c>
      <c r="F10" s="603">
        <f>'SW CF'!F10+'CPFO CF'!F10+'APK CF'!F10+'RBPI CF'!F10</f>
        <v>317503371.54999906</v>
      </c>
      <c r="G10" s="603">
        <f>'SW CF'!G10+'CPFO CF'!G10+'APK CF'!G10+'RBPI CF'!G10</f>
        <v>375610255.08000046</v>
      </c>
      <c r="H10" s="603">
        <f>'SW CF'!H10+'CPFO CF'!H10+'APK CF'!H10+'RBPI CF'!H10</f>
        <v>361814652.80999929</v>
      </c>
      <c r="I10" s="603">
        <f>'SW CF'!I10+'CPFO CF'!I10+'APK CF'!I10+'RBPI CF'!I10</f>
        <v>396506006.38254285</v>
      </c>
      <c r="J10" s="603">
        <f>'SW CF'!J10+'CPFO CF'!J10+'APK CF'!J10+'RBPI CF'!J10</f>
        <v>397181015.67758298</v>
      </c>
      <c r="K10" s="603">
        <f>'SW CF'!K10+'CPFO CF'!K10+'APK CF'!K10+'RBPI CF'!K10</f>
        <v>395976942.04614949</v>
      </c>
      <c r="L10" s="603">
        <f>'SW CF'!L10+'CPFO CF'!L10+'APK CF'!L10+'RBPI CF'!L10</f>
        <v>397266063.02786851</v>
      </c>
      <c r="M10" s="603">
        <f>'SW CF'!M10+'CPFO CF'!M10+'APK CF'!M10+'RBPI CF'!M10</f>
        <v>398384417.42948222</v>
      </c>
      <c r="N10" s="955">
        <f>'SW CF'!N10+'CPFO CF'!N10+'APK CF'!N10+'RBPI CF'!N10</f>
        <v>397748883.64929795</v>
      </c>
      <c r="O10" s="599"/>
    </row>
    <row r="11" spans="2:15" ht="15" customHeight="1">
      <c r="B11" s="604" t="s">
        <v>429</v>
      </c>
      <c r="C11" s="605">
        <f>'SW CF'!C11+'CPFO CF'!C11+'APK CF'!C11+'RBPI CF'!C11</f>
        <v>135178103.08684906</v>
      </c>
      <c r="D11" s="606">
        <f>'SW CF'!D11+'CPFO CF'!D11+'APK CF'!D11+'RBPI CF'!D11</f>
        <v>1182050998.5238214</v>
      </c>
      <c r="E11" s="606">
        <f>'SW CF'!E11+'CPFO CF'!E11+'APK CF'!E11+'RBPI CF'!E11</f>
        <v>939207129.28079152</v>
      </c>
      <c r="F11" s="606">
        <f>'SW CF'!F11+'CPFO CF'!F11+'APK CF'!F11+'RBPI CF'!F11</f>
        <v>1075913093.8941603</v>
      </c>
      <c r="G11" s="606">
        <f>'SW CF'!G11+'CPFO CF'!G11+'APK CF'!G11+'RBPI CF'!G11</f>
        <v>1116100191.8100095</v>
      </c>
      <c r="H11" s="606">
        <f>'SW CF'!H11+'CPFO CF'!H11+'APK CF'!H11+'RBPI CF'!H11</f>
        <v>1585902829.366662</v>
      </c>
      <c r="I11" s="606">
        <f>'SW CF'!I11+'CPFO CF'!I11+'APK CF'!I11+'RBPI CF'!I11</f>
        <v>3197490463.1935925</v>
      </c>
      <c r="J11" s="606">
        <f>'SW CF'!J11+'CPFO CF'!J11+'APK CF'!J11+'RBPI CF'!J11</f>
        <v>930973009.50662792</v>
      </c>
      <c r="K11" s="606">
        <f>'SW CF'!K11+'CPFO CF'!K11+'APK CF'!K11+'RBPI CF'!K11</f>
        <v>4321063004.2228985</v>
      </c>
      <c r="L11" s="606">
        <f>'SW CF'!L11+'CPFO CF'!L11+'APK CF'!L11+'RBPI CF'!L11</f>
        <v>924075288.44890165</v>
      </c>
      <c r="M11" s="606">
        <f>'SW CF'!M11+'CPFO CF'!M11+'APK CF'!M11+'RBPI CF'!M11</f>
        <v>870462185.46773541</v>
      </c>
      <c r="N11" s="956">
        <f>'SW CF'!N11+'CPFO CF'!N11+'APK CF'!N11+'RBPI CF'!N11</f>
        <v>1176230347.6370301</v>
      </c>
      <c r="O11" s="599"/>
    </row>
    <row r="12" spans="2:15" ht="15" customHeight="1">
      <c r="B12" s="596" t="s">
        <v>430</v>
      </c>
      <c r="C12" s="600">
        <f>'SW CF'!C12+'CPFO CF'!C12+'APK CF'!C12+'RBPI CF'!C12</f>
        <v>-407825107.2500003</v>
      </c>
      <c r="D12" s="601">
        <f>'SW CF'!D12+'CPFO CF'!D12+'APK CF'!D12+'RBPI CF'!D12</f>
        <v>-330253522.6099999</v>
      </c>
      <c r="E12" s="601">
        <f>'SW CF'!E12+'CPFO CF'!E12+'APK CF'!E12+'RBPI CF'!E12</f>
        <v>506994488.50999987</v>
      </c>
      <c r="F12" s="601">
        <f>'SW CF'!F12+'CPFO CF'!F12+'APK CF'!F12+'RBPI CF'!F12</f>
        <v>-120997297.88999945</v>
      </c>
      <c r="G12" s="601">
        <f>'SW CF'!G12+'CPFO CF'!G12+'APK CF'!G12+'RBPI CF'!G12</f>
        <v>-337090315.47000062</v>
      </c>
      <c r="H12" s="601">
        <f>'SW CF'!H12+'CPFO CF'!H12+'APK CF'!H12+'RBPI CF'!H12</f>
        <v>-83971690.551801473</v>
      </c>
      <c r="I12" s="601">
        <f>'SW CF'!I12+'CPFO CF'!I12+'APK CF'!I12+'RBPI CF'!I12</f>
        <v>-214416668.57341844</v>
      </c>
      <c r="J12" s="601">
        <f>'SW CF'!J12+'CPFO CF'!J12+'APK CF'!J12+'RBPI CF'!J12</f>
        <v>441668961.50232011</v>
      </c>
      <c r="K12" s="601">
        <f>'SW CF'!K12+'CPFO CF'!K12+'APK CF'!K12+'RBPI CF'!K12</f>
        <v>-254349874.45670998</v>
      </c>
      <c r="L12" s="601">
        <f>'SW CF'!L12+'CPFO CF'!L12+'APK CF'!L12+'RBPI CF'!L12</f>
        <v>711932668.14314163</v>
      </c>
      <c r="M12" s="601">
        <f>'SW CF'!M12+'CPFO CF'!M12+'APK CF'!M12+'RBPI CF'!M12</f>
        <v>-119283388.66369879</v>
      </c>
      <c r="N12" s="954">
        <f>'SW CF'!N12+'CPFO CF'!N12+'APK CF'!N12+'RBPI CF'!N12</f>
        <v>-235297653.18106747</v>
      </c>
      <c r="O12" s="599"/>
    </row>
    <row r="13" spans="2:15" ht="15" customHeight="1">
      <c r="B13" s="596" t="s">
        <v>431</v>
      </c>
      <c r="C13" s="600">
        <f>'SW CF'!C13+'CPFO CF'!C13+'APK CF'!C13+'RBPI CF'!C13</f>
        <v>0</v>
      </c>
      <c r="D13" s="601">
        <f>'SW CF'!D13+'CPFO CF'!D13+'APK CF'!D13+'RBPI CF'!D13</f>
        <v>0</v>
      </c>
      <c r="E13" s="601">
        <f>'SW CF'!E13+'CPFO CF'!E13+'APK CF'!E13+'RBPI CF'!E13</f>
        <v>0</v>
      </c>
      <c r="F13" s="601">
        <f>'SW CF'!F13+'CPFO CF'!F13+'APK CF'!F13+'RBPI CF'!F13</f>
        <v>0</v>
      </c>
      <c r="G13" s="601">
        <f>'SW CF'!G13+'CPFO CF'!G13+'APK CF'!G13+'RBPI CF'!G13</f>
        <v>0</v>
      </c>
      <c r="H13" s="601">
        <f>'SW CF'!H13+'CPFO CF'!H13+'APK CF'!H13+'RBPI CF'!H13</f>
        <v>0</v>
      </c>
      <c r="I13" s="601">
        <f>'SW CF'!I13+'CPFO CF'!I13+'APK CF'!I13+'RBPI CF'!I13</f>
        <v>0</v>
      </c>
      <c r="J13" s="601">
        <f>'SW CF'!J13+'CPFO CF'!J13+'APK CF'!J13+'RBPI CF'!J13</f>
        <v>0</v>
      </c>
      <c r="K13" s="601">
        <f>'SW CF'!K13+'CPFO CF'!K13+'APK CF'!K13+'RBPI CF'!K13</f>
        <v>0</v>
      </c>
      <c r="L13" s="601">
        <f>'SW CF'!L13+'CPFO CF'!L13+'APK CF'!L13+'RBPI CF'!L13</f>
        <v>0</v>
      </c>
      <c r="M13" s="601">
        <f>'SW CF'!M13+'CPFO CF'!M13+'APK CF'!M13+'RBPI CF'!M13</f>
        <v>0</v>
      </c>
      <c r="N13" s="954">
        <f>'SW CF'!N13+'CPFO CF'!N13+'APK CF'!N13+'RBPI CF'!N13</f>
        <v>0</v>
      </c>
      <c r="O13" s="599"/>
    </row>
    <row r="14" spans="2:15" ht="15" customHeight="1">
      <c r="B14" s="596" t="s">
        <v>432</v>
      </c>
      <c r="C14" s="600">
        <f>'SW CF'!C14+'CPFO CF'!C14+'APK CF'!C14+'RBPI CF'!C14</f>
        <v>15000000</v>
      </c>
      <c r="D14" s="601">
        <f>'SW CF'!D14+'CPFO CF'!D14+'APK CF'!D14+'RBPI CF'!D14</f>
        <v>-15000000</v>
      </c>
      <c r="E14" s="601">
        <f>'SW CF'!E14+'CPFO CF'!E14+'APK CF'!E14+'RBPI CF'!E14</f>
        <v>15000000</v>
      </c>
      <c r="F14" s="601">
        <f>'SW CF'!F14+'CPFO CF'!F14+'APK CF'!F14+'RBPI CF'!F14</f>
        <v>0</v>
      </c>
      <c r="G14" s="601">
        <f>'SW CF'!G14+'CPFO CF'!G14+'APK CF'!G14+'RBPI CF'!G14</f>
        <v>-8790349.0399999991</v>
      </c>
      <c r="H14" s="601">
        <f>'SW CF'!H14+'CPFO CF'!H14+'APK CF'!H14+'RBPI CF'!H14</f>
        <v>-6209650.96</v>
      </c>
      <c r="I14" s="601">
        <f>'SW CF'!I14+'CPFO CF'!I14+'APK CF'!I14+'RBPI CF'!I14</f>
        <v>-2219386001.1100001</v>
      </c>
      <c r="J14" s="601">
        <f>'SW CF'!J14+'CPFO CF'!J14+'APK CF'!J14+'RBPI CF'!J14</f>
        <v>0</v>
      </c>
      <c r="K14" s="601">
        <f>'SW CF'!K14+'CPFO CF'!K14+'APK CF'!K14+'RBPI CF'!K14</f>
        <v>0</v>
      </c>
      <c r="L14" s="601">
        <f>'SW CF'!L14+'CPFO CF'!L14+'APK CF'!L14+'RBPI CF'!L14</f>
        <v>0</v>
      </c>
      <c r="M14" s="601">
        <f>'SW CF'!M14+'CPFO CF'!M14+'APK CF'!M14+'RBPI CF'!M14</f>
        <v>0</v>
      </c>
      <c r="N14" s="954">
        <f>'SW CF'!N14+'CPFO CF'!N14+'APK CF'!N14+'RBPI CF'!N14</f>
        <v>0</v>
      </c>
      <c r="O14" s="599"/>
    </row>
    <row r="15" spans="2:15" ht="15" customHeight="1">
      <c r="B15" s="596" t="s">
        <v>433</v>
      </c>
      <c r="C15" s="602">
        <f>'SW CF'!C15+'CPFO CF'!C15+'APK CF'!C15+'RBPI CF'!C15</f>
        <v>519163596.99576992</v>
      </c>
      <c r="D15" s="603">
        <f>'SW CF'!D15+'CPFO CF'!D15+'APK CF'!D15+'RBPI CF'!D15</f>
        <v>-246585337.84421694</v>
      </c>
      <c r="E15" s="603">
        <f>'SW CF'!E15+'CPFO CF'!E15+'APK CF'!E15+'RBPI CF'!E15</f>
        <v>160036897.7497012</v>
      </c>
      <c r="F15" s="603">
        <f>'SW CF'!F15+'CPFO CF'!F15+'APK CF'!F15+'RBPI CF'!F15</f>
        <v>289887872.95051807</v>
      </c>
      <c r="G15" s="603">
        <f>'SW CF'!G15+'CPFO CF'!G15+'APK CF'!G15+'RBPI CF'!G15</f>
        <v>136919075.17193967</v>
      </c>
      <c r="H15" s="603">
        <f>'SW CF'!H15+'CPFO CF'!H15+'APK CF'!H15+'RBPI CF'!H15</f>
        <v>261511894.57067603</v>
      </c>
      <c r="I15" s="603">
        <f>'SW CF'!I15+'CPFO CF'!I15+'APK CF'!I15+'RBPI CF'!I15</f>
        <v>-145934523.95482942</v>
      </c>
      <c r="J15" s="603">
        <f>'SW CF'!J15+'CPFO CF'!J15+'APK CF'!J15+'RBPI CF'!J15</f>
        <v>-143768929.85386783</v>
      </c>
      <c r="K15" s="603">
        <f>'SW CF'!K15+'CPFO CF'!K15+'APK CF'!K15+'RBPI CF'!K15</f>
        <v>-127299678.73382942</v>
      </c>
      <c r="L15" s="603">
        <f>'SW CF'!L15+'CPFO CF'!L15+'APK CF'!L15+'RBPI CF'!L15</f>
        <v>16298196.210276783</v>
      </c>
      <c r="M15" s="603">
        <f>'SW CF'!M15+'CPFO CF'!M15+'APK CF'!M15+'RBPI CF'!M15</f>
        <v>221207759.53198999</v>
      </c>
      <c r="N15" s="955">
        <f>'SW CF'!N15+'CPFO CF'!N15+'APK CF'!N15+'RBPI CF'!N15</f>
        <v>-354246281.42540276</v>
      </c>
      <c r="O15" s="599"/>
    </row>
    <row r="16" spans="2:15" ht="15" customHeight="1">
      <c r="B16" s="604" t="s">
        <v>434</v>
      </c>
      <c r="C16" s="605">
        <f>'SW CF'!C16+'CPFO CF'!C16+'APK CF'!C16+'RBPI CF'!C16</f>
        <v>126338489.74576962</v>
      </c>
      <c r="D16" s="606">
        <f>'SW CF'!D16+'CPFO CF'!D16+'APK CF'!D16+'RBPI CF'!D16</f>
        <v>-591838860.45421684</v>
      </c>
      <c r="E16" s="606">
        <f>'SW CF'!E16+'CPFO CF'!E16+'APK CF'!E16+'RBPI CF'!E16</f>
        <v>682031386.25970113</v>
      </c>
      <c r="F16" s="606">
        <f>'SW CF'!F16+'CPFO CF'!F16+'APK CF'!F16+'RBPI CF'!F16</f>
        <v>168890575.06051862</v>
      </c>
      <c r="G16" s="606">
        <f>'SW CF'!G16+'CPFO CF'!G16+'APK CF'!G16+'RBPI CF'!G16</f>
        <v>-208961589.33806098</v>
      </c>
      <c r="H16" s="606">
        <f>'SW CF'!H16+'CPFO CF'!H16+'APK CF'!H16+'RBPI CF'!H16</f>
        <v>171330553.05887455</v>
      </c>
      <c r="I16" s="606">
        <f>'SW CF'!I16+'CPFO CF'!I16+'APK CF'!I16+'RBPI CF'!I16</f>
        <v>-2579737193.638248</v>
      </c>
      <c r="J16" s="606">
        <f>'SW CF'!J16+'CPFO CF'!J16+'APK CF'!J16+'RBPI CF'!J16</f>
        <v>297900031.64845234</v>
      </c>
      <c r="K16" s="606">
        <f>'SW CF'!K16+'CPFO CF'!K16+'APK CF'!K16+'RBPI CF'!K16</f>
        <v>-381649553.19053942</v>
      </c>
      <c r="L16" s="606">
        <f>'SW CF'!L16+'CPFO CF'!L16+'APK CF'!L16+'RBPI CF'!L16</f>
        <v>728230864.35341835</v>
      </c>
      <c r="M16" s="606">
        <f>'SW CF'!M16+'CPFO CF'!M16+'APK CF'!M16+'RBPI CF'!M16</f>
        <v>101924370.8682912</v>
      </c>
      <c r="N16" s="956">
        <f>'SW CF'!N16+'CPFO CF'!N16+'APK CF'!N16+'RBPI CF'!N16</f>
        <v>-589543934.60647011</v>
      </c>
      <c r="O16" s="599"/>
    </row>
    <row r="17" spans="2:15" ht="15" customHeight="1">
      <c r="B17" s="596" t="s">
        <v>435</v>
      </c>
      <c r="C17" s="600">
        <f>'SW CF'!C17+'CPFO CF'!C17+'APK CF'!C17+'RBPI CF'!C17</f>
        <v>-172821940.8900004</v>
      </c>
      <c r="D17" s="601">
        <f>'SW CF'!D17+'CPFO CF'!D17+'APK CF'!D17+'RBPI CF'!D17</f>
        <v>-87521122.089999169</v>
      </c>
      <c r="E17" s="601">
        <f>'SW CF'!E17+'CPFO CF'!E17+'APK CF'!E17+'RBPI CF'!E17</f>
        <v>99137290.619999886</v>
      </c>
      <c r="F17" s="601">
        <f>'SW CF'!F17+'CPFO CF'!F17+'APK CF'!F17+'RBPI CF'!F17</f>
        <v>346947434.87999988</v>
      </c>
      <c r="G17" s="601">
        <f>'SW CF'!G17+'CPFO CF'!G17+'APK CF'!G17+'RBPI CF'!G17</f>
        <v>114430946.45999959</v>
      </c>
      <c r="H17" s="601">
        <f>'SW CF'!H17+'CPFO CF'!H17+'APK CF'!H17+'RBPI CF'!H17</f>
        <v>-434497523.63999939</v>
      </c>
      <c r="I17" s="601">
        <f>'SW CF'!I17+'CPFO CF'!I17+'APK CF'!I17+'RBPI CF'!I17</f>
        <v>-85126140.855233222</v>
      </c>
      <c r="J17" s="601">
        <f>'SW CF'!J17+'CPFO CF'!J17+'APK CF'!J17+'RBPI CF'!J17</f>
        <v>317501388.78039318</v>
      </c>
      <c r="K17" s="601">
        <f>'SW CF'!K17+'CPFO CF'!K17+'APK CF'!K17+'RBPI CF'!K17</f>
        <v>-476359987.78907788</v>
      </c>
      <c r="L17" s="601">
        <f>'SW CF'!L17+'CPFO CF'!L17+'APK CF'!L17+'RBPI CF'!L17</f>
        <v>638330689.67205691</v>
      </c>
      <c r="M17" s="601">
        <f>'SW CF'!M17+'CPFO CF'!M17+'APK CF'!M17+'RBPI CF'!M17</f>
        <v>-303525127.76978552</v>
      </c>
      <c r="N17" s="954">
        <f>'SW CF'!N17+'CPFO CF'!N17+'APK CF'!N17+'RBPI CF'!N17</f>
        <v>-215666462.92959464</v>
      </c>
      <c r="O17" s="599"/>
    </row>
    <row r="18" spans="2:15" ht="15" customHeight="1">
      <c r="B18" s="596" t="s">
        <v>436</v>
      </c>
      <c r="C18" s="600">
        <f>'SW CF'!C18+'CPFO CF'!C18+'APK CF'!C18+'RBPI CF'!C18</f>
        <v>200000000</v>
      </c>
      <c r="D18" s="601">
        <f>'SW CF'!D18+'CPFO CF'!D18+'APK CF'!D18+'RBPI CF'!D18</f>
        <v>0</v>
      </c>
      <c r="E18" s="601">
        <f>'SW CF'!E18+'CPFO CF'!E18+'APK CF'!E18+'RBPI CF'!E18</f>
        <v>-2971000000</v>
      </c>
      <c r="F18" s="601">
        <f>'SW CF'!F18+'CPFO CF'!F18+'APK CF'!F18+'RBPI CF'!F18</f>
        <v>870000000</v>
      </c>
      <c r="G18" s="601">
        <f>'SW CF'!G18+'CPFO CF'!G18+'APK CF'!G18+'RBPI CF'!G18</f>
        <v>0</v>
      </c>
      <c r="H18" s="601">
        <f>'SW CF'!H18+'CPFO CF'!H18+'APK CF'!H18+'RBPI CF'!H18</f>
        <v>0</v>
      </c>
      <c r="I18" s="601">
        <f>'SW CF'!I18+'CPFO CF'!I18+'APK CF'!I18+'RBPI CF'!I18</f>
        <v>2384000000</v>
      </c>
      <c r="J18" s="601">
        <f>'SW CF'!J18+'CPFO CF'!J18+'APK CF'!J18+'RBPI CF'!J18</f>
        <v>0</v>
      </c>
      <c r="K18" s="601">
        <f>'SW CF'!K18+'CPFO CF'!K18+'APK CF'!K18+'RBPI CF'!K18</f>
        <v>0</v>
      </c>
      <c r="L18" s="601">
        <f>'SW CF'!L18+'CPFO CF'!L18+'APK CF'!L18+'RBPI CF'!L18</f>
        <v>0</v>
      </c>
      <c r="M18" s="601">
        <f>'SW CF'!M18+'CPFO CF'!M18+'APK CF'!M18+'RBPI CF'!M18</f>
        <v>0</v>
      </c>
      <c r="N18" s="954">
        <f>'SW CF'!N18+'CPFO CF'!N18+'APK CF'!N18+'RBPI CF'!N18</f>
        <v>0</v>
      </c>
      <c r="O18" s="599"/>
    </row>
    <row r="19" spans="2:15" ht="15" customHeight="1">
      <c r="B19" s="596" t="s">
        <v>437</v>
      </c>
      <c r="C19" s="600">
        <f>'SW CF'!C19+'CPFO CF'!C19+'APK CF'!C19+'RBPI CF'!C19</f>
        <v>-762233762.30516529</v>
      </c>
      <c r="D19" s="601">
        <f>'SW CF'!D19+'CPFO CF'!D19+'APK CF'!D19+'RBPI CF'!D19</f>
        <v>-724359648.35652852</v>
      </c>
      <c r="E19" s="601">
        <f>'SW CF'!E19+'CPFO CF'!E19+'APK CF'!E19+'RBPI CF'!E19</f>
        <v>644676142.41137433</v>
      </c>
      <c r="F19" s="601">
        <f>'SW CF'!F19+'CPFO CF'!F19+'APK CF'!F19+'RBPI CF'!F19</f>
        <v>254230026.11854923</v>
      </c>
      <c r="G19" s="601">
        <f>'SW CF'!G19+'CPFO CF'!G19+'APK CF'!G19+'RBPI CF'!G19</f>
        <v>-734167604.46000218</v>
      </c>
      <c r="H19" s="601">
        <f>'SW CF'!H19+'CPFO CF'!H19+'APK CF'!H19+'RBPI CF'!H19</f>
        <v>211814765.96000439</v>
      </c>
      <c r="I19" s="601">
        <f>'SW CF'!I19+'CPFO CF'!I19+'APK CF'!I19+'RBPI CF'!I19</f>
        <v>915414118.88153005</v>
      </c>
      <c r="J19" s="601">
        <f>'SW CF'!J19+'CPFO CF'!J19+'APK CF'!J19+'RBPI CF'!J19</f>
        <v>1364891540.8967805</v>
      </c>
      <c r="K19" s="601">
        <f>'SW CF'!K19+'CPFO CF'!K19+'APK CF'!K19+'RBPI CF'!K19</f>
        <v>1863182577.1149201</v>
      </c>
      <c r="L19" s="601">
        <f>'SW CF'!L19+'CPFO CF'!L19+'APK CF'!L19+'RBPI CF'!L19</f>
        <v>580055556.20809364</v>
      </c>
      <c r="M19" s="601">
        <f>'SW CF'!M19+'CPFO CF'!M19+'APK CF'!M19+'RBPI CF'!M19</f>
        <v>358939409.42441368</v>
      </c>
      <c r="N19" s="954">
        <f>'SW CF'!N19+'CPFO CF'!N19+'APK CF'!N19+'RBPI CF'!N19</f>
        <v>-593996729.10916519</v>
      </c>
      <c r="O19" s="599"/>
    </row>
    <row r="20" spans="2:15" ht="15" customHeight="1">
      <c r="B20" s="596" t="s">
        <v>438</v>
      </c>
      <c r="C20" s="602">
        <f>'SW CF'!C20+'CPFO CF'!C20+'APK CF'!C20+'RBPI CF'!C20</f>
        <v>571974251.93923938</v>
      </c>
      <c r="D20" s="603">
        <f>'SW CF'!D20+'CPFO CF'!D20+'APK CF'!D20+'RBPI CF'!D20</f>
        <v>103264481.26250294</v>
      </c>
      <c r="E20" s="603">
        <f>'SW CF'!E20+'CPFO CF'!E20+'APK CF'!E20+'RBPI CF'!E20</f>
        <v>2791624344.4114275</v>
      </c>
      <c r="F20" s="603">
        <f>'SW CF'!F20+'CPFO CF'!F20+'APK CF'!F20+'RBPI CF'!F20</f>
        <v>-1141793887.9341915</v>
      </c>
      <c r="G20" s="603">
        <f>'SW CF'!G20+'CPFO CF'!G20+'APK CF'!G20+'RBPI CF'!G20</f>
        <v>466484852.74974507</v>
      </c>
      <c r="H20" s="603">
        <f>'SW CF'!H20+'CPFO CF'!H20+'APK CF'!H20+'RBPI CF'!H20</f>
        <v>-332802042.02757764</v>
      </c>
      <c r="I20" s="603">
        <f>'SW CF'!I20+'CPFO CF'!I20+'APK CF'!I20+'RBPI CF'!I20</f>
        <v>-2316265533.9303594</v>
      </c>
      <c r="J20" s="603">
        <f>'SW CF'!J20+'CPFO CF'!J20+'APK CF'!J20+'RBPI CF'!J20</f>
        <v>91065608.101740837</v>
      </c>
      <c r="K20" s="603">
        <f>'SW CF'!K20+'CPFO CF'!K20+'APK CF'!K20+'RBPI CF'!K20</f>
        <v>99465488.38385433</v>
      </c>
      <c r="L20" s="603">
        <f>'SW CF'!L20+'CPFO CF'!L20+'APK CF'!L20+'RBPI CF'!L20</f>
        <v>82015852.631959021</v>
      </c>
      <c r="M20" s="603">
        <f>'SW CF'!M20+'CPFO CF'!M20+'APK CF'!M20+'RBPI CF'!M20</f>
        <v>78568660.479466915</v>
      </c>
      <c r="N20" s="955">
        <f>'SW CF'!N20+'CPFO CF'!N20+'APK CF'!N20+'RBPI CF'!N20</f>
        <v>106467925.63068938</v>
      </c>
      <c r="O20" s="599"/>
    </row>
    <row r="21" spans="2:15" ht="15" customHeight="1">
      <c r="B21" s="604" t="s">
        <v>439</v>
      </c>
      <c r="C21" s="605">
        <f>'SW CF'!C21+'CPFO CF'!C21+'APK CF'!C21+'RBPI CF'!C21</f>
        <v>-163081451.25592625</v>
      </c>
      <c r="D21" s="606">
        <f>'SW CF'!D21+'CPFO CF'!D21+'APK CF'!D21+'RBPI CF'!D21</f>
        <v>-708616289.18402481</v>
      </c>
      <c r="E21" s="606">
        <f>'SW CF'!E21+'CPFO CF'!E21+'APK CF'!E21+'RBPI CF'!E21</f>
        <v>564437777.44280195</v>
      </c>
      <c r="F21" s="606">
        <f>'SW CF'!F21+'CPFO CF'!F21+'APK CF'!F21+'RBPI CF'!F21</f>
        <v>329383573.0643574</v>
      </c>
      <c r="G21" s="606">
        <f>'SW CF'!G21+'CPFO CF'!G21+'APK CF'!G21+'RBPI CF'!G21</f>
        <v>-153251805.25025746</v>
      </c>
      <c r="H21" s="606">
        <f>'SW CF'!H21+'CPFO CF'!H21+'APK CF'!H21+'RBPI CF'!H21</f>
        <v>-555484799.7075727</v>
      </c>
      <c r="I21" s="606">
        <f>'SW CF'!I21+'CPFO CF'!I21+'APK CF'!I21+'RBPI CF'!I21</f>
        <v>898022444.09593785</v>
      </c>
      <c r="J21" s="606">
        <f>'SW CF'!J21+'CPFO CF'!J21+'APK CF'!J21+'RBPI CF'!J21</f>
        <v>1773458537.7789145</v>
      </c>
      <c r="K21" s="606">
        <f>'SW CF'!K21+'CPFO CF'!K21+'APK CF'!K21+'RBPI CF'!K21</f>
        <v>1486288077.7096965</v>
      </c>
      <c r="L21" s="606">
        <f>'SW CF'!L21+'CPFO CF'!L21+'APK CF'!L21+'RBPI CF'!L21</f>
        <v>1300402098.5121098</v>
      </c>
      <c r="M21" s="606">
        <f>'SW CF'!M21+'CPFO CF'!M21+'APK CF'!M21+'RBPI CF'!M21</f>
        <v>133982942.13409507</v>
      </c>
      <c r="N21" s="956">
        <f>'SW CF'!N21+'CPFO CF'!N21+'APK CF'!N21+'RBPI CF'!N21</f>
        <v>-703195266.40807045</v>
      </c>
      <c r="O21" s="599"/>
    </row>
    <row r="22" spans="2:15" ht="15" customHeight="1">
      <c r="B22" s="596" t="s">
        <v>440</v>
      </c>
      <c r="C22" s="607">
        <f>'SW CF'!C22+'CPFO CF'!C22+'APK CF'!C22+'RBPI CF'!C22</f>
        <v>188815968.75001037</v>
      </c>
      <c r="D22" s="608">
        <f>'SW CF'!D22+'CPFO CF'!D22+'APK CF'!D22+'RBPI CF'!D22</f>
        <v>472204614.57999802</v>
      </c>
      <c r="E22" s="608">
        <f>'SW CF'!E22+'CPFO CF'!E22+'APK CF'!E22+'RBPI CF'!E22</f>
        <v>250874574.37061596</v>
      </c>
      <c r="F22" s="608">
        <f>'SW CF'!F22+'CPFO CF'!F22+'APK CF'!F22+'RBPI CF'!F22</f>
        <v>300057500.68999481</v>
      </c>
      <c r="G22" s="608">
        <f>'SW CF'!G22+'CPFO CF'!G22+'APK CF'!G22+'RBPI CF'!G22</f>
        <v>169469605.01227283</v>
      </c>
      <c r="H22" s="608">
        <f>'SW CF'!H22+'CPFO CF'!H22+'APK CF'!H22+'RBPI CF'!H22</f>
        <v>641983076.20130134</v>
      </c>
      <c r="I22" s="608">
        <f>'SW CF'!I22+'CPFO CF'!I22+'APK CF'!I22+'RBPI CF'!I22</f>
        <v>548167623.69984055</v>
      </c>
      <c r="J22" s="608">
        <f>'SW CF'!J22+'CPFO CF'!J22+'APK CF'!J22+'RBPI CF'!J22</f>
        <v>186474662.83368683</v>
      </c>
      <c r="K22" s="608">
        <f>'SW CF'!K22+'CPFO CF'!K22+'APK CF'!K22+'RBPI CF'!K22</f>
        <v>173044187.11622047</v>
      </c>
      <c r="L22" s="608">
        <f>'SW CF'!L22+'CPFO CF'!L22+'APK CF'!L22+'RBPI CF'!L22</f>
        <v>80872246.695611954</v>
      </c>
      <c r="M22" s="608">
        <f>'SW CF'!M22+'CPFO CF'!M22+'APK CF'!M22+'RBPI CF'!M22</f>
        <v>81181812.02841568</v>
      </c>
      <c r="N22" s="957">
        <f>'SW CF'!N22+'CPFO CF'!N22+'APK CF'!N22+'RBPI CF'!N22</f>
        <v>145006486.81900787</v>
      </c>
      <c r="O22" s="599"/>
    </row>
    <row r="23" spans="2:15" ht="15" customHeight="1">
      <c r="B23" s="596" t="s">
        <v>441</v>
      </c>
      <c r="C23" s="607">
        <f>'SW CF'!C23+'CPFO CF'!C23+'APK CF'!C23+'RBPI CF'!C23</f>
        <v>100055025.88</v>
      </c>
      <c r="D23" s="608">
        <f>'SW CF'!D23+'CPFO CF'!D23+'APK CF'!D23+'RBPI CF'!D23</f>
        <v>0</v>
      </c>
      <c r="E23" s="608">
        <f>'SW CF'!E23+'CPFO CF'!E23+'APK CF'!E23+'RBPI CF'!E23</f>
        <v>0</v>
      </c>
      <c r="F23" s="608">
        <f>'SW CF'!F23+'CPFO CF'!F23+'APK CF'!F23+'RBPI CF'!F23</f>
        <v>0</v>
      </c>
      <c r="G23" s="608">
        <f>'SW CF'!G23+'CPFO CF'!G23+'APK CF'!G23+'RBPI CF'!G23</f>
        <v>-399263000</v>
      </c>
      <c r="H23" s="608">
        <f>'SW CF'!H23+'CPFO CF'!H23+'APK CF'!H23+'RBPI CF'!H23</f>
        <v>0</v>
      </c>
      <c r="I23" s="608">
        <f>'SW CF'!I23+'CPFO CF'!I23+'APK CF'!I23+'RBPI CF'!I23</f>
        <v>0</v>
      </c>
      <c r="J23" s="608">
        <f>'SW CF'!J23+'CPFO CF'!J23+'APK CF'!J23+'RBPI CF'!J23</f>
        <v>0</v>
      </c>
      <c r="K23" s="608">
        <f>'SW CF'!K23+'CPFO CF'!K23+'APK CF'!K23+'RBPI CF'!K23</f>
        <v>0</v>
      </c>
      <c r="L23" s="608">
        <f>'SW CF'!L23+'CPFO CF'!L23+'APK CF'!L23+'RBPI CF'!L23</f>
        <v>0</v>
      </c>
      <c r="M23" s="608">
        <f>'SW CF'!M23+'CPFO CF'!M23+'APK CF'!M23+'RBPI CF'!M23</f>
        <v>0</v>
      </c>
      <c r="N23" s="957">
        <f>'SW CF'!N23+'CPFO CF'!N23+'APK CF'!N23+'RBPI CF'!N23</f>
        <v>0</v>
      </c>
      <c r="O23" s="599"/>
    </row>
    <row r="24" spans="2:15" ht="15" customHeight="1">
      <c r="B24" s="596" t="s">
        <v>237</v>
      </c>
      <c r="C24" s="609">
        <f>'SW CF'!C24+'CPFO CF'!C24+'APK CF'!C24+'RBPI CF'!C24</f>
        <v>0</v>
      </c>
      <c r="D24" s="610">
        <f>'SW CF'!D24+'CPFO CF'!D24+'APK CF'!D24+'RBPI CF'!D24</f>
        <v>0</v>
      </c>
      <c r="E24" s="610">
        <f>'SW CF'!E24+'CPFO CF'!E24+'APK CF'!E24+'RBPI CF'!E24</f>
        <v>0</v>
      </c>
      <c r="F24" s="610">
        <f>'SW CF'!F24+'CPFO CF'!F24+'APK CF'!F24+'RBPI CF'!F24</f>
        <v>0</v>
      </c>
      <c r="G24" s="610">
        <f>'SW CF'!G24+'CPFO CF'!G24+'APK CF'!G24+'RBPI CF'!G24</f>
        <v>0</v>
      </c>
      <c r="H24" s="610">
        <f>'SW CF'!H24+'CPFO CF'!H24+'APK CF'!H24+'RBPI CF'!H24</f>
        <v>0</v>
      </c>
      <c r="I24" s="610">
        <f>'SW CF'!I24+'CPFO CF'!I24+'APK CF'!I24+'RBPI CF'!I24</f>
        <v>0</v>
      </c>
      <c r="J24" s="610">
        <f>'SW CF'!J24+'CPFO CF'!J24+'APK CF'!J24+'RBPI CF'!J24</f>
        <v>0</v>
      </c>
      <c r="K24" s="610">
        <f>'SW CF'!K24+'CPFO CF'!K24+'APK CF'!K24+'RBPI CF'!K24</f>
        <v>0</v>
      </c>
      <c r="L24" s="610">
        <f>'SW CF'!L24+'CPFO CF'!L24+'APK CF'!L24+'RBPI CF'!L24</f>
        <v>0</v>
      </c>
      <c r="M24" s="610">
        <f>'SW CF'!M24+'CPFO CF'!M24+'APK CF'!M24+'RBPI CF'!M24</f>
        <v>0</v>
      </c>
      <c r="N24" s="958">
        <f>'SW CF'!N24+'CPFO CF'!N24+'APK CF'!N24+'RBPI CF'!N24</f>
        <v>0</v>
      </c>
      <c r="O24" s="599"/>
    </row>
    <row r="25" spans="2:15" ht="15" customHeight="1">
      <c r="B25" s="611" t="s">
        <v>442</v>
      </c>
      <c r="C25" s="612">
        <f>'SW CF'!C25+'CPFO CF'!C25+'APK CF'!C25+'RBPI CF'!C25</f>
        <v>288870994.63001037</v>
      </c>
      <c r="D25" s="613">
        <f>'SW CF'!D25+'CPFO CF'!D25+'APK CF'!D25+'RBPI CF'!D25</f>
        <v>472204614.57999802</v>
      </c>
      <c r="E25" s="613">
        <f>'SW CF'!E25+'CPFO CF'!E25+'APK CF'!E25+'RBPI CF'!E25</f>
        <v>250874574.37061596</v>
      </c>
      <c r="F25" s="613">
        <f>'SW CF'!F25+'CPFO CF'!F25+'APK CF'!F25+'RBPI CF'!F25</f>
        <v>300057500.68999481</v>
      </c>
      <c r="G25" s="613">
        <f>'SW CF'!G25+'CPFO CF'!G25+'APK CF'!G25+'RBPI CF'!G25</f>
        <v>-229793394.98772717</v>
      </c>
      <c r="H25" s="613">
        <f>'SW CF'!H25+'CPFO CF'!H25+'APK CF'!H25+'RBPI CF'!H25</f>
        <v>641983076.20130134</v>
      </c>
      <c r="I25" s="613">
        <f>'SW CF'!I25+'CPFO CF'!I25+'APK CF'!I25+'RBPI CF'!I25</f>
        <v>548167623.69984055</v>
      </c>
      <c r="J25" s="613">
        <f>'SW CF'!J25+'CPFO CF'!J25+'APK CF'!J25+'RBPI CF'!J25</f>
        <v>186474662.83368683</v>
      </c>
      <c r="K25" s="613">
        <f>'SW CF'!K25+'CPFO CF'!K25+'APK CF'!K25+'RBPI CF'!K25</f>
        <v>173044187.11622047</v>
      </c>
      <c r="L25" s="613">
        <f>'SW CF'!L25+'CPFO CF'!L25+'APK CF'!L25+'RBPI CF'!L25</f>
        <v>80872246.695611954</v>
      </c>
      <c r="M25" s="613">
        <f>'SW CF'!M25+'CPFO CF'!M25+'APK CF'!M25+'RBPI CF'!M25</f>
        <v>81181812.02841568</v>
      </c>
      <c r="N25" s="959">
        <f>'SW CF'!N25+'CPFO CF'!N25+'APK CF'!N25+'RBPI CF'!N25</f>
        <v>145006486.81900787</v>
      </c>
      <c r="O25" s="599"/>
    </row>
    <row r="26" spans="2:15" ht="15" customHeight="1">
      <c r="B26" s="596" t="s">
        <v>443</v>
      </c>
      <c r="C26" s="607">
        <f>'SW CF'!C26+'CPFO CF'!C26+'APK CF'!C26+'RBPI CF'!C26</f>
        <v>-276253219.39000034</v>
      </c>
      <c r="D26" s="608">
        <f>'SW CF'!D26+'CPFO CF'!D26+'APK CF'!D26+'RBPI CF'!D26</f>
        <v>-248143915.51054764</v>
      </c>
      <c r="E26" s="608">
        <f>'SW CF'!E26+'CPFO CF'!E26+'APK CF'!E26+'RBPI CF'!E26</f>
        <v>-1781033901.0646415</v>
      </c>
      <c r="F26" s="608">
        <f>'SW CF'!F26+'CPFO CF'!F26+'APK CF'!F26+'RBPI CF'!F26</f>
        <v>-275956418.69999933</v>
      </c>
      <c r="G26" s="608">
        <f>'SW CF'!G26+'CPFO CF'!G26+'APK CF'!G26+'RBPI CF'!G26</f>
        <v>-227288478.01999927</v>
      </c>
      <c r="H26" s="608">
        <f>'SW CF'!H26+'CPFO CF'!H26+'APK CF'!H26+'RBPI CF'!H26</f>
        <v>-1122213893.8619351</v>
      </c>
      <c r="I26" s="608">
        <f>'SW CF'!I26+'CPFO CF'!I26+'APK CF'!I26+'RBPI CF'!I26</f>
        <v>-223046664.13664699</v>
      </c>
      <c r="J26" s="608">
        <f>'SW CF'!J26+'CPFO CF'!J26+'APK CF'!J26+'RBPI CF'!J26</f>
        <v>-12365878.437053204</v>
      </c>
      <c r="K26" s="608">
        <f>'SW CF'!K26+'CPFO CF'!K26+'APK CF'!K26+'RBPI CF'!K26</f>
        <v>-1118783323.2217124</v>
      </c>
      <c r="L26" s="608">
        <f>'SW CF'!L26+'CPFO CF'!L26+'APK CF'!L26+'RBPI CF'!L26</f>
        <v>-167616530.14356995</v>
      </c>
      <c r="M26" s="608">
        <f>'SW CF'!M26+'CPFO CF'!M26+'APK CF'!M26+'RBPI CF'!M26</f>
        <v>-167959856.6093049</v>
      </c>
      <c r="N26" s="957">
        <f>'SW CF'!N26+'CPFO CF'!N26+'APK CF'!N26+'RBPI CF'!N26</f>
        <v>-1369207876.7337127</v>
      </c>
      <c r="O26" s="599"/>
    </row>
    <row r="27" spans="2:15" ht="15" customHeight="1">
      <c r="B27" s="596" t="s">
        <v>444</v>
      </c>
      <c r="C27" s="607">
        <f>'SW CF'!C27+'CPFO CF'!C27+'APK CF'!C27+'RBPI CF'!C27</f>
        <v>-856539703.3599987</v>
      </c>
      <c r="D27" s="608">
        <f>'SW CF'!D27+'CPFO CF'!D27+'APK CF'!D27+'RBPI CF'!D27</f>
        <v>-831308179.5694524</v>
      </c>
      <c r="E27" s="608">
        <f>'SW CF'!E27+'CPFO CF'!E27+'APK CF'!E27+'RBPI CF'!E27</f>
        <v>1334860156.700001</v>
      </c>
      <c r="F27" s="608">
        <f>'SW CF'!F27+'CPFO CF'!F27+'APK CF'!F27+'RBPI CF'!F27</f>
        <v>-706535843.35000038</v>
      </c>
      <c r="G27" s="608">
        <f>'SW CF'!G27+'CPFO CF'!G27+'APK CF'!G27+'RBPI CF'!G27</f>
        <v>-265152715.98000109</v>
      </c>
      <c r="H27" s="608">
        <f>'SW CF'!H27+'CPFO CF'!H27+'APK CF'!H27+'RBPI CF'!H27</f>
        <v>446612892.45999968</v>
      </c>
      <c r="I27" s="608">
        <f>'SW CF'!I27+'CPFO CF'!I27+'APK CF'!I27+'RBPI CF'!I27</f>
        <v>200000000</v>
      </c>
      <c r="J27" s="608">
        <f>'SW CF'!J27+'CPFO CF'!J27+'APK CF'!J27+'RBPI CF'!J27</f>
        <v>225000000</v>
      </c>
      <c r="K27" s="608">
        <f>'SW CF'!K27+'CPFO CF'!K27+'APK CF'!K27+'RBPI CF'!K27</f>
        <v>100000000</v>
      </c>
      <c r="L27" s="608">
        <f>'SW CF'!L27+'CPFO CF'!L27+'APK CF'!L27+'RBPI CF'!L27</f>
        <v>110000000</v>
      </c>
      <c r="M27" s="608">
        <f>'SW CF'!M27+'CPFO CF'!M27+'APK CF'!M27+'RBPI CF'!M27</f>
        <v>-390000000</v>
      </c>
      <c r="N27" s="957">
        <f>'SW CF'!N27+'CPFO CF'!N27+'APK CF'!N27+'RBPI CF'!N27</f>
        <v>110000000</v>
      </c>
      <c r="O27" s="599"/>
    </row>
    <row r="28" spans="2:15" ht="15" customHeight="1">
      <c r="B28" s="596" t="s">
        <v>445</v>
      </c>
      <c r="C28" s="607">
        <f>'SW CF'!C28+'CPFO CF'!C28+'APK CF'!C28+'RBPI CF'!C28</f>
        <v>0</v>
      </c>
      <c r="D28" s="608">
        <f>'SW CF'!D28+'CPFO CF'!D28+'APK CF'!D28+'RBPI CF'!D28</f>
        <v>0</v>
      </c>
      <c r="E28" s="608">
        <f>'SW CF'!E28+'CPFO CF'!E28+'APK CF'!E28+'RBPI CF'!E28</f>
        <v>0</v>
      </c>
      <c r="F28" s="608">
        <f>'SW CF'!F28+'CPFO CF'!F28+'APK CF'!F28+'RBPI CF'!F28</f>
        <v>0</v>
      </c>
      <c r="G28" s="608">
        <f>'SW CF'!G28+'CPFO CF'!G28+'APK CF'!G28+'RBPI CF'!G28</f>
        <v>0</v>
      </c>
      <c r="H28" s="608">
        <f>'SW CF'!H28+'CPFO CF'!H28+'APK CF'!H28+'RBPI CF'!H28</f>
        <v>0</v>
      </c>
      <c r="I28" s="608">
        <f>'SW CF'!I28+'CPFO CF'!I28+'APK CF'!I28+'RBPI CF'!I28</f>
        <v>0</v>
      </c>
      <c r="J28" s="608">
        <f>'SW CF'!J28+'CPFO CF'!J28+'APK CF'!J28+'RBPI CF'!J28</f>
        <v>0</v>
      </c>
      <c r="K28" s="608">
        <f>'SW CF'!K28+'CPFO CF'!K28+'APK CF'!K28+'RBPI CF'!K28</f>
        <v>0</v>
      </c>
      <c r="L28" s="608">
        <f>'SW CF'!L28+'CPFO CF'!L28+'APK CF'!L28+'RBPI CF'!L28</f>
        <v>0</v>
      </c>
      <c r="M28" s="608">
        <f>'SW CF'!M28+'CPFO CF'!M28+'APK CF'!M28+'RBPI CF'!M28</f>
        <v>0</v>
      </c>
      <c r="N28" s="957">
        <f>'SW CF'!N28+'CPFO CF'!N28+'APK CF'!N28+'RBPI CF'!N28</f>
        <v>0</v>
      </c>
      <c r="O28" s="599"/>
    </row>
    <row r="29" spans="2:15" ht="15" customHeight="1">
      <c r="B29" s="596" t="s">
        <v>446</v>
      </c>
      <c r="C29" s="609">
        <f>'SW CF'!C29+'CPFO CF'!C29+'APK CF'!C29+'RBPI CF'!C29</f>
        <v>-7923099.1700000167</v>
      </c>
      <c r="D29" s="610">
        <f>'SW CF'!D29+'CPFO CF'!D29+'APK CF'!D29+'RBPI CF'!D29</f>
        <v>0</v>
      </c>
      <c r="E29" s="610">
        <f>'SW CF'!E29+'CPFO CF'!E29+'APK CF'!E29+'RBPI CF'!E29</f>
        <v>0</v>
      </c>
      <c r="F29" s="610">
        <f>'SW CF'!F29+'CPFO CF'!F29+'APK CF'!F29+'RBPI CF'!F29</f>
        <v>0</v>
      </c>
      <c r="G29" s="610">
        <f>'SW CF'!G29+'CPFO CF'!G29+'APK CF'!G29+'RBPI CF'!G29</f>
        <v>0</v>
      </c>
      <c r="H29" s="610">
        <f>'SW CF'!H29+'CPFO CF'!H29+'APK CF'!H29+'RBPI CF'!H29</f>
        <v>0</v>
      </c>
      <c r="I29" s="610">
        <f>'SW CF'!I29+'CPFO CF'!I29+'APK CF'!I29+'RBPI CF'!I29</f>
        <v>0</v>
      </c>
      <c r="J29" s="610">
        <f>'SW CF'!J29+'CPFO CF'!J29+'APK CF'!J29+'RBPI CF'!J29</f>
        <v>0</v>
      </c>
      <c r="K29" s="610">
        <f>'SW CF'!K29+'CPFO CF'!K29+'APK CF'!K29+'RBPI CF'!K29</f>
        <v>0</v>
      </c>
      <c r="L29" s="610">
        <f>'SW CF'!L29+'CPFO CF'!L29+'APK CF'!L29+'RBPI CF'!L29</f>
        <v>0</v>
      </c>
      <c r="M29" s="610">
        <f>'SW CF'!M29+'CPFO CF'!M29+'APK CF'!M29+'RBPI CF'!M29</f>
        <v>0</v>
      </c>
      <c r="N29" s="958">
        <f>'SW CF'!N29+'CPFO CF'!N29+'APK CF'!N29+'RBPI CF'!N29</f>
        <v>0</v>
      </c>
      <c r="O29" s="599"/>
    </row>
    <row r="30" spans="2:15" ht="15" customHeight="1">
      <c r="B30" s="614" t="s">
        <v>447</v>
      </c>
      <c r="C30" s="615">
        <f>'SW CF'!C30+'CPFO CF'!C30+'APK CF'!C30+'RBPI CF'!C30</f>
        <v>-1140716021.9199991</v>
      </c>
      <c r="D30" s="616">
        <f>'SW CF'!D30+'CPFO CF'!D30+'APK CF'!D30+'RBPI CF'!D30</f>
        <v>-1079452095.0799999</v>
      </c>
      <c r="E30" s="616">
        <f>'SW CF'!E30+'CPFO CF'!E30+'APK CF'!E30+'RBPI CF'!E30</f>
        <v>-446173744.36464047</v>
      </c>
      <c r="F30" s="616">
        <f>'SW CF'!F30+'CPFO CF'!F30+'APK CF'!F30+'RBPI CF'!F30</f>
        <v>-982492262.04999971</v>
      </c>
      <c r="G30" s="616">
        <f>'SW CF'!G30+'CPFO CF'!G30+'APK CF'!G30+'RBPI CF'!G30</f>
        <v>-492441194.00000036</v>
      </c>
      <c r="H30" s="616">
        <f>'SW CF'!H30+'CPFO CF'!H30+'APK CF'!H30+'RBPI CF'!H30</f>
        <v>-675601001.40193546</v>
      </c>
      <c r="I30" s="616">
        <f>'SW CF'!I30+'CPFO CF'!I30+'APK CF'!I30+'RBPI CF'!I30</f>
        <v>-23046664.136646986</v>
      </c>
      <c r="J30" s="616">
        <f>'SW CF'!J30+'CPFO CF'!J30+'APK CF'!J30+'RBPI CF'!J30</f>
        <v>212634121.5629468</v>
      </c>
      <c r="K30" s="616">
        <f>'SW CF'!K30+'CPFO CF'!K30+'APK CF'!K30+'RBPI CF'!K30</f>
        <v>-1018783323.2217124</v>
      </c>
      <c r="L30" s="616">
        <f>'SW CF'!L30+'CPFO CF'!L30+'APK CF'!L30+'RBPI CF'!L30</f>
        <v>-57616530.143569946</v>
      </c>
      <c r="M30" s="616">
        <f>'SW CF'!M30+'CPFO CF'!M30+'APK CF'!M30+'RBPI CF'!M30</f>
        <v>-557959856.6093049</v>
      </c>
      <c r="N30" s="960">
        <f>'SW CF'!N30+'CPFO CF'!N30+'APK CF'!N30+'RBPI CF'!N30</f>
        <v>-1259207876.7337127</v>
      </c>
      <c r="O30" s="599"/>
    </row>
    <row r="31" spans="2:15" ht="15" customHeight="1" thickBot="1">
      <c r="B31" s="617" t="s">
        <v>448</v>
      </c>
      <c r="C31" s="618">
        <f>'SW CF'!C31+'CPFO CF'!C31+'APK CF'!C31+'RBPI CF'!C31</f>
        <v>-1004988972.4614645</v>
      </c>
      <c r="D31" s="619">
        <f>'SW CF'!D31+'CPFO CF'!D31+'APK CF'!D31+'RBPI CF'!D31</f>
        <v>-252828282.40636879</v>
      </c>
      <c r="E31" s="619">
        <f>'SW CF'!E31+'CPFO CF'!E31+'APK CF'!E31+'RBPI CF'!E31</f>
        <v>359752419.36243421</v>
      </c>
      <c r="F31" s="619">
        <f>'SW CF'!F31+'CPFO CF'!F31+'APK CF'!F31+'RBPI CF'!F31</f>
        <v>-367129666.84967303</v>
      </c>
      <c r="G31" s="619">
        <f>'SW CF'!G31+'CPFO CF'!G31+'APK CF'!G31+'RBPI CF'!G31</f>
        <v>797742608.70993292</v>
      </c>
      <c r="H31" s="619">
        <f>'SW CF'!H31+'CPFO CF'!H31+'APK CF'!H31+'RBPI CF'!H31</f>
        <v>995134104.52987254</v>
      </c>
      <c r="I31" s="619">
        <f>'SW CF'!I31+'CPFO CF'!I31+'APK CF'!I31+'RBPI CF'!I31</f>
        <v>-851483462.37708092</v>
      </c>
      <c r="J31" s="619">
        <f>'SW CF'!J31+'CPFO CF'!J31+'APK CF'!J31+'RBPI CF'!J31</f>
        <v>-518426037.8945744</v>
      </c>
      <c r="K31" s="619">
        <f>'SW CF'!K31+'CPFO CF'!K31+'APK CF'!K31+'RBPI CF'!K31</f>
        <v>1261297862.98473</v>
      </c>
      <c r="L31" s="619">
        <f>'SW CF'!L31+'CPFO CF'!L31+'APK CF'!L31+'RBPI CF'!L31</f>
        <v>213415277.45102853</v>
      </c>
      <c r="M31" s="619">
        <f>'SW CF'!M31+'CPFO CF'!M31+'APK CF'!M31+'RBPI CF'!M31</f>
        <v>199261945.56421089</v>
      </c>
      <c r="N31" s="961">
        <f>'SW CF'!N31+'CPFO CF'!N31+'APK CF'!N31+'RBPI CF'!N31</f>
        <v>-114332684.11409009</v>
      </c>
      <c r="O31" s="599"/>
    </row>
    <row r="32" spans="2:15" s="592" customFormat="1" ht="15" customHeight="1">
      <c r="B32" s="620"/>
    </row>
    <row r="33" spans="2:15" ht="15" customHeight="1">
      <c r="B33" s="621" t="s">
        <v>449</v>
      </c>
      <c r="C33" s="622">
        <f>'SW CF'!C33+'CPFO CF'!C33+'APK CF'!C33+'RBPI CF'!C33</f>
        <v>7214844513.8108749</v>
      </c>
      <c r="D33" s="622">
        <f>'SW CF'!D33+'CPFO CF'!D33+'APK CF'!D33+'RBPI CF'!D33</f>
        <v>6209858872.9850025</v>
      </c>
      <c r="E33" s="622">
        <f>'SW CF'!E33+'CPFO CF'!E33+'APK CF'!E33+'RBPI CF'!E33</f>
        <v>5957030590.3386364</v>
      </c>
      <c r="F33" s="622">
        <f>'SW CF'!F33+'CPFO CF'!F33+'APK CF'!F33+'RBPI CF'!F33</f>
        <v>6316783009.7010555</v>
      </c>
      <c r="G33" s="622">
        <f>'SW CF'!G33+'CPFO CF'!G33+'APK CF'!G33+'RBPI CF'!G33</f>
        <v>5949653342.8513546</v>
      </c>
      <c r="H33" s="622">
        <f>'SW CF'!H33+'CPFO CF'!H33+'APK CF'!H33+'RBPI CF'!H33</f>
        <v>6747395951.5613604</v>
      </c>
      <c r="I33" s="622">
        <f>'SW CF'!I33+'CPFO CF'!I33+'APK CF'!I33+'RBPI CF'!I33</f>
        <v>7742530056.0880318</v>
      </c>
      <c r="J33" s="622">
        <f>'SW CF'!J33+'CPFO CF'!J33+'APK CF'!J33+'RBPI CF'!J33</f>
        <v>6891046593.7109528</v>
      </c>
      <c r="K33" s="622">
        <f>'SW CF'!K33+'CPFO CF'!K33+'APK CF'!K33+'RBPI CF'!K33</f>
        <v>6372620555.8163786</v>
      </c>
      <c r="L33" s="622">
        <f>'SW CF'!L33+'CPFO CF'!L33+'APK CF'!L33+'RBPI CF'!L33</f>
        <v>7633918418.8010921</v>
      </c>
      <c r="M33" s="622">
        <f>'SW CF'!M33+'CPFO CF'!M33+'APK CF'!M33+'RBPI CF'!M33</f>
        <v>7847333696.2521343</v>
      </c>
      <c r="N33" s="622">
        <f>'SW CF'!N33+'CPFO CF'!N33+'APK CF'!N33+'RBPI CF'!N33</f>
        <v>8046595641.8163433</v>
      </c>
      <c r="O33" s="592"/>
    </row>
    <row r="34" spans="2:15" ht="15" customHeight="1">
      <c r="B34" s="623" t="s">
        <v>450</v>
      </c>
      <c r="C34" s="624">
        <f t="shared" ref="C34:F34" si="0">C31</f>
        <v>-1004988972.4614645</v>
      </c>
      <c r="D34" s="624">
        <f t="shared" si="0"/>
        <v>-252828282.40636879</v>
      </c>
      <c r="E34" s="624">
        <f t="shared" si="0"/>
        <v>359752419.36243421</v>
      </c>
      <c r="F34" s="624">
        <f t="shared" si="0"/>
        <v>-367129666.84967303</v>
      </c>
      <c r="G34" s="624">
        <f>G31</f>
        <v>797742608.70993292</v>
      </c>
      <c r="H34" s="624">
        <f t="shared" ref="H34:N34" si="1">H31</f>
        <v>995134104.52987254</v>
      </c>
      <c r="I34" s="624">
        <f>I31</f>
        <v>-851483462.37708092</v>
      </c>
      <c r="J34" s="624">
        <f t="shared" si="1"/>
        <v>-518426037.8945744</v>
      </c>
      <c r="K34" s="624">
        <f t="shared" si="1"/>
        <v>1261297862.98473</v>
      </c>
      <c r="L34" s="624">
        <f t="shared" si="1"/>
        <v>213415277.45102853</v>
      </c>
      <c r="M34" s="624">
        <f t="shared" si="1"/>
        <v>199261945.56421089</v>
      </c>
      <c r="N34" s="624">
        <f t="shared" si="1"/>
        <v>-114332684.11409009</v>
      </c>
      <c r="O34" s="592"/>
    </row>
    <row r="35" spans="2:15" ht="15" customHeight="1">
      <c r="B35" s="625" t="s">
        <v>451</v>
      </c>
      <c r="C35" s="626">
        <f t="shared" ref="C35:N35" si="2">C33+C34</f>
        <v>6209855541.3494101</v>
      </c>
      <c r="D35" s="626">
        <f t="shared" si="2"/>
        <v>5957030590.5786333</v>
      </c>
      <c r="E35" s="626">
        <f>E33+E34</f>
        <v>6316783009.7010708</v>
      </c>
      <c r="F35" s="626">
        <f t="shared" si="2"/>
        <v>5949653342.8513823</v>
      </c>
      <c r="G35" s="626">
        <f t="shared" si="2"/>
        <v>6747395951.5612879</v>
      </c>
      <c r="H35" s="626">
        <f t="shared" si="2"/>
        <v>7742530056.0912333</v>
      </c>
      <c r="I35" s="626">
        <f t="shared" si="2"/>
        <v>6891046593.7109509</v>
      </c>
      <c r="J35" s="626">
        <f t="shared" si="2"/>
        <v>6372620555.8163786</v>
      </c>
      <c r="K35" s="626">
        <f t="shared" si="2"/>
        <v>7633918418.8011084</v>
      </c>
      <c r="L35" s="626">
        <f t="shared" si="2"/>
        <v>7847333696.252121</v>
      </c>
      <c r="M35" s="626">
        <f t="shared" si="2"/>
        <v>8046595641.8163452</v>
      </c>
      <c r="N35" s="626">
        <f t="shared" si="2"/>
        <v>7932262957.7022533</v>
      </c>
      <c r="O35" s="592"/>
    </row>
    <row r="36" spans="2:15" ht="15" hidden="1" customHeight="1">
      <c r="B36" s="627" t="s">
        <v>452</v>
      </c>
      <c r="C36" s="628">
        <f>+'CPFO CF'!C35+'RBPI CF'!C35+'APK CF'!C35+'SW CF'!C35-C35</f>
        <v>0</v>
      </c>
      <c r="D36" s="628">
        <f>+'CPFO CF'!D35+'RBPI CF'!D35+'APK CF'!D35+'SW CF'!D35-D35</f>
        <v>0</v>
      </c>
      <c r="E36" s="628">
        <f>+'CPFO CF'!E35+'RBPI CF'!E35+'APK CF'!E35+'SW CF'!E35-E35</f>
        <v>0</v>
      </c>
      <c r="F36" s="628">
        <f>+'CPFO CF'!F35+'RBPI CF'!F35+'APK CF'!F35+'SW CF'!F35-F35</f>
        <v>0</v>
      </c>
      <c r="G36" s="628">
        <f>+'CPFO CF'!G35+'RBPI CF'!G35+'APK CF'!G35+'SW CF'!G35-G35</f>
        <v>0</v>
      </c>
      <c r="H36" s="628">
        <f>+'CPFO CF'!H35+'RBPI CF'!H35+'APK CF'!H35+'SW CF'!H35-H35</f>
        <v>0</v>
      </c>
      <c r="I36" s="628">
        <f>+'CPFO CF'!I35+'RBPI CF'!I35+'APK CF'!I35+'SW CF'!I35-I35</f>
        <v>0</v>
      </c>
      <c r="J36" s="628">
        <f>+'CPFO CF'!J35+'RBPI CF'!J35+'APK CF'!J35+'SW CF'!J35-J35</f>
        <v>0</v>
      </c>
      <c r="K36" s="628">
        <f>+'CPFO CF'!K35+'RBPI CF'!K35+'APK CF'!K35+'SW CF'!K35-K35</f>
        <v>0</v>
      </c>
      <c r="L36" s="628">
        <f>+'CPFO CF'!L35+'RBPI CF'!L35+'APK CF'!L35+'SW CF'!L35-L35</f>
        <v>0</v>
      </c>
      <c r="M36" s="628">
        <f>+'CPFO CF'!M35+'RBPI CF'!M35+'APK CF'!M35+'SW CF'!M35-M35</f>
        <v>0</v>
      </c>
      <c r="N36" s="628">
        <f>+'CPFO CF'!N35+'RBPI CF'!N35+'APK CF'!N35+'SW CF'!N35-N35</f>
        <v>0</v>
      </c>
      <c r="O36" s="592"/>
    </row>
    <row r="37" spans="2:15" ht="15" customHeight="1">
      <c r="B37" s="592"/>
      <c r="C37" s="1245">
        <f>+'CPFO CF'!C35+'RBPI CF'!C35+'APK CF'!C35+'SW CF'!C35-C35</f>
        <v>0</v>
      </c>
      <c r="D37" s="1245">
        <f>+'CPFO CF'!D35+'RBPI CF'!D35+'APK CF'!D35+'SW CF'!D35-D35</f>
        <v>0</v>
      </c>
      <c r="E37" s="1245">
        <f>+'CPFO CF'!E35+'RBPI CF'!E35+'APK CF'!E35+'SW CF'!E35-E35</f>
        <v>0</v>
      </c>
      <c r="F37" s="1245">
        <f>+'CPFO CF'!F35+'RBPI CF'!F35+'APK CF'!F35+'SW CF'!F35-F35</f>
        <v>0</v>
      </c>
      <c r="G37" s="1245">
        <f>+'CPFO CF'!G35+'RBPI CF'!G35+'APK CF'!G35+'SW CF'!G35-G35</f>
        <v>0</v>
      </c>
      <c r="H37" s="1245">
        <f>+'CPFO CF'!H35+'RBPI CF'!H35+'APK CF'!H35+'SW CF'!H35-H35</f>
        <v>0</v>
      </c>
      <c r="I37" s="1245">
        <f>+'CPFO CF'!I35+'RBPI CF'!I35+'APK CF'!I35+'SW CF'!I35-I35</f>
        <v>0</v>
      </c>
      <c r="J37" s="1245">
        <f>+'CPFO CF'!J35+'RBPI CF'!J35+'APK CF'!J35+'SW CF'!J35-J35</f>
        <v>0</v>
      </c>
      <c r="K37" s="1245">
        <f>+'CPFO CF'!K35+'RBPI CF'!K35+'APK CF'!K35+'SW CF'!K35-K35</f>
        <v>0</v>
      </c>
      <c r="L37" s="1245">
        <f>+'CPFO CF'!L35+'RBPI CF'!L35+'APK CF'!L35+'SW CF'!L35-L35</f>
        <v>0</v>
      </c>
      <c r="M37" s="1245">
        <f>+'CPFO CF'!M35+'RBPI CF'!M35+'APK CF'!M35+'SW CF'!M35-M35</f>
        <v>0</v>
      </c>
      <c r="N37" s="1245">
        <f>+'CPFO CF'!N35+'RBPI CF'!N35+'APK CF'!N35+'SW CF'!N35-N35</f>
        <v>0</v>
      </c>
      <c r="O37" s="592"/>
    </row>
    <row r="38" spans="2:15" ht="15" customHeight="1">
      <c r="K38" s="592"/>
      <c r="L38" s="592"/>
      <c r="M38" s="592"/>
      <c r="N38" s="592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32CA-DB3A-4227-8FF0-FEFA2C98635A}">
  <sheetPr>
    <pageSetUpPr fitToPage="1"/>
  </sheetPr>
  <dimension ref="B1:Q4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5" sqref="H5:N35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6.6640625" bestFit="1" customWidth="1"/>
    <col min="4" max="4" width="16" bestFit="1" customWidth="1"/>
    <col min="5" max="5" width="15.77734375" bestFit="1" customWidth="1"/>
    <col min="6" max="6" width="15.21875" bestFit="1" customWidth="1"/>
    <col min="7" max="7" width="15.44140625" bestFit="1" customWidth="1"/>
    <col min="8" max="8" width="15.21875" bestFit="1" customWidth="1"/>
    <col min="9" max="9" width="15.77734375" bestFit="1" customWidth="1"/>
    <col min="10" max="10" width="14.77734375" bestFit="1" customWidth="1"/>
    <col min="11" max="11" width="16" bestFit="1" customWidth="1"/>
    <col min="12" max="12" width="16.44140625" bestFit="1" customWidth="1"/>
    <col min="13" max="13" width="15.6640625" bestFit="1" customWidth="1"/>
    <col min="14" max="14" width="15.44140625" bestFit="1" customWidth="1"/>
    <col min="15" max="17" width="13.21875" bestFit="1" customWidth="1"/>
  </cols>
  <sheetData>
    <row r="1" spans="2:17" ht="15" customHeight="1">
      <c r="B1" s="589" t="s">
        <v>463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  <c r="P1" s="592"/>
      <c r="Q1" s="592"/>
    </row>
    <row r="2" spans="2:17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  <c r="P2" s="592"/>
      <c r="Q2" s="592"/>
    </row>
    <row r="3" spans="2:17" ht="15" customHeight="1">
      <c r="B3" s="1365" t="s">
        <v>422</v>
      </c>
      <c r="C3" s="973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  <c r="P3" s="592"/>
      <c r="Q3" s="592"/>
    </row>
    <row r="4" spans="2:17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  <c r="P4" s="1175"/>
      <c r="Q4" s="1175"/>
    </row>
    <row r="5" spans="2:17" ht="15" customHeight="1">
      <c r="B5" s="596" t="s">
        <v>423</v>
      </c>
      <c r="C5" s="607">
        <v>-10943668.960000006</v>
      </c>
      <c r="D5" s="608">
        <v>276353959.15999997</v>
      </c>
      <c r="E5" s="608">
        <v>143930558.62900007</v>
      </c>
      <c r="F5" s="608">
        <v>116091130.30999994</v>
      </c>
      <c r="G5" s="608">
        <v>108809395.1099999</v>
      </c>
      <c r="H5" s="608">
        <v>207312080.33000004</v>
      </c>
      <c r="I5" s="598">
        <v>62378089.283124566</v>
      </c>
      <c r="J5" s="598">
        <v>-20965337.144080043</v>
      </c>
      <c r="K5" s="598">
        <v>491524412.3370434</v>
      </c>
      <c r="L5" s="598">
        <v>26083012.620827198</v>
      </c>
      <c r="M5" s="598">
        <v>4085946.2293748856</v>
      </c>
      <c r="N5" s="953">
        <v>-16943154.686389208</v>
      </c>
      <c r="O5" s="1176"/>
      <c r="P5" s="1176"/>
      <c r="Q5" s="1176"/>
    </row>
    <row r="6" spans="2:17" ht="15" customHeight="1">
      <c r="B6" s="596" t="s">
        <v>424</v>
      </c>
      <c r="C6" s="600"/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1176"/>
      <c r="P6" s="592"/>
      <c r="Q6" s="592"/>
    </row>
    <row r="7" spans="2:17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1176"/>
      <c r="P7" s="592"/>
      <c r="Q7" s="592"/>
    </row>
    <row r="8" spans="2:17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1176"/>
      <c r="P8" s="592"/>
      <c r="Q8" s="592"/>
    </row>
    <row r="9" spans="2:17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1176"/>
      <c r="P9" s="592"/>
      <c r="Q9" s="592"/>
    </row>
    <row r="10" spans="2:17" ht="15" customHeight="1">
      <c r="B10" s="596" t="s">
        <v>428</v>
      </c>
      <c r="C10" s="602">
        <v>34079997.464127541</v>
      </c>
      <c r="D10" s="603">
        <v>57431488.28000021</v>
      </c>
      <c r="E10" s="603">
        <v>46732429.159999847</v>
      </c>
      <c r="F10" s="603">
        <v>12502969.919999599</v>
      </c>
      <c r="G10" s="603">
        <v>56504288.869999409</v>
      </c>
      <c r="H10" s="603">
        <v>56507629.130000114</v>
      </c>
      <c r="I10" s="603">
        <v>57509000</v>
      </c>
      <c r="J10" s="603">
        <v>57509000</v>
      </c>
      <c r="K10" s="603">
        <v>57509000</v>
      </c>
      <c r="L10" s="603">
        <v>57509000</v>
      </c>
      <c r="M10" s="603">
        <v>57509000</v>
      </c>
      <c r="N10" s="955">
        <v>57509000</v>
      </c>
      <c r="O10" s="1176"/>
      <c r="P10" s="592"/>
      <c r="Q10" s="592"/>
    </row>
    <row r="11" spans="2:17" ht="15" customHeight="1">
      <c r="B11" s="604" t="s">
        <v>429</v>
      </c>
      <c r="C11" s="605">
        <v>23136328.504127532</v>
      </c>
      <c r="D11" s="606">
        <v>333785447.44000018</v>
      </c>
      <c r="E11" s="606">
        <v>190662987.78899992</v>
      </c>
      <c r="F11" s="606">
        <v>128594100.22999954</v>
      </c>
      <c r="G11" s="606">
        <v>165313683.9799993</v>
      </c>
      <c r="H11" s="606">
        <v>263819709.46000016</v>
      </c>
      <c r="I11" s="606">
        <v>119887089.28312457</v>
      </c>
      <c r="J11" s="606">
        <v>36543662.855919957</v>
      </c>
      <c r="K11" s="606">
        <v>549033412.3370434</v>
      </c>
      <c r="L11" s="606">
        <v>83592012.620827198</v>
      </c>
      <c r="M11" s="606">
        <v>61594946.229374886</v>
      </c>
      <c r="N11" s="956">
        <v>40565845.313610792</v>
      </c>
      <c r="O11" s="1176"/>
      <c r="P11" s="1176"/>
      <c r="Q11" s="1176"/>
    </row>
    <row r="12" spans="2:17" ht="15" customHeight="1">
      <c r="B12" s="596" t="s">
        <v>430</v>
      </c>
      <c r="C12" s="600">
        <v>-60939830.620000184</v>
      </c>
      <c r="D12" s="601">
        <v>14578629.649999976</v>
      </c>
      <c r="E12" s="601">
        <v>-262680128.20999965</v>
      </c>
      <c r="F12" s="601">
        <v>-33780960.389999717</v>
      </c>
      <c r="G12" s="601">
        <v>1371793.2999993861</v>
      </c>
      <c r="H12" s="601">
        <v>-18072127.449999362</v>
      </c>
      <c r="I12" s="601">
        <v>50108573.18599999</v>
      </c>
      <c r="J12" s="601">
        <v>50108979.716000021</v>
      </c>
      <c r="K12" s="601">
        <v>50098979.715999722</v>
      </c>
      <c r="L12" s="601">
        <v>49792040.567999959</v>
      </c>
      <c r="M12" s="601">
        <v>50108979.716000021</v>
      </c>
      <c r="N12" s="954">
        <v>50100579.716000021</v>
      </c>
      <c r="O12" s="1176"/>
      <c r="P12" s="1177"/>
      <c r="Q12" s="1177"/>
    </row>
    <row r="13" spans="2:17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1176"/>
      <c r="P13" s="1176"/>
      <c r="Q13" s="1176"/>
    </row>
    <row r="14" spans="2:17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1176"/>
      <c r="P14" s="1176"/>
      <c r="Q14" s="1176"/>
    </row>
    <row r="15" spans="2:17" ht="15" customHeight="1">
      <c r="B15" s="596" t="s">
        <v>560</v>
      </c>
      <c r="C15" s="602">
        <v>9796560.5900000334</v>
      </c>
      <c r="D15" s="603">
        <v>-7845756.6200000048</v>
      </c>
      <c r="E15" s="603">
        <v>-50695906.90899992</v>
      </c>
      <c r="F15" s="603">
        <v>326202857.1499998</v>
      </c>
      <c r="G15" s="603">
        <v>-6387871.6100000739</v>
      </c>
      <c r="H15" s="603">
        <v>38327384.090000212</v>
      </c>
      <c r="I15" s="603">
        <v>0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176"/>
      <c r="P15" s="1177"/>
      <c r="Q15" s="1177"/>
    </row>
    <row r="16" spans="2:17" ht="15" customHeight="1">
      <c r="B16" s="604" t="s">
        <v>434</v>
      </c>
      <c r="C16" s="605">
        <v>-51143270.03000015</v>
      </c>
      <c r="D16" s="606">
        <v>6732873.0299999714</v>
      </c>
      <c r="E16" s="606">
        <v>-313376035.1189996</v>
      </c>
      <c r="F16" s="606">
        <v>292421896.76000011</v>
      </c>
      <c r="G16" s="606">
        <v>-5016078.3100006878</v>
      </c>
      <c r="H16" s="606">
        <v>20255256.64000085</v>
      </c>
      <c r="I16" s="606">
        <v>50108573.18599999</v>
      </c>
      <c r="J16" s="606">
        <v>50108979.716000021</v>
      </c>
      <c r="K16" s="606">
        <v>50098979.715999722</v>
      </c>
      <c r="L16" s="606">
        <v>49792040.567999959</v>
      </c>
      <c r="M16" s="606">
        <v>50108979.716000021</v>
      </c>
      <c r="N16" s="956">
        <v>50100579.716000021</v>
      </c>
      <c r="O16" s="1176"/>
      <c r="P16" s="1176"/>
      <c r="Q16" s="1176"/>
    </row>
    <row r="17" spans="2:17" ht="15" customHeight="1">
      <c r="B17" s="596" t="s">
        <v>561</v>
      </c>
      <c r="C17" s="600">
        <v>-372088323.8100003</v>
      </c>
      <c r="D17" s="601">
        <v>7787057.7100007236</v>
      </c>
      <c r="E17" s="601">
        <v>-47361259.929999977</v>
      </c>
      <c r="F17" s="601">
        <v>14873869.739999861</v>
      </c>
      <c r="G17" s="601">
        <v>52806921.559999585</v>
      </c>
      <c r="H17" s="601">
        <v>51453713.530000597</v>
      </c>
      <c r="I17" s="601">
        <v>0</v>
      </c>
      <c r="J17" s="601">
        <v>0</v>
      </c>
      <c r="K17" s="601">
        <v>-5.9604644775390625E-8</v>
      </c>
      <c r="L17" s="601">
        <v>0</v>
      </c>
      <c r="M17" s="601">
        <v>0</v>
      </c>
      <c r="N17" s="954">
        <v>0</v>
      </c>
      <c r="O17" s="1176"/>
      <c r="P17" s="1177"/>
      <c r="Q17" s="1177"/>
    </row>
    <row r="18" spans="2:17" ht="15" customHeight="1">
      <c r="B18" s="596" t="s">
        <v>436</v>
      </c>
      <c r="C18" s="600">
        <v>0</v>
      </c>
      <c r="D18" s="601">
        <v>0</v>
      </c>
      <c r="E18" s="601">
        <v>300000000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176"/>
      <c r="P18" s="1177"/>
      <c r="Q18" s="1177"/>
    </row>
    <row r="19" spans="2:17" ht="15" customHeight="1">
      <c r="B19" s="596" t="s">
        <v>437</v>
      </c>
      <c r="C19" s="600">
        <v>-219548307.65999937</v>
      </c>
      <c r="D19" s="601">
        <v>-19224525.960000515</v>
      </c>
      <c r="E19" s="601">
        <v>-10562219.869999409</v>
      </c>
      <c r="F19" s="601">
        <v>60761995.299999714</v>
      </c>
      <c r="G19" s="601">
        <v>43337251.759999275</v>
      </c>
      <c r="H19" s="601">
        <v>213938930.50000048</v>
      </c>
      <c r="I19" s="601">
        <v>-81190549.228105545</v>
      </c>
      <c r="J19" s="601">
        <v>110809582.11096048</v>
      </c>
      <c r="K19" s="601">
        <v>183611072.2591424</v>
      </c>
      <c r="L19" s="601">
        <v>46300356.961187363</v>
      </c>
      <c r="M19" s="601">
        <v>-48800000</v>
      </c>
      <c r="N19" s="954">
        <v>-49800000</v>
      </c>
      <c r="O19" s="1176"/>
      <c r="P19" s="1176"/>
      <c r="Q19" s="1176"/>
    </row>
    <row r="20" spans="2:17" ht="15" customHeight="1">
      <c r="B20" s="596" t="s">
        <v>438</v>
      </c>
      <c r="C20" s="602">
        <v>9940386.5000001192</v>
      </c>
      <c r="D20" s="603">
        <v>87513875.050000072</v>
      </c>
      <c r="E20" s="603">
        <v>-102988980.1500001</v>
      </c>
      <c r="F20" s="603">
        <v>-120735454.11999989</v>
      </c>
      <c r="G20" s="603">
        <v>119788425.28999984</v>
      </c>
      <c r="H20" s="603">
        <v>-93816457.820000052</v>
      </c>
      <c r="I20" s="603">
        <v>-25065036.28643024</v>
      </c>
      <c r="J20" s="603">
        <v>7014593.3335698843</v>
      </c>
      <c r="K20" s="603">
        <v>6841193.3335697651</v>
      </c>
      <c r="L20" s="603">
        <v>-15302063.367139578</v>
      </c>
      <c r="M20" s="603">
        <v>5476487.3335698843</v>
      </c>
      <c r="N20" s="955">
        <v>2937768.6335697174</v>
      </c>
      <c r="O20" s="1176"/>
      <c r="P20" s="1177"/>
      <c r="Q20" s="1177"/>
    </row>
    <row r="21" spans="2:17" ht="15" customHeight="1">
      <c r="B21" s="604" t="s">
        <v>439</v>
      </c>
      <c r="C21" s="605">
        <v>-581696244.96999955</v>
      </c>
      <c r="D21" s="606">
        <v>76076406.80000028</v>
      </c>
      <c r="E21" s="606">
        <v>139087540.05000052</v>
      </c>
      <c r="F21" s="606">
        <v>-45099589.080000311</v>
      </c>
      <c r="G21" s="606">
        <v>215932598.6099987</v>
      </c>
      <c r="H21" s="606">
        <v>171576186.21000102</v>
      </c>
      <c r="I21" s="606">
        <v>-106255585.51453578</v>
      </c>
      <c r="J21" s="606">
        <v>117824175.44453037</v>
      </c>
      <c r="K21" s="606">
        <v>190452265.5927121</v>
      </c>
      <c r="L21" s="606">
        <v>30998293.594047785</v>
      </c>
      <c r="M21" s="606">
        <v>-43323512.666430116</v>
      </c>
      <c r="N21" s="956">
        <v>-46862231.366430283</v>
      </c>
      <c r="O21" s="1176"/>
      <c r="P21" s="1176"/>
      <c r="Q21" s="1176"/>
    </row>
    <row r="22" spans="2:17" ht="15" customHeight="1">
      <c r="B22" s="596" t="s">
        <v>440</v>
      </c>
      <c r="C22" s="607">
        <v>1694450.4700001478</v>
      </c>
      <c r="D22" s="608">
        <v>601597.5</v>
      </c>
      <c r="E22" s="608">
        <v>-5266411.75</v>
      </c>
      <c r="F22" s="608">
        <v>-32403765.869998932</v>
      </c>
      <c r="G22" s="608">
        <v>3440528.4500007629</v>
      </c>
      <c r="H22" s="608">
        <v>5241170.4300003052</v>
      </c>
      <c r="I22" s="608">
        <v>392143989.39984131</v>
      </c>
      <c r="J22" s="608">
        <v>21175178.333686829</v>
      </c>
      <c r="K22" s="608">
        <v>11608702.616220474</v>
      </c>
      <c r="L22" s="608">
        <v>870895.5289478302</v>
      </c>
      <c r="M22" s="608">
        <v>951527.52841567993</v>
      </c>
      <c r="N22" s="957">
        <v>67436202.319007874</v>
      </c>
      <c r="O22" s="1176"/>
      <c r="P22" s="1176"/>
      <c r="Q22" s="1176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1176"/>
      <c r="P23" s="1176"/>
      <c r="Q23" s="1176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1176"/>
      <c r="P24" s="1176"/>
      <c r="Q24" s="1176"/>
    </row>
    <row r="25" spans="2:17" ht="15" customHeight="1">
      <c r="B25" s="611" t="s">
        <v>442</v>
      </c>
      <c r="C25" s="612">
        <v>1694450.4700001478</v>
      </c>
      <c r="D25" s="613">
        <v>601597.5</v>
      </c>
      <c r="E25" s="613">
        <v>-5266411.75</v>
      </c>
      <c r="F25" s="613">
        <v>-32403765.869998932</v>
      </c>
      <c r="G25" s="613">
        <v>3440528.4500007629</v>
      </c>
      <c r="H25" s="613">
        <v>5241170.4300003052</v>
      </c>
      <c r="I25" s="613">
        <v>392143989.39984131</v>
      </c>
      <c r="J25" s="613">
        <v>21175178.333686829</v>
      </c>
      <c r="K25" s="613">
        <v>11608702.616220474</v>
      </c>
      <c r="L25" s="613">
        <v>870895.5289478302</v>
      </c>
      <c r="M25" s="613">
        <v>951527.52841567993</v>
      </c>
      <c r="N25" s="959">
        <v>67436202.319007874</v>
      </c>
      <c r="O25" s="1176"/>
      <c r="P25" s="1176"/>
      <c r="Q25" s="1176"/>
    </row>
    <row r="26" spans="2:17" ht="15" customHeight="1">
      <c r="B26" s="596" t="s">
        <v>443</v>
      </c>
      <c r="C26" s="607">
        <v>0</v>
      </c>
      <c r="D26" s="608">
        <v>-25000000</v>
      </c>
      <c r="E26" s="608">
        <v>-903514730.70000005</v>
      </c>
      <c r="F26" s="608">
        <v>0</v>
      </c>
      <c r="G26" s="608">
        <v>0</v>
      </c>
      <c r="H26" s="608">
        <v>-164897121.47000003</v>
      </c>
      <c r="I26" s="608">
        <v>0</v>
      </c>
      <c r="J26" s="608">
        <v>0</v>
      </c>
      <c r="K26" s="608">
        <v>-128514730.81999999</v>
      </c>
      <c r="L26" s="608">
        <v>0</v>
      </c>
      <c r="M26" s="608">
        <v>0</v>
      </c>
      <c r="N26" s="957">
        <v>-128514730.81999993</v>
      </c>
      <c r="O26" s="1176"/>
      <c r="P26" s="1176"/>
      <c r="Q26" s="1176"/>
    </row>
    <row r="27" spans="2:17" ht="15" customHeight="1">
      <c r="B27" s="596" t="s">
        <v>444</v>
      </c>
      <c r="C27" s="607">
        <v>-32756702.610000134</v>
      </c>
      <c r="D27" s="608">
        <v>-220024009.58999968</v>
      </c>
      <c r="E27" s="608">
        <v>663303854.76999998</v>
      </c>
      <c r="F27" s="608">
        <v>-340238362.00999975</v>
      </c>
      <c r="G27" s="608">
        <v>-62841136.450000286</v>
      </c>
      <c r="H27" s="608">
        <v>46828598.099999905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1176"/>
      <c r="P27" s="1176"/>
      <c r="Q27" s="1176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1176"/>
      <c r="P28" s="592"/>
      <c r="Q28" s="592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1176"/>
      <c r="P29" s="592"/>
      <c r="Q29" s="592"/>
    </row>
    <row r="30" spans="2:17" ht="15" customHeight="1">
      <c r="B30" s="614" t="s">
        <v>447</v>
      </c>
      <c r="C30" s="615">
        <v>-32756702.610000134</v>
      </c>
      <c r="D30" s="616">
        <v>-245024009.58999968</v>
      </c>
      <c r="E30" s="616">
        <v>-240210875.93000007</v>
      </c>
      <c r="F30" s="616">
        <v>-340238362.00999975</v>
      </c>
      <c r="G30" s="616">
        <v>-62841136.450000286</v>
      </c>
      <c r="H30" s="616">
        <v>-118068523.37000012</v>
      </c>
      <c r="I30" s="616">
        <v>0</v>
      </c>
      <c r="J30" s="616">
        <v>0</v>
      </c>
      <c r="K30" s="616">
        <v>-128514730.81999999</v>
      </c>
      <c r="L30" s="616">
        <v>0</v>
      </c>
      <c r="M30" s="616">
        <v>0</v>
      </c>
      <c r="N30" s="960">
        <v>-128514730.81999993</v>
      </c>
      <c r="O30" s="1176"/>
      <c r="P30" s="599"/>
      <c r="Q30" s="599"/>
    </row>
    <row r="31" spans="2:17" ht="15" customHeight="1" thickBot="1">
      <c r="B31" s="617" t="s">
        <v>448</v>
      </c>
      <c r="C31" s="618">
        <v>519238150.36412668</v>
      </c>
      <c r="D31" s="619">
        <v>18816306.580000192</v>
      </c>
      <c r="E31" s="619">
        <v>-496745051.5600003</v>
      </c>
      <c r="F31" s="619">
        <v>158280989.92999911</v>
      </c>
      <c r="G31" s="619">
        <v>-121916657.84000114</v>
      </c>
      <c r="H31" s="619">
        <v>-10810913.910000473</v>
      </c>
      <c r="I31" s="619">
        <v>-115892741.41618097</v>
      </c>
      <c r="J31" s="619">
        <v>-52346711.206297219</v>
      </c>
      <c r="K31" s="619">
        <v>268556693.02411056</v>
      </c>
      <c r="L31" s="619">
        <v>101514864.06583154</v>
      </c>
      <c r="M31" s="619">
        <v>154075911.08338934</v>
      </c>
      <c r="N31" s="961">
        <v>-58422276.742966712</v>
      </c>
      <c r="O31" s="1176"/>
      <c r="P31" s="599"/>
      <c r="Q31" s="599"/>
    </row>
    <row r="32" spans="2:17" s="592" customFormat="1" ht="15" customHeight="1">
      <c r="B32" s="620"/>
      <c r="C32" s="599"/>
      <c r="D32" s="599">
        <v>0</v>
      </c>
      <c r="E32" s="599"/>
      <c r="F32" s="599"/>
      <c r="G32" s="599"/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561756452.89587307</v>
      </c>
      <c r="D33" s="622">
        <v>1080997934.6300001</v>
      </c>
      <c r="E33" s="622">
        <v>1099814240.97</v>
      </c>
      <c r="F33" s="622">
        <v>603069189.40999997</v>
      </c>
      <c r="G33" s="622">
        <v>761350179.33999908</v>
      </c>
      <c r="H33" s="622">
        <v>639433521.49999797</v>
      </c>
      <c r="I33" s="622">
        <v>628622607.58999753</v>
      </c>
      <c r="J33" s="622">
        <v>512729866.17381656</v>
      </c>
      <c r="K33" s="622">
        <v>460383154.96751934</v>
      </c>
      <c r="L33" s="622">
        <v>728939847.99162984</v>
      </c>
      <c r="M33" s="622">
        <v>830454712.05746138</v>
      </c>
      <c r="N33" s="622">
        <v>984530623.14085078</v>
      </c>
    </row>
    <row r="34" spans="2:14" ht="15" customHeight="1">
      <c r="B34" s="623" t="s">
        <v>450</v>
      </c>
      <c r="C34" s="624">
        <v>519238150.36412668</v>
      </c>
      <c r="D34" s="624">
        <v>18816306.580000192</v>
      </c>
      <c r="E34" s="624">
        <v>-496745051.5600003</v>
      </c>
      <c r="F34" s="624">
        <v>158280989.92999911</v>
      </c>
      <c r="G34" s="624">
        <v>-121916657.84000114</v>
      </c>
      <c r="H34" s="624">
        <v>-10810913.910000473</v>
      </c>
      <c r="I34" s="624">
        <v>-115892741.41618097</v>
      </c>
      <c r="J34" s="624">
        <v>-52346711.206297219</v>
      </c>
      <c r="K34" s="624">
        <v>268556693.02411056</v>
      </c>
      <c r="L34" s="624">
        <v>101514864.06583154</v>
      </c>
      <c r="M34" s="624">
        <v>154075911.08338934</v>
      </c>
      <c r="N34" s="624">
        <v>-58422276.742966712</v>
      </c>
    </row>
    <row r="35" spans="2:14" ht="15" customHeight="1">
      <c r="B35" s="625" t="s">
        <v>451</v>
      </c>
      <c r="C35" s="626">
        <v>1080994603.2599998</v>
      </c>
      <c r="D35" s="626">
        <v>1099814241.2100003</v>
      </c>
      <c r="E35" s="626">
        <v>603069189.40999973</v>
      </c>
      <c r="F35" s="626">
        <v>761350179.33999908</v>
      </c>
      <c r="G35" s="626">
        <v>639433521.49999797</v>
      </c>
      <c r="H35" s="626">
        <v>628622607.58999753</v>
      </c>
      <c r="I35" s="626">
        <v>512729866.17381656</v>
      </c>
      <c r="J35" s="626">
        <v>460383154.96751934</v>
      </c>
      <c r="K35" s="626">
        <v>728939847.99162984</v>
      </c>
      <c r="L35" s="626">
        <v>830454712.05746138</v>
      </c>
      <c r="M35" s="626">
        <v>984530623.14085078</v>
      </c>
      <c r="N35" s="626">
        <v>926108346.39788413</v>
      </c>
    </row>
    <row r="36" spans="2:14" ht="15" hidden="1" customHeight="1">
      <c r="B36" s="627"/>
      <c r="C36" s="628"/>
      <c r="D36" s="628"/>
      <c r="E36" s="628">
        <v>0</v>
      </c>
      <c r="F36" s="628">
        <v>118820794.41033512</v>
      </c>
      <c r="G36" s="628">
        <v>73900541.527904749</v>
      </c>
      <c r="H36" s="628">
        <v>33484475.145474911</v>
      </c>
      <c r="I36" s="628">
        <v>-30397078.139665067</v>
      </c>
      <c r="J36" s="628">
        <v>156508535.47790545</v>
      </c>
      <c r="K36" s="628">
        <v>343250749.09547424</v>
      </c>
      <c r="L36" s="628">
        <v>278156645.16033578</v>
      </c>
      <c r="M36" s="628">
        <v>233524152.77790546</v>
      </c>
      <c r="N36" s="628">
        <v>186361341.69547427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9" spans="2:14" ht="15" customHeight="1">
      <c r="C39" s="1049"/>
    </row>
    <row r="40" spans="2:14" ht="15" customHeight="1">
      <c r="C40" s="1049"/>
    </row>
    <row r="41" spans="2:14" ht="15" customHeight="1">
      <c r="C41" s="1049"/>
    </row>
    <row r="42" spans="2:14" ht="15" customHeight="1">
      <c r="C42" s="1049"/>
    </row>
    <row r="44" spans="2:14" ht="15" customHeight="1">
      <c r="C44" s="1049"/>
    </row>
    <row r="46" spans="2:14" ht="15" customHeight="1">
      <c r="C46" s="1049"/>
    </row>
  </sheetData>
  <mergeCells count="1">
    <mergeCell ref="B3:B4"/>
  </mergeCells>
  <pageMargins left="0.2" right="0.2" top="0.75" bottom="0.75" header="0.3" footer="0.3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8BF8F-033F-493F-B6C1-E4C988BE864A}">
  <sheetPr>
    <pageSetUpPr fitToPage="1"/>
  </sheetPr>
  <dimension ref="B1:Q3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8.21875" defaultRowHeight="15" customHeight="1"/>
  <cols>
    <col min="1" max="1" width="0.77734375" customWidth="1"/>
    <col min="2" max="2" width="32.21875" customWidth="1"/>
    <col min="3" max="4" width="15.44140625" bestFit="1" customWidth="1"/>
    <col min="5" max="6" width="16.6640625" bestFit="1" customWidth="1"/>
    <col min="7" max="7" width="16.44140625" bestFit="1" customWidth="1"/>
    <col min="8" max="10" width="15.44140625" bestFit="1" customWidth="1"/>
    <col min="11" max="12" width="16.6640625" bestFit="1" customWidth="1"/>
    <col min="13" max="13" width="16" bestFit="1" customWidth="1"/>
    <col min="14" max="14" width="16.6640625" bestFit="1" customWidth="1"/>
    <col min="15" max="15" width="14.77734375" style="1051" bestFit="1" customWidth="1"/>
    <col min="16" max="16" width="18.21875" style="1051" bestFit="1" customWidth="1"/>
    <col min="17" max="17" width="17.21875" style="1051" bestFit="1" customWidth="1"/>
  </cols>
  <sheetData>
    <row r="1" spans="2:15" ht="15" customHeight="1">
      <c r="B1" s="589" t="s">
        <v>464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629"/>
      <c r="O1" s="971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971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971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301"/>
    </row>
    <row r="5" spans="2:15" ht="15" customHeight="1">
      <c r="B5" s="596" t="s">
        <v>423</v>
      </c>
      <c r="C5" s="607">
        <v>-185490290.95698667</v>
      </c>
      <c r="D5" s="608">
        <v>519857575.8499912</v>
      </c>
      <c r="E5" s="608">
        <v>382340883.99368846</v>
      </c>
      <c r="F5" s="608">
        <v>406516755.91001487</v>
      </c>
      <c r="G5" s="608">
        <v>174759882.80000424</v>
      </c>
      <c r="H5" s="608">
        <v>520837126.27999973</v>
      </c>
      <c r="I5" s="598">
        <v>80105776.368840694</v>
      </c>
      <c r="J5" s="598">
        <v>72664634.984514713</v>
      </c>
      <c r="K5" s="598">
        <v>1675218211.4895468</v>
      </c>
      <c r="L5" s="598">
        <v>86650441.983444214</v>
      </c>
      <c r="M5" s="598">
        <v>187982807.49791718</v>
      </c>
      <c r="N5" s="953">
        <v>291429402.14599323</v>
      </c>
      <c r="O5" s="971"/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/>
    </row>
    <row r="7" spans="2:15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/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/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/>
    </row>
    <row r="10" spans="2:15" ht="15" customHeight="1">
      <c r="B10" s="596" t="s">
        <v>428</v>
      </c>
      <c r="C10" s="602">
        <v>151241634.12999916</v>
      </c>
      <c r="D10" s="603">
        <v>151183432.95000076</v>
      </c>
      <c r="E10" s="603">
        <v>177485793.93061447</v>
      </c>
      <c r="F10" s="603">
        <v>149590842.15999985</v>
      </c>
      <c r="G10" s="603">
        <v>148617347.36000061</v>
      </c>
      <c r="H10" s="603">
        <v>152230314.62999916</v>
      </c>
      <c r="I10" s="603">
        <v>167607895.62433815</v>
      </c>
      <c r="J10" s="603">
        <v>167885157.52910042</v>
      </c>
      <c r="K10" s="603">
        <v>168129657.52910042</v>
      </c>
      <c r="L10" s="603">
        <v>168232395.62433815</v>
      </c>
      <c r="M10" s="603">
        <v>168242514.67195702</v>
      </c>
      <c r="N10" s="955">
        <v>168294300.38624382</v>
      </c>
      <c r="O10" s="971"/>
    </row>
    <row r="11" spans="2:15" ht="15" customHeight="1">
      <c r="B11" s="604" t="s">
        <v>429</v>
      </c>
      <c r="C11" s="605">
        <v>-34248656.826987505</v>
      </c>
      <c r="D11" s="606">
        <v>671041008.79999197</v>
      </c>
      <c r="E11" s="606">
        <v>559826677.92430294</v>
      </c>
      <c r="F11" s="606">
        <v>556107598.07001472</v>
      </c>
      <c r="G11" s="606">
        <v>323377230.16000485</v>
      </c>
      <c r="H11" s="606">
        <v>673067440.90999889</v>
      </c>
      <c r="I11" s="606">
        <v>247713671.99317884</v>
      </c>
      <c r="J11" s="606">
        <v>240549792.51361513</v>
      </c>
      <c r="K11" s="606">
        <v>1843347869.0186472</v>
      </c>
      <c r="L11" s="606">
        <v>254882837.60778236</v>
      </c>
      <c r="M11" s="606">
        <v>356225322.16987419</v>
      </c>
      <c r="N11" s="956">
        <v>459723702.53223705</v>
      </c>
      <c r="O11" s="971"/>
    </row>
    <row r="12" spans="2:15" ht="15" customHeight="1">
      <c r="B12" s="596" t="s">
        <v>430</v>
      </c>
      <c r="C12" s="600">
        <v>138648870.84999985</v>
      </c>
      <c r="D12" s="601">
        <v>27748244.820000172</v>
      </c>
      <c r="E12" s="601">
        <v>-50686428.2900002</v>
      </c>
      <c r="F12" s="601">
        <v>-199659465.18999988</v>
      </c>
      <c r="G12" s="601">
        <v>-114416858.66999996</v>
      </c>
      <c r="H12" s="601">
        <v>156049026.9799999</v>
      </c>
      <c r="I12" s="601">
        <v>-20654845.736947238</v>
      </c>
      <c r="J12" s="601">
        <v>-3811749.9529597759</v>
      </c>
      <c r="K12" s="601">
        <v>-8950312.8169075251</v>
      </c>
      <c r="L12" s="601">
        <v>-21673050.494717956</v>
      </c>
      <c r="M12" s="601">
        <v>-6882721.4988493323</v>
      </c>
      <c r="N12" s="954">
        <v>17579799.178290725</v>
      </c>
      <c r="O12" s="1050"/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/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/>
    </row>
    <row r="15" spans="2:15" ht="15" customHeight="1">
      <c r="B15" s="596" t="s">
        <v>433</v>
      </c>
      <c r="C15" s="602">
        <v>126978668.90522885</v>
      </c>
      <c r="D15" s="603">
        <v>-100161010.22000337</v>
      </c>
      <c r="E15" s="603">
        <v>-269200252.05510402</v>
      </c>
      <c r="F15" s="603">
        <v>-89039543.01388979</v>
      </c>
      <c r="G15" s="603">
        <v>344905581.20579934</v>
      </c>
      <c r="H15" s="603">
        <v>95550909.221186161</v>
      </c>
      <c r="I15" s="603">
        <v>-148132730.58616447</v>
      </c>
      <c r="J15" s="603">
        <v>-150452150.12753439</v>
      </c>
      <c r="K15" s="603">
        <v>-144872647.64246559</v>
      </c>
      <c r="L15" s="603">
        <v>-150645516.16917801</v>
      </c>
      <c r="M15" s="603">
        <v>-146953627.57671213</v>
      </c>
      <c r="N15" s="955">
        <v>-151728299.72863007</v>
      </c>
      <c r="O15" s="1050"/>
    </row>
    <row r="16" spans="2:15" ht="15" customHeight="1">
      <c r="B16" s="604" t="s">
        <v>434</v>
      </c>
      <c r="C16" s="605">
        <v>265627539.7552287</v>
      </c>
      <c r="D16" s="606">
        <v>-72412765.400003195</v>
      </c>
      <c r="E16" s="606">
        <v>-319886680.34510422</v>
      </c>
      <c r="F16" s="606">
        <v>-288699008.20388967</v>
      </c>
      <c r="G16" s="606">
        <v>230488722.53579938</v>
      </c>
      <c r="H16" s="606">
        <v>251599936.20118606</v>
      </c>
      <c r="I16" s="606">
        <v>-168787576.32311171</v>
      </c>
      <c r="J16" s="606">
        <v>-154263900.08049417</v>
      </c>
      <c r="K16" s="606">
        <v>-153822960.45937312</v>
      </c>
      <c r="L16" s="606">
        <v>-172318566.66389596</v>
      </c>
      <c r="M16" s="606">
        <v>-153836349.07556146</v>
      </c>
      <c r="N16" s="956">
        <v>-134148500.55033934</v>
      </c>
      <c r="O16" s="971"/>
    </row>
    <row r="17" spans="2:17" ht="15" customHeight="1">
      <c r="B17" s="596" t="s">
        <v>435</v>
      </c>
      <c r="C17" s="600">
        <v>119596471.20999998</v>
      </c>
      <c r="D17" s="601">
        <v>49260997.240000069</v>
      </c>
      <c r="E17" s="601">
        <v>-77634781.640000045</v>
      </c>
      <c r="F17" s="601">
        <v>73182996.74999994</v>
      </c>
      <c r="G17" s="601">
        <v>27430190.050000072</v>
      </c>
      <c r="H17" s="601">
        <v>-152110198.07000005</v>
      </c>
      <c r="I17" s="601">
        <v>166722212.06723785</v>
      </c>
      <c r="J17" s="601">
        <v>97129657.041113377</v>
      </c>
      <c r="K17" s="601">
        <v>-5861446.4332756996</v>
      </c>
      <c r="L17" s="601">
        <v>129517011.60219729</v>
      </c>
      <c r="M17" s="601">
        <v>8984519.1110639572</v>
      </c>
      <c r="N17" s="954">
        <v>-188430.85423624516</v>
      </c>
      <c r="O17" s="1050"/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/>
    </row>
    <row r="19" spans="2:17" ht="15" customHeight="1">
      <c r="B19" s="596" t="s">
        <v>437</v>
      </c>
      <c r="C19" s="600">
        <v>-325130095.29999924</v>
      </c>
      <c r="D19" s="601">
        <v>-39209562.88999939</v>
      </c>
      <c r="E19" s="601">
        <v>456660039.02000046</v>
      </c>
      <c r="F19" s="601">
        <v>261405066.34999847</v>
      </c>
      <c r="G19" s="601">
        <v>-265515975.23999977</v>
      </c>
      <c r="H19" s="601">
        <v>289064931.46000099</v>
      </c>
      <c r="I19" s="601">
        <v>350749864.98766899</v>
      </c>
      <c r="J19" s="601">
        <v>375906348.72100258</v>
      </c>
      <c r="K19" s="601">
        <v>852500848.9640789</v>
      </c>
      <c r="L19" s="601">
        <v>-52471568.827425003</v>
      </c>
      <c r="M19" s="601">
        <v>-59821670.44408989</v>
      </c>
      <c r="N19" s="954">
        <v>-54175735.722492218</v>
      </c>
      <c r="O19" s="971"/>
    </row>
    <row r="20" spans="2:17" ht="15" customHeight="1">
      <c r="B20" s="596" t="s">
        <v>438</v>
      </c>
      <c r="C20" s="602">
        <v>19592132.798231602</v>
      </c>
      <c r="D20" s="603">
        <v>67058598.28000021</v>
      </c>
      <c r="E20" s="603">
        <v>-403415309.85607195</v>
      </c>
      <c r="F20" s="603">
        <v>-104731878.08389282</v>
      </c>
      <c r="G20" s="603">
        <v>-3698269.3141281605</v>
      </c>
      <c r="H20" s="603">
        <v>121128281.90921235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/>
    </row>
    <row r="21" spans="2:17" ht="15" customHeight="1">
      <c r="B21" s="604" t="s">
        <v>439</v>
      </c>
      <c r="C21" s="605">
        <v>-185941491.29176766</v>
      </c>
      <c r="D21" s="606">
        <v>77110032.630000889</v>
      </c>
      <c r="E21" s="606">
        <v>-24390052.476071537</v>
      </c>
      <c r="F21" s="606">
        <v>229856185.01610559</v>
      </c>
      <c r="G21" s="606">
        <v>-241784054.50412786</v>
      </c>
      <c r="H21" s="606">
        <v>258083015.29921329</v>
      </c>
      <c r="I21" s="606">
        <v>517472077.05490685</v>
      </c>
      <c r="J21" s="606">
        <v>473036005.76211596</v>
      </c>
      <c r="K21" s="606">
        <v>846639402.5308032</v>
      </c>
      <c r="L21" s="606">
        <v>77045442.774772286</v>
      </c>
      <c r="M21" s="606">
        <v>-50837151.333025932</v>
      </c>
      <c r="N21" s="956">
        <v>-54364166.576728463</v>
      </c>
      <c r="O21" s="971"/>
    </row>
    <row r="22" spans="2:17" ht="15" customHeight="1">
      <c r="B22" s="596" t="s">
        <v>440</v>
      </c>
      <c r="C22" s="607">
        <v>16277661.020004272</v>
      </c>
      <c r="D22" s="608">
        <v>26314142.459999084</v>
      </c>
      <c r="E22" s="608">
        <v>33284715.800613403</v>
      </c>
      <c r="F22" s="608">
        <v>58362309.259994507</v>
      </c>
      <c r="G22" s="608">
        <v>21461479.050003052</v>
      </c>
      <c r="H22" s="608">
        <v>168942495.96999359</v>
      </c>
      <c r="I22" s="608">
        <v>16000081.466667175</v>
      </c>
      <c r="J22" s="608">
        <v>36916000</v>
      </c>
      <c r="K22" s="608">
        <v>25452000</v>
      </c>
      <c r="L22" s="608">
        <v>-10368933.333335876</v>
      </c>
      <c r="M22" s="608">
        <v>1020000</v>
      </c>
      <c r="N22" s="957">
        <v>5220000</v>
      </c>
      <c r="O22" s="971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/>
    </row>
    <row r="25" spans="2:17" ht="15" customHeight="1">
      <c r="B25" s="611" t="s">
        <v>442</v>
      </c>
      <c r="C25" s="612">
        <v>16277661.020004272</v>
      </c>
      <c r="D25" s="613">
        <v>26314142.459999084</v>
      </c>
      <c r="E25" s="613">
        <v>33284715.800613403</v>
      </c>
      <c r="F25" s="613">
        <v>58362309.259994507</v>
      </c>
      <c r="G25" s="613">
        <v>21461479.050003052</v>
      </c>
      <c r="H25" s="613">
        <v>168942495.96999359</v>
      </c>
      <c r="I25" s="613">
        <v>16000081.466667175</v>
      </c>
      <c r="J25" s="613">
        <v>36916000</v>
      </c>
      <c r="K25" s="613">
        <v>25452000</v>
      </c>
      <c r="L25" s="613">
        <v>-10368933.333335876</v>
      </c>
      <c r="M25" s="613">
        <v>1020000</v>
      </c>
      <c r="N25" s="959">
        <v>5220000</v>
      </c>
      <c r="O25" s="971"/>
    </row>
    <row r="26" spans="2:17" ht="15" customHeight="1">
      <c r="B26" s="596" t="s">
        <v>443</v>
      </c>
      <c r="C26" s="607">
        <v>-140112128.76000023</v>
      </c>
      <c r="D26" s="608">
        <v>-84360393.260000229</v>
      </c>
      <c r="E26" s="608">
        <v>-325870958.28464127</v>
      </c>
      <c r="F26" s="608">
        <v>-137449052.12999916</v>
      </c>
      <c r="G26" s="608">
        <v>-86433662.909999847</v>
      </c>
      <c r="H26" s="608">
        <v>-405049741.87193489</v>
      </c>
      <c r="I26" s="608">
        <v>-81903000.000000477</v>
      </c>
      <c r="J26" s="608">
        <v>131391000.00000048</v>
      </c>
      <c r="K26" s="608">
        <v>-432673000.00000048</v>
      </c>
      <c r="L26" s="608">
        <v>-23609000</v>
      </c>
      <c r="M26" s="608">
        <v>-23609000</v>
      </c>
      <c r="N26" s="957">
        <v>-387673000</v>
      </c>
      <c r="O26" s="971"/>
    </row>
    <row r="27" spans="2:17" ht="15" customHeight="1">
      <c r="B27" s="596" t="s">
        <v>444</v>
      </c>
      <c r="C27" s="607">
        <v>-378929873.4299984</v>
      </c>
      <c r="D27" s="608">
        <v>-337218506.73999977</v>
      </c>
      <c r="E27" s="608">
        <v>491698093.52000046</v>
      </c>
      <c r="F27" s="608">
        <v>-142808534.74000072</v>
      </c>
      <c r="G27" s="608">
        <v>-387507867.90000057</v>
      </c>
      <c r="H27" s="608">
        <v>-74913149.890000343</v>
      </c>
      <c r="I27" s="608">
        <v>100000000</v>
      </c>
      <c r="J27" s="608">
        <v>150000000</v>
      </c>
      <c r="K27" s="608">
        <v>100000000</v>
      </c>
      <c r="L27" s="608">
        <v>110000000</v>
      </c>
      <c r="M27" s="608">
        <v>210000000</v>
      </c>
      <c r="N27" s="957">
        <v>110000000</v>
      </c>
      <c r="O27" s="971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/>
    </row>
    <row r="30" spans="2:17" ht="15" customHeight="1">
      <c r="B30" s="614" t="s">
        <v>447</v>
      </c>
      <c r="C30" s="615">
        <v>-519042002.18999863</v>
      </c>
      <c r="D30" s="616">
        <v>-421578900</v>
      </c>
      <c r="E30" s="616">
        <v>165827135.23535919</v>
      </c>
      <c r="F30" s="616">
        <v>-280257586.86999989</v>
      </c>
      <c r="G30" s="616">
        <v>-473941530.81000042</v>
      </c>
      <c r="H30" s="616">
        <v>-479962891.76193523</v>
      </c>
      <c r="I30" s="616">
        <v>18096999.999999523</v>
      </c>
      <c r="J30" s="616">
        <v>281391000.00000048</v>
      </c>
      <c r="K30" s="616">
        <v>-332673000.00000048</v>
      </c>
      <c r="L30" s="616">
        <v>86391000</v>
      </c>
      <c r="M30" s="616">
        <v>186391000</v>
      </c>
      <c r="N30" s="960">
        <v>-277673000</v>
      </c>
      <c r="O30" s="971"/>
    </row>
    <row r="31" spans="2:17" ht="15" customHeight="1" thickBot="1">
      <c r="B31" s="617" t="s">
        <v>448</v>
      </c>
      <c r="C31" s="618">
        <v>-117999288.98999405</v>
      </c>
      <c r="D31" s="619">
        <v>73625168.309988797</v>
      </c>
      <c r="E31" s="619">
        <v>396872469.49001604</v>
      </c>
      <c r="F31" s="619">
        <v>-301067491.27997494</v>
      </c>
      <c r="G31" s="619">
        <v>300246997.33992863</v>
      </c>
      <c r="H31" s="619">
        <v>17678974.080042839</v>
      </c>
      <c r="I31" s="619">
        <v>-436449062.85150737</v>
      </c>
      <c r="J31" s="619">
        <v>-142275113.32899451</v>
      </c>
      <c r="K31" s="619">
        <v>484760506.02847052</v>
      </c>
      <c r="L31" s="619">
        <v>102278761.50244999</v>
      </c>
      <c r="M31" s="619">
        <v>438597124.42733866</v>
      </c>
      <c r="N31" s="961">
        <v>97046368.558626175</v>
      </c>
      <c r="O31" s="971"/>
    </row>
    <row r="32" spans="2:17" s="592" customFormat="1" ht="15" customHeight="1">
      <c r="B32" s="620"/>
      <c r="C32" s="599"/>
      <c r="D32" s="599"/>
      <c r="E32" s="599"/>
      <c r="F32" s="599"/>
      <c r="G32" s="599"/>
      <c r="H32" s="599"/>
      <c r="I32" s="599"/>
      <c r="J32" s="599"/>
      <c r="K32" s="599"/>
      <c r="L32" s="599"/>
      <c r="M32" s="599"/>
      <c r="N32" s="599"/>
      <c r="O32" s="971"/>
      <c r="P32" s="971"/>
      <c r="Q32" s="971"/>
    </row>
    <row r="33" spans="2:14" ht="15" customHeight="1">
      <c r="B33" s="621" t="s">
        <v>449</v>
      </c>
      <c r="C33" s="622">
        <v>900579031.46000004</v>
      </c>
      <c r="D33" s="622">
        <v>782579742.47000003</v>
      </c>
      <c r="E33" s="622">
        <v>856204910.78000009</v>
      </c>
      <c r="F33" s="622">
        <v>1253077380.27</v>
      </c>
      <c r="G33" s="622">
        <v>952009888.99000001</v>
      </c>
      <c r="H33" s="622">
        <v>1252256886.3299999</v>
      </c>
      <c r="I33" s="622">
        <v>1269935860.4100001</v>
      </c>
      <c r="J33" s="622">
        <v>833486797.55849862</v>
      </c>
      <c r="K33" s="622">
        <v>691211684.22950387</v>
      </c>
      <c r="L33" s="622">
        <v>1175972190.2579615</v>
      </c>
      <c r="M33" s="622">
        <v>1278250951.7604182</v>
      </c>
      <c r="N33" s="622">
        <v>1716848076.1877558</v>
      </c>
    </row>
    <row r="34" spans="2:14" ht="15" customHeight="1">
      <c r="B34" s="623" t="s">
        <v>450</v>
      </c>
      <c r="C34" s="624">
        <v>-117999288.98999405</v>
      </c>
      <c r="D34" s="624">
        <v>73625168.309988797</v>
      </c>
      <c r="E34" s="624">
        <v>396872469.49001604</v>
      </c>
      <c r="F34" s="624">
        <v>-301067491.27997494</v>
      </c>
      <c r="G34" s="624">
        <v>300246997.33992863</v>
      </c>
      <c r="H34" s="624">
        <v>17678974.080042839</v>
      </c>
      <c r="I34" s="624">
        <v>-436449062.85150737</v>
      </c>
      <c r="J34" s="624">
        <v>-142275113.32899451</v>
      </c>
      <c r="K34" s="624">
        <v>484760506.02847052</v>
      </c>
      <c r="L34" s="624">
        <v>102278761.50244999</v>
      </c>
      <c r="M34" s="624">
        <v>438597124.42733866</v>
      </c>
      <c r="N34" s="624">
        <v>97046368.558626175</v>
      </c>
    </row>
    <row r="35" spans="2:14" ht="15" customHeight="1">
      <c r="B35" s="625" t="s">
        <v>451</v>
      </c>
      <c r="C35" s="626">
        <v>782579742.47000599</v>
      </c>
      <c r="D35" s="626">
        <v>856204910.77998877</v>
      </c>
      <c r="E35" s="626">
        <v>1253077380.2700162</v>
      </c>
      <c r="F35" s="626">
        <v>952009888.99002504</v>
      </c>
      <c r="G35" s="626">
        <v>1252256886.3299286</v>
      </c>
      <c r="H35" s="626">
        <v>1269935860.4100428</v>
      </c>
      <c r="I35" s="626">
        <v>833486797.55849266</v>
      </c>
      <c r="J35" s="626">
        <v>691211684.22950411</v>
      </c>
      <c r="K35" s="626">
        <v>1175972190.2579744</v>
      </c>
      <c r="L35" s="626">
        <v>1278250951.7604115</v>
      </c>
      <c r="M35" s="626">
        <v>1716848076.1877568</v>
      </c>
      <c r="N35" s="626">
        <v>1813894444.746382</v>
      </c>
    </row>
    <row r="36" spans="2:14" ht="15" customHeight="1">
      <c r="G36" s="592"/>
      <c r="H36" s="592"/>
      <c r="I36" s="592"/>
      <c r="J36" s="592"/>
      <c r="K36" s="592"/>
      <c r="L36" s="592"/>
      <c r="M36" s="592"/>
      <c r="N36" s="592"/>
    </row>
  </sheetData>
  <mergeCells count="1">
    <mergeCell ref="B3:B4"/>
  </mergeCells>
  <pageMargins left="0.2" right="0.2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F5F3-02E3-46C8-A89B-1BFCD57F1625}">
  <sheetPr>
    <pageSetUpPr fitToPage="1"/>
  </sheetPr>
  <dimension ref="B1:Q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5.44140625" bestFit="1" customWidth="1"/>
    <col min="4" max="4" width="15.77734375" bestFit="1" customWidth="1"/>
    <col min="5" max="5" width="15.21875" bestFit="1" customWidth="1"/>
    <col min="6" max="6" width="15.44140625" bestFit="1" customWidth="1"/>
    <col min="7" max="8" width="15.77734375" bestFit="1" customWidth="1"/>
    <col min="9" max="9" width="17.44140625" bestFit="1" customWidth="1"/>
    <col min="10" max="10" width="16.6640625" bestFit="1" customWidth="1"/>
    <col min="11" max="11" width="16.44140625" bestFit="1" customWidth="1"/>
    <col min="12" max="13" width="15.44140625" bestFit="1" customWidth="1"/>
    <col min="14" max="14" width="15.77734375" bestFit="1" customWidth="1"/>
    <col min="15" max="15" width="14.77734375" bestFit="1" customWidth="1"/>
    <col min="16" max="17" width="16.6640625" bestFit="1" customWidth="1"/>
  </cols>
  <sheetData>
    <row r="1" spans="2:15" ht="15" customHeight="1">
      <c r="B1" s="589" t="s">
        <v>27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v>-177007303.5048399</v>
      </c>
      <c r="D5" s="608">
        <v>-98570830.679808855</v>
      </c>
      <c r="E5" s="608">
        <v>-113767734.53493541</v>
      </c>
      <c r="F5" s="608">
        <v>-9501946.4961562157</v>
      </c>
      <c r="G5" s="608">
        <v>-26768871.489998341</v>
      </c>
      <c r="H5" s="608">
        <v>28607602.289995551</v>
      </c>
      <c r="I5" s="598">
        <v>-89531708.214645147</v>
      </c>
      <c r="J5" s="598">
        <v>-18638083.933889151</v>
      </c>
      <c r="K5" s="598">
        <v>1282203916.3562863</v>
      </c>
      <c r="L5" s="598">
        <v>10449196.522566319</v>
      </c>
      <c r="M5" s="598">
        <v>-32925182.381721735</v>
      </c>
      <c r="N5" s="953">
        <v>279699204.05845332</v>
      </c>
      <c r="O5" s="971">
        <f>SUM(C5:N5)</f>
        <v>1034248257.9913068</v>
      </c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>
        <f t="shared" ref="O6:O31" si="0">SUM(C6:N6)</f>
        <v>0</v>
      </c>
    </row>
    <row r="7" spans="2:15" ht="15" customHeight="1">
      <c r="B7" s="596" t="s">
        <v>425</v>
      </c>
      <c r="C7" s="600">
        <v>-12426729.520000001</v>
      </c>
      <c r="D7" s="601">
        <v>-43127</v>
      </c>
      <c r="E7" s="601">
        <v>-57332.769999999553</v>
      </c>
      <c r="F7" s="601">
        <v>-40378.060000002384</v>
      </c>
      <c r="G7" s="601">
        <v>-35664.289999999106</v>
      </c>
      <c r="H7" s="601">
        <v>-30099.059999998659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>
        <f t="shared" si="0"/>
        <v>-12633330.700000001</v>
      </c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>
        <f t="shared" si="0"/>
        <v>0</v>
      </c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>
        <f t="shared" si="0"/>
        <v>0</v>
      </c>
    </row>
    <row r="10" spans="2:15" ht="15" customHeight="1">
      <c r="B10" s="596" t="s">
        <v>428</v>
      </c>
      <c r="C10" s="602">
        <v>79436963.760000229</v>
      </c>
      <c r="D10" s="603">
        <v>78529903.809999943</v>
      </c>
      <c r="E10" s="603">
        <v>76645127.369999886</v>
      </c>
      <c r="F10" s="603">
        <v>78187793.71999979</v>
      </c>
      <c r="G10" s="603">
        <v>78571393.400000095</v>
      </c>
      <c r="H10" s="603">
        <v>78571877.309999943</v>
      </c>
      <c r="I10" s="603">
        <v>74854102.761798859</v>
      </c>
      <c r="J10" s="603">
        <v>75140252.761798859</v>
      </c>
      <c r="K10" s="603">
        <v>75440396.7289505</v>
      </c>
      <c r="L10" s="603">
        <v>75750487.998791695</v>
      </c>
      <c r="M10" s="603">
        <v>75842234.030538082</v>
      </c>
      <c r="N10" s="955">
        <v>75878622.919426918</v>
      </c>
      <c r="O10" s="971">
        <f t="shared" si="0"/>
        <v>922849156.5713048</v>
      </c>
    </row>
    <row r="11" spans="2:15" ht="15" customHeight="1">
      <c r="B11" s="604" t="s">
        <v>429</v>
      </c>
      <c r="C11" s="605">
        <v>-109997069.26483968</v>
      </c>
      <c r="D11" s="606">
        <v>-20084053.869808912</v>
      </c>
      <c r="E11" s="606">
        <v>-37179939.934935525</v>
      </c>
      <c r="F11" s="606">
        <v>68645469.163843572</v>
      </c>
      <c r="G11" s="606">
        <v>51766857.620001756</v>
      </c>
      <c r="H11" s="606">
        <v>107149380.53999549</v>
      </c>
      <c r="I11" s="606">
        <v>-14677605.452846289</v>
      </c>
      <c r="J11" s="606">
        <v>56502168.827909708</v>
      </c>
      <c r="K11" s="606">
        <v>1357644313.0852368</v>
      </c>
      <c r="L11" s="606">
        <v>86199684.521358013</v>
      </c>
      <c r="M11" s="606">
        <v>42917051.648816347</v>
      </c>
      <c r="N11" s="956">
        <v>355577826.97788024</v>
      </c>
      <c r="O11" s="971">
        <f t="shared" si="0"/>
        <v>1944464083.8626115</v>
      </c>
    </row>
    <row r="12" spans="2:15" ht="15" customHeight="1">
      <c r="B12" s="596" t="s">
        <v>430</v>
      </c>
      <c r="C12" s="600">
        <v>-340293819.81999993</v>
      </c>
      <c r="D12" s="601">
        <v>117302393.54999995</v>
      </c>
      <c r="E12" s="601">
        <v>385353346.31999993</v>
      </c>
      <c r="F12" s="601">
        <v>-198357665.94999993</v>
      </c>
      <c r="G12" s="601">
        <v>3500007.1299999952</v>
      </c>
      <c r="H12" s="601">
        <v>-84386108.340000153</v>
      </c>
      <c r="I12" s="601">
        <v>-60000</v>
      </c>
      <c r="J12" s="601">
        <v>0</v>
      </c>
      <c r="K12" s="601">
        <v>0</v>
      </c>
      <c r="L12" s="601">
        <v>0</v>
      </c>
      <c r="M12" s="601">
        <v>0</v>
      </c>
      <c r="N12" s="954">
        <v>0</v>
      </c>
      <c r="O12" s="1050">
        <f t="shared" si="0"/>
        <v>-116941847.11000013</v>
      </c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>
        <f t="shared" si="0"/>
        <v>0</v>
      </c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>
        <f t="shared" si="0"/>
        <v>0</v>
      </c>
    </row>
    <row r="15" spans="2:15" ht="15" customHeight="1">
      <c r="B15" s="596" t="s">
        <v>433</v>
      </c>
      <c r="C15" s="602">
        <v>372072738.40054107</v>
      </c>
      <c r="D15" s="603">
        <v>-144686170.39421356</v>
      </c>
      <c r="E15" s="603">
        <v>357998397.96380937</v>
      </c>
      <c r="F15" s="603">
        <v>64289984.204411924</v>
      </c>
      <c r="G15" s="603">
        <v>-123316499.62386344</v>
      </c>
      <c r="H15" s="603">
        <v>72180807.967683345</v>
      </c>
      <c r="I15" s="603">
        <v>-3506939.7705345154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050">
        <f t="shared" si="0"/>
        <v>595032318.74783421</v>
      </c>
    </row>
    <row r="16" spans="2:15" ht="15" customHeight="1">
      <c r="B16" s="604" t="s">
        <v>434</v>
      </c>
      <c r="C16" s="605">
        <v>31778918.580541134</v>
      </c>
      <c r="D16" s="606">
        <v>-27383776.844213605</v>
      </c>
      <c r="E16" s="606">
        <v>743351744.2838093</v>
      </c>
      <c r="F16" s="606">
        <v>-134067681.745588</v>
      </c>
      <c r="G16" s="606">
        <v>-119816492.49386345</v>
      </c>
      <c r="H16" s="606">
        <v>-12205300.372316808</v>
      </c>
      <c r="I16" s="606">
        <v>-3566939.7705345154</v>
      </c>
      <c r="J16" s="606">
        <v>0</v>
      </c>
      <c r="K16" s="606">
        <v>0</v>
      </c>
      <c r="L16" s="606">
        <v>0</v>
      </c>
      <c r="M16" s="606">
        <v>0</v>
      </c>
      <c r="N16" s="956">
        <v>0</v>
      </c>
      <c r="O16" s="971">
        <f t="shared" si="0"/>
        <v>478090471.63783395</v>
      </c>
    </row>
    <row r="17" spans="2:17" ht="15" customHeight="1">
      <c r="B17" s="596" t="s">
        <v>435</v>
      </c>
      <c r="C17" s="600">
        <v>9354010.9399999958</v>
      </c>
      <c r="D17" s="601">
        <v>19103563.919999965</v>
      </c>
      <c r="E17" s="601">
        <v>-17049092.189999964</v>
      </c>
      <c r="F17" s="601">
        <v>-4618215.3000000194</v>
      </c>
      <c r="G17" s="601">
        <v>-2612553.1799999848</v>
      </c>
      <c r="H17" s="601">
        <v>3255288.2499999963</v>
      </c>
      <c r="I17" s="601">
        <v>0</v>
      </c>
      <c r="J17" s="601">
        <v>0</v>
      </c>
      <c r="K17" s="601">
        <v>0</v>
      </c>
      <c r="L17" s="601">
        <v>0</v>
      </c>
      <c r="M17" s="601">
        <v>0</v>
      </c>
      <c r="N17" s="954">
        <v>0</v>
      </c>
      <c r="O17" s="1050">
        <f t="shared" si="0"/>
        <v>7433002.4399999902</v>
      </c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>
        <f t="shared" si="0"/>
        <v>0</v>
      </c>
    </row>
    <row r="19" spans="2:17" ht="15" customHeight="1">
      <c r="B19" s="596" t="s">
        <v>437</v>
      </c>
      <c r="C19" s="600">
        <v>-247308499.23516655</v>
      </c>
      <c r="D19" s="601">
        <v>-255309447.95652866</v>
      </c>
      <c r="E19" s="601">
        <v>190749987.84137344</v>
      </c>
      <c r="F19" s="601">
        <v>316350890.14855099</v>
      </c>
      <c r="G19" s="601">
        <v>-184791384.66000175</v>
      </c>
      <c r="H19" s="601">
        <v>56886277.790002823</v>
      </c>
      <c r="I19" s="601">
        <v>135855156.09196663</v>
      </c>
      <c r="J19" s="601">
        <v>168175610.06481743</v>
      </c>
      <c r="K19" s="601">
        <v>117070655.89169884</v>
      </c>
      <c r="L19" s="601">
        <v>-123773231.92566872</v>
      </c>
      <c r="M19" s="601">
        <v>-142438920.13149643</v>
      </c>
      <c r="N19" s="954">
        <v>-150020993.38667297</v>
      </c>
      <c r="O19" s="971">
        <f t="shared" si="0"/>
        <v>-118553899.46712494</v>
      </c>
    </row>
    <row r="20" spans="2:17" ht="15" customHeight="1">
      <c r="B20" s="596" t="s">
        <v>438</v>
      </c>
      <c r="C20" s="602">
        <v>427744908.85645771</v>
      </c>
      <c r="D20" s="603">
        <v>5760712.2325005531</v>
      </c>
      <c r="E20" s="603">
        <v>-50886663.532500267</v>
      </c>
      <c r="F20" s="603">
        <v>186229003.25970125</v>
      </c>
      <c r="G20" s="603">
        <v>-19527386.476126671</v>
      </c>
      <c r="H20" s="603">
        <v>-388933038.24678993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>
        <f t="shared" si="0"/>
        <v>160387536.09324265</v>
      </c>
      <c r="Q20" s="1051"/>
    </row>
    <row r="21" spans="2:17" ht="15" customHeight="1">
      <c r="B21" s="604" t="s">
        <v>439</v>
      </c>
      <c r="C21" s="605">
        <v>189790420.56129116</v>
      </c>
      <c r="D21" s="606">
        <v>-230445171.80402815</v>
      </c>
      <c r="E21" s="606">
        <v>122814232.11887321</v>
      </c>
      <c r="F21" s="606">
        <v>497961678.10825223</v>
      </c>
      <c r="G21" s="606">
        <v>-206931324.3161284</v>
      </c>
      <c r="H21" s="606">
        <v>-328791472.20678711</v>
      </c>
      <c r="I21" s="606">
        <v>135855156.09196663</v>
      </c>
      <c r="J21" s="606">
        <v>168175610.06481743</v>
      </c>
      <c r="K21" s="606">
        <v>117070655.89169884</v>
      </c>
      <c r="L21" s="606">
        <v>-123773231.92566872</v>
      </c>
      <c r="M21" s="606">
        <v>-142438920.13149643</v>
      </c>
      <c r="N21" s="956">
        <v>-150020993.38667297</v>
      </c>
      <c r="O21" s="971">
        <f t="shared" si="0"/>
        <v>49266639.066117764</v>
      </c>
      <c r="P21" s="1051"/>
      <c r="Q21" s="1051"/>
    </row>
    <row r="22" spans="2:17" ht="15" customHeight="1">
      <c r="B22" s="596" t="s">
        <v>440</v>
      </c>
      <c r="C22" s="607">
        <v>64461082.120006561</v>
      </c>
      <c r="D22" s="608">
        <v>24268914.879999161</v>
      </c>
      <c r="E22" s="608">
        <v>28818142.900001526</v>
      </c>
      <c r="F22" s="608">
        <v>49578253.299999237</v>
      </c>
      <c r="G22" s="608">
        <v>4232619.6422691345</v>
      </c>
      <c r="H22" s="608">
        <v>262179968.19130775</v>
      </c>
      <c r="I22" s="608">
        <v>49173268.333332062</v>
      </c>
      <c r="J22" s="608">
        <v>52533200</v>
      </c>
      <c r="K22" s="608">
        <v>43633200</v>
      </c>
      <c r="L22" s="608">
        <v>19020000</v>
      </c>
      <c r="M22" s="608">
        <v>7860000</v>
      </c>
      <c r="N22" s="957">
        <v>7500000</v>
      </c>
      <c r="O22" s="971">
        <f t="shared" si="0"/>
        <v>613258649.36691546</v>
      </c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>
        <f t="shared" si="0"/>
        <v>0</v>
      </c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>
        <f t="shared" si="0"/>
        <v>0</v>
      </c>
    </row>
    <row r="25" spans="2:17" ht="15" customHeight="1">
      <c r="B25" s="611" t="s">
        <v>442</v>
      </c>
      <c r="C25" s="612">
        <v>64461082.120006561</v>
      </c>
      <c r="D25" s="613">
        <v>24268914.879999161</v>
      </c>
      <c r="E25" s="613">
        <v>28818142.900001526</v>
      </c>
      <c r="F25" s="613">
        <v>49578253.299999237</v>
      </c>
      <c r="G25" s="613">
        <v>4232619.6422691345</v>
      </c>
      <c r="H25" s="613">
        <v>262179968.19130775</v>
      </c>
      <c r="I25" s="613">
        <v>49173268.333332062</v>
      </c>
      <c r="J25" s="613">
        <v>52533200</v>
      </c>
      <c r="K25" s="613">
        <v>43633200</v>
      </c>
      <c r="L25" s="613">
        <v>19020000</v>
      </c>
      <c r="M25" s="613">
        <v>7860000</v>
      </c>
      <c r="N25" s="959">
        <v>7500000</v>
      </c>
      <c r="O25" s="971">
        <f t="shared" si="0"/>
        <v>613258649.36691546</v>
      </c>
    </row>
    <row r="26" spans="2:17" ht="15" customHeight="1">
      <c r="B26" s="596" t="s">
        <v>443</v>
      </c>
      <c r="C26" s="607">
        <v>0</v>
      </c>
      <c r="D26" s="608">
        <v>0</v>
      </c>
      <c r="E26" s="608">
        <v>-413500000</v>
      </c>
      <c r="F26" s="608">
        <v>0</v>
      </c>
      <c r="G26" s="608">
        <v>0</v>
      </c>
      <c r="H26" s="608">
        <v>-413500000</v>
      </c>
      <c r="I26" s="608">
        <v>-5000000</v>
      </c>
      <c r="J26" s="608">
        <v>-5000000</v>
      </c>
      <c r="K26" s="608">
        <v>-418500000</v>
      </c>
      <c r="L26" s="608">
        <v>-5000000</v>
      </c>
      <c r="M26" s="608">
        <v>-5000000</v>
      </c>
      <c r="N26" s="957">
        <v>-753500000</v>
      </c>
      <c r="O26" s="971">
        <f t="shared" si="0"/>
        <v>-2019000000</v>
      </c>
    </row>
    <row r="27" spans="2:17" ht="15" customHeight="1">
      <c r="B27" s="596" t="s">
        <v>444</v>
      </c>
      <c r="C27" s="607">
        <v>-142722542.42000008</v>
      </c>
      <c r="D27" s="608">
        <v>-273208599.48000002</v>
      </c>
      <c r="E27" s="608">
        <v>479112472.4000001</v>
      </c>
      <c r="F27" s="608">
        <v>76818669.5</v>
      </c>
      <c r="G27" s="608">
        <v>-265000000</v>
      </c>
      <c r="H27" s="608">
        <v>325000000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971">
        <f t="shared" si="0"/>
        <v>200000000</v>
      </c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>
        <f t="shared" si="0"/>
        <v>0</v>
      </c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>
        <f t="shared" si="0"/>
        <v>0</v>
      </c>
    </row>
    <row r="30" spans="2:17" ht="15" customHeight="1">
      <c r="B30" s="614" t="s">
        <v>447</v>
      </c>
      <c r="C30" s="615">
        <v>-142722542.42000008</v>
      </c>
      <c r="D30" s="616">
        <v>-273208599.48000002</v>
      </c>
      <c r="E30" s="616">
        <v>65612472.400000095</v>
      </c>
      <c r="F30" s="616">
        <v>76818669.5</v>
      </c>
      <c r="G30" s="616">
        <v>-265000000</v>
      </c>
      <c r="H30" s="616">
        <v>-88500000</v>
      </c>
      <c r="I30" s="616">
        <v>-5000000</v>
      </c>
      <c r="J30" s="616">
        <v>-5000000</v>
      </c>
      <c r="K30" s="616">
        <v>-418500000</v>
      </c>
      <c r="L30" s="616">
        <v>-5000000</v>
      </c>
      <c r="M30" s="616">
        <v>-5000000</v>
      </c>
      <c r="N30" s="960">
        <v>-753500000</v>
      </c>
      <c r="O30" s="971">
        <f t="shared" si="0"/>
        <v>-1819000000</v>
      </c>
    </row>
    <row r="31" spans="2:17" ht="15" customHeight="1" thickBot="1">
      <c r="B31" s="617" t="s">
        <v>448</v>
      </c>
      <c r="C31" s="618">
        <v>-475192195.78559637</v>
      </c>
      <c r="D31" s="619">
        <v>-114500173.26999354</v>
      </c>
      <c r="E31" s="619">
        <v>620151901.72999907</v>
      </c>
      <c r="F31" s="619">
        <v>-536143474.48999596</v>
      </c>
      <c r="G31" s="619">
        <v>-130350930.20000243</v>
      </c>
      <c r="H31" s="619">
        <v>73055584.18315807</v>
      </c>
      <c r="I31" s="619">
        <v>-208272969.64867949</v>
      </c>
      <c r="J31" s="619">
        <v>-169206641.23690772</v>
      </c>
      <c r="K31" s="619">
        <v>778440457.19353795</v>
      </c>
      <c r="L31" s="619">
        <v>185952916.44702673</v>
      </c>
      <c r="M31" s="619">
        <v>172495971.78031278</v>
      </c>
      <c r="N31" s="961">
        <v>-255401179.63544679</v>
      </c>
      <c r="O31" s="971">
        <f t="shared" si="0"/>
        <v>-58970732.932587743</v>
      </c>
    </row>
    <row r="32" spans="2:17" s="592" customFormat="1" ht="15" customHeight="1">
      <c r="B32" s="620"/>
      <c r="C32" s="599"/>
      <c r="D32" s="599"/>
      <c r="E32" s="599"/>
      <c r="F32" s="599"/>
      <c r="G32" s="599">
        <v>0</v>
      </c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845193403.39999986</v>
      </c>
      <c r="D33" s="622">
        <v>370001207.88</v>
      </c>
      <c r="E33" s="622">
        <v>255501034.60999998</v>
      </c>
      <c r="F33" s="622">
        <v>875652936.34000003</v>
      </c>
      <c r="G33" s="622">
        <v>339509461.85000002</v>
      </c>
      <c r="H33" s="622">
        <v>209158531.65000001</v>
      </c>
      <c r="I33" s="622">
        <v>282214115.8300001</v>
      </c>
      <c r="J33" s="622">
        <v>73941146.181316376</v>
      </c>
      <c r="K33" s="622">
        <v>-95265495.055591583</v>
      </c>
      <c r="L33" s="622">
        <v>683174962.13794327</v>
      </c>
      <c r="M33" s="622">
        <v>869127878.5849762</v>
      </c>
      <c r="N33" s="622">
        <v>1041623850.3652878</v>
      </c>
    </row>
    <row r="34" spans="2:14" ht="15" customHeight="1">
      <c r="B34" s="623" t="s">
        <v>450</v>
      </c>
      <c r="C34" s="624">
        <v>-475192195.78559637</v>
      </c>
      <c r="D34" s="624">
        <v>-114500173.26999354</v>
      </c>
      <c r="E34" s="624">
        <v>620151901.72999907</v>
      </c>
      <c r="F34" s="624">
        <v>-536143474.48999596</v>
      </c>
      <c r="G34" s="624">
        <v>-130350930.20000243</v>
      </c>
      <c r="H34" s="624">
        <v>73055584.18315807</v>
      </c>
      <c r="I34" s="624">
        <v>-208272969.64867949</v>
      </c>
      <c r="J34" s="624">
        <v>-169206641.23690772</v>
      </c>
      <c r="K34" s="624">
        <v>778440457.19353795</v>
      </c>
      <c r="L34" s="624">
        <v>185952916.44702673</v>
      </c>
      <c r="M34" s="624">
        <v>172495971.78031278</v>
      </c>
      <c r="N34" s="624">
        <v>-255401179.63544679</v>
      </c>
    </row>
    <row r="35" spans="2:14" ht="15" customHeight="1">
      <c r="B35" s="625" t="s">
        <v>451</v>
      </c>
      <c r="C35" s="626">
        <v>370001207.61440349</v>
      </c>
      <c r="D35" s="626">
        <v>255501034.61000645</v>
      </c>
      <c r="E35" s="626">
        <v>875652936.33999908</v>
      </c>
      <c r="F35" s="626">
        <v>339509461.85000408</v>
      </c>
      <c r="G35" s="626">
        <v>209158531.64999759</v>
      </c>
      <c r="H35" s="626">
        <v>282214115.83315808</v>
      </c>
      <c r="I35" s="626">
        <v>73941146.181320608</v>
      </c>
      <c r="J35" s="626">
        <v>-95265495.055591345</v>
      </c>
      <c r="K35" s="626">
        <v>683174962.13794637</v>
      </c>
      <c r="L35" s="626">
        <v>869127878.58497</v>
      </c>
      <c r="M35" s="626">
        <v>1041623850.365289</v>
      </c>
      <c r="N35" s="626">
        <v>786222670.72984099</v>
      </c>
    </row>
    <row r="36" spans="2:14" ht="15" hidden="1" customHeight="1">
      <c r="B36" s="627" t="s">
        <v>452</v>
      </c>
      <c r="C36" s="628">
        <v>0</v>
      </c>
      <c r="D36" s="628">
        <v>-0.44802284240722656</v>
      </c>
      <c r="E36" s="628">
        <v>-0.44801783561706543</v>
      </c>
      <c r="F36" s="628">
        <v>-0.44801914691925049</v>
      </c>
      <c r="G36" s="628">
        <v>-0.44801700115203857</v>
      </c>
      <c r="H36" s="628">
        <v>-0.44801831245422363</v>
      </c>
      <c r="I36" s="628">
        <v>-0.44801747798919678</v>
      </c>
      <c r="J36" s="628">
        <v>-0.44801783561706543</v>
      </c>
      <c r="K36" s="628">
        <v>-0.44801604747772217</v>
      </c>
      <c r="L36" s="628">
        <v>-0.4480140209197998</v>
      </c>
      <c r="M36" s="628">
        <v>-0.44801807403564453</v>
      </c>
      <c r="N36" s="628">
        <v>-0.44802212715148926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8" spans="2:14" ht="15" customHeight="1">
      <c r="C38" s="1049"/>
    </row>
  </sheetData>
  <mergeCells count="1">
    <mergeCell ref="B3:B4"/>
  </mergeCells>
  <pageMargins left="0.2" right="0.2" top="0.75" bottom="0.75" header="0.3" footer="0.3"/>
  <pageSetup paperSize="9" scale="56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A5F1-9504-4B79-B696-569D7AE0235A}">
  <sheetPr>
    <pageSetUpPr fitToPage="1"/>
  </sheetPr>
  <dimension ref="B1:O39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G1" sqref="G1:G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7.21875" bestFit="1" customWidth="1"/>
    <col min="4" max="4" width="16.6640625" bestFit="1" customWidth="1"/>
    <col min="5" max="5" width="17.21875" bestFit="1" customWidth="1"/>
    <col min="6" max="6" width="16.44140625" bestFit="1" customWidth="1"/>
    <col min="7" max="7" width="17.21875" bestFit="1" customWidth="1"/>
    <col min="8" max="8" width="16.6640625" bestFit="1" customWidth="1"/>
    <col min="9" max="9" width="17.44140625" bestFit="1" customWidth="1"/>
    <col min="10" max="10" width="16.6640625" bestFit="1" customWidth="1"/>
    <col min="11" max="11" width="15.77734375" bestFit="1" customWidth="1"/>
    <col min="12" max="12" width="15.44140625" bestFit="1" customWidth="1"/>
    <col min="13" max="13" width="15.77734375" bestFit="1" customWidth="1"/>
    <col min="14" max="14" width="15.44140625" bestFit="1" customWidth="1"/>
    <col min="15" max="15" width="16.21875" bestFit="1" customWidth="1"/>
  </cols>
  <sheetData>
    <row r="1" spans="2:15" ht="15" customHeight="1">
      <c r="B1" s="589" t="s">
        <v>454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1176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/>
      <c r="O2" s="1176"/>
    </row>
    <row r="3" spans="2:15" ht="15" customHeight="1">
      <c r="B3" s="1365" t="s">
        <v>422</v>
      </c>
      <c r="C3" s="972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1176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f>+'S CF'!C5+'W CF'!C5+'Stesha CF'!C5</f>
        <v>175754270.99454913</v>
      </c>
      <c r="D5" s="608">
        <f>+'S CF'!D5+'W CF'!D5+'Stesha CF'!D5</f>
        <v>110341640.76363744</v>
      </c>
      <c r="E5" s="608">
        <f>+'S CF'!E5+'W CF'!E5+'Stesha CF'!E5</f>
        <v>157797690.79242465</v>
      </c>
      <c r="F5" s="608">
        <f>+'S CF'!F5+'W CF'!F5+'Stesha CF'!F5</f>
        <v>241783773.15030256</v>
      </c>
      <c r="G5" s="608">
        <f>+'S CF'!G5+'W CF'!G5+'Stesha CF'!G5</f>
        <v>474110102.13000333</v>
      </c>
      <c r="H5" s="608">
        <f>+'S CF'!H5+'W CF'!H5+'Stesha CF'!H5</f>
        <v>457571543.71666753</v>
      </c>
      <c r="I5" s="598">
        <f>+'S CF'!I5+'W CF'!I5+'Stesha CF'!I5</f>
        <v>2776261553.5908365</v>
      </c>
      <c r="J5" s="598">
        <f>+'S CF'!J5+'W CF'!J5+'Stesha CF'!J5</f>
        <v>501415116.51785827</v>
      </c>
      <c r="K5" s="598">
        <f>+'S CF'!K5+'W CF'!K5+'Stesha CF'!K5</f>
        <v>475762124.73359889</v>
      </c>
      <c r="L5" s="598">
        <f>+'S CF'!L5+'W CF'!L5+'Stesha CF'!L5</f>
        <v>403802259.22570229</v>
      </c>
      <c r="M5" s="598">
        <f>+'S CF'!M5+'W CF'!M5+'Stesha CF'!M5</f>
        <v>312953717.24062812</v>
      </c>
      <c r="N5" s="953">
        <f>+'S CF'!N5+'W CF'!N5+'Stesha CF'!N5</f>
        <v>224478204.25049683</v>
      </c>
      <c r="O5" s="1176">
        <f>SUM(C5:N5)</f>
        <v>6312031997.1067057</v>
      </c>
    </row>
    <row r="6" spans="2:15" ht="15" customHeight="1">
      <c r="B6" s="596" t="s">
        <v>424</v>
      </c>
      <c r="C6" s="600">
        <f>+'S CF'!C6+'W CF'!C6+'Stesha CF'!C6</f>
        <v>0</v>
      </c>
      <c r="D6" s="601">
        <f>+'S CF'!D6+'W CF'!D6+'Stesha CF'!D6</f>
        <v>0</v>
      </c>
      <c r="E6" s="601">
        <f>+'S CF'!E6+'W CF'!E6+'Stesha CF'!E6</f>
        <v>0</v>
      </c>
      <c r="F6" s="601">
        <f>+'S CF'!F6+'W CF'!F6+'Stesha CF'!F6</f>
        <v>0</v>
      </c>
      <c r="G6" s="601">
        <f>+'S CF'!G6+'W CF'!G6+'Stesha CF'!G6</f>
        <v>0</v>
      </c>
      <c r="H6" s="601">
        <f>+'S CF'!H6+'W CF'!H6+'Stesha CF'!H6</f>
        <v>0</v>
      </c>
      <c r="I6" s="601">
        <f>+'S CF'!I6+'W CF'!I6+'Stesha CF'!I6</f>
        <v>0</v>
      </c>
      <c r="J6" s="601">
        <f>+'S CF'!J6+'W CF'!J6+'Stesha CF'!J6</f>
        <v>0</v>
      </c>
      <c r="K6" s="601">
        <f>+'S CF'!K6+'W CF'!K6+'Stesha CF'!K6</f>
        <v>0</v>
      </c>
      <c r="L6" s="601">
        <f>+'S CF'!L6+'W CF'!L6+'Stesha CF'!L6</f>
        <v>0</v>
      </c>
      <c r="M6" s="601">
        <f>+'S CF'!M6+'W CF'!M6+'Stesha CF'!M6</f>
        <v>0</v>
      </c>
      <c r="N6" s="954">
        <f>+'S CF'!N6+'W CF'!N6+'Stesha CF'!N6</f>
        <v>0</v>
      </c>
      <c r="O6" s="1176">
        <f t="shared" ref="O6" si="0">SUM(C6:N6)</f>
        <v>0</v>
      </c>
    </row>
    <row r="7" spans="2:15" ht="15" customHeight="1">
      <c r="B7" s="596" t="s">
        <v>425</v>
      </c>
      <c r="C7" s="600">
        <f>+'S CF'!C7+'W CF'!C7+'Stesha CF'!C7</f>
        <v>-40000</v>
      </c>
      <c r="D7" s="601">
        <f>+'S CF'!D7+'W CF'!D7+'Stesha CF'!D7</f>
        <v>411000</v>
      </c>
      <c r="E7" s="601">
        <f>+'S CF'!E7+'W CF'!E7+'Stesha CF'!E7</f>
        <v>1557000</v>
      </c>
      <c r="F7" s="601">
        <f>+'S CF'!F7+'W CF'!F7+'Stesha CF'!F7</f>
        <v>-2006000</v>
      </c>
      <c r="G7" s="601">
        <f>+'S CF'!G7+'W CF'!G7+'Stesha CF'!G7</f>
        <v>104000</v>
      </c>
      <c r="H7" s="601">
        <f>+'S CF'!H7+'W CF'!H7+'Stesha CF'!H7</f>
        <v>-117000</v>
      </c>
      <c r="I7" s="601">
        <f>+'S CF'!I7+'W CF'!I7+'Stesha CF'!I7</f>
        <v>0</v>
      </c>
      <c r="J7" s="601">
        <f>+'S CF'!J7+'W CF'!J7+'Stesha CF'!J7</f>
        <v>0</v>
      </c>
      <c r="K7" s="601">
        <f>+'S CF'!K7+'W CF'!K7+'Stesha CF'!K7</f>
        <v>0</v>
      </c>
      <c r="L7" s="601">
        <f>+'S CF'!L7+'W CF'!L7+'Stesha CF'!L7</f>
        <v>0</v>
      </c>
      <c r="M7" s="601">
        <f>+'S CF'!M7+'W CF'!M7+'Stesha CF'!M7</f>
        <v>0</v>
      </c>
      <c r="N7" s="954">
        <f>+'S CF'!N7+'W CF'!N7+'Stesha CF'!N7</f>
        <v>0</v>
      </c>
      <c r="O7" s="1176">
        <f>+O6+O5</f>
        <v>6312031997.1067057</v>
      </c>
    </row>
    <row r="8" spans="2:15" ht="15" customHeight="1">
      <c r="B8" s="596" t="s">
        <v>426</v>
      </c>
      <c r="C8" s="600">
        <f>+'S CF'!C8+'W CF'!C8+'Stesha CF'!C8</f>
        <v>0</v>
      </c>
      <c r="D8" s="601">
        <f>+'S CF'!D8+'W CF'!D8+'Stesha CF'!D8</f>
        <v>0</v>
      </c>
      <c r="E8" s="601">
        <f>+'S CF'!E8+'W CF'!E8+'Stesha CF'!E8</f>
        <v>0</v>
      </c>
      <c r="F8" s="601">
        <f>+'S CF'!F8+'W CF'!F8+'Stesha CF'!F8</f>
        <v>0</v>
      </c>
      <c r="G8" s="601">
        <f>+'S CF'!G8+'W CF'!G8+'Stesha CF'!G8</f>
        <v>0</v>
      </c>
      <c r="H8" s="601">
        <f>+'S CF'!H8+'W CF'!H8+'Stesha CF'!H8</f>
        <v>0</v>
      </c>
      <c r="I8" s="601">
        <f>+'S CF'!I8+'W CF'!I8+'Stesha CF'!I8</f>
        <v>0</v>
      </c>
      <c r="J8" s="601">
        <f>+'S CF'!J8+'W CF'!J8+'Stesha CF'!J8</f>
        <v>0</v>
      </c>
      <c r="K8" s="601">
        <f>+'S CF'!K8+'W CF'!K8+'Stesha CF'!K8</f>
        <v>0</v>
      </c>
      <c r="L8" s="601">
        <f>+'S CF'!L8+'W CF'!L8+'Stesha CF'!L8</f>
        <v>0</v>
      </c>
      <c r="M8" s="601">
        <f>+'S CF'!M8+'W CF'!M8+'Stesha CF'!M8</f>
        <v>0</v>
      </c>
      <c r="N8" s="954">
        <f>+'S CF'!N8+'W CF'!N8+'Stesha CF'!N8</f>
        <v>0</v>
      </c>
      <c r="O8" s="1176"/>
    </row>
    <row r="9" spans="2:15" ht="15" customHeight="1">
      <c r="B9" s="596" t="s">
        <v>427</v>
      </c>
      <c r="C9" s="600">
        <f>+'S CF'!C9+'W CF'!C9+'Stesha CF'!C9</f>
        <v>-3669309.0600000005</v>
      </c>
      <c r="D9" s="601">
        <f>+'S CF'!D9+'W CF'!D9+'Stesha CF'!D9</f>
        <v>2240678</v>
      </c>
      <c r="E9" s="601">
        <f>+'S CF'!E9+'W CF'!E9+'Stesha CF'!E9</f>
        <v>-11620559</v>
      </c>
      <c r="F9" s="601">
        <f>+'S CF'!F9+'W CF'!F9+'Stesha CF'!F9</f>
        <v>5566387.5300000003</v>
      </c>
      <c r="G9" s="601">
        <f>+'S CF'!G9+'W CF'!G9+'Stesha CF'!G9</f>
        <v>9511092.4700000007</v>
      </c>
      <c r="H9" s="601">
        <f>+'S CF'!H9+'W CF'!H9+'Stesha CF'!H9</f>
        <v>9906923</v>
      </c>
      <c r="I9" s="601">
        <f>+'S CF'!I9+'W CF'!I9+'Stesha CF'!I9</f>
        <v>-28229254.217106849</v>
      </c>
      <c r="J9" s="601">
        <f>+'S CF'!J9+'W CF'!J9+'Stesha CF'!J9</f>
        <v>-684336.59535890399</v>
      </c>
      <c r="K9" s="601">
        <f>+'S CF'!K9+'W CF'!K9+'Stesha CF'!K9</f>
        <v>377397.26027397258</v>
      </c>
      <c r="L9" s="601">
        <f>+'S CF'!L9+'W CF'!L9+'Stesha CF'!L9</f>
        <v>-175684.93150684936</v>
      </c>
      <c r="M9" s="601">
        <f>+'S CF'!M9+'W CF'!M9+'Stesha CF'!M9</f>
        <v>-19520.547945205471</v>
      </c>
      <c r="N9" s="954">
        <f>+'S CF'!N9+'W CF'!N9+'Stesha CF'!N9</f>
        <v>-182191.78082191775</v>
      </c>
      <c r="O9" s="1176"/>
    </row>
    <row r="10" spans="2:15" ht="15" customHeight="1">
      <c r="B10" s="596" t="s">
        <v>428</v>
      </c>
      <c r="C10" s="602">
        <f>+'S CF'!C10+'W CF'!C10+'Stesha CF'!C10</f>
        <v>84242538.739999577</v>
      </c>
      <c r="D10" s="603">
        <f>+'S CF'!D10+'W CF'!D10+'Stesha CF'!D10</f>
        <v>84315277.390000626</v>
      </c>
      <c r="E10" s="603">
        <f>+'S CF'!E10+'W CF'!E10+'Stesha CF'!E10</f>
        <v>78163271.709999606</v>
      </c>
      <c r="F10" s="603">
        <f>+'S CF'!F10+'W CF'!F10+'Stesha CF'!F10</f>
        <v>77221765.749999806</v>
      </c>
      <c r="G10" s="603">
        <f>+'S CF'!G10+'W CF'!G10+'Stesha CF'!G10</f>
        <v>91917225.450000331</v>
      </c>
      <c r="H10" s="603">
        <f>+'S CF'!H10+'W CF'!H10+'Stesha CF'!H10</f>
        <v>74504831.740000054</v>
      </c>
      <c r="I10" s="603">
        <f>+'S CF'!I10+'W CF'!I10+'Stesha CF'!I10</f>
        <v>96535007.99640584</v>
      </c>
      <c r="J10" s="603">
        <f>+'S CF'!J10+'W CF'!J10+'Stesha CF'!J10</f>
        <v>96646605.386683702</v>
      </c>
      <c r="K10" s="603">
        <f>+'S CF'!K10+'W CF'!K10+'Stesha CF'!K10</f>
        <v>94897887.788098574</v>
      </c>
      <c r="L10" s="603">
        <f>+'S CF'!L10+'W CF'!L10+'Stesha CF'!L10</f>
        <v>95774179.404738665</v>
      </c>
      <c r="M10" s="603">
        <f>+'S CF'!M10+'W CF'!M10+'Stesha CF'!M10</f>
        <v>96790668.726987123</v>
      </c>
      <c r="N10" s="955">
        <f>+'S CF'!N10+'W CF'!N10+'Stesha CF'!N10</f>
        <v>96066960.343627214</v>
      </c>
      <c r="O10" s="1176"/>
    </row>
    <row r="11" spans="2:15" ht="15" customHeight="1">
      <c r="B11" s="604" t="s">
        <v>429</v>
      </c>
      <c r="C11" s="605">
        <f>+'S CF'!C11+'W CF'!C11+'Stesha CF'!C11</f>
        <v>256287500.67454869</v>
      </c>
      <c r="D11" s="606">
        <f>+'S CF'!D11+'W CF'!D11+'Stesha CF'!D11</f>
        <v>197308596.15363806</v>
      </c>
      <c r="E11" s="606">
        <f>+'S CF'!E11+'W CF'!E11+'Stesha CF'!E11</f>
        <v>225897403.50242424</v>
      </c>
      <c r="F11" s="606">
        <f>+'S CF'!F11+'W CF'!F11+'Stesha CF'!F11</f>
        <v>322565926.43030232</v>
      </c>
      <c r="G11" s="606">
        <f>+'S CF'!G11+'W CF'!G11+'Stesha CF'!G11</f>
        <v>575642420.05000365</v>
      </c>
      <c r="H11" s="606">
        <f>+'S CF'!H11+'W CF'!H11+'Stesha CF'!H11</f>
        <v>541866298.45666754</v>
      </c>
      <c r="I11" s="606">
        <f>+'S CF'!I11+'W CF'!I11+'Stesha CF'!I11</f>
        <v>2844567307.3701353</v>
      </c>
      <c r="J11" s="606">
        <f>+'S CF'!J11+'W CF'!J11+'Stesha CF'!J11</f>
        <v>597377385.30918312</v>
      </c>
      <c r="K11" s="606">
        <f>+'S CF'!K11+'W CF'!K11+'Stesha CF'!K11</f>
        <v>571037409.78197145</v>
      </c>
      <c r="L11" s="606">
        <f>+'S CF'!L11+'W CF'!L11+'Stesha CF'!L11</f>
        <v>499400753.69893408</v>
      </c>
      <c r="M11" s="606">
        <f>+'S CF'!M11+'W CF'!M11+'Stesha CF'!M11</f>
        <v>409724865.41966999</v>
      </c>
      <c r="N11" s="956">
        <f>+'S CF'!N11+'W CF'!N11+'Stesha CF'!N11</f>
        <v>320362972.81330216</v>
      </c>
      <c r="O11" s="1176"/>
    </row>
    <row r="12" spans="2:15" ht="15" customHeight="1">
      <c r="B12" s="596" t="s">
        <v>430</v>
      </c>
      <c r="C12" s="600">
        <f>+'S CF'!C12+'W CF'!C12+'Stesha CF'!C12</f>
        <v>-145240327.66000003</v>
      </c>
      <c r="D12" s="601">
        <f>+'S CF'!D12+'W CF'!D12+'Stesha CF'!D12</f>
        <v>-489882790.63</v>
      </c>
      <c r="E12" s="601">
        <f>+'S CF'!E12+'W CF'!E12+'Stesha CF'!E12</f>
        <v>435007698.68999982</v>
      </c>
      <c r="F12" s="601">
        <f>+'S CF'!F12+'W CF'!F12+'Stesha CF'!F12</f>
        <v>310800793.6400001</v>
      </c>
      <c r="G12" s="601">
        <f>+'S CF'!G12+'W CF'!G12+'Stesha CF'!G12</f>
        <v>-227545257.23000002</v>
      </c>
      <c r="H12" s="601">
        <f>+'S CF'!H12+'W CF'!H12+'Stesha CF'!H12</f>
        <v>-137562481.74180186</v>
      </c>
      <c r="I12" s="601">
        <f>+'S CF'!I12+'W CF'!I12+'Stesha CF'!I12</f>
        <v>-243810396.02247119</v>
      </c>
      <c r="J12" s="601">
        <f>+'S CF'!J12+'W CF'!J12+'Stesha CF'!J12</f>
        <v>395371731.73927987</v>
      </c>
      <c r="K12" s="601">
        <f>+'S CF'!K12+'W CF'!K12+'Stesha CF'!K12</f>
        <v>-295498541.35580218</v>
      </c>
      <c r="L12" s="601">
        <f>+'S CF'!L12+'W CF'!L12+'Stesha CF'!L12</f>
        <v>683813678.06985962</v>
      </c>
      <c r="M12" s="601">
        <f>+'S CF'!M12+'W CF'!M12+'Stesha CF'!M12</f>
        <v>-162509646.88084948</v>
      </c>
      <c r="N12" s="954">
        <f>+'S CF'!N12+'W CF'!N12+'Stesha CF'!N12</f>
        <v>-302978032.07535821</v>
      </c>
      <c r="O12" s="1177"/>
    </row>
    <row r="13" spans="2:15" ht="15" customHeight="1">
      <c r="B13" s="596" t="s">
        <v>431</v>
      </c>
      <c r="C13" s="600">
        <f>+'S CF'!C13+'W CF'!C13+'Stesha CF'!C13</f>
        <v>0</v>
      </c>
      <c r="D13" s="601">
        <f>+'S CF'!D13+'W CF'!D13+'Stesha CF'!D13</f>
        <v>0</v>
      </c>
      <c r="E13" s="601">
        <f>+'S CF'!E13+'W CF'!E13+'Stesha CF'!E13</f>
        <v>0</v>
      </c>
      <c r="F13" s="601">
        <f>+'S CF'!F13+'W CF'!F13+'Stesha CF'!F13</f>
        <v>0</v>
      </c>
      <c r="G13" s="601">
        <f>+'S CF'!G13+'W CF'!G13+'Stesha CF'!G13</f>
        <v>0</v>
      </c>
      <c r="H13" s="601">
        <f>+'S CF'!H13+'W CF'!H13+'Stesha CF'!H13</f>
        <v>0</v>
      </c>
      <c r="I13" s="601">
        <f>+'S CF'!I13+'W CF'!I13+'Stesha CF'!I13</f>
        <v>0</v>
      </c>
      <c r="J13" s="601">
        <f>+'S CF'!J13+'W CF'!J13+'Stesha CF'!J13</f>
        <v>0</v>
      </c>
      <c r="K13" s="601">
        <f>+'S CF'!K13+'W CF'!K13+'Stesha CF'!K13</f>
        <v>0</v>
      </c>
      <c r="L13" s="601">
        <f>+'S CF'!L13+'W CF'!L13+'Stesha CF'!L13</f>
        <v>0</v>
      </c>
      <c r="M13" s="601">
        <f>+'S CF'!M13+'W CF'!M13+'Stesha CF'!M13</f>
        <v>0</v>
      </c>
      <c r="N13" s="954">
        <f>+'S CF'!N13+'W CF'!N13+'Stesha CF'!N13</f>
        <v>0</v>
      </c>
      <c r="O13" s="1176"/>
    </row>
    <row r="14" spans="2:15" ht="15" customHeight="1">
      <c r="B14" s="596" t="s">
        <v>432</v>
      </c>
      <c r="C14" s="600">
        <f>+'S CF'!C14+'W CF'!C14+'Stesha CF'!C14</f>
        <v>15000000</v>
      </c>
      <c r="D14" s="601">
        <f>+'S CF'!D14+'W CF'!D14+'Stesha CF'!D14</f>
        <v>-15000000</v>
      </c>
      <c r="E14" s="601">
        <f>+'S CF'!E14+'W CF'!E14+'Stesha CF'!E14</f>
        <v>15000000</v>
      </c>
      <c r="F14" s="601">
        <f>+'S CF'!F14+'W CF'!F14+'Stesha CF'!F14</f>
        <v>0</v>
      </c>
      <c r="G14" s="601">
        <f>+'S CF'!G14+'W CF'!G14+'Stesha CF'!G14</f>
        <v>-8790349.0399999991</v>
      </c>
      <c r="H14" s="601">
        <f>+'S CF'!H14+'W CF'!H14+'Stesha CF'!H14</f>
        <v>-6209650.96</v>
      </c>
      <c r="I14" s="601">
        <f>+'S CF'!I14+'W CF'!I14+'Stesha CF'!I14</f>
        <v>-2219386001.1100001</v>
      </c>
      <c r="J14" s="601">
        <f>+'S CF'!J14+'W CF'!J14+'Stesha CF'!J14</f>
        <v>0</v>
      </c>
      <c r="K14" s="601">
        <f>+'S CF'!K14+'W CF'!K14+'Stesha CF'!K14</f>
        <v>0</v>
      </c>
      <c r="L14" s="601">
        <f>+'S CF'!L14+'W CF'!L14+'Stesha CF'!L14</f>
        <v>0</v>
      </c>
      <c r="M14" s="601">
        <f>+'S CF'!M14+'W CF'!M14+'Stesha CF'!M14</f>
        <v>0</v>
      </c>
      <c r="N14" s="954">
        <f>+'S CF'!N14+'W CF'!N14+'Stesha CF'!N14</f>
        <v>0</v>
      </c>
      <c r="O14" s="1176"/>
    </row>
    <row r="15" spans="2:15" ht="15" customHeight="1">
      <c r="B15" s="596" t="s">
        <v>433</v>
      </c>
      <c r="C15" s="602">
        <f>+'S CF'!C15+'W CF'!C15+'Stesha CF'!C15</f>
        <v>10315629.099999979</v>
      </c>
      <c r="D15" s="603">
        <f>+'S CF'!D15+'W CF'!D15+'Stesha CF'!D15</f>
        <v>6107599.3899999857</v>
      </c>
      <c r="E15" s="603">
        <f>+'S CF'!E15+'W CF'!E15+'Stesha CF'!E15</f>
        <v>121934658.74999577</v>
      </c>
      <c r="F15" s="603">
        <f>+'S CF'!F15+'W CF'!F15+'Stesha CF'!F15</f>
        <v>-11565425.390003867</v>
      </c>
      <c r="G15" s="603">
        <f>+'S CF'!G15+'W CF'!G15+'Stesha CF'!G15</f>
        <v>-78282134.799996138</v>
      </c>
      <c r="H15" s="603">
        <f>+'S CF'!H15+'W CF'!H15+'Stesha CF'!H15</f>
        <v>55452793.291806303</v>
      </c>
      <c r="I15" s="603">
        <f>+'S CF'!I15+'W CF'!I15+'Stesha CF'!I15</f>
        <v>5705146.4018695652</v>
      </c>
      <c r="J15" s="603">
        <f>+'S CF'!J15+'W CF'!J15+'Stesha CF'!J15</f>
        <v>6683220.2736665606</v>
      </c>
      <c r="K15" s="603">
        <f>+'S CF'!K15+'W CF'!K15+'Stesha CF'!K15</f>
        <v>17572968.908636168</v>
      </c>
      <c r="L15" s="603">
        <f>+'S CF'!L15+'W CF'!L15+'Stesha CF'!L15</f>
        <v>166943712.37945479</v>
      </c>
      <c r="M15" s="603">
        <f>+'S CF'!M15+'W CF'!M15+'Stesha CF'!M15</f>
        <v>368161387.10870212</v>
      </c>
      <c r="N15" s="955">
        <f>+'S CF'!N15+'W CF'!N15+'Stesha CF'!N15</f>
        <v>-202517981.69677266</v>
      </c>
      <c r="O15" s="1177"/>
    </row>
    <row r="16" spans="2:15" ht="15" customHeight="1">
      <c r="B16" s="604" t="s">
        <v>434</v>
      </c>
      <c r="C16" s="605">
        <f>+'S CF'!C16+'W CF'!C16+'Stesha CF'!C16</f>
        <v>-119924698.56000005</v>
      </c>
      <c r="D16" s="606">
        <f>+'S CF'!D16+'W CF'!D16+'Stesha CF'!D16</f>
        <v>-498775191.24000001</v>
      </c>
      <c r="E16" s="606">
        <f>+'S CF'!E16+'W CF'!E16+'Stesha CF'!E16</f>
        <v>571942357.43999565</v>
      </c>
      <c r="F16" s="606">
        <f>+'S CF'!F16+'W CF'!F16+'Stesha CF'!F16</f>
        <v>299235368.24999619</v>
      </c>
      <c r="G16" s="606">
        <f>+'S CF'!G16+'W CF'!G16+'Stesha CF'!G16</f>
        <v>-314617741.06999618</v>
      </c>
      <c r="H16" s="606">
        <f>+'S CF'!H16+'W CF'!H16+'Stesha CF'!H16</f>
        <v>-88319339.409995556</v>
      </c>
      <c r="I16" s="606">
        <f>+'S CF'!I16+'W CF'!I16+'Stesha CF'!I16</f>
        <v>-2457491250.7306018</v>
      </c>
      <c r="J16" s="606">
        <f>+'S CF'!J16+'W CF'!J16+'Stesha CF'!J16</f>
        <v>402054952.01294649</v>
      </c>
      <c r="K16" s="606">
        <f>+'S CF'!K16+'W CF'!K16+'Stesha CF'!K16</f>
        <v>-277925572.44716603</v>
      </c>
      <c r="L16" s="606">
        <f>+'S CF'!L16+'W CF'!L16+'Stesha CF'!L16</f>
        <v>850757390.44931436</v>
      </c>
      <c r="M16" s="606">
        <f>+'S CF'!M16+'W CF'!M16+'Stesha CF'!M16</f>
        <v>205651740.22785264</v>
      </c>
      <c r="N16" s="956">
        <f>+'S CF'!N16+'W CF'!N16+'Stesha CF'!N16</f>
        <v>-505496013.77213085</v>
      </c>
      <c r="O16" s="1176"/>
    </row>
    <row r="17" spans="2:15" ht="15" customHeight="1">
      <c r="B17" s="596" t="s">
        <v>435</v>
      </c>
      <c r="C17" s="600">
        <f>+'S CF'!C17+'W CF'!C17+'Stesha CF'!C17</f>
        <v>70315900.769999921</v>
      </c>
      <c r="D17" s="601">
        <f>+'S CF'!D17+'W CF'!D17+'Stesha CF'!D17</f>
        <v>-163672740.95999992</v>
      </c>
      <c r="E17" s="601">
        <f>+'S CF'!E17+'W CF'!E17+'Stesha CF'!E17</f>
        <v>241182424.37999988</v>
      </c>
      <c r="F17" s="601">
        <f>+'S CF'!F17+'W CF'!F17+'Stesha CF'!F17</f>
        <v>263508783.69000006</v>
      </c>
      <c r="G17" s="601">
        <f>+'S CF'!G17+'W CF'!G17+'Stesha CF'!G17</f>
        <v>36806388.029999912</v>
      </c>
      <c r="H17" s="601">
        <f>+'S CF'!H17+'W CF'!H17+'Stesha CF'!H17</f>
        <v>-337096327.3499999</v>
      </c>
      <c r="I17" s="601">
        <f>+'S CF'!I17+'W CF'!I17+'Stesha CF'!I17</f>
        <v>-251848352.92247108</v>
      </c>
      <c r="J17" s="601">
        <f>+'S CF'!J17+'W CF'!J17+'Stesha CF'!J17</f>
        <v>220371731.73927981</v>
      </c>
      <c r="K17" s="601">
        <f>+'S CF'!K17+'W CF'!K17+'Stesha CF'!K17</f>
        <v>-470498541.35580212</v>
      </c>
      <c r="L17" s="601">
        <f>+'S CF'!L17+'W CF'!L17+'Stesha CF'!L17</f>
        <v>508813678.06985968</v>
      </c>
      <c r="M17" s="601">
        <f>+'S CF'!M17+'W CF'!M17+'Stesha CF'!M17</f>
        <v>-312509646.88084948</v>
      </c>
      <c r="N17" s="954">
        <f>+'S CF'!N17+'W CF'!N17+'Stesha CF'!N17</f>
        <v>-215478032.07535839</v>
      </c>
      <c r="O17" s="1177"/>
    </row>
    <row r="18" spans="2:15" ht="15" customHeight="1">
      <c r="B18" s="596" t="s">
        <v>436</v>
      </c>
      <c r="C18" s="600">
        <f>+'S CF'!C18+'W CF'!C18+'Stesha CF'!C18</f>
        <v>200000000</v>
      </c>
      <c r="D18" s="601">
        <f>+'S CF'!D18+'W CF'!D18+'Stesha CF'!D18</f>
        <v>0</v>
      </c>
      <c r="E18" s="601">
        <f>+'S CF'!E18+'W CF'!E18+'Stesha CF'!E18</f>
        <v>-3271000000</v>
      </c>
      <c r="F18" s="601">
        <f>+'S CF'!F18+'W CF'!F18+'Stesha CF'!F18</f>
        <v>870000000</v>
      </c>
      <c r="G18" s="601">
        <f>+'S CF'!G18+'W CF'!G18+'Stesha CF'!G18</f>
        <v>0</v>
      </c>
      <c r="H18" s="601">
        <f>+'S CF'!H18+'W CF'!H18+'Stesha CF'!H18</f>
        <v>0</v>
      </c>
      <c r="I18" s="601">
        <f>+'S CF'!I18+'W CF'!I18+'Stesha CF'!I18</f>
        <v>2384000000</v>
      </c>
      <c r="J18" s="601">
        <f>+'S CF'!J18+'W CF'!J18+'Stesha CF'!J18</f>
        <v>0</v>
      </c>
      <c r="K18" s="601">
        <f>+'S CF'!K18+'W CF'!K18+'Stesha CF'!K18</f>
        <v>0</v>
      </c>
      <c r="L18" s="601">
        <f>+'S CF'!L18+'W CF'!L18+'Stesha CF'!L18</f>
        <v>0</v>
      </c>
      <c r="M18" s="601">
        <f>+'S CF'!M18+'W CF'!M18+'Stesha CF'!M18</f>
        <v>0</v>
      </c>
      <c r="N18" s="954">
        <f>+'S CF'!N18+'W CF'!N18+'Stesha CF'!N18</f>
        <v>0</v>
      </c>
      <c r="O18" s="1177"/>
    </row>
    <row r="19" spans="2:15" ht="15" customHeight="1">
      <c r="B19" s="596" t="s">
        <v>437</v>
      </c>
      <c r="C19" s="600">
        <f>+'S CF'!C19+'W CF'!C19+'Stesha CF'!C19</f>
        <v>29753139.889999866</v>
      </c>
      <c r="D19" s="601">
        <f>+'S CF'!D19+'W CF'!D19+'Stesha CF'!D19</f>
        <v>-410616111.55000001</v>
      </c>
      <c r="E19" s="601">
        <f>+'S CF'!E19+'W CF'!E19+'Stesha CF'!E19</f>
        <v>7828335.4199999049</v>
      </c>
      <c r="F19" s="601">
        <f>+'S CF'!F19+'W CF'!F19+'Stesha CF'!F19</f>
        <v>-384287925.67999995</v>
      </c>
      <c r="G19" s="601">
        <f>+'S CF'!G19+'W CF'!G19+'Stesha CF'!G19</f>
        <v>-327197496.31999987</v>
      </c>
      <c r="H19" s="601">
        <f>+'S CF'!H19+'W CF'!H19+'Stesha CF'!H19</f>
        <v>-348075373.7899999</v>
      </c>
      <c r="I19" s="601">
        <f>+'S CF'!I19+'W CF'!I19+'Stesha CF'!I19</f>
        <v>509999647.02999997</v>
      </c>
      <c r="J19" s="601">
        <f>+'S CF'!J19+'W CF'!J19+'Stesha CF'!J19</f>
        <v>710000000</v>
      </c>
      <c r="K19" s="601">
        <f>+'S CF'!K19+'W CF'!K19+'Stesha CF'!K19</f>
        <v>710000000</v>
      </c>
      <c r="L19" s="601">
        <f>+'S CF'!L19+'W CF'!L19+'Stesha CF'!L19</f>
        <v>710000000</v>
      </c>
      <c r="M19" s="601">
        <f>+'S CF'!M19+'W CF'!M19+'Stesha CF'!M19</f>
        <v>610000000</v>
      </c>
      <c r="N19" s="954">
        <f>+'S CF'!N19+'W CF'!N19+'Stesha CF'!N19</f>
        <v>-340000000</v>
      </c>
      <c r="O19" s="1176"/>
    </row>
    <row r="20" spans="2:15" ht="15" customHeight="1">
      <c r="B20" s="596" t="s">
        <v>438</v>
      </c>
      <c r="C20" s="602">
        <f>+'S CF'!C20+'W CF'!C20+'Stesha CF'!C20</f>
        <v>114696823.78454998</v>
      </c>
      <c r="D20" s="603">
        <f>+'S CF'!D20+'W CF'!D20+'Stesha CF'!D20</f>
        <v>-57068704.299997896</v>
      </c>
      <c r="E20" s="603">
        <f>+'S CF'!E20+'W CF'!E20+'Stesha CF'!E20</f>
        <v>3348915297.9499998</v>
      </c>
      <c r="F20" s="603">
        <f>+'S CF'!F20+'W CF'!F20+'Stesha CF'!F20</f>
        <v>-1102555558.99</v>
      </c>
      <c r="G20" s="603">
        <f>+'S CF'!G20+'W CF'!G20+'Stesha CF'!G20</f>
        <v>369922083.25000006</v>
      </c>
      <c r="H20" s="603">
        <f>+'S CF'!H20+'W CF'!H20+'Stesha CF'!H20</f>
        <v>28819172.129999995</v>
      </c>
      <c r="I20" s="603">
        <f>+'S CF'!I20+'W CF'!I20+'Stesha CF'!I20</f>
        <v>-2291200497.643929</v>
      </c>
      <c r="J20" s="603">
        <f>+'S CF'!J20+'W CF'!J20+'Stesha CF'!J20</f>
        <v>84051014.768170953</v>
      </c>
      <c r="K20" s="603">
        <f>+'S CF'!K20+'W CF'!K20+'Stesha CF'!K20</f>
        <v>92624295.050284564</v>
      </c>
      <c r="L20" s="603">
        <f>+'S CF'!L20+'W CF'!L20+'Stesha CF'!L20</f>
        <v>97317915.999098599</v>
      </c>
      <c r="M20" s="603">
        <f>+'S CF'!M20+'W CF'!M20+'Stesha CF'!M20</f>
        <v>73092173.145897031</v>
      </c>
      <c r="N20" s="955">
        <f>+'S CF'!N20+'W CF'!N20+'Stesha CF'!N20</f>
        <v>103530156.99711967</v>
      </c>
      <c r="O20" s="1177"/>
    </row>
    <row r="21" spans="2:15" ht="15" customHeight="1">
      <c r="B21" s="604" t="s">
        <v>439</v>
      </c>
      <c r="C21" s="605">
        <f>+'S CF'!C21+'W CF'!C21+'Stesha CF'!C21</f>
        <v>414765864.4445498</v>
      </c>
      <c r="D21" s="606">
        <f>+'S CF'!D21+'W CF'!D21+'Stesha CF'!D21</f>
        <v>-631357556.80999792</v>
      </c>
      <c r="E21" s="606">
        <f>+'S CF'!E21+'W CF'!E21+'Stesha CF'!E21</f>
        <v>326926057.7499997</v>
      </c>
      <c r="F21" s="606">
        <f>+'S CF'!F21+'W CF'!F21+'Stesha CF'!F21</f>
        <v>-353334700.98000014</v>
      </c>
      <c r="G21" s="606">
        <f>+'S CF'!G21+'W CF'!G21+'Stesha CF'!G21</f>
        <v>79530974.960000083</v>
      </c>
      <c r="H21" s="606">
        <f>+'S CF'!H21+'W CF'!H21+'Stesha CF'!H21</f>
        <v>-656352529.00999987</v>
      </c>
      <c r="I21" s="606">
        <f>+'S CF'!I21+'W CF'!I21+'Stesha CF'!I21</f>
        <v>350950796.46360016</v>
      </c>
      <c r="J21" s="606">
        <f>+'S CF'!J21+'W CF'!J21+'Stesha CF'!J21</f>
        <v>1014422746.5074507</v>
      </c>
      <c r="K21" s="606">
        <f>+'S CF'!K21+'W CF'!K21+'Stesha CF'!K21</f>
        <v>332125753.69448245</v>
      </c>
      <c r="L21" s="606">
        <f>+'S CF'!L21+'W CF'!L21+'Stesha CF'!L21</f>
        <v>1316131594.0689583</v>
      </c>
      <c r="M21" s="606">
        <f>+'S CF'!M21+'W CF'!M21+'Stesha CF'!M21</f>
        <v>370582526.26504755</v>
      </c>
      <c r="N21" s="956">
        <f>+'S CF'!N21+'W CF'!N21+'Stesha CF'!N21</f>
        <v>-451947875.07823873</v>
      </c>
      <c r="O21" s="1176"/>
    </row>
    <row r="22" spans="2:15" ht="15" customHeight="1">
      <c r="B22" s="596" t="s">
        <v>440</v>
      </c>
      <c r="C22" s="607">
        <f>+'S CF'!C22+'W CF'!C22+'Stesha CF'!C22</f>
        <v>106382775.13999939</v>
      </c>
      <c r="D22" s="608">
        <f>+'S CF'!D22+'W CF'!D22+'Stesha CF'!D22</f>
        <v>421019959.73999977</v>
      </c>
      <c r="E22" s="608">
        <f>+'S CF'!E22+'W CF'!E22+'Stesha CF'!E22</f>
        <v>194038127.42000103</v>
      </c>
      <c r="F22" s="608">
        <f>+'S CF'!F22+'W CF'!F22+'Stesha CF'!F22</f>
        <v>224520704</v>
      </c>
      <c r="G22" s="608">
        <f>+'S CF'!G22+'W CF'!G22+'Stesha CF'!G22</f>
        <v>140334977.86999989</v>
      </c>
      <c r="H22" s="608">
        <f>+'S CF'!H22+'W CF'!H22+'Stesha CF'!H22</f>
        <v>205619441.60999966</v>
      </c>
      <c r="I22" s="608">
        <f>+'S CF'!I22+'W CF'!I22+'Stesha CF'!I22</f>
        <v>90850284.5</v>
      </c>
      <c r="J22" s="608">
        <f>+'S CF'!J22+'W CF'!J22+'Stesha CF'!J22</f>
        <v>75850284.5</v>
      </c>
      <c r="K22" s="608">
        <f>+'S CF'!K22+'W CF'!K22+'Stesha CF'!K22</f>
        <v>92350284.5</v>
      </c>
      <c r="L22" s="608">
        <f>+'S CF'!L22+'W CF'!L22+'Stesha CF'!L22</f>
        <v>71350284.5</v>
      </c>
      <c r="M22" s="608">
        <f>+'S CF'!M22+'W CF'!M22+'Stesha CF'!M22</f>
        <v>71350284.5</v>
      </c>
      <c r="N22" s="957">
        <f>+'S CF'!N22+'W CF'!N22+'Stesha CF'!N22</f>
        <v>64850284.5</v>
      </c>
      <c r="O22" s="1176"/>
    </row>
    <row r="23" spans="2:15" ht="15" customHeight="1">
      <c r="B23" s="596" t="s">
        <v>441</v>
      </c>
      <c r="C23" s="607">
        <f>+'S CF'!C23+'W CF'!C23+'Stesha CF'!C23</f>
        <v>100055025.88</v>
      </c>
      <c r="D23" s="608">
        <f>+'S CF'!D23+'W CF'!D23+'Stesha CF'!D23</f>
        <v>0</v>
      </c>
      <c r="E23" s="608">
        <f>+'S CF'!E23+'W CF'!E23+'Stesha CF'!E23</f>
        <v>0</v>
      </c>
      <c r="F23" s="608">
        <f>+'S CF'!F23+'W CF'!F23+'Stesha CF'!F23</f>
        <v>0</v>
      </c>
      <c r="G23" s="608">
        <f>+'S CF'!G23+'W CF'!G23+'Stesha CF'!G23</f>
        <v>-399263000</v>
      </c>
      <c r="H23" s="608">
        <f>+'S CF'!H23+'W CF'!H23+'Stesha CF'!H23</f>
        <v>0</v>
      </c>
      <c r="I23" s="608">
        <f>+'S CF'!I23+'W CF'!I23+'Stesha CF'!I23</f>
        <v>0</v>
      </c>
      <c r="J23" s="608">
        <f>+'S CF'!J23+'W CF'!J23+'Stesha CF'!J23</f>
        <v>0</v>
      </c>
      <c r="K23" s="608">
        <f>+'S CF'!K23+'W CF'!K23+'Stesha CF'!K23</f>
        <v>0</v>
      </c>
      <c r="L23" s="608">
        <f>+'S CF'!L23+'W CF'!L23+'Stesha CF'!L23</f>
        <v>0</v>
      </c>
      <c r="M23" s="608">
        <f>+'S CF'!M23+'W CF'!M23+'Stesha CF'!M23</f>
        <v>0</v>
      </c>
      <c r="N23" s="957">
        <f>+'S CF'!N23+'W CF'!N23+'Stesha CF'!N23</f>
        <v>0</v>
      </c>
      <c r="O23" s="1176"/>
    </row>
    <row r="24" spans="2:15" ht="15" customHeight="1">
      <c r="B24" s="596" t="s">
        <v>237</v>
      </c>
      <c r="C24" s="609">
        <f>+'S CF'!C24+'W CF'!C24+'Stesha CF'!C24</f>
        <v>0</v>
      </c>
      <c r="D24" s="610">
        <f>+'S CF'!D24+'W CF'!D24+'Stesha CF'!D24</f>
        <v>0</v>
      </c>
      <c r="E24" s="610">
        <f>+'S CF'!E24+'W CF'!E24+'Stesha CF'!E24</f>
        <v>0</v>
      </c>
      <c r="F24" s="610">
        <f>+'S CF'!F24+'W CF'!F24+'Stesha CF'!F24</f>
        <v>0</v>
      </c>
      <c r="G24" s="610">
        <f>+'S CF'!G24+'W CF'!G24+'Stesha CF'!G24</f>
        <v>0</v>
      </c>
      <c r="H24" s="610">
        <f>+'S CF'!H24+'W CF'!H24+'Stesha CF'!H24</f>
        <v>0</v>
      </c>
      <c r="I24" s="610">
        <f>+'S CF'!I24+'W CF'!I24+'Stesha CF'!I24</f>
        <v>0</v>
      </c>
      <c r="J24" s="610">
        <f>+'S CF'!J24+'W CF'!J24+'Stesha CF'!J24</f>
        <v>0</v>
      </c>
      <c r="K24" s="610">
        <f>+'S CF'!K24+'W CF'!K24+'Stesha CF'!K24</f>
        <v>0</v>
      </c>
      <c r="L24" s="610">
        <f>+'S CF'!L24+'W CF'!L24+'Stesha CF'!L24</f>
        <v>0</v>
      </c>
      <c r="M24" s="610">
        <f>+'S CF'!M24+'W CF'!M24+'Stesha CF'!M24</f>
        <v>0</v>
      </c>
      <c r="N24" s="958">
        <f>+'S CF'!N24+'W CF'!N24+'Stesha CF'!N24</f>
        <v>0</v>
      </c>
      <c r="O24" s="1176"/>
    </row>
    <row r="25" spans="2:15" ht="15" customHeight="1">
      <c r="B25" s="611" t="s">
        <v>442</v>
      </c>
      <c r="C25" s="612">
        <f>+'S CF'!C25+'W CF'!C25+'Stesha CF'!C25</f>
        <v>206437801.01999938</v>
      </c>
      <c r="D25" s="613">
        <f>+'S CF'!D25+'W CF'!D25+'Stesha CF'!D25</f>
        <v>421019959.73999977</v>
      </c>
      <c r="E25" s="613">
        <f>+'S CF'!E25+'W CF'!E25+'Stesha CF'!E25</f>
        <v>194038127.42000103</v>
      </c>
      <c r="F25" s="613">
        <f>+'S CF'!F25+'W CF'!F25+'Stesha CF'!F25</f>
        <v>224520704</v>
      </c>
      <c r="G25" s="613">
        <f>+'S CF'!G25+'W CF'!G25+'Stesha CF'!G25</f>
        <v>-258928022.13000011</v>
      </c>
      <c r="H25" s="613">
        <f>+'S CF'!H25+'W CF'!H25+'Stesha CF'!H25</f>
        <v>205619441.60999966</v>
      </c>
      <c r="I25" s="613">
        <f>+'S CF'!I25+'W CF'!I25+'Stesha CF'!I25</f>
        <v>90850284.5</v>
      </c>
      <c r="J25" s="613">
        <f>+'S CF'!J25+'W CF'!J25+'Stesha CF'!J25</f>
        <v>75850284.5</v>
      </c>
      <c r="K25" s="613">
        <f>+'S CF'!K25+'W CF'!K25+'Stesha CF'!K25</f>
        <v>92350284.5</v>
      </c>
      <c r="L25" s="613">
        <f>+'S CF'!L25+'W CF'!L25+'Stesha CF'!L25</f>
        <v>71350284.5</v>
      </c>
      <c r="M25" s="613">
        <f>+'S CF'!M25+'W CF'!M25+'Stesha CF'!M25</f>
        <v>71350284.5</v>
      </c>
      <c r="N25" s="959">
        <f>+'S CF'!N25+'W CF'!N25+'Stesha CF'!N25</f>
        <v>64850284.5</v>
      </c>
      <c r="O25" s="1176"/>
    </row>
    <row r="26" spans="2:15" ht="15" customHeight="1">
      <c r="B26" s="596" t="s">
        <v>443</v>
      </c>
      <c r="C26" s="607">
        <f>+'S CF'!C26+'W CF'!C26+'Stesha CF'!C26</f>
        <v>-136141090.63000011</v>
      </c>
      <c r="D26" s="608">
        <f>+'S CF'!D26+'W CF'!D26+'Stesha CF'!D26</f>
        <v>-138783522.25054741</v>
      </c>
      <c r="E26" s="608">
        <f>+'S CF'!E26+'W CF'!E26+'Stesha CF'!E26</f>
        <v>-138148212.08000016</v>
      </c>
      <c r="F26" s="608">
        <f>+'S CF'!F26+'W CF'!F26+'Stesha CF'!F26</f>
        <v>-138507366.57000017</v>
      </c>
      <c r="G26" s="608">
        <f>+'S CF'!G26+'W CF'!G26+'Stesha CF'!G26</f>
        <v>-140854815.10999942</v>
      </c>
      <c r="H26" s="608">
        <f>+'S CF'!H26+'W CF'!H26+'Stesha CF'!H26</f>
        <v>-138767030.52000022</v>
      </c>
      <c r="I26" s="608">
        <f>+'S CF'!I26+'W CF'!I26+'Stesha CF'!I26</f>
        <v>-136143664.13664651</v>
      </c>
      <c r="J26" s="608">
        <f>+'S CF'!J26+'W CF'!J26+'Stesha CF'!J26</f>
        <v>-138756878.43705368</v>
      </c>
      <c r="K26" s="608">
        <f>+'S CF'!K26+'W CF'!K26+'Stesha CF'!K26</f>
        <v>-139095592.40171194</v>
      </c>
      <c r="L26" s="608">
        <f>+'S CF'!L26+'W CF'!L26+'Stesha CF'!L26</f>
        <v>-139007530.14356995</v>
      </c>
      <c r="M26" s="608">
        <f>+'S CF'!M26+'W CF'!M26+'Stesha CF'!M26</f>
        <v>-139350856.6093049</v>
      </c>
      <c r="N26" s="957">
        <f>+'S CF'!N26+'W CF'!N26+'Stesha CF'!N26</f>
        <v>-99520145.91371274</v>
      </c>
      <c r="O26" s="1176"/>
    </row>
    <row r="27" spans="2:15" ht="15" customHeight="1">
      <c r="B27" s="596" t="s">
        <v>444</v>
      </c>
      <c r="C27" s="607">
        <f>+'S CF'!C27+'W CF'!C27+'Stesha CF'!C27</f>
        <v>-302130584.9000001</v>
      </c>
      <c r="D27" s="608">
        <f>+'S CF'!D27+'W CF'!D27+'Stesha CF'!D27</f>
        <v>-857063.75945293903</v>
      </c>
      <c r="E27" s="608">
        <f>+'S CF'!E27+'W CF'!E27+'Stesha CF'!E27</f>
        <v>-299254263.98999953</v>
      </c>
      <c r="F27" s="608">
        <f>+'S CF'!F27+'W CF'!F27+'Stesha CF'!F27</f>
        <v>-300307616.0999999</v>
      </c>
      <c r="G27" s="608">
        <f>+'S CF'!G27+'W CF'!G27+'Stesha CF'!G27</f>
        <v>450196288.36999977</v>
      </c>
      <c r="H27" s="608">
        <f>+'S CF'!H27+'W CF'!H27+'Stesha CF'!H27</f>
        <v>149697444.25000012</v>
      </c>
      <c r="I27" s="608">
        <f>+'S CF'!I27+'W CF'!I27+'Stesha CF'!I27</f>
        <v>100000000</v>
      </c>
      <c r="J27" s="608">
        <f>+'S CF'!J27+'W CF'!J27+'Stesha CF'!J27</f>
        <v>75000000</v>
      </c>
      <c r="K27" s="608">
        <f>+'S CF'!K27+'W CF'!K27+'Stesha CF'!K27</f>
        <v>0</v>
      </c>
      <c r="L27" s="608">
        <f>+'S CF'!L27+'W CF'!L27+'Stesha CF'!L27</f>
        <v>0</v>
      </c>
      <c r="M27" s="608">
        <f>+'S CF'!M27+'W CF'!M27+'Stesha CF'!M27</f>
        <v>-600000000</v>
      </c>
      <c r="N27" s="957">
        <f>+'S CF'!N27+'W CF'!N27+'Stesha CF'!N27</f>
        <v>0</v>
      </c>
      <c r="O27" s="1176"/>
    </row>
    <row r="28" spans="2:15" ht="15" customHeight="1">
      <c r="B28" s="596" t="s">
        <v>445</v>
      </c>
      <c r="C28" s="607">
        <f>+'S CF'!C28+'W CF'!C28+'Stesha CF'!C28</f>
        <v>0</v>
      </c>
      <c r="D28" s="608">
        <f>+'S CF'!D28+'W CF'!D28+'Stesha CF'!D28</f>
        <v>0</v>
      </c>
      <c r="E28" s="608">
        <f>+'S CF'!E28+'W CF'!E28+'Stesha CF'!E28</f>
        <v>0</v>
      </c>
      <c r="F28" s="608">
        <f>+'S CF'!F28+'W CF'!F28+'Stesha CF'!F28</f>
        <v>0</v>
      </c>
      <c r="G28" s="608">
        <f>+'S CF'!G28+'W CF'!G28+'Stesha CF'!G28</f>
        <v>0</v>
      </c>
      <c r="H28" s="608">
        <f>+'S CF'!H28+'W CF'!H28+'Stesha CF'!H28</f>
        <v>0</v>
      </c>
      <c r="I28" s="608">
        <f>+'S CF'!I28+'W CF'!I28+'Stesha CF'!I28</f>
        <v>0</v>
      </c>
      <c r="J28" s="608">
        <f>+'S CF'!J28+'W CF'!J28+'Stesha CF'!J28</f>
        <v>0</v>
      </c>
      <c r="K28" s="608">
        <f>+'S CF'!K28+'W CF'!K28+'Stesha CF'!K28</f>
        <v>0</v>
      </c>
      <c r="L28" s="608">
        <f>+'S CF'!L28+'W CF'!L28+'Stesha CF'!L28</f>
        <v>0</v>
      </c>
      <c r="M28" s="608">
        <f>+'S CF'!M28+'W CF'!M28+'Stesha CF'!M28</f>
        <v>0</v>
      </c>
      <c r="N28" s="957">
        <f>+'S CF'!N28+'W CF'!N28+'Stesha CF'!N28</f>
        <v>0</v>
      </c>
      <c r="O28" s="1176"/>
    </row>
    <row r="29" spans="2:15" ht="15" customHeight="1">
      <c r="B29" s="596" t="s">
        <v>446</v>
      </c>
      <c r="C29" s="609">
        <f>+'S CF'!C29+'W CF'!C29+'Stesha CF'!C29</f>
        <v>-7923099.1700000167</v>
      </c>
      <c r="D29" s="610">
        <f>+'S CF'!D29+'W CF'!D29+'Stesha CF'!D29</f>
        <v>0</v>
      </c>
      <c r="E29" s="610">
        <f>+'S CF'!E29+'W CF'!E29+'Stesha CF'!E29</f>
        <v>0</v>
      </c>
      <c r="F29" s="610">
        <f>+'S CF'!F29+'W CF'!F29+'Stesha CF'!F29</f>
        <v>0</v>
      </c>
      <c r="G29" s="610">
        <f>+'S CF'!G29+'W CF'!G29+'Stesha CF'!G29</f>
        <v>0</v>
      </c>
      <c r="H29" s="610">
        <f>+'S CF'!H29+'W CF'!H29+'Stesha CF'!H29</f>
        <v>0</v>
      </c>
      <c r="I29" s="610">
        <f>+'S CF'!I29+'W CF'!I29+'Stesha CF'!I29</f>
        <v>0</v>
      </c>
      <c r="J29" s="610">
        <f>+'S CF'!J29+'W CF'!J29+'Stesha CF'!J29</f>
        <v>0</v>
      </c>
      <c r="K29" s="610">
        <f>+'S CF'!K29+'W CF'!K29+'Stesha CF'!K29</f>
        <v>0</v>
      </c>
      <c r="L29" s="610">
        <f>+'S CF'!L29+'W CF'!L29+'Stesha CF'!L29</f>
        <v>0</v>
      </c>
      <c r="M29" s="610">
        <f>+'S CF'!M29+'W CF'!M29+'Stesha CF'!M29</f>
        <v>0</v>
      </c>
      <c r="N29" s="958">
        <f>+'S CF'!N29+'W CF'!N29+'Stesha CF'!N29</f>
        <v>0</v>
      </c>
      <c r="O29" s="1176"/>
    </row>
    <row r="30" spans="2:15" ht="15" customHeight="1">
      <c r="B30" s="614" t="s">
        <v>447</v>
      </c>
      <c r="C30" s="615">
        <f>+'S CF'!C30+'W CF'!C30+'Stesha CF'!C30</f>
        <v>-446194774.70000023</v>
      </c>
      <c r="D30" s="616">
        <f>+'S CF'!D30+'W CF'!D30+'Stesha CF'!D30</f>
        <v>-139640586.01000035</v>
      </c>
      <c r="E30" s="616">
        <f>+'S CF'!E30+'W CF'!E30+'Stesha CF'!E30</f>
        <v>-437402476.06999969</v>
      </c>
      <c r="F30" s="616">
        <f>+'S CF'!F30+'W CF'!F30+'Stesha CF'!F30</f>
        <v>-438814982.67000008</v>
      </c>
      <c r="G30" s="616">
        <f>+'S CF'!G30+'W CF'!G30+'Stesha CF'!G30</f>
        <v>309341473.26000035</v>
      </c>
      <c r="H30" s="616">
        <f>+'S CF'!H30+'W CF'!H30+'Stesha CF'!H30</f>
        <v>10930413.7299999</v>
      </c>
      <c r="I30" s="616">
        <f>+'S CF'!I30+'W CF'!I30+'Stesha CF'!I30</f>
        <v>-36143664.136646509</v>
      </c>
      <c r="J30" s="616">
        <f>+'S CF'!J30+'W CF'!J30+'Stesha CF'!J30</f>
        <v>-63756878.43705368</v>
      </c>
      <c r="K30" s="616">
        <f>+'S CF'!K30+'W CF'!K30+'Stesha CF'!K30</f>
        <v>-139095592.40171194</v>
      </c>
      <c r="L30" s="616">
        <f>+'S CF'!L30+'W CF'!L30+'Stesha CF'!L30</f>
        <v>-139007530.14356995</v>
      </c>
      <c r="M30" s="616">
        <f>+'S CF'!M30+'W CF'!M30+'Stesha CF'!M30</f>
        <v>-739350856.6093049</v>
      </c>
      <c r="N30" s="960">
        <f>+'S CF'!N30+'W CF'!N30+'Stesha CF'!N30</f>
        <v>-99520145.91371274</v>
      </c>
      <c r="O30" s="1176"/>
    </row>
    <row r="31" spans="2:15" ht="15" customHeight="1" thickBot="1">
      <c r="B31" s="617" t="s">
        <v>448</v>
      </c>
      <c r="C31" s="618">
        <f>+'S CF'!C31+'W CF'!C31+'Stesha CF'!C31</f>
        <v>-931035638.05000079</v>
      </c>
      <c r="D31" s="619">
        <f>+'S CF'!D31+'W CF'!D31+'Stesha CF'!D31</f>
        <v>-230769584.02636427</v>
      </c>
      <c r="E31" s="619">
        <f>+'S CF'!E31+'W CF'!E31+'Stesha CF'!E31</f>
        <v>-160526900.2975806</v>
      </c>
      <c r="F31" s="619">
        <f>+'S CF'!F31+'W CF'!F31+'Stesha CF'!F31</f>
        <v>311800308.99029875</v>
      </c>
      <c r="G31" s="619">
        <f>+'S CF'!G31+'W CF'!G31+'Stesha CF'!G31</f>
        <v>749763199.41000783</v>
      </c>
      <c r="H31" s="619">
        <f>+'S CF'!H31+'W CF'!H31+'Stesha CF'!H31</f>
        <v>915210460.1766721</v>
      </c>
      <c r="I31" s="619">
        <f>+'S CF'!I31+'W CF'!I31+'Stesha CF'!I31</f>
        <v>-90868688.460713118</v>
      </c>
      <c r="J31" s="619">
        <f>+'S CF'!J31+'W CF'!J31+'Stesha CF'!J31</f>
        <v>-154597572.12237492</v>
      </c>
      <c r="K31" s="619">
        <f>+'S CF'!K31+'W CF'!K31+'Stesha CF'!K31</f>
        <v>-270459793.26138896</v>
      </c>
      <c r="L31" s="619">
        <f>+'S CF'!L31+'W CF'!L31+'Stesha CF'!L31</f>
        <v>-176331264.56427974</v>
      </c>
      <c r="M31" s="619">
        <f>+'S CF'!M31+'W CF'!M31+'Stesha CF'!M31</f>
        <v>-565907061.72682989</v>
      </c>
      <c r="N31" s="961">
        <f>+'S CF'!N31+'W CF'!N31+'Stesha CF'!N31</f>
        <v>102444403.70569724</v>
      </c>
      <c r="O31" s="1176"/>
    </row>
    <row r="32" spans="2:15" s="592" customFormat="1" ht="15" customHeight="1">
      <c r="B32" s="620"/>
      <c r="O32" s="1178"/>
    </row>
    <row r="33" spans="2:14" ht="15" customHeight="1">
      <c r="B33" s="621" t="s">
        <v>449</v>
      </c>
      <c r="C33" s="622">
        <f>+'S CF'!C33+'W CF'!C33+'Stesha CF'!C33</f>
        <v>4907315626.0550022</v>
      </c>
      <c r="D33" s="622">
        <f>C35</f>
        <v>3976279988.0050015</v>
      </c>
      <c r="E33" s="622">
        <f t="shared" ref="E33:N33" si="1">D35</f>
        <v>3745510403.9786372</v>
      </c>
      <c r="F33" s="622">
        <f t="shared" si="1"/>
        <v>3584983503.6810565</v>
      </c>
      <c r="G33" s="622">
        <f t="shared" si="1"/>
        <v>3896783812.6713552</v>
      </c>
      <c r="H33" s="622">
        <f t="shared" si="1"/>
        <v>4646547012.0813627</v>
      </c>
      <c r="I33" s="622">
        <f t="shared" si="1"/>
        <v>5561757472.2580347</v>
      </c>
      <c r="J33" s="622">
        <f t="shared" si="1"/>
        <v>5470888783.7973213</v>
      </c>
      <c r="K33" s="622">
        <f t="shared" si="1"/>
        <v>5316291211.6749468</v>
      </c>
      <c r="L33" s="622">
        <f t="shared" si="1"/>
        <v>5045831418.413558</v>
      </c>
      <c r="M33" s="622">
        <f t="shared" si="1"/>
        <v>4869500153.8492785</v>
      </c>
      <c r="N33" s="622">
        <f t="shared" si="1"/>
        <v>4303593092.1224489</v>
      </c>
    </row>
    <row r="34" spans="2:14" ht="15" customHeight="1">
      <c r="B34" s="623" t="s">
        <v>450</v>
      </c>
      <c r="C34" s="624">
        <f>C31</f>
        <v>-931035638.05000079</v>
      </c>
      <c r="D34" s="624">
        <f t="shared" ref="D34:N34" si="2">D31</f>
        <v>-230769584.02636427</v>
      </c>
      <c r="E34" s="624">
        <f>E31</f>
        <v>-160526900.2975806</v>
      </c>
      <c r="F34" s="624">
        <f t="shared" si="2"/>
        <v>311800308.99029875</v>
      </c>
      <c r="G34" s="624">
        <f>G31</f>
        <v>749763199.41000783</v>
      </c>
      <c r="H34" s="624">
        <f t="shared" si="2"/>
        <v>915210460.1766721</v>
      </c>
      <c r="I34" s="624">
        <f>I31</f>
        <v>-90868688.460713118</v>
      </c>
      <c r="J34" s="624">
        <f t="shared" si="2"/>
        <v>-154597572.12237492</v>
      </c>
      <c r="K34" s="624">
        <f t="shared" si="2"/>
        <v>-270459793.26138896</v>
      </c>
      <c r="L34" s="624">
        <f t="shared" si="2"/>
        <v>-176331264.56427974</v>
      </c>
      <c r="M34" s="624">
        <f t="shared" si="2"/>
        <v>-565907061.72682989</v>
      </c>
      <c r="N34" s="624">
        <f t="shared" si="2"/>
        <v>102444403.70569724</v>
      </c>
    </row>
    <row r="35" spans="2:14" ht="15" customHeight="1">
      <c r="B35" s="625" t="s">
        <v>451</v>
      </c>
      <c r="C35" s="626">
        <f>C33+C34</f>
        <v>3976279988.0050015</v>
      </c>
      <c r="D35" s="626">
        <f t="shared" ref="D35:N35" si="3">D33+D34</f>
        <v>3745510403.9786372</v>
      </c>
      <c r="E35" s="626">
        <f>E33+E34</f>
        <v>3584983503.6810565</v>
      </c>
      <c r="F35" s="626">
        <f t="shared" si="3"/>
        <v>3896783812.6713552</v>
      </c>
      <c r="G35" s="626">
        <f t="shared" si="3"/>
        <v>4646547012.0813627</v>
      </c>
      <c r="H35" s="626">
        <f t="shared" si="3"/>
        <v>5561757472.2580347</v>
      </c>
      <c r="I35" s="626">
        <f t="shared" si="3"/>
        <v>5470888783.7973213</v>
      </c>
      <c r="J35" s="626">
        <f t="shared" si="3"/>
        <v>5316291211.6749468</v>
      </c>
      <c r="K35" s="626">
        <f t="shared" si="3"/>
        <v>5045831418.413558</v>
      </c>
      <c r="L35" s="626">
        <f t="shared" si="3"/>
        <v>4869500153.8492785</v>
      </c>
      <c r="M35" s="626">
        <f t="shared" si="3"/>
        <v>4303593092.1224489</v>
      </c>
      <c r="N35" s="626">
        <f t="shared" si="3"/>
        <v>4406037495.828146</v>
      </c>
    </row>
    <row r="36" spans="2:14" ht="15" hidden="1" customHeight="1">
      <c r="B36" s="627" t="s">
        <v>452</v>
      </c>
      <c r="C36" s="762">
        <f>+'S CF'!C35+'W CF'!C35+'Stesha CF'!C35-C35</f>
        <v>0</v>
      </c>
      <c r="D36" s="762">
        <f>+'S CF'!D35+'W CF'!D35+'Stesha CF'!D35-D35</f>
        <v>4.291534423828125E-6</v>
      </c>
      <c r="E36" s="762">
        <f>+'S CF'!E35+'W CF'!E35+'Stesha CF'!E35-E35</f>
        <v>0</v>
      </c>
      <c r="F36" s="762">
        <f>+'S CF'!F35+'W CF'!F35+'Stesha CF'!F35-F35</f>
        <v>5.245208740234375E-6</v>
      </c>
      <c r="G36" s="762">
        <f>+'S CF'!G35+'W CF'!G35+'Stesha CF'!G35-G35</f>
        <v>9.5367431640625E-6</v>
      </c>
      <c r="H36" s="762">
        <f>+'S CF'!H35+'W CF'!H35+'Stesha CF'!H35-H35</f>
        <v>0</v>
      </c>
      <c r="I36" s="762">
        <f>+'S CF'!I35+'W CF'!I35+'Stesha CF'!I35-I35</f>
        <v>0</v>
      </c>
      <c r="J36" s="762">
        <f>+'S CF'!J35+'W CF'!J35+'Stesha CF'!J35-J35</f>
        <v>0</v>
      </c>
      <c r="K36" s="762">
        <f>+'S CF'!K35+'W CF'!K35+'Stesha CF'!K35-K35</f>
        <v>0</v>
      </c>
      <c r="L36" s="762">
        <f>+'S CF'!L35+'W CF'!L35+'Stesha CF'!L35-L35</f>
        <v>0</v>
      </c>
      <c r="M36" s="762">
        <f>+'S CF'!M35+'W CF'!M35+'Stesha CF'!M35-M35</f>
        <v>0</v>
      </c>
      <c r="N36" s="762">
        <f>+'S CF'!N35+'W CF'!N35+'Stesha CF'!N35-N35</f>
        <v>0</v>
      </c>
    </row>
    <row r="37" spans="2:14" ht="15" customHeight="1">
      <c r="C37" s="971">
        <f>+'S CF'!C35+'W CF'!C35+'Stesha CF'!C35-C35</f>
        <v>0</v>
      </c>
      <c r="D37" s="971">
        <f>+'S CF'!D35+'W CF'!D35+'Stesha CF'!D35-D35</f>
        <v>4.291534423828125E-6</v>
      </c>
      <c r="E37" s="971">
        <f>+'S CF'!E35+'W CF'!E35+'Stesha CF'!E35-E35</f>
        <v>0</v>
      </c>
      <c r="F37" s="971">
        <f>+'S CF'!F35+'W CF'!F35+'Stesha CF'!F35-F35</f>
        <v>5.245208740234375E-6</v>
      </c>
      <c r="G37" s="971">
        <f>+'S CF'!G35+'W CF'!G35+'Stesha CF'!G35-G35</f>
        <v>9.5367431640625E-6</v>
      </c>
      <c r="H37" s="971">
        <f>+'S CF'!H35+'W CF'!H35+'Stesha CF'!H35-H35</f>
        <v>0</v>
      </c>
      <c r="I37" s="971">
        <f>+'S CF'!I35+'W CF'!I35+'Stesha CF'!I35-I35</f>
        <v>0</v>
      </c>
      <c r="J37" s="971">
        <f>+'S CF'!J35+'W CF'!J35+'Stesha CF'!J35-J35</f>
        <v>0</v>
      </c>
      <c r="K37" s="971">
        <f>+'S CF'!K35+'W CF'!K35+'Stesha CF'!K35-K35</f>
        <v>0</v>
      </c>
      <c r="L37" s="971">
        <f>+'S CF'!L35+'W CF'!L35+'Stesha CF'!L35-L35</f>
        <v>0</v>
      </c>
      <c r="M37" s="971">
        <f>+'S CF'!M35+'W CF'!M35+'Stesha CF'!M35-M35</f>
        <v>0</v>
      </c>
      <c r="N37" s="971">
        <f>+'S CF'!N35+'W CF'!N35+'Stesha CF'!N35-N35</f>
        <v>0</v>
      </c>
    </row>
    <row r="38" spans="2:14" ht="15" customHeight="1">
      <c r="J38" s="1049"/>
      <c r="K38" s="592"/>
      <c r="L38" s="592"/>
      <c r="M38" s="592"/>
      <c r="N38" s="592"/>
    </row>
    <row r="39" spans="2:14" ht="15" customHeight="1">
      <c r="J39" s="1049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F4BD-1AD6-4E23-B2AC-C06C241C78E8}">
  <sheetPr>
    <pageSetUpPr fitToPage="1"/>
  </sheetPr>
  <dimension ref="B1:O50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4" width="15.77734375" style="714" bestFit="1" customWidth="1"/>
    <col min="5" max="5" width="15.21875" style="714" bestFit="1" customWidth="1"/>
    <col min="6" max="6" width="15.44140625" style="714" bestFit="1" customWidth="1"/>
    <col min="7" max="7" width="17.21875" style="714" bestFit="1" customWidth="1"/>
    <col min="8" max="8" width="17.77734375" style="714" bestFit="1" customWidth="1"/>
    <col min="9" max="10" width="15.44140625" style="714" bestFit="1" customWidth="1"/>
    <col min="11" max="11" width="15.21875" style="714" bestFit="1" customWidth="1"/>
    <col min="12" max="12" width="15.77734375" style="714" bestFit="1" customWidth="1"/>
    <col min="13" max="14" width="15.44140625" style="714" bestFit="1" customWidth="1"/>
    <col min="15" max="15" width="17.44140625" style="714" bestFit="1" customWidth="1"/>
    <col min="16" max="16384" width="9.21875" style="714"/>
  </cols>
  <sheetData>
    <row r="1" spans="2:15" ht="15" customHeight="1">
      <c r="B1" s="716" t="s">
        <v>486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/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157004172.56454945</v>
      </c>
      <c r="D5" s="724">
        <v>62904887.340001047</v>
      </c>
      <c r="E5" s="724">
        <v>60544550.720000416</v>
      </c>
      <c r="F5" s="724">
        <v>192333956.65999955</v>
      </c>
      <c r="G5" s="724">
        <v>422371911.16000319</v>
      </c>
      <c r="H5" s="724">
        <v>392988220.65000081</v>
      </c>
      <c r="I5" s="724">
        <v>506033015.95365119</v>
      </c>
      <c r="J5" s="724">
        <v>443686489.55703092</v>
      </c>
      <c r="K5" s="724">
        <v>426519921.0372448</v>
      </c>
      <c r="L5" s="724">
        <v>323798785.60360479</v>
      </c>
      <c r="M5" s="724">
        <v>245536474.07762384</v>
      </c>
      <c r="N5" s="725">
        <v>156146934.59059429</v>
      </c>
      <c r="O5" s="725">
        <f>SUM(C5:N5)</f>
        <v>3389869319.9143043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-40000</v>
      </c>
      <c r="D7" s="727">
        <v>411000</v>
      </c>
      <c r="E7" s="727">
        <v>1557000</v>
      </c>
      <c r="F7" s="727">
        <v>-2006000</v>
      </c>
      <c r="G7" s="727">
        <v>104000</v>
      </c>
      <c r="H7" s="727">
        <v>-117000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-91000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0</v>
      </c>
      <c r="D9" s="727">
        <v>0</v>
      </c>
      <c r="E9" s="727">
        <v>0</v>
      </c>
      <c r="F9" s="727">
        <v>9899000</v>
      </c>
      <c r="G9" s="727">
        <v>9079000</v>
      </c>
      <c r="H9" s="727">
        <v>9373000</v>
      </c>
      <c r="I9" s="727">
        <v>-28351000</v>
      </c>
      <c r="J9" s="727">
        <v>0</v>
      </c>
      <c r="K9" s="727">
        <v>0</v>
      </c>
      <c r="L9" s="727">
        <v>0</v>
      </c>
      <c r="M9" s="727">
        <v>0</v>
      </c>
      <c r="N9" s="728">
        <v>0</v>
      </c>
      <c r="O9" s="728">
        <f t="shared" si="0"/>
        <v>0</v>
      </c>
    </row>
    <row r="10" spans="2:15">
      <c r="B10" s="722" t="s">
        <v>428</v>
      </c>
      <c r="C10" s="730">
        <v>64064000</v>
      </c>
      <c r="D10" s="731">
        <v>64074000</v>
      </c>
      <c r="E10" s="731">
        <v>55919000</v>
      </c>
      <c r="F10" s="731">
        <v>54975000</v>
      </c>
      <c r="G10" s="731">
        <v>71307000</v>
      </c>
      <c r="H10" s="731">
        <v>52135000</v>
      </c>
      <c r="I10" s="731">
        <v>73594816.772222519</v>
      </c>
      <c r="J10" s="731">
        <v>73706414.162500381</v>
      </c>
      <c r="K10" s="731">
        <v>72687597.711111069</v>
      </c>
      <c r="L10" s="731">
        <v>72833988.180555344</v>
      </c>
      <c r="M10" s="731">
        <v>74580378.649999619</v>
      </c>
      <c r="N10" s="732">
        <v>73126769.119443893</v>
      </c>
      <c r="O10" s="725">
        <f t="shared" si="0"/>
        <v>803003964.59583282</v>
      </c>
    </row>
    <row r="11" spans="2:15" ht="12">
      <c r="B11" s="733" t="s">
        <v>429</v>
      </c>
      <c r="C11" s="734">
        <v>221028172.56454945</v>
      </c>
      <c r="D11" s="735">
        <v>127389887.34000105</v>
      </c>
      <c r="E11" s="735">
        <v>118020550.72000042</v>
      </c>
      <c r="F11" s="735">
        <v>255201956.65999955</v>
      </c>
      <c r="G11" s="735">
        <v>502861911.16000319</v>
      </c>
      <c r="H11" s="735">
        <v>454379220.65000081</v>
      </c>
      <c r="I11" s="735">
        <v>551276832.72587371</v>
      </c>
      <c r="J11" s="735">
        <v>517392903.7195313</v>
      </c>
      <c r="K11" s="735">
        <v>499207518.74835587</v>
      </c>
      <c r="L11" s="735">
        <v>396632773.78416014</v>
      </c>
      <c r="M11" s="735">
        <v>320116852.72762346</v>
      </c>
      <c r="N11" s="736">
        <v>229273703.71003819</v>
      </c>
      <c r="O11" s="725">
        <f t="shared" si="0"/>
        <v>4192782284.5101366</v>
      </c>
    </row>
    <row r="12" spans="2:15">
      <c r="B12" s="722" t="s">
        <v>430</v>
      </c>
      <c r="C12" s="726">
        <v>-282770000.02999997</v>
      </c>
      <c r="D12" s="727">
        <v>-334276999.97000003</v>
      </c>
      <c r="E12" s="727">
        <v>284323000.00999999</v>
      </c>
      <c r="F12" s="727">
        <v>167642999.99000001</v>
      </c>
      <c r="G12" s="727">
        <v>-75082000.190000057</v>
      </c>
      <c r="H12" s="727">
        <v>4308999.8881981373</v>
      </c>
      <c r="I12" s="727">
        <v>-12121524.980320215</v>
      </c>
      <c r="J12" s="727">
        <v>279816951.82857287</v>
      </c>
      <c r="K12" s="727">
        <v>-80642297.142858148</v>
      </c>
      <c r="L12" s="727">
        <v>527218274.28571463</v>
      </c>
      <c r="M12" s="727">
        <v>23357702.857141495</v>
      </c>
      <c r="N12" s="728">
        <v>-308454797.14285517</v>
      </c>
      <c r="O12" s="728">
        <f t="shared" si="0"/>
        <v>193320309.40359354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-2219386001.1100001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-2219386001.1100001</v>
      </c>
    </row>
    <row r="15" spans="2:15">
      <c r="B15" s="722" t="s">
        <v>433</v>
      </c>
      <c r="C15" s="730"/>
      <c r="D15" s="731"/>
      <c r="E15" s="731">
        <v>127796132.22999573</v>
      </c>
      <c r="F15" s="731">
        <v>26612927.769996166</v>
      </c>
      <c r="G15" s="731">
        <v>-84574478.519996166</v>
      </c>
      <c r="H15" s="731">
        <v>38239937.921806335</v>
      </c>
      <c r="I15" s="731">
        <v>0</v>
      </c>
      <c r="J15" s="731">
        <v>0</v>
      </c>
      <c r="K15" s="731">
        <v>0</v>
      </c>
      <c r="L15" s="731">
        <v>0</v>
      </c>
      <c r="M15" s="731">
        <v>0</v>
      </c>
      <c r="N15" s="732">
        <v>0</v>
      </c>
      <c r="O15" s="732">
        <f t="shared" si="0"/>
        <v>108074519.40180206</v>
      </c>
    </row>
    <row r="16" spans="2:15" ht="12">
      <c r="B16" s="733" t="s">
        <v>434</v>
      </c>
      <c r="C16" s="734">
        <v>-282770000.02999997</v>
      </c>
      <c r="D16" s="735">
        <v>-334276999.97000003</v>
      </c>
      <c r="E16" s="735">
        <v>412119132.23999572</v>
      </c>
      <c r="F16" s="735">
        <v>194255927.75999618</v>
      </c>
      <c r="G16" s="735">
        <v>-159656478.70999622</v>
      </c>
      <c r="H16" s="735">
        <v>42548937.810004473</v>
      </c>
      <c r="I16" s="735">
        <v>-2231507526.0903206</v>
      </c>
      <c r="J16" s="735">
        <v>279816951.82857287</v>
      </c>
      <c r="K16" s="735">
        <v>-80642297.142858148</v>
      </c>
      <c r="L16" s="735">
        <v>527218274.28571463</v>
      </c>
      <c r="M16" s="735">
        <v>23357702.857141495</v>
      </c>
      <c r="N16" s="736">
        <v>-308454797.14285517</v>
      </c>
      <c r="O16" s="736">
        <f t="shared" si="0"/>
        <v>-1917991172.3046045</v>
      </c>
    </row>
    <row r="17" spans="2:15">
      <c r="B17" s="722" t="s">
        <v>435</v>
      </c>
      <c r="C17" s="726">
        <v>139443958.83999991</v>
      </c>
      <c r="D17" s="727">
        <v>-91084525.069999933</v>
      </c>
      <c r="E17" s="727">
        <v>174011696.23999989</v>
      </c>
      <c r="F17" s="727">
        <v>158250303.83000004</v>
      </c>
      <c r="G17" s="727">
        <v>-86566415.950000048</v>
      </c>
      <c r="H17" s="727">
        <v>-146471647.65999997</v>
      </c>
      <c r="I17" s="727">
        <v>-240986962.67215097</v>
      </c>
      <c r="J17" s="727">
        <v>115554779.910707</v>
      </c>
      <c r="K17" s="727">
        <v>-214856244.21294403</v>
      </c>
      <c r="L17" s="727">
        <v>156595403.784145</v>
      </c>
      <c r="M17" s="727">
        <v>-185867349.73799098</v>
      </c>
      <c r="N17" s="728">
        <v>5476765.0674969554</v>
      </c>
      <c r="O17" s="728">
        <f t="shared" si="0"/>
        <v>-216500237.63073713</v>
      </c>
    </row>
    <row r="18" spans="2:15">
      <c r="B18" s="722" t="s">
        <v>436</v>
      </c>
      <c r="C18" s="726">
        <v>0</v>
      </c>
      <c r="D18" s="727">
        <v>0</v>
      </c>
      <c r="E18" s="727">
        <v>-3270000000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-3270000000</v>
      </c>
    </row>
    <row r="19" spans="2:15">
      <c r="B19" s="722" t="s">
        <v>437</v>
      </c>
      <c r="C19" s="726">
        <v>25485000</v>
      </c>
      <c r="D19" s="727">
        <v>-388656000</v>
      </c>
      <c r="E19" s="727">
        <v>-3521000</v>
      </c>
      <c r="F19" s="727">
        <v>-402510000</v>
      </c>
      <c r="G19" s="727">
        <v>-354827000</v>
      </c>
      <c r="H19" s="727">
        <v>-321377000</v>
      </c>
      <c r="I19" s="727">
        <v>500000000</v>
      </c>
      <c r="J19" s="727">
        <v>700000000</v>
      </c>
      <c r="K19" s="727">
        <v>700000000</v>
      </c>
      <c r="L19" s="727">
        <v>700000000</v>
      </c>
      <c r="M19" s="727">
        <v>600000000</v>
      </c>
      <c r="N19" s="728">
        <v>-350000000</v>
      </c>
      <c r="O19" s="728">
        <f t="shared" si="0"/>
        <v>1404594000</v>
      </c>
    </row>
    <row r="20" spans="2:15">
      <c r="B20" s="722" t="s">
        <v>438</v>
      </c>
      <c r="C20" s="730">
        <v>48577268.484549999</v>
      </c>
      <c r="D20" s="731">
        <v>-56581657.689997911</v>
      </c>
      <c r="E20" s="731">
        <v>3328592545</v>
      </c>
      <c r="F20" s="731">
        <v>-1064107384</v>
      </c>
      <c r="G20" s="731">
        <v>384588849.67000008</v>
      </c>
      <c r="H20" s="731">
        <v>68200000</v>
      </c>
      <c r="I20" s="731">
        <v>-2351302856.1643834</v>
      </c>
      <c r="J20" s="731">
        <v>22887554.794520378</v>
      </c>
      <c r="K20" s="731">
        <v>22149246.575342655</v>
      </c>
      <c r="L20" s="731">
        <v>22887554.794520378</v>
      </c>
      <c r="M20" s="731">
        <v>22149246.575342655</v>
      </c>
      <c r="N20" s="732">
        <v>22887554.794520378</v>
      </c>
      <c r="O20" s="740">
        <f t="shared" si="0"/>
        <v>470927922.83441496</v>
      </c>
    </row>
    <row r="21" spans="2:15" ht="12">
      <c r="B21" s="733" t="s">
        <v>439</v>
      </c>
      <c r="C21" s="734">
        <v>213506227.32454991</v>
      </c>
      <c r="D21" s="735">
        <v>-536322182.75999784</v>
      </c>
      <c r="E21" s="735">
        <v>229083241.23999977</v>
      </c>
      <c r="F21" s="735">
        <v>-1308367080.1700001</v>
      </c>
      <c r="G21" s="735">
        <v>-56804566.279999971</v>
      </c>
      <c r="H21" s="735">
        <v>-399648647.65999997</v>
      </c>
      <c r="I21" s="735">
        <v>-2092289818.8365345</v>
      </c>
      <c r="J21" s="735">
        <v>838442334.70522738</v>
      </c>
      <c r="K21" s="735">
        <v>507293002.36239862</v>
      </c>
      <c r="L21" s="735">
        <v>879482958.57866538</v>
      </c>
      <c r="M21" s="735">
        <v>436281896.83735168</v>
      </c>
      <c r="N21" s="736">
        <v>-321635680.13798267</v>
      </c>
      <c r="O21" s="744">
        <f t="shared" si="0"/>
        <v>-1610978314.7963221</v>
      </c>
    </row>
    <row r="22" spans="2:15">
      <c r="B22" s="722" t="s">
        <v>440</v>
      </c>
      <c r="C22" s="737">
        <v>101022500</v>
      </c>
      <c r="D22" s="724">
        <v>369523000</v>
      </c>
      <c r="E22" s="724">
        <v>172936000</v>
      </c>
      <c r="F22" s="724">
        <v>139610000</v>
      </c>
      <c r="G22" s="724">
        <v>66005000</v>
      </c>
      <c r="H22" s="724">
        <v>126388000</v>
      </c>
      <c r="I22" s="724">
        <v>53350284.5</v>
      </c>
      <c r="J22" s="724">
        <v>53350284.5</v>
      </c>
      <c r="K22" s="724">
        <v>53350284.5</v>
      </c>
      <c r="L22" s="724">
        <v>53350284.5</v>
      </c>
      <c r="M22" s="724">
        <v>53350284.5</v>
      </c>
      <c r="N22" s="725">
        <v>53350284.5</v>
      </c>
      <c r="O22" s="725">
        <f t="shared" si="0"/>
        <v>1295586207</v>
      </c>
    </row>
    <row r="23" spans="2:15">
      <c r="B23" s="722" t="s">
        <v>441</v>
      </c>
      <c r="C23" s="737"/>
      <c r="D23" s="724"/>
      <c r="E23" s="724"/>
      <c r="F23" s="724"/>
      <c r="G23" s="724">
        <v>-399263000</v>
      </c>
      <c r="H23" s="724"/>
      <c r="I23" s="724"/>
      <c r="J23" s="724"/>
      <c r="K23" s="724"/>
      <c r="L23" s="724"/>
      <c r="M23" s="724"/>
      <c r="N23" s="725"/>
      <c r="O23" s="725">
        <f t="shared" si="0"/>
        <v>-399263000</v>
      </c>
    </row>
    <row r="24" spans="2:15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5" ht="12">
      <c r="B25" s="741" t="s">
        <v>442</v>
      </c>
      <c r="C25" s="742">
        <v>101022500</v>
      </c>
      <c r="D25" s="743">
        <v>369523000</v>
      </c>
      <c r="E25" s="743">
        <v>172936000</v>
      </c>
      <c r="F25" s="743">
        <v>139610000</v>
      </c>
      <c r="G25" s="743">
        <v>-333258000</v>
      </c>
      <c r="H25" s="743">
        <v>126388000</v>
      </c>
      <c r="I25" s="743">
        <v>53350284.5</v>
      </c>
      <c r="J25" s="743">
        <v>53350284.5</v>
      </c>
      <c r="K25" s="743">
        <v>53350284.5</v>
      </c>
      <c r="L25" s="743">
        <v>53350284.5</v>
      </c>
      <c r="M25" s="743">
        <v>53350284.5</v>
      </c>
      <c r="N25" s="744">
        <v>53350284.5</v>
      </c>
      <c r="O25" s="744">
        <f t="shared" si="0"/>
        <v>896323207</v>
      </c>
    </row>
    <row r="26" spans="2:15">
      <c r="B26" s="722" t="s">
        <v>443</v>
      </c>
      <c r="C26" s="737">
        <v>-104170000</v>
      </c>
      <c r="D26" s="724">
        <v>-104170000</v>
      </c>
      <c r="E26" s="724">
        <v>-104170000</v>
      </c>
      <c r="F26" s="724">
        <v>-104170000</v>
      </c>
      <c r="G26" s="724">
        <v>-104170000</v>
      </c>
      <c r="H26" s="724">
        <v>-104170000</v>
      </c>
      <c r="I26" s="724">
        <v>-104170000</v>
      </c>
      <c r="J26" s="724">
        <v>-104170000</v>
      </c>
      <c r="K26" s="724">
        <v>-104170000</v>
      </c>
      <c r="L26" s="724">
        <v>-104170000</v>
      </c>
      <c r="M26" s="724">
        <v>-104170000</v>
      </c>
      <c r="N26" s="725">
        <v>-104090000</v>
      </c>
      <c r="O26" s="725">
        <f t="shared" si="0"/>
        <v>-1249960000</v>
      </c>
    </row>
    <row r="27" spans="2:15">
      <c r="B27" s="722" t="s">
        <v>444</v>
      </c>
      <c r="C27" s="737">
        <v>0</v>
      </c>
      <c r="D27" s="724">
        <v>0</v>
      </c>
      <c r="E27" s="724">
        <v>0</v>
      </c>
      <c r="F27" s="724">
        <v>-300000000</v>
      </c>
      <c r="G27" s="724">
        <v>150000000</v>
      </c>
      <c r="H27" s="724">
        <v>150000000</v>
      </c>
      <c r="I27" s="724">
        <v>0</v>
      </c>
      <c r="J27" s="724">
        <v>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-300000000</v>
      </c>
    </row>
    <row r="28" spans="2:15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5">
      <c r="B29" s="722" t="s">
        <v>446</v>
      </c>
      <c r="C29" s="738">
        <v>0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0</v>
      </c>
    </row>
    <row r="30" spans="2:15" ht="12">
      <c r="B30" s="745" t="s">
        <v>447</v>
      </c>
      <c r="C30" s="746">
        <v>-104170000</v>
      </c>
      <c r="D30" s="747">
        <v>-104170000</v>
      </c>
      <c r="E30" s="747">
        <v>-104170000</v>
      </c>
      <c r="F30" s="747">
        <v>-404170000</v>
      </c>
      <c r="G30" s="747">
        <v>45830000</v>
      </c>
      <c r="H30" s="747">
        <v>45830000</v>
      </c>
      <c r="I30" s="747">
        <v>-104170000</v>
      </c>
      <c r="J30" s="747">
        <v>-104170000</v>
      </c>
      <c r="K30" s="747">
        <v>-104170000</v>
      </c>
      <c r="L30" s="747">
        <v>-104170000</v>
      </c>
      <c r="M30" s="747">
        <v>-404170000</v>
      </c>
      <c r="N30" s="748">
        <v>-104090000</v>
      </c>
      <c r="O30" s="748">
        <f t="shared" si="0"/>
        <v>-1549960000</v>
      </c>
    </row>
    <row r="31" spans="2:15" ht="12.6" thickBot="1">
      <c r="B31" s="749" t="s">
        <v>448</v>
      </c>
      <c r="C31" s="750">
        <v>-480440554.79000044</v>
      </c>
      <c r="D31" s="751">
        <v>-144257929.87000114</v>
      </c>
      <c r="E31" s="751">
        <v>23950441.719996333</v>
      </c>
      <c r="F31" s="751">
        <v>1214044964.5899959</v>
      </c>
      <c r="G31" s="751">
        <v>779097998.73000693</v>
      </c>
      <c r="H31" s="751">
        <v>816018806.12000525</v>
      </c>
      <c r="I31" s="751">
        <v>254538840.97208762</v>
      </c>
      <c r="J31" s="751">
        <v>-198752763.65712321</v>
      </c>
      <c r="K31" s="751">
        <v>-246248065.25690091</v>
      </c>
      <c r="L31" s="751">
        <v>-113152195.00879061</v>
      </c>
      <c r="M31" s="751">
        <v>-550327625.75258672</v>
      </c>
      <c r="N31" s="752">
        <v>85014302.205165684</v>
      </c>
      <c r="O31" s="752">
        <f t="shared" si="0"/>
        <v>1439486220.0018551</v>
      </c>
    </row>
    <row r="32" spans="2:15">
      <c r="B32" s="753"/>
    </row>
    <row r="33" spans="2:15">
      <c r="B33" s="754" t="s">
        <v>449</v>
      </c>
      <c r="C33" s="755">
        <v>2619923029.52</v>
      </c>
      <c r="D33" s="755">
        <v>2139482474.7300034</v>
      </c>
      <c r="E33" s="755">
        <v>1995224544.8600001</v>
      </c>
      <c r="F33" s="755">
        <v>2019174986.5799999</v>
      </c>
      <c r="G33" s="755">
        <v>3233219951.1700001</v>
      </c>
      <c r="H33" s="755">
        <v>4012317949.8999996</v>
      </c>
      <c r="I33" s="755">
        <v>4828336756.0199995</v>
      </c>
      <c r="J33" s="755">
        <v>5082875596.9920902</v>
      </c>
      <c r="K33" s="755">
        <v>4884122833.3349705</v>
      </c>
      <c r="L33" s="755">
        <v>4637874768.0780659</v>
      </c>
      <c r="M33" s="755">
        <v>4524722573.0692806</v>
      </c>
      <c r="N33" s="755">
        <v>3974394947.3166866</v>
      </c>
      <c r="O33" s="755"/>
    </row>
    <row r="34" spans="2:15">
      <c r="B34" s="756" t="s">
        <v>450</v>
      </c>
      <c r="C34" s="757">
        <v>-480440554.79000044</v>
      </c>
      <c r="D34" s="757">
        <v>-144257929.87000114</v>
      </c>
      <c r="E34" s="757">
        <v>23950441.719996333</v>
      </c>
      <c r="F34" s="757">
        <v>1214044964.5899959</v>
      </c>
      <c r="G34" s="757">
        <v>779097998.73000693</v>
      </c>
      <c r="H34" s="757">
        <v>816018806.12000525</v>
      </c>
      <c r="I34" s="757">
        <v>254538840.97208762</v>
      </c>
      <c r="J34" s="757">
        <v>-198752763.65712321</v>
      </c>
      <c r="K34" s="757">
        <v>-246248065.25690091</v>
      </c>
      <c r="L34" s="757">
        <v>-113152195.00879061</v>
      </c>
      <c r="M34" s="757">
        <v>-550327625.75258672</v>
      </c>
      <c r="N34" s="757">
        <v>85014302.205165684</v>
      </c>
      <c r="O34" s="757"/>
    </row>
    <row r="35" spans="2:15">
      <c r="B35" s="758" t="s">
        <v>451</v>
      </c>
      <c r="C35" s="759">
        <v>2139482474.7299995</v>
      </c>
      <c r="D35" s="759">
        <v>1995224544.8600023</v>
      </c>
      <c r="E35" s="759">
        <v>2019174986.5799966</v>
      </c>
      <c r="F35" s="759">
        <v>3233219951.1699958</v>
      </c>
      <c r="G35" s="759">
        <v>4012317949.9000072</v>
      </c>
      <c r="H35" s="759">
        <v>4828336756.0200052</v>
      </c>
      <c r="I35" s="759">
        <v>5082875596.9920874</v>
      </c>
      <c r="J35" s="759">
        <v>4884122833.3349667</v>
      </c>
      <c r="K35" s="759">
        <v>4637874768.0780697</v>
      </c>
      <c r="L35" s="759">
        <v>4524722573.0692749</v>
      </c>
      <c r="M35" s="759">
        <v>3974394947.3166938</v>
      </c>
      <c r="N35" s="759">
        <v>4059409249.5218525</v>
      </c>
      <c r="O35" s="759"/>
    </row>
    <row r="36" spans="2:15">
      <c r="B36" s="760" t="s">
        <v>452</v>
      </c>
      <c r="C36" s="761">
        <v>0</v>
      </c>
      <c r="D36" s="761">
        <v>0</v>
      </c>
      <c r="E36" s="761">
        <v>0</v>
      </c>
      <c r="F36" s="761">
        <v>0</v>
      </c>
      <c r="G36" s="761">
        <v>0</v>
      </c>
      <c r="H36" s="761">
        <v>0</v>
      </c>
      <c r="I36" s="761">
        <v>0</v>
      </c>
      <c r="J36" s="761">
        <v>0</v>
      </c>
      <c r="K36" s="761">
        <v>0</v>
      </c>
      <c r="L36" s="761">
        <v>0</v>
      </c>
      <c r="M36" s="761">
        <v>0</v>
      </c>
      <c r="N36" s="761">
        <v>0</v>
      </c>
      <c r="O36" s="761"/>
    </row>
    <row r="37" spans="2:15"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/>
      <c r="D40" s="715"/>
      <c r="E40" s="715"/>
      <c r="F40" s="715"/>
      <c r="G40" s="715"/>
      <c r="H40" s="715"/>
      <c r="I40" s="715"/>
      <c r="J40" s="715"/>
      <c r="K40" s="715"/>
      <c r="L40" s="715"/>
      <c r="M40" s="715"/>
      <c r="N40" s="715"/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" right="0" top="0.74803149606299213" bottom="0.74803149606299213" header="0.31496062992125984" footer="0.31496062992125984"/>
  <pageSetup paperSize="9" scale="57" orientation="landscape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57EDB-EE5B-4DF4-B299-B0A3D6A3811C}">
  <sheetPr>
    <pageSetUpPr fitToPage="1"/>
  </sheetPr>
  <dimension ref="B1:P50"/>
  <sheetViews>
    <sheetView showGridLines="0" zoomScale="80" zoomScaleNormal="80" workbookViewId="0">
      <selection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14" width="12.77734375" style="714" customWidth="1"/>
    <col min="15" max="15" width="13.21875" style="714" customWidth="1"/>
    <col min="16" max="16384" width="9.21875" style="714"/>
  </cols>
  <sheetData>
    <row r="1" spans="2:15" ht="15" customHeight="1">
      <c r="B1" s="716" t="s">
        <v>485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 t="s">
        <v>14</v>
      </c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-20725646.699999928</v>
      </c>
      <c r="D5" s="724">
        <v>9261460.5336363986</v>
      </c>
      <c r="E5" s="724">
        <v>56791050.742424235</v>
      </c>
      <c r="F5" s="724">
        <v>10477648.780302987</v>
      </c>
      <c r="G5" s="724">
        <v>11482713.810000107</v>
      </c>
      <c r="H5" s="724">
        <v>23574338.226666659</v>
      </c>
      <c r="I5" s="724">
        <v>14585530.961576894</v>
      </c>
      <c r="J5" s="724">
        <v>12086324.939827457</v>
      </c>
      <c r="K5" s="724">
        <v>-3476703.0295541734</v>
      </c>
      <c r="L5" s="724">
        <v>25168121.061216325</v>
      </c>
      <c r="M5" s="724">
        <v>12933081.836897701</v>
      </c>
      <c r="N5" s="725">
        <v>15885214.750220746</v>
      </c>
      <c r="O5" s="725">
        <f>SUM(C5:N5)</f>
        <v>168043135.9132154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0</v>
      </c>
      <c r="D7" s="727">
        <v>0</v>
      </c>
      <c r="E7" s="727">
        <v>0</v>
      </c>
      <c r="F7" s="727">
        <v>0</v>
      </c>
      <c r="G7" s="727">
        <v>0</v>
      </c>
      <c r="H7" s="727">
        <v>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-3669309.0600000005</v>
      </c>
      <c r="D9" s="727">
        <v>2240678</v>
      </c>
      <c r="E9" s="727">
        <v>-11620559</v>
      </c>
      <c r="F9" s="727">
        <v>-4332612.47</v>
      </c>
      <c r="G9" s="727">
        <v>432092.47</v>
      </c>
      <c r="H9" s="727">
        <v>533923</v>
      </c>
      <c r="I9" s="727">
        <v>121745.78289315058</v>
      </c>
      <c r="J9" s="727">
        <v>-684336.59535890399</v>
      </c>
      <c r="K9" s="727">
        <v>377397.26027397258</v>
      </c>
      <c r="L9" s="727">
        <v>-175684.93150684936</v>
      </c>
      <c r="M9" s="727">
        <v>-19520.547945205471</v>
      </c>
      <c r="N9" s="728">
        <v>-182191.78082191775</v>
      </c>
      <c r="O9" s="728">
        <f t="shared" si="0"/>
        <v>-16978377.87246576</v>
      </c>
    </row>
    <row r="10" spans="2:15">
      <c r="B10" s="722" t="s">
        <v>428</v>
      </c>
      <c r="C10" s="730">
        <v>19868894.18999958</v>
      </c>
      <c r="D10" s="731">
        <v>19931632.840000629</v>
      </c>
      <c r="E10" s="731">
        <v>21934627.159999609</v>
      </c>
      <c r="F10" s="731">
        <v>21937121.199999809</v>
      </c>
      <c r="G10" s="731">
        <v>20300580.900000334</v>
      </c>
      <c r="H10" s="731">
        <v>22060187.190000057</v>
      </c>
      <c r="I10" s="731">
        <v>22626935.563072205</v>
      </c>
      <c r="J10" s="731">
        <v>22626935.563072205</v>
      </c>
      <c r="K10" s="731">
        <v>21897034.415876389</v>
      </c>
      <c r="L10" s="731">
        <v>22626935.563072205</v>
      </c>
      <c r="M10" s="731">
        <v>21897034.415876389</v>
      </c>
      <c r="N10" s="732">
        <v>22626935.563072205</v>
      </c>
      <c r="O10" s="732">
        <f t="shared" si="0"/>
        <v>260334854.56404161</v>
      </c>
    </row>
    <row r="11" spans="2:15" ht="12">
      <c r="B11" s="733" t="s">
        <v>429</v>
      </c>
      <c r="C11" s="734">
        <v>-4526061.5700003505</v>
      </c>
      <c r="D11" s="735">
        <v>31433771.373637028</v>
      </c>
      <c r="E11" s="735">
        <v>67105118.902423844</v>
      </c>
      <c r="F11" s="735">
        <v>28082157.510302797</v>
      </c>
      <c r="G11" s="735">
        <v>32215387.180000439</v>
      </c>
      <c r="H11" s="735">
        <v>46168448.416666716</v>
      </c>
      <c r="I11" s="735">
        <v>37334212.30754225</v>
      </c>
      <c r="J11" s="735">
        <v>34028923.907540753</v>
      </c>
      <c r="K11" s="735">
        <v>18797728.646596186</v>
      </c>
      <c r="L11" s="735">
        <v>47619371.692781679</v>
      </c>
      <c r="M11" s="735">
        <v>34810595.704828888</v>
      </c>
      <c r="N11" s="736">
        <v>38329958.532471031</v>
      </c>
      <c r="O11" s="736">
        <f t="shared" si="0"/>
        <v>411399612.60479128</v>
      </c>
    </row>
    <row r="12" spans="2:15">
      <c r="B12" s="722" t="s">
        <v>430</v>
      </c>
      <c r="C12" s="726">
        <v>137529672.36999995</v>
      </c>
      <c r="D12" s="727">
        <v>-155605790.65999997</v>
      </c>
      <c r="E12" s="727">
        <v>150658974.27999985</v>
      </c>
      <c r="F12" s="727">
        <v>143183518.05000007</v>
      </c>
      <c r="G12" s="727">
        <v>-152463257.03999996</v>
      </c>
      <c r="H12" s="727">
        <v>-141871481.63</v>
      </c>
      <c r="I12" s="727">
        <v>-231688871.04215097</v>
      </c>
      <c r="J12" s="727">
        <v>115554779.910707</v>
      </c>
      <c r="K12" s="727">
        <v>-214856244.21294403</v>
      </c>
      <c r="L12" s="727">
        <v>156595403.784145</v>
      </c>
      <c r="M12" s="727">
        <v>-185867349.73799098</v>
      </c>
      <c r="N12" s="728">
        <v>5476765.0674969554</v>
      </c>
      <c r="O12" s="728">
        <f t="shared" si="0"/>
        <v>-373353880.86073709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0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0</v>
      </c>
    </row>
    <row r="15" spans="2:15">
      <c r="B15" s="722" t="s">
        <v>433</v>
      </c>
      <c r="C15" s="730">
        <v>3868446.3299999833</v>
      </c>
      <c r="D15" s="731">
        <v>-10103087.360000014</v>
      </c>
      <c r="E15" s="731">
        <v>15311698.800000042</v>
      </c>
      <c r="F15" s="731">
        <v>-4976164.180000037</v>
      </c>
      <c r="G15" s="731">
        <v>-10219241.829999983</v>
      </c>
      <c r="H15" s="731">
        <v>7126194.8099999726</v>
      </c>
      <c r="I15" s="731">
        <v>29812098.51000002</v>
      </c>
      <c r="J15" s="731">
        <v>-8530880.400000006</v>
      </c>
      <c r="K15" s="731">
        <v>0</v>
      </c>
      <c r="L15" s="731">
        <v>200000000</v>
      </c>
      <c r="M15" s="731">
        <v>350000000</v>
      </c>
      <c r="N15" s="732">
        <v>-220000000</v>
      </c>
      <c r="O15" s="732">
        <f t="shared" si="0"/>
        <v>352289064.67999995</v>
      </c>
    </row>
    <row r="16" spans="2:15" ht="12">
      <c r="B16" s="733" t="s">
        <v>434</v>
      </c>
      <c r="C16" s="734">
        <v>141398118.69999993</v>
      </c>
      <c r="D16" s="735">
        <v>-165708878.01999998</v>
      </c>
      <c r="E16" s="735">
        <v>165970673.07999989</v>
      </c>
      <c r="F16" s="735">
        <v>138207353.87000003</v>
      </c>
      <c r="G16" s="735">
        <v>-162682498.86999995</v>
      </c>
      <c r="H16" s="735">
        <v>-134745286.82000002</v>
      </c>
      <c r="I16" s="735">
        <v>-201876772.53215095</v>
      </c>
      <c r="J16" s="735">
        <v>107023899.51070699</v>
      </c>
      <c r="K16" s="735">
        <v>-214856244.21294403</v>
      </c>
      <c r="L16" s="735">
        <v>356595403.784145</v>
      </c>
      <c r="M16" s="735">
        <v>164132650.26200902</v>
      </c>
      <c r="N16" s="736">
        <v>-214523234.93250304</v>
      </c>
      <c r="O16" s="736">
        <f t="shared" si="0"/>
        <v>-21064816.180737078</v>
      </c>
    </row>
    <row r="17" spans="2:16">
      <c r="B17" s="722" t="s">
        <v>435</v>
      </c>
      <c r="C17" s="726">
        <v>-69098058.069999993</v>
      </c>
      <c r="D17" s="727">
        <v>-72618215.890000001</v>
      </c>
      <c r="E17" s="727">
        <v>67170728.140000001</v>
      </c>
      <c r="F17" s="727">
        <v>105258479.86000001</v>
      </c>
      <c r="G17" s="727">
        <v>121116233.97999996</v>
      </c>
      <c r="H17" s="727">
        <v>-188368109.68999997</v>
      </c>
      <c r="I17" s="727">
        <v>-10861390.250320107</v>
      </c>
      <c r="J17" s="727">
        <v>104816951.82857281</v>
      </c>
      <c r="K17" s="727">
        <v>-255642297.14285809</v>
      </c>
      <c r="L17" s="727">
        <v>352218274.28571469</v>
      </c>
      <c r="M17" s="727">
        <v>-126642297.14285851</v>
      </c>
      <c r="N17" s="728">
        <v>-220954797.14285535</v>
      </c>
      <c r="O17" s="728">
        <f t="shared" si="0"/>
        <v>-193604497.23460454</v>
      </c>
    </row>
    <row r="18" spans="2:16">
      <c r="B18" s="722" t="s">
        <v>436</v>
      </c>
      <c r="C18" s="726">
        <v>0</v>
      </c>
      <c r="D18" s="727">
        <v>0</v>
      </c>
      <c r="E18" s="727">
        <v>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0</v>
      </c>
    </row>
    <row r="19" spans="2:16">
      <c r="B19" s="722" t="s">
        <v>437</v>
      </c>
      <c r="C19" s="726">
        <v>4265198.8899998665</v>
      </c>
      <c r="D19" s="727">
        <v>-21954414</v>
      </c>
      <c r="E19" s="727">
        <v>11343669.849999905</v>
      </c>
      <c r="F19" s="727">
        <v>18221704.920000076</v>
      </c>
      <c r="G19" s="727">
        <v>27630432.380000114</v>
      </c>
      <c r="H19" s="727">
        <v>-26699339.829999924</v>
      </c>
      <c r="I19" s="727">
        <v>10000000</v>
      </c>
      <c r="J19" s="727">
        <v>10000000</v>
      </c>
      <c r="K19" s="727">
        <v>10000000</v>
      </c>
      <c r="L19" s="727">
        <v>10000000</v>
      </c>
      <c r="M19" s="727">
        <v>10000000</v>
      </c>
      <c r="N19" s="728">
        <v>10000000</v>
      </c>
      <c r="O19" s="728">
        <f t="shared" si="0"/>
        <v>72807252.210000038</v>
      </c>
    </row>
    <row r="20" spans="2:16">
      <c r="B20" s="722" t="s">
        <v>438</v>
      </c>
      <c r="C20" s="730">
        <v>36218477.159999967</v>
      </c>
      <c r="D20" s="731">
        <v>-37183733.449999988</v>
      </c>
      <c r="E20" s="731">
        <v>7954945.7000000477</v>
      </c>
      <c r="F20" s="731">
        <v>-82222447.01000005</v>
      </c>
      <c r="G20" s="731">
        <v>-82828788.279999971</v>
      </c>
      <c r="H20" s="731">
        <v>-5893407.5400000215</v>
      </c>
      <c r="I20" s="731">
        <v>3840798.2464819551</v>
      </c>
      <c r="J20" s="731">
        <v>-3645928.1610069275</v>
      </c>
      <c r="K20" s="731">
        <v>-4643841.9360170364</v>
      </c>
      <c r="L20" s="731">
        <v>-3192492.220079422</v>
      </c>
      <c r="M20" s="731">
        <v>-24175963.84040451</v>
      </c>
      <c r="N20" s="732">
        <v>3019748.7779417038</v>
      </c>
      <c r="O20" s="732">
        <f t="shared" si="0"/>
        <v>-192752632.55308425</v>
      </c>
    </row>
    <row r="21" spans="2:16" ht="12">
      <c r="B21" s="733" t="s">
        <v>439</v>
      </c>
      <c r="C21" s="734">
        <v>-28614382.02000016</v>
      </c>
      <c r="D21" s="735">
        <v>-131756363.33999999</v>
      </c>
      <c r="E21" s="735">
        <v>86469343.689999953</v>
      </c>
      <c r="F21" s="735">
        <v>41257737.770000041</v>
      </c>
      <c r="G21" s="735">
        <v>65917878.080000103</v>
      </c>
      <c r="H21" s="735">
        <v>-220960857.05999991</v>
      </c>
      <c r="I21" s="735">
        <v>2979407.9961618483</v>
      </c>
      <c r="J21" s="735">
        <v>111171023.66756588</v>
      </c>
      <c r="K21" s="735">
        <v>-250286139.07887512</v>
      </c>
      <c r="L21" s="735">
        <v>359025782.06563526</v>
      </c>
      <c r="M21" s="735">
        <v>-140818260.98326302</v>
      </c>
      <c r="N21" s="736">
        <v>-207935048.36491364</v>
      </c>
      <c r="O21" s="736">
        <f t="shared" si="0"/>
        <v>-313549877.57768869</v>
      </c>
    </row>
    <row r="22" spans="2:16">
      <c r="B22" s="722" t="s">
        <v>440</v>
      </c>
      <c r="C22" s="737">
        <v>5360275.1399993896</v>
      </c>
      <c r="D22" s="724">
        <v>51496959.739999771</v>
      </c>
      <c r="E22" s="724">
        <v>21102127.42000103</v>
      </c>
      <c r="F22" s="724">
        <v>84910704</v>
      </c>
      <c r="G22" s="724">
        <v>74329977.869999886</v>
      </c>
      <c r="H22" s="724">
        <v>79231441.609999657</v>
      </c>
      <c r="I22" s="724">
        <v>37500000</v>
      </c>
      <c r="J22" s="724">
        <v>22500000</v>
      </c>
      <c r="K22" s="724">
        <v>39000000</v>
      </c>
      <c r="L22" s="724">
        <v>18000000</v>
      </c>
      <c r="M22" s="724">
        <v>18000000</v>
      </c>
      <c r="N22" s="725">
        <v>11500000</v>
      </c>
      <c r="O22" s="725">
        <f t="shared" si="0"/>
        <v>462931485.77999973</v>
      </c>
      <c r="P22" s="714" t="s">
        <v>665</v>
      </c>
    </row>
    <row r="23" spans="2:16">
      <c r="B23" s="722" t="s">
        <v>441</v>
      </c>
      <c r="C23" s="737">
        <v>100055025.88</v>
      </c>
      <c r="D23" s="724">
        <v>0</v>
      </c>
      <c r="E23" s="724">
        <v>0</v>
      </c>
      <c r="F23" s="724">
        <v>0</v>
      </c>
      <c r="G23" s="724">
        <v>0</v>
      </c>
      <c r="H23" s="724">
        <v>0</v>
      </c>
      <c r="I23" s="724">
        <v>0</v>
      </c>
      <c r="J23" s="724">
        <v>0</v>
      </c>
      <c r="K23" s="724">
        <v>0</v>
      </c>
      <c r="L23" s="724">
        <v>0</v>
      </c>
      <c r="M23" s="724">
        <v>0</v>
      </c>
      <c r="N23" s="725">
        <v>0</v>
      </c>
      <c r="O23" s="725">
        <f t="shared" si="0"/>
        <v>100055025.88</v>
      </c>
    </row>
    <row r="24" spans="2:16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6" ht="12">
      <c r="B25" s="741" t="s">
        <v>442</v>
      </c>
      <c r="C25" s="742">
        <v>105415301.01999938</v>
      </c>
      <c r="D25" s="743">
        <v>51496959.739999771</v>
      </c>
      <c r="E25" s="743">
        <v>21102127.42000103</v>
      </c>
      <c r="F25" s="743">
        <v>84910704</v>
      </c>
      <c r="G25" s="743">
        <v>74329977.869999886</v>
      </c>
      <c r="H25" s="743">
        <v>79231441.609999657</v>
      </c>
      <c r="I25" s="743">
        <v>37500000</v>
      </c>
      <c r="J25" s="743">
        <v>22500000</v>
      </c>
      <c r="K25" s="743">
        <v>39000000</v>
      </c>
      <c r="L25" s="743">
        <v>18000000</v>
      </c>
      <c r="M25" s="743">
        <v>18000000</v>
      </c>
      <c r="N25" s="744">
        <v>11500000</v>
      </c>
      <c r="O25" s="744">
        <f t="shared" si="0"/>
        <v>562986511.65999973</v>
      </c>
    </row>
    <row r="26" spans="2:16">
      <c r="B26" s="722" t="s">
        <v>443</v>
      </c>
      <c r="C26" s="737">
        <v>-31971090.630000114</v>
      </c>
      <c r="D26" s="724">
        <v>-34613522.250547409</v>
      </c>
      <c r="E26" s="724">
        <v>-33978212.080000162</v>
      </c>
      <c r="F26" s="724">
        <v>-34337366.570000172</v>
      </c>
      <c r="G26" s="724">
        <v>-36684815.109999418</v>
      </c>
      <c r="H26" s="724">
        <v>-34597030.520000219</v>
      </c>
      <c r="I26" s="724">
        <v>-31973664.136646509</v>
      </c>
      <c r="J26" s="724">
        <v>-34586878.43705368</v>
      </c>
      <c r="K26" s="724">
        <v>-34925592.401711941</v>
      </c>
      <c r="L26" s="724">
        <v>-34837530.143569946</v>
      </c>
      <c r="M26" s="724">
        <v>-35180856.609304905</v>
      </c>
      <c r="N26" s="725">
        <v>4569854.0862872601</v>
      </c>
      <c r="O26" s="725">
        <f t="shared" si="0"/>
        <v>-373116704.80254722</v>
      </c>
    </row>
    <row r="27" spans="2:16">
      <c r="B27" s="722" t="s">
        <v>444</v>
      </c>
      <c r="C27" s="737">
        <v>-302130584.9000001</v>
      </c>
      <c r="D27" s="724">
        <v>-857063.75945293903</v>
      </c>
      <c r="E27" s="724">
        <v>-299254263.98999953</v>
      </c>
      <c r="F27" s="724">
        <v>-307616.09999990463</v>
      </c>
      <c r="G27" s="724">
        <v>300196288.36999977</v>
      </c>
      <c r="H27" s="724">
        <v>-302555.74999988079</v>
      </c>
      <c r="I27" s="724">
        <v>100000000</v>
      </c>
      <c r="J27" s="724">
        <v>75000000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-427655796.12945259</v>
      </c>
      <c r="P27" s="714" t="s">
        <v>664</v>
      </c>
    </row>
    <row r="28" spans="2:16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6">
      <c r="B29" s="722" t="s">
        <v>446</v>
      </c>
      <c r="C29" s="738">
        <v>-7923099.1700000167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-7923099.1700000167</v>
      </c>
    </row>
    <row r="30" spans="2:16" ht="12">
      <c r="B30" s="745" t="s">
        <v>447</v>
      </c>
      <c r="C30" s="746">
        <v>-342024774.70000023</v>
      </c>
      <c r="D30" s="747">
        <v>-35470586.010000348</v>
      </c>
      <c r="E30" s="747">
        <v>-333232476.06999969</v>
      </c>
      <c r="F30" s="747">
        <v>-34644982.670000076</v>
      </c>
      <c r="G30" s="747">
        <v>263511473.26000035</v>
      </c>
      <c r="H30" s="747">
        <v>-34899586.2700001</v>
      </c>
      <c r="I30" s="747">
        <v>68026335.863353491</v>
      </c>
      <c r="J30" s="747">
        <v>40413121.56294632</v>
      </c>
      <c r="K30" s="747">
        <v>-34925592.401711941</v>
      </c>
      <c r="L30" s="747">
        <v>-34837530.143569946</v>
      </c>
      <c r="M30" s="747">
        <v>-335180856.6093049</v>
      </c>
      <c r="N30" s="748">
        <v>4569854.0862872601</v>
      </c>
      <c r="O30" s="748">
        <f t="shared" si="0"/>
        <v>-808695600.10199976</v>
      </c>
    </row>
    <row r="31" spans="2:16" ht="12.6" thickBot="1">
      <c r="B31" s="749" t="s">
        <v>448</v>
      </c>
      <c r="C31" s="750">
        <v>-281953636.56999987</v>
      </c>
      <c r="D31" s="751">
        <v>-89486289.056363091</v>
      </c>
      <c r="E31" s="751">
        <v>-207728155.19757694</v>
      </c>
      <c r="F31" s="751">
        <v>5476086.9403027296</v>
      </c>
      <c r="G31" s="751">
        <v>-7203494.3799991608</v>
      </c>
      <c r="H31" s="751">
        <v>18252990.77666685</v>
      </c>
      <c r="I31" s="751">
        <v>-136995632.35741708</v>
      </c>
      <c r="J31" s="751">
        <v>47794921.313628197</v>
      </c>
      <c r="K31" s="751">
        <v>-19697968.889184654</v>
      </c>
      <c r="L31" s="751">
        <v>-7648536.7322785258</v>
      </c>
      <c r="M31" s="751">
        <v>-13419349.659204006</v>
      </c>
      <c r="N31" s="752">
        <v>24811626.051168889</v>
      </c>
      <c r="O31" s="752">
        <f t="shared" si="0"/>
        <v>-667797437.76025677</v>
      </c>
    </row>
    <row r="32" spans="2:16">
      <c r="B32" s="753"/>
    </row>
    <row r="33" spans="2:15">
      <c r="B33" s="754" t="s">
        <v>449</v>
      </c>
      <c r="C33" s="755">
        <v>857153974.6650027</v>
      </c>
      <c r="D33" s="755">
        <v>575200338.09500277</v>
      </c>
      <c r="E33" s="755">
        <v>485714049.03863806</v>
      </c>
      <c r="F33" s="755">
        <v>277985893.84106195</v>
      </c>
      <c r="G33" s="755">
        <v>283461980.78136468</v>
      </c>
      <c r="H33" s="755">
        <v>276258486.40136564</v>
      </c>
      <c r="I33" s="755">
        <v>294511477.17803258</v>
      </c>
      <c r="J33" s="755">
        <v>157515844.82061446</v>
      </c>
      <c r="K33" s="755">
        <v>205310766.13424248</v>
      </c>
      <c r="L33" s="755">
        <v>185612797.24505824</v>
      </c>
      <c r="M33" s="755">
        <v>177964260.51278001</v>
      </c>
      <c r="N33" s="755">
        <v>164544910.85357499</v>
      </c>
      <c r="O33" s="755"/>
    </row>
    <row r="34" spans="2:15">
      <c r="B34" s="756" t="s">
        <v>450</v>
      </c>
      <c r="C34" s="757">
        <v>-281953636.56999987</v>
      </c>
      <c r="D34" s="757">
        <v>-89486289.056363091</v>
      </c>
      <c r="E34" s="757">
        <v>-207728155.19757694</v>
      </c>
      <c r="F34" s="757">
        <v>5476086.9403027296</v>
      </c>
      <c r="G34" s="757">
        <v>-7203494.3799991608</v>
      </c>
      <c r="H34" s="757">
        <v>18252990.77666685</v>
      </c>
      <c r="I34" s="757">
        <v>-136995632.35741708</v>
      </c>
      <c r="J34" s="757">
        <v>47794921.313628197</v>
      </c>
      <c r="K34" s="757">
        <v>-19697968.889184654</v>
      </c>
      <c r="L34" s="757">
        <v>-7648536.7322785258</v>
      </c>
      <c r="M34" s="757">
        <v>-13419349.659204006</v>
      </c>
      <c r="N34" s="757">
        <v>24811626.051168889</v>
      </c>
      <c r="O34" s="757"/>
    </row>
    <row r="35" spans="2:15">
      <c r="B35" s="758" t="s">
        <v>451</v>
      </c>
      <c r="C35" s="759">
        <v>575200338.09500289</v>
      </c>
      <c r="D35" s="759">
        <v>485714049.03863966</v>
      </c>
      <c r="E35" s="759">
        <v>277985893.84106112</v>
      </c>
      <c r="F35" s="759">
        <v>283461980.78136468</v>
      </c>
      <c r="G35" s="759">
        <v>276258486.40136552</v>
      </c>
      <c r="H35" s="759">
        <v>294511477.17803252</v>
      </c>
      <c r="I35" s="759">
        <v>157515844.8206155</v>
      </c>
      <c r="J35" s="759">
        <v>205310766.13424265</v>
      </c>
      <c r="K35" s="759">
        <v>185612797.24505782</v>
      </c>
      <c r="L35" s="759">
        <v>177964260.51277971</v>
      </c>
      <c r="M35" s="759">
        <v>164544910.853576</v>
      </c>
      <c r="N35" s="759">
        <v>189356536.90474388</v>
      </c>
      <c r="O35" s="759"/>
    </row>
    <row r="36" spans="2:15">
      <c r="B36" s="760" t="s">
        <v>452</v>
      </c>
      <c r="C36" s="761">
        <v>0</v>
      </c>
      <c r="D36" s="761">
        <v>1.5497207641601563E-6</v>
      </c>
      <c r="E36" s="761">
        <v>-7.152557373046875E-7</v>
      </c>
      <c r="F36" s="761">
        <v>0</v>
      </c>
      <c r="G36" s="761">
        <v>0</v>
      </c>
      <c r="H36" s="761">
        <v>7.152557373046875E-7</v>
      </c>
      <c r="I36" s="761">
        <v>0</v>
      </c>
      <c r="J36" s="761">
        <v>0</v>
      </c>
      <c r="K36" s="761">
        <v>-5.3644180297851563E-7</v>
      </c>
      <c r="L36" s="761">
        <v>0</v>
      </c>
      <c r="M36" s="761">
        <v>1.430511474609375E-6</v>
      </c>
      <c r="N36" s="761">
        <v>0</v>
      </c>
      <c r="O36" s="761"/>
    </row>
    <row r="37" spans="2:15">
      <c r="H37" s="715"/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>
        <v>0</v>
      </c>
      <c r="D40" s="715">
        <v>1.5497207641601563E-6</v>
      </c>
      <c r="E40" s="715">
        <v>-7.152557373046875E-7</v>
      </c>
      <c r="F40" s="715">
        <v>0</v>
      </c>
      <c r="G40" s="715">
        <v>0</v>
      </c>
      <c r="H40" s="715">
        <v>7.152557373046875E-7</v>
      </c>
      <c r="I40" s="715">
        <v>0</v>
      </c>
      <c r="J40" s="715">
        <v>0</v>
      </c>
      <c r="K40" s="715">
        <v>-5.3644180297851563E-7</v>
      </c>
      <c r="L40" s="715">
        <v>0</v>
      </c>
      <c r="M40" s="715">
        <v>1.430511474609375E-6</v>
      </c>
      <c r="N40" s="715">
        <v>0</v>
      </c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.25" right="0.25" top="0.75" bottom="0.75" header="0.3" footer="0.3"/>
  <pageSetup paperSize="9" scale="73" orientation="landscape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E1AA-205F-47BF-9D35-5A7A965CD82D}">
  <dimension ref="B1:O41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7.21875" defaultRowHeight="11.4"/>
  <cols>
    <col min="1" max="1" width="0.6640625" style="1193" customWidth="1"/>
    <col min="2" max="2" width="29" style="1193" customWidth="1"/>
    <col min="3" max="15" width="12.77734375" style="1193" customWidth="1"/>
    <col min="16" max="16384" width="7.21875" style="1193"/>
  </cols>
  <sheetData>
    <row r="1" spans="2:15" ht="15" customHeight="1">
      <c r="B1" s="1190" t="s">
        <v>592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192"/>
    </row>
    <row r="2" spans="2:15" ht="15" customHeight="1" thickBot="1">
      <c r="B2" s="1190" t="s">
        <v>484</v>
      </c>
      <c r="C2" s="1191"/>
      <c r="D2" s="1191"/>
      <c r="E2" s="1191"/>
      <c r="F2" s="1191"/>
      <c r="G2" s="1191"/>
      <c r="H2" s="1191"/>
      <c r="I2" s="1191"/>
      <c r="J2" s="1191"/>
      <c r="K2" s="1191"/>
      <c r="L2" s="1191"/>
      <c r="M2" s="1191"/>
      <c r="N2" s="1194" t="s">
        <v>593</v>
      </c>
    </row>
    <row r="3" spans="2:15" ht="15" customHeight="1">
      <c r="B3" s="1373" t="s">
        <v>422</v>
      </c>
      <c r="C3" s="1195"/>
      <c r="D3" s="1195"/>
      <c r="E3" s="1195"/>
      <c r="F3" s="1195"/>
      <c r="G3" s="1195"/>
      <c r="H3" s="1195">
        <v>2025</v>
      </c>
      <c r="I3" s="1196">
        <v>0</v>
      </c>
      <c r="J3" s="1195"/>
      <c r="K3" s="1195"/>
      <c r="L3" s="1195"/>
      <c r="M3" s="1195"/>
      <c r="N3" s="1197"/>
    </row>
    <row r="4" spans="2:15" ht="15" customHeight="1" thickBot="1">
      <c r="B4" s="1374"/>
      <c r="C4" s="1305" t="s">
        <v>249</v>
      </c>
      <c r="D4" s="1198" t="s">
        <v>250</v>
      </c>
      <c r="E4" s="1198" t="s">
        <v>251</v>
      </c>
      <c r="F4" s="1198" t="s">
        <v>252</v>
      </c>
      <c r="G4" s="1198" t="s">
        <v>253</v>
      </c>
      <c r="H4" s="1198" t="s">
        <v>254</v>
      </c>
      <c r="I4" s="1198" t="s">
        <v>255</v>
      </c>
      <c r="J4" s="1198" t="s">
        <v>256</v>
      </c>
      <c r="K4" s="1198" t="s">
        <v>257</v>
      </c>
      <c r="L4" s="1198" t="s">
        <v>258</v>
      </c>
      <c r="M4" s="1198" t="s">
        <v>259</v>
      </c>
      <c r="N4" s="1199" t="s">
        <v>260</v>
      </c>
    </row>
    <row r="5" spans="2:15">
      <c r="B5" s="1200" t="s">
        <v>423</v>
      </c>
      <c r="C5" s="1201">
        <v>39475745.1299996</v>
      </c>
      <c r="D5" s="1202">
        <v>38175292.890000001</v>
      </c>
      <c r="E5" s="1202">
        <v>40462089.329999998</v>
      </c>
      <c r="F5" s="1202">
        <v>38972167.710000008</v>
      </c>
      <c r="G5" s="1202">
        <v>40255477.159999996</v>
      </c>
      <c r="H5" s="1202">
        <v>41008984.840000004</v>
      </c>
      <c r="I5" s="1202">
        <v>2255643006.6756086</v>
      </c>
      <c r="J5" s="1202">
        <v>45642302.020999908</v>
      </c>
      <c r="K5" s="1202">
        <v>52718906.725908279</v>
      </c>
      <c r="L5" s="1202">
        <v>54835352.560881138</v>
      </c>
      <c r="M5" s="1202">
        <v>54484161.326106548</v>
      </c>
      <c r="N5" s="1203">
        <v>52446054.909681797</v>
      </c>
    </row>
    <row r="6" spans="2:15">
      <c r="B6" s="1200" t="s">
        <v>594</v>
      </c>
      <c r="C6" s="1204">
        <v>0</v>
      </c>
      <c r="D6" s="1204">
        <v>0</v>
      </c>
      <c r="E6" s="1205">
        <v>0</v>
      </c>
      <c r="F6" s="1205">
        <v>0</v>
      </c>
      <c r="G6" s="1202">
        <v>0</v>
      </c>
      <c r="H6" s="1205">
        <v>0</v>
      </c>
      <c r="I6" s="1202">
        <v>0</v>
      </c>
      <c r="J6" s="1205">
        <v>0</v>
      </c>
      <c r="K6" s="1205">
        <v>0</v>
      </c>
      <c r="L6" s="1205">
        <v>0</v>
      </c>
      <c r="M6" s="1205">
        <v>0</v>
      </c>
      <c r="N6" s="1206">
        <v>0</v>
      </c>
    </row>
    <row r="7" spans="2:15">
      <c r="B7" s="1200" t="s">
        <v>425</v>
      </c>
      <c r="C7" s="1204">
        <v>0</v>
      </c>
      <c r="D7" s="1205">
        <v>0</v>
      </c>
      <c r="E7" s="1205">
        <v>0</v>
      </c>
      <c r="F7" s="1205">
        <v>0</v>
      </c>
      <c r="G7" s="1205">
        <v>0</v>
      </c>
      <c r="H7" s="1205">
        <v>0</v>
      </c>
      <c r="I7" s="1205">
        <v>0</v>
      </c>
      <c r="J7" s="1205">
        <v>0</v>
      </c>
      <c r="K7" s="1205">
        <v>0</v>
      </c>
      <c r="L7" s="1205">
        <v>0</v>
      </c>
      <c r="M7" s="1205">
        <v>0</v>
      </c>
      <c r="N7" s="1206">
        <v>0</v>
      </c>
    </row>
    <row r="8" spans="2:15">
      <c r="B8" s="1200" t="s">
        <v>595</v>
      </c>
      <c r="C8" s="1207">
        <v>0</v>
      </c>
      <c r="D8" s="1205">
        <v>0</v>
      </c>
      <c r="E8" s="1205">
        <v>0</v>
      </c>
      <c r="F8" s="1205">
        <v>0</v>
      </c>
      <c r="G8" s="1202">
        <v>0</v>
      </c>
      <c r="H8" s="1205">
        <v>0</v>
      </c>
      <c r="I8" s="1205">
        <v>0</v>
      </c>
      <c r="J8" s="1205">
        <v>0</v>
      </c>
      <c r="K8" s="1205">
        <v>0</v>
      </c>
      <c r="L8" s="1205">
        <v>0</v>
      </c>
      <c r="M8" s="1205">
        <v>0</v>
      </c>
      <c r="N8" s="1206">
        <v>0</v>
      </c>
    </row>
    <row r="9" spans="2:15">
      <c r="B9" s="1200" t="s">
        <v>427</v>
      </c>
      <c r="C9" s="1204">
        <v>0</v>
      </c>
      <c r="D9" s="1205">
        <v>0</v>
      </c>
      <c r="E9" s="1205">
        <v>0</v>
      </c>
      <c r="F9" s="1205">
        <v>0</v>
      </c>
      <c r="G9" s="1205">
        <v>0</v>
      </c>
      <c r="H9" s="1205">
        <v>0</v>
      </c>
      <c r="I9" s="1205">
        <v>0</v>
      </c>
      <c r="J9" s="1205">
        <v>0</v>
      </c>
      <c r="K9" s="1205">
        <v>0</v>
      </c>
      <c r="L9" s="1205">
        <v>0</v>
      </c>
      <c r="M9" s="1205">
        <v>0</v>
      </c>
      <c r="N9" s="1206">
        <v>0</v>
      </c>
    </row>
    <row r="10" spans="2:15">
      <c r="B10" s="1200" t="s">
        <v>428</v>
      </c>
      <c r="C10" s="1208">
        <v>309644.54999999888</v>
      </c>
      <c r="D10" s="1209">
        <v>309644.55000000075</v>
      </c>
      <c r="E10" s="1209">
        <v>309644.55000000075</v>
      </c>
      <c r="F10" s="1209">
        <v>309644.54999999888</v>
      </c>
      <c r="G10" s="1209">
        <v>309644.55000000075</v>
      </c>
      <c r="H10" s="1209">
        <v>309644.54999999888</v>
      </c>
      <c r="I10" s="1209">
        <v>313255.66111111268</v>
      </c>
      <c r="J10" s="1209">
        <v>313255.66111111268</v>
      </c>
      <c r="K10" s="1209">
        <v>313255.66111111268</v>
      </c>
      <c r="L10" s="1209">
        <v>313255.66111111268</v>
      </c>
      <c r="M10" s="1209">
        <v>313255.66111111268</v>
      </c>
      <c r="N10" s="1210">
        <v>313255.66111111268</v>
      </c>
    </row>
    <row r="11" spans="2:15" ht="12">
      <c r="B11" s="1211" t="s">
        <v>429</v>
      </c>
      <c r="C11" s="1212">
        <v>39785389.679999597</v>
      </c>
      <c r="D11" s="1213">
        <v>38484937.439999998</v>
      </c>
      <c r="E11" s="1213">
        <v>40771733.879999995</v>
      </c>
      <c r="F11" s="1213">
        <v>39281812.260000005</v>
      </c>
      <c r="G11" s="1213">
        <v>40565121.709999993</v>
      </c>
      <c r="H11" s="1213">
        <v>41318629.390000001</v>
      </c>
      <c r="I11" s="1213">
        <v>2255956262.3367195</v>
      </c>
      <c r="J11" s="1213">
        <v>45955557.682111025</v>
      </c>
      <c r="K11" s="1213">
        <v>53032162.387019396</v>
      </c>
      <c r="L11" s="1213">
        <v>55148608.221992254</v>
      </c>
      <c r="M11" s="1213">
        <v>54797416.987217665</v>
      </c>
      <c r="N11" s="1214">
        <v>52759310.570792913</v>
      </c>
      <c r="O11" s="1215"/>
    </row>
    <row r="12" spans="2:15">
      <c r="B12" s="1200" t="s">
        <v>430</v>
      </c>
      <c r="C12" s="1204">
        <v>0</v>
      </c>
      <c r="D12" s="1205">
        <v>0</v>
      </c>
      <c r="E12" s="1205">
        <v>25724.400000000001</v>
      </c>
      <c r="F12" s="1205">
        <v>-25724.400000000001</v>
      </c>
      <c r="G12" s="1205">
        <v>0</v>
      </c>
      <c r="H12" s="1205">
        <v>0</v>
      </c>
      <c r="I12" s="1205">
        <v>0</v>
      </c>
      <c r="J12" s="1205">
        <v>0</v>
      </c>
      <c r="K12" s="1205">
        <v>0</v>
      </c>
      <c r="L12" s="1205">
        <v>0</v>
      </c>
      <c r="M12" s="1205">
        <v>0</v>
      </c>
      <c r="N12" s="1206">
        <v>0</v>
      </c>
    </row>
    <row r="13" spans="2:15">
      <c r="B13" s="1200" t="s">
        <v>431</v>
      </c>
      <c r="C13" s="1204">
        <v>0</v>
      </c>
      <c r="D13" s="1205">
        <v>0</v>
      </c>
      <c r="E13" s="1205">
        <v>0</v>
      </c>
      <c r="F13" s="1205">
        <v>0</v>
      </c>
      <c r="G13" s="1205">
        <v>0</v>
      </c>
      <c r="H13" s="1205">
        <v>0</v>
      </c>
      <c r="I13" s="1205">
        <v>0</v>
      </c>
      <c r="J13" s="1205">
        <v>0</v>
      </c>
      <c r="K13" s="1205">
        <v>0</v>
      </c>
      <c r="L13" s="1205">
        <v>0</v>
      </c>
      <c r="M13" s="1205">
        <v>0</v>
      </c>
      <c r="N13" s="1206">
        <v>0</v>
      </c>
    </row>
    <row r="14" spans="2:15">
      <c r="B14" s="1200" t="s">
        <v>432</v>
      </c>
      <c r="C14" s="1204">
        <v>15000000</v>
      </c>
      <c r="D14" s="1205">
        <v>-15000000</v>
      </c>
      <c r="E14" s="1205">
        <v>15000000</v>
      </c>
      <c r="F14" s="1205">
        <v>0</v>
      </c>
      <c r="G14" s="1205">
        <v>-8790349.0399999991</v>
      </c>
      <c r="H14" s="1205">
        <v>-6209650.96</v>
      </c>
      <c r="I14" s="1202">
        <v>0</v>
      </c>
      <c r="J14" s="1202">
        <v>0</v>
      </c>
      <c r="K14" s="1205">
        <v>0</v>
      </c>
      <c r="L14" s="1205">
        <v>0</v>
      </c>
      <c r="M14" s="1205">
        <v>0</v>
      </c>
      <c r="N14" s="1206">
        <v>0</v>
      </c>
    </row>
    <row r="15" spans="2:15">
      <c r="B15" s="1200" t="s">
        <v>433</v>
      </c>
      <c r="C15" s="1208">
        <v>6447182.7699999958</v>
      </c>
      <c r="D15" s="1209">
        <v>16210686.75</v>
      </c>
      <c r="E15" s="1209">
        <v>-21173172.280000001</v>
      </c>
      <c r="F15" s="1209">
        <v>-33202188.979999997</v>
      </c>
      <c r="G15" s="1209">
        <v>16511585.550000004</v>
      </c>
      <c r="H15" s="1209">
        <v>10086660.559999995</v>
      </c>
      <c r="I15" s="1216">
        <v>-24106952.108130455</v>
      </c>
      <c r="J15" s="1216">
        <v>15214100.673666567</v>
      </c>
      <c r="K15" s="1209">
        <v>17572968.908636168</v>
      </c>
      <c r="L15" s="1209">
        <v>-33056287.620545208</v>
      </c>
      <c r="M15" s="1209">
        <v>18161387.108702108</v>
      </c>
      <c r="N15" s="1210">
        <v>17482018.303227335</v>
      </c>
    </row>
    <row r="16" spans="2:15" ht="12">
      <c r="B16" s="1211" t="s">
        <v>434</v>
      </c>
      <c r="C16" s="1212">
        <v>21447182.769999996</v>
      </c>
      <c r="D16" s="1213">
        <v>1210686.75</v>
      </c>
      <c r="E16" s="1213">
        <v>-6147447.8800000008</v>
      </c>
      <c r="F16" s="1213">
        <v>-33227913.379999995</v>
      </c>
      <c r="G16" s="1213">
        <v>7721236.5100000054</v>
      </c>
      <c r="H16" s="1213">
        <v>3877009.599999995</v>
      </c>
      <c r="I16" s="1213">
        <v>-24106952.108130455</v>
      </c>
      <c r="J16" s="1213">
        <v>15214100.673666567</v>
      </c>
      <c r="K16" s="1213">
        <v>17572968.908636168</v>
      </c>
      <c r="L16" s="1213">
        <v>-33056287.620545208</v>
      </c>
      <c r="M16" s="1213">
        <v>18161387.108702108</v>
      </c>
      <c r="N16" s="1214">
        <v>17482018.303227335</v>
      </c>
    </row>
    <row r="17" spans="2:15">
      <c r="B17" s="1200" t="s">
        <v>435</v>
      </c>
      <c r="C17" s="1204">
        <v>-30000</v>
      </c>
      <c r="D17" s="1205">
        <v>30000</v>
      </c>
      <c r="E17" s="1205">
        <v>0</v>
      </c>
      <c r="F17" s="1205">
        <v>0</v>
      </c>
      <c r="G17" s="1205">
        <v>2256570</v>
      </c>
      <c r="H17" s="1205">
        <v>-2256570</v>
      </c>
      <c r="I17" s="1205">
        <v>0</v>
      </c>
      <c r="J17" s="1205">
        <v>0</v>
      </c>
      <c r="K17" s="1205">
        <v>0</v>
      </c>
      <c r="L17" s="1205">
        <v>0</v>
      </c>
      <c r="M17" s="1205">
        <v>0</v>
      </c>
      <c r="N17" s="1206">
        <v>0</v>
      </c>
    </row>
    <row r="18" spans="2:15">
      <c r="B18" s="1200" t="s">
        <v>436</v>
      </c>
      <c r="C18" s="1204">
        <v>200000000</v>
      </c>
      <c r="D18" s="1205">
        <v>0</v>
      </c>
      <c r="E18" s="1205">
        <v>-1000000</v>
      </c>
      <c r="F18" s="1205">
        <v>870000000</v>
      </c>
      <c r="G18" s="1205">
        <v>0</v>
      </c>
      <c r="H18" s="1205">
        <v>0</v>
      </c>
      <c r="I18" s="1205">
        <v>2384000000</v>
      </c>
      <c r="J18" s="1205">
        <v>0</v>
      </c>
      <c r="K18" s="1205">
        <v>0</v>
      </c>
      <c r="L18" s="1205">
        <v>0</v>
      </c>
      <c r="M18" s="1205">
        <v>0</v>
      </c>
      <c r="N18" s="1206">
        <v>0</v>
      </c>
    </row>
    <row r="19" spans="2:15">
      <c r="B19" s="1200" t="s">
        <v>437</v>
      </c>
      <c r="C19" s="1204">
        <v>2941</v>
      </c>
      <c r="D19" s="1205">
        <v>-5697.5499999999993</v>
      </c>
      <c r="E19" s="1205">
        <v>5665.57</v>
      </c>
      <c r="F19" s="1205">
        <v>369.39999999999964</v>
      </c>
      <c r="G19" s="1205">
        <v>-928.69999999999891</v>
      </c>
      <c r="H19" s="1205">
        <v>966.03999999999905</v>
      </c>
      <c r="I19" s="1205">
        <v>-352.96999999999935</v>
      </c>
      <c r="J19" s="1205">
        <v>0</v>
      </c>
      <c r="K19" s="1205">
        <v>0</v>
      </c>
      <c r="L19" s="1205">
        <v>0</v>
      </c>
      <c r="M19" s="1205">
        <v>0</v>
      </c>
      <c r="N19" s="1206">
        <v>0</v>
      </c>
    </row>
    <row r="20" spans="2:15">
      <c r="B20" s="1200" t="s">
        <v>438</v>
      </c>
      <c r="C20" s="1208">
        <v>29901078.140000015</v>
      </c>
      <c r="D20" s="1209">
        <v>36696686.840000004</v>
      </c>
      <c r="E20" s="1209">
        <v>12367807.25</v>
      </c>
      <c r="F20" s="1209">
        <v>43774272.019999981</v>
      </c>
      <c r="G20" s="1209">
        <v>68162021.859999955</v>
      </c>
      <c r="H20" s="1209">
        <v>-33487420.329999983</v>
      </c>
      <c r="I20" s="1209">
        <v>56261560.273972631</v>
      </c>
      <c r="J20" s="1209">
        <v>64809388.134657502</v>
      </c>
      <c r="K20" s="1209">
        <v>75118890.410958946</v>
      </c>
      <c r="L20" s="1209">
        <v>77622853.424657643</v>
      </c>
      <c r="M20" s="1209">
        <v>75118890.410958886</v>
      </c>
      <c r="N20" s="1210">
        <v>77622853.424657583</v>
      </c>
    </row>
    <row r="21" spans="2:15" ht="12">
      <c r="B21" s="1211" t="s">
        <v>439</v>
      </c>
      <c r="C21" s="1212">
        <v>229874019.14000002</v>
      </c>
      <c r="D21" s="1213">
        <v>36720989.290000007</v>
      </c>
      <c r="E21" s="1213">
        <v>11373472.82</v>
      </c>
      <c r="F21" s="1213">
        <v>913774641.41999996</v>
      </c>
      <c r="G21" s="1213">
        <v>70417663.159999952</v>
      </c>
      <c r="H21" s="1213">
        <v>-35743024.289999984</v>
      </c>
      <c r="I21" s="1213">
        <v>2440261207.3039727</v>
      </c>
      <c r="J21" s="1213">
        <v>64809388.134657502</v>
      </c>
      <c r="K21" s="1213">
        <v>75118890.410958946</v>
      </c>
      <c r="L21" s="1213">
        <v>77622853.424657643</v>
      </c>
      <c r="M21" s="1213">
        <v>75118890.410958886</v>
      </c>
      <c r="N21" s="1214">
        <v>77622853.424657583</v>
      </c>
    </row>
    <row r="22" spans="2:15">
      <c r="B22" s="1200" t="s">
        <v>440</v>
      </c>
      <c r="C22" s="1217">
        <v>0</v>
      </c>
      <c r="D22" s="1202">
        <v>0</v>
      </c>
      <c r="E22" s="1202">
        <v>0</v>
      </c>
      <c r="F22" s="1202">
        <v>0</v>
      </c>
      <c r="G22" s="1202">
        <v>0</v>
      </c>
      <c r="H22" s="1202">
        <v>0</v>
      </c>
      <c r="I22" s="1202">
        <v>0</v>
      </c>
      <c r="J22" s="1202">
        <v>0</v>
      </c>
      <c r="K22" s="1202">
        <v>0</v>
      </c>
      <c r="L22" s="1202">
        <v>0</v>
      </c>
      <c r="M22" s="1202">
        <v>0</v>
      </c>
      <c r="N22" s="1203">
        <v>0</v>
      </c>
    </row>
    <row r="23" spans="2:15">
      <c r="B23" s="1200" t="s">
        <v>441</v>
      </c>
      <c r="C23" s="1217">
        <v>0</v>
      </c>
      <c r="D23" s="1202">
        <v>0</v>
      </c>
      <c r="E23" s="1202">
        <v>0</v>
      </c>
      <c r="F23" s="1202">
        <v>0</v>
      </c>
      <c r="G23" s="1202">
        <v>0</v>
      </c>
      <c r="H23" s="1202">
        <v>0</v>
      </c>
      <c r="I23" s="1202">
        <v>0</v>
      </c>
      <c r="J23" s="1202">
        <v>0</v>
      </c>
      <c r="K23" s="1202">
        <v>0</v>
      </c>
      <c r="L23" s="1202">
        <v>0</v>
      </c>
      <c r="M23" s="1202">
        <v>0</v>
      </c>
      <c r="N23" s="1203">
        <v>0</v>
      </c>
    </row>
    <row r="24" spans="2:15">
      <c r="B24" s="1200" t="s">
        <v>237</v>
      </c>
      <c r="C24" s="1218">
        <v>0</v>
      </c>
      <c r="D24" s="1216">
        <v>0</v>
      </c>
      <c r="E24" s="1216">
        <v>0</v>
      </c>
      <c r="F24" s="1216">
        <v>0</v>
      </c>
      <c r="G24" s="1216">
        <v>0</v>
      </c>
      <c r="H24" s="1216">
        <v>0</v>
      </c>
      <c r="I24" s="1216">
        <v>0</v>
      </c>
      <c r="J24" s="1216">
        <v>0</v>
      </c>
      <c r="K24" s="1216">
        <v>0</v>
      </c>
      <c r="L24" s="1216">
        <v>0</v>
      </c>
      <c r="M24" s="1216">
        <v>0</v>
      </c>
      <c r="N24" s="1219">
        <v>0</v>
      </c>
    </row>
    <row r="25" spans="2:15" ht="12">
      <c r="B25" s="1220" t="s">
        <v>442</v>
      </c>
      <c r="C25" s="1221">
        <v>0</v>
      </c>
      <c r="D25" s="1222">
        <v>0</v>
      </c>
      <c r="E25" s="1222">
        <v>0</v>
      </c>
      <c r="F25" s="1222">
        <v>0</v>
      </c>
      <c r="G25" s="1222">
        <v>0</v>
      </c>
      <c r="H25" s="1222">
        <v>0</v>
      </c>
      <c r="I25" s="1222">
        <v>0</v>
      </c>
      <c r="J25" s="1222">
        <v>0</v>
      </c>
      <c r="K25" s="1222">
        <v>0</v>
      </c>
      <c r="L25" s="1222">
        <v>0</v>
      </c>
      <c r="M25" s="1222">
        <v>0</v>
      </c>
      <c r="N25" s="1223">
        <v>0</v>
      </c>
    </row>
    <row r="26" spans="2:15">
      <c r="B26" s="1200" t="s">
        <v>443</v>
      </c>
      <c r="C26" s="1217">
        <v>0</v>
      </c>
      <c r="D26" s="1202">
        <v>0</v>
      </c>
      <c r="E26" s="1202">
        <v>0</v>
      </c>
      <c r="F26" s="1202">
        <v>0</v>
      </c>
      <c r="G26" s="1202">
        <v>0</v>
      </c>
      <c r="H26" s="1202">
        <v>0</v>
      </c>
      <c r="I26" s="1202">
        <v>0</v>
      </c>
      <c r="J26" s="1202">
        <v>0</v>
      </c>
      <c r="K26" s="1202">
        <v>0</v>
      </c>
      <c r="L26" s="1202">
        <v>0</v>
      </c>
      <c r="M26" s="1202">
        <v>0</v>
      </c>
      <c r="N26" s="1203">
        <v>0</v>
      </c>
    </row>
    <row r="27" spans="2:15">
      <c r="B27" s="1200" t="s">
        <v>444</v>
      </c>
      <c r="C27" s="1217">
        <v>0</v>
      </c>
      <c r="D27" s="1202">
        <v>0</v>
      </c>
      <c r="E27" s="1202">
        <v>0</v>
      </c>
      <c r="F27" s="1202">
        <v>0</v>
      </c>
      <c r="G27" s="1202">
        <v>0</v>
      </c>
      <c r="H27" s="1202">
        <v>0</v>
      </c>
      <c r="I27" s="1202">
        <v>0</v>
      </c>
      <c r="J27" s="1202">
        <v>0</v>
      </c>
      <c r="K27" s="1202">
        <v>0</v>
      </c>
      <c r="L27" s="1202">
        <v>0</v>
      </c>
      <c r="M27" s="1202">
        <v>0</v>
      </c>
      <c r="N27" s="1203">
        <v>0</v>
      </c>
    </row>
    <row r="28" spans="2:15">
      <c r="B28" s="1200" t="s">
        <v>445</v>
      </c>
      <c r="C28" s="1217">
        <v>0</v>
      </c>
      <c r="D28" s="1202">
        <v>0</v>
      </c>
      <c r="E28" s="1202">
        <v>0</v>
      </c>
      <c r="F28" s="1202">
        <v>0</v>
      </c>
      <c r="G28" s="1202">
        <v>0</v>
      </c>
      <c r="H28" s="1202">
        <v>0</v>
      </c>
      <c r="I28" s="1202">
        <v>0</v>
      </c>
      <c r="J28" s="1202">
        <v>0</v>
      </c>
      <c r="K28" s="1202">
        <v>0</v>
      </c>
      <c r="L28" s="1202">
        <v>0</v>
      </c>
      <c r="M28" s="1202">
        <v>0</v>
      </c>
      <c r="N28" s="1203">
        <v>0</v>
      </c>
    </row>
    <row r="29" spans="2:15">
      <c r="B29" s="1200" t="s">
        <v>446</v>
      </c>
      <c r="C29" s="1218">
        <v>0</v>
      </c>
      <c r="D29" s="1216">
        <v>0</v>
      </c>
      <c r="E29" s="1216">
        <v>0</v>
      </c>
      <c r="F29" s="1216">
        <v>0</v>
      </c>
      <c r="G29" s="1216">
        <v>0</v>
      </c>
      <c r="H29" s="1216">
        <v>0</v>
      </c>
      <c r="I29" s="1216">
        <v>0</v>
      </c>
      <c r="J29" s="1216">
        <v>0</v>
      </c>
      <c r="K29" s="1216">
        <v>0</v>
      </c>
      <c r="L29" s="1216">
        <v>0</v>
      </c>
      <c r="M29" s="1216">
        <v>0</v>
      </c>
      <c r="N29" s="1219">
        <v>0</v>
      </c>
    </row>
    <row r="30" spans="2:15" ht="12">
      <c r="B30" s="1224" t="s">
        <v>447</v>
      </c>
      <c r="C30" s="1225">
        <v>0</v>
      </c>
      <c r="D30" s="1226">
        <v>0</v>
      </c>
      <c r="E30" s="1226">
        <v>0</v>
      </c>
      <c r="F30" s="1226">
        <v>0</v>
      </c>
      <c r="G30" s="1226">
        <v>0</v>
      </c>
      <c r="H30" s="1226">
        <v>0</v>
      </c>
      <c r="I30" s="1226">
        <v>0</v>
      </c>
      <c r="J30" s="1226">
        <v>0</v>
      </c>
      <c r="K30" s="1226">
        <v>0</v>
      </c>
      <c r="L30" s="1226">
        <v>0</v>
      </c>
      <c r="M30" s="1226">
        <v>0</v>
      </c>
      <c r="N30" s="1227">
        <v>0</v>
      </c>
    </row>
    <row r="31" spans="2:15" ht="12.6" thickBot="1">
      <c r="B31" s="1228" t="s">
        <v>448</v>
      </c>
      <c r="C31" s="1229">
        <v>-168641446.69000041</v>
      </c>
      <c r="D31" s="1230">
        <v>2974634.8999999911</v>
      </c>
      <c r="E31" s="1230">
        <v>23250813.179999992</v>
      </c>
      <c r="F31" s="1230">
        <v>-907720742.53999996</v>
      </c>
      <c r="G31" s="1230">
        <v>-22131304.939999953</v>
      </c>
      <c r="H31" s="1230">
        <v>80938663.279999971</v>
      </c>
      <c r="I31" s="1230">
        <v>-208411897.07538366</v>
      </c>
      <c r="J31" s="1230">
        <v>-3639729.7788799107</v>
      </c>
      <c r="K31" s="1230">
        <v>-4513759.1153033823</v>
      </c>
      <c r="L31" s="1230">
        <v>-55530532.823210597</v>
      </c>
      <c r="M31" s="1230">
        <v>-2160086.3150391132</v>
      </c>
      <c r="N31" s="1231">
        <v>-7381524.5506373346</v>
      </c>
      <c r="O31" s="1215"/>
    </row>
    <row r="32" spans="2:15">
      <c r="B32" s="1232"/>
    </row>
    <row r="33" spans="2:14">
      <c r="B33" s="1233" t="s">
        <v>449</v>
      </c>
      <c r="C33" s="1234">
        <v>1430238621.8699999</v>
      </c>
      <c r="D33" s="1234">
        <v>1261597175.1799996</v>
      </c>
      <c r="E33" s="1234">
        <v>1264571810.0799997</v>
      </c>
      <c r="F33" s="1234">
        <v>1287822623.2599998</v>
      </c>
      <c r="G33" s="1234">
        <v>380101880.71999979</v>
      </c>
      <c r="H33" s="1234">
        <v>357970575.77999985</v>
      </c>
      <c r="I33" s="1234">
        <v>438909239.05999982</v>
      </c>
      <c r="J33" s="1234">
        <v>230497341.98461616</v>
      </c>
      <c r="K33" s="1234">
        <v>226857612.20573625</v>
      </c>
      <c r="L33" s="1234">
        <v>222343853.09043288</v>
      </c>
      <c r="M33" s="1234">
        <v>166813320.26722229</v>
      </c>
      <c r="N33" s="1234">
        <v>164653233.95218319</v>
      </c>
    </row>
    <row r="34" spans="2:14">
      <c r="B34" s="1235" t="s">
        <v>450</v>
      </c>
      <c r="C34" s="1236">
        <v>-168641446.69000041</v>
      </c>
      <c r="D34" s="1236">
        <v>2974634.8999999911</v>
      </c>
      <c r="E34" s="1236">
        <v>23250813.179999992</v>
      </c>
      <c r="F34" s="1236">
        <v>-907720742.53999996</v>
      </c>
      <c r="G34" s="1236">
        <v>-22131304.939999953</v>
      </c>
      <c r="H34" s="1236">
        <v>80938663.279999971</v>
      </c>
      <c r="I34" s="1236">
        <v>-208411897.07538366</v>
      </c>
      <c r="J34" s="1236">
        <v>-3639729.7788799107</v>
      </c>
      <c r="K34" s="1236">
        <v>-4513759.1153033823</v>
      </c>
      <c r="L34" s="1236">
        <v>-55530532.823210597</v>
      </c>
      <c r="M34" s="1236">
        <v>-2160086.3150391132</v>
      </c>
      <c r="N34" s="1236">
        <v>-7381524.5506373346</v>
      </c>
    </row>
    <row r="35" spans="2:14">
      <c r="B35" s="1237" t="s">
        <v>451</v>
      </c>
      <c r="C35" s="1238">
        <v>1261597175.1799994</v>
      </c>
      <c r="D35" s="1238">
        <v>1264571810.0799997</v>
      </c>
      <c r="E35" s="1238">
        <v>1287822623.2599998</v>
      </c>
      <c r="F35" s="1238">
        <v>380101880.71999979</v>
      </c>
      <c r="G35" s="1238">
        <v>357970575.77999985</v>
      </c>
      <c r="H35" s="1238">
        <v>438909239.05999982</v>
      </c>
      <c r="I35" s="1238">
        <v>230497341.98461616</v>
      </c>
      <c r="J35" s="1238">
        <v>226857612.20573625</v>
      </c>
      <c r="K35" s="1238">
        <v>222343853.09043288</v>
      </c>
      <c r="L35" s="1238">
        <v>166813320.26722229</v>
      </c>
      <c r="M35" s="1238">
        <v>164653233.95218319</v>
      </c>
      <c r="N35" s="1238">
        <v>157271709.40154585</v>
      </c>
    </row>
    <row r="36" spans="2:14">
      <c r="B36" s="1239" t="s">
        <v>452</v>
      </c>
      <c r="C36" s="1240"/>
      <c r="D36" s="1240"/>
      <c r="E36" s="1240"/>
      <c r="F36" s="1240"/>
      <c r="G36" s="1240"/>
      <c r="H36" s="1240"/>
      <c r="I36" s="1240"/>
      <c r="J36" s="1240"/>
      <c r="K36" s="1240"/>
      <c r="L36" s="1240"/>
      <c r="M36" s="1240"/>
      <c r="N36" s="1240"/>
    </row>
    <row r="37" spans="2:14">
      <c r="I37" s="715"/>
      <c r="J37" s="715"/>
      <c r="K37" s="715"/>
      <c r="L37" s="715"/>
      <c r="M37" s="715"/>
      <c r="N37" s="715"/>
    </row>
    <row r="38" spans="2:14" ht="13.2">
      <c r="E38" s="1241"/>
      <c r="H38" s="1242"/>
    </row>
    <row r="39" spans="2:14" ht="13.2">
      <c r="E39" s="1241"/>
      <c r="H39" s="1243"/>
    </row>
    <row r="40" spans="2:14" ht="13.8" thickBot="1">
      <c r="E40" s="1241"/>
      <c r="H40" s="1244"/>
    </row>
    <row r="41" spans="2:14" ht="12" thickTop="1"/>
  </sheetData>
  <mergeCells count="1">
    <mergeCell ref="B3:B4"/>
  </mergeCells>
  <pageMargins left="0.7" right="0.7" top="0.75" bottom="0.75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5D9C7-4EA9-475F-9E8B-A2328CDC2329}">
  <dimension ref="A1:B104"/>
  <sheetViews>
    <sheetView workbookViewId="0">
      <selection activeCell="B92" sqref="B92"/>
    </sheetView>
  </sheetViews>
  <sheetFormatPr defaultColWidth="8.77734375" defaultRowHeight="14.4"/>
  <cols>
    <col min="1" max="1" width="34.6640625" bestFit="1" customWidth="1"/>
    <col min="2" max="2" width="15.6640625" bestFit="1" customWidth="1"/>
  </cols>
  <sheetData>
    <row r="1" spans="1:2">
      <c r="A1" s="1302" t="s">
        <v>86</v>
      </c>
      <c r="B1" t="s">
        <v>703</v>
      </c>
    </row>
    <row r="3" spans="1:2">
      <c r="A3" s="1302" t="s">
        <v>700</v>
      </c>
      <c r="B3" t="s">
        <v>702</v>
      </c>
    </row>
    <row r="4" spans="1:2">
      <c r="A4" s="1303" t="s">
        <v>651</v>
      </c>
      <c r="B4">
        <v>1</v>
      </c>
    </row>
    <row r="5" spans="1:2">
      <c r="A5" s="1303" t="s">
        <v>639</v>
      </c>
      <c r="B5">
        <v>1</v>
      </c>
    </row>
    <row r="6" spans="1:2">
      <c r="A6" s="1303" t="s">
        <v>637</v>
      </c>
      <c r="B6">
        <v>1</v>
      </c>
    </row>
    <row r="7" spans="1:2">
      <c r="A7" s="1303" t="s">
        <v>630</v>
      </c>
      <c r="B7">
        <v>1</v>
      </c>
    </row>
    <row r="8" spans="1:2">
      <c r="A8" s="1303" t="s">
        <v>635</v>
      </c>
      <c r="B8">
        <v>1</v>
      </c>
    </row>
    <row r="9" spans="1:2">
      <c r="A9" s="1303" t="s">
        <v>634</v>
      </c>
      <c r="B9">
        <v>1</v>
      </c>
    </row>
    <row r="10" spans="1:2">
      <c r="A10" s="1303" t="s">
        <v>615</v>
      </c>
      <c r="B10">
        <v>1</v>
      </c>
    </row>
    <row r="11" spans="1:2">
      <c r="A11" s="1303" t="s">
        <v>604</v>
      </c>
      <c r="B11">
        <v>1</v>
      </c>
    </row>
    <row r="12" spans="1:2">
      <c r="A12" s="1303" t="s">
        <v>644</v>
      </c>
      <c r="B12">
        <v>1</v>
      </c>
    </row>
    <row r="13" spans="1:2">
      <c r="A13" s="1303" t="s">
        <v>607</v>
      </c>
      <c r="B13">
        <v>1</v>
      </c>
    </row>
    <row r="14" spans="1:2">
      <c r="A14" s="1303" t="s">
        <v>602</v>
      </c>
      <c r="B14">
        <v>1</v>
      </c>
    </row>
    <row r="15" spans="1:2">
      <c r="A15" s="1303" t="s">
        <v>605</v>
      </c>
      <c r="B15">
        <v>1</v>
      </c>
    </row>
    <row r="16" spans="1:2">
      <c r="A16" s="1303" t="s">
        <v>608</v>
      </c>
      <c r="B16">
        <v>1</v>
      </c>
    </row>
    <row r="17" spans="1:2">
      <c r="A17" s="1303" t="s">
        <v>611</v>
      </c>
      <c r="B17">
        <v>1</v>
      </c>
    </row>
    <row r="18" spans="1:2">
      <c r="A18" s="1303" t="s">
        <v>650</v>
      </c>
      <c r="B18">
        <v>1</v>
      </c>
    </row>
    <row r="19" spans="1:2">
      <c r="A19" s="1303" t="s">
        <v>663</v>
      </c>
      <c r="B19">
        <v>1</v>
      </c>
    </row>
    <row r="20" spans="1:2">
      <c r="A20" s="1303" t="s">
        <v>687</v>
      </c>
      <c r="B20">
        <v>1</v>
      </c>
    </row>
    <row r="21" spans="1:2">
      <c r="A21" s="1303" t="s">
        <v>686</v>
      </c>
      <c r="B21">
        <v>1</v>
      </c>
    </row>
    <row r="22" spans="1:2">
      <c r="A22" s="1303" t="s">
        <v>683</v>
      </c>
      <c r="B22">
        <v>1</v>
      </c>
    </row>
    <row r="23" spans="1:2">
      <c r="A23" s="1303" t="s">
        <v>690</v>
      </c>
      <c r="B23">
        <v>1</v>
      </c>
    </row>
    <row r="24" spans="1:2">
      <c r="A24" s="1303" t="s">
        <v>688</v>
      </c>
      <c r="B24">
        <v>1</v>
      </c>
    </row>
    <row r="25" spans="1:2">
      <c r="A25" s="1303" t="s">
        <v>689</v>
      </c>
      <c r="B25">
        <v>1</v>
      </c>
    </row>
    <row r="26" spans="1:2">
      <c r="A26" s="1303" t="s">
        <v>636</v>
      </c>
      <c r="B26">
        <v>1</v>
      </c>
    </row>
    <row r="27" spans="1:2">
      <c r="A27" s="1303" t="s">
        <v>638</v>
      </c>
      <c r="B27">
        <v>1</v>
      </c>
    </row>
    <row r="28" spans="1:2">
      <c r="A28" s="1303" t="s">
        <v>629</v>
      </c>
      <c r="B28">
        <v>1</v>
      </c>
    </row>
    <row r="29" spans="1:2">
      <c r="A29" s="1303" t="s">
        <v>614</v>
      </c>
      <c r="B29">
        <v>1</v>
      </c>
    </row>
    <row r="30" spans="1:2">
      <c r="A30" s="1303" t="s">
        <v>621</v>
      </c>
      <c r="B30">
        <v>1</v>
      </c>
    </row>
    <row r="31" spans="1:2">
      <c r="A31" s="1303" t="s">
        <v>609</v>
      </c>
      <c r="B31">
        <v>1</v>
      </c>
    </row>
    <row r="32" spans="1:2">
      <c r="A32" s="1303" t="s">
        <v>603</v>
      </c>
      <c r="B32">
        <v>1</v>
      </c>
    </row>
    <row r="33" spans="1:2">
      <c r="A33" s="1303" t="s">
        <v>625</v>
      </c>
      <c r="B33">
        <v>1</v>
      </c>
    </row>
    <row r="34" spans="1:2">
      <c r="A34" s="1303" t="s">
        <v>624</v>
      </c>
      <c r="B34">
        <v>1</v>
      </c>
    </row>
    <row r="35" spans="1:2">
      <c r="A35" s="1303" t="s">
        <v>695</v>
      </c>
      <c r="B35">
        <v>1</v>
      </c>
    </row>
    <row r="36" spans="1:2">
      <c r="A36" s="1303" t="s">
        <v>656</v>
      </c>
      <c r="B36">
        <v>1</v>
      </c>
    </row>
    <row r="37" spans="1:2">
      <c r="A37" s="1303" t="s">
        <v>631</v>
      </c>
      <c r="B37">
        <v>1</v>
      </c>
    </row>
    <row r="38" spans="1:2">
      <c r="A38" s="1303" t="s">
        <v>633</v>
      </c>
      <c r="B38">
        <v>1</v>
      </c>
    </row>
    <row r="39" spans="1:2">
      <c r="A39" s="1303" t="s">
        <v>632</v>
      </c>
      <c r="B39">
        <v>1</v>
      </c>
    </row>
    <row r="40" spans="1:2">
      <c r="A40" s="1303" t="s">
        <v>640</v>
      </c>
      <c r="B40">
        <v>1</v>
      </c>
    </row>
    <row r="41" spans="1:2">
      <c r="A41" s="1303" t="s">
        <v>641</v>
      </c>
      <c r="B41">
        <v>1</v>
      </c>
    </row>
    <row r="42" spans="1:2">
      <c r="A42" s="1303" t="s">
        <v>642</v>
      </c>
      <c r="B42">
        <v>1</v>
      </c>
    </row>
    <row r="43" spans="1:2">
      <c r="A43" s="1303" t="s">
        <v>643</v>
      </c>
      <c r="B43">
        <v>1</v>
      </c>
    </row>
    <row r="44" spans="1:2">
      <c r="A44" s="1303" t="s">
        <v>618</v>
      </c>
      <c r="B44">
        <v>1</v>
      </c>
    </row>
    <row r="45" spans="1:2">
      <c r="A45" s="1303" t="s">
        <v>620</v>
      </c>
      <c r="B45">
        <v>1</v>
      </c>
    </row>
    <row r="46" spans="1:2">
      <c r="A46" s="1303" t="s">
        <v>606</v>
      </c>
      <c r="B46">
        <v>1</v>
      </c>
    </row>
    <row r="47" spans="1:2">
      <c r="A47" s="1303" t="s">
        <v>623</v>
      </c>
      <c r="B47">
        <v>1</v>
      </c>
    </row>
    <row r="48" spans="1:2">
      <c r="A48" s="1303" t="s">
        <v>613</v>
      </c>
      <c r="B48">
        <v>1</v>
      </c>
    </row>
    <row r="49" spans="1:2">
      <c r="A49" s="1303" t="s">
        <v>660</v>
      </c>
      <c r="B49">
        <v>1</v>
      </c>
    </row>
    <row r="50" spans="1:2">
      <c r="A50" s="1303" t="s">
        <v>685</v>
      </c>
      <c r="B50">
        <v>1</v>
      </c>
    </row>
    <row r="51" spans="1:2">
      <c r="A51" s="1303" t="s">
        <v>627</v>
      </c>
      <c r="B51">
        <v>1</v>
      </c>
    </row>
    <row r="52" spans="1:2">
      <c r="A52" s="1303" t="s">
        <v>626</v>
      </c>
      <c r="B52">
        <v>1</v>
      </c>
    </row>
    <row r="53" spans="1:2">
      <c r="A53" s="1303" t="s">
        <v>645</v>
      </c>
      <c r="B53">
        <v>1</v>
      </c>
    </row>
    <row r="54" spans="1:2">
      <c r="A54" s="1303" t="s">
        <v>679</v>
      </c>
      <c r="B54">
        <v>1</v>
      </c>
    </row>
    <row r="55" spans="1:2">
      <c r="A55" s="1303" t="s">
        <v>680</v>
      </c>
      <c r="B55">
        <v>1</v>
      </c>
    </row>
    <row r="56" spans="1:2">
      <c r="A56" s="1303" t="s">
        <v>681</v>
      </c>
      <c r="B56">
        <v>1</v>
      </c>
    </row>
    <row r="57" spans="1:2">
      <c r="A57" s="1303" t="s">
        <v>674</v>
      </c>
      <c r="B57">
        <v>1</v>
      </c>
    </row>
    <row r="58" spans="1:2">
      <c r="A58" s="1303" t="s">
        <v>684</v>
      </c>
      <c r="B58">
        <v>1</v>
      </c>
    </row>
    <row r="59" spans="1:2">
      <c r="A59" s="1303" t="s">
        <v>600</v>
      </c>
      <c r="B59">
        <v>1</v>
      </c>
    </row>
    <row r="60" spans="1:2">
      <c r="A60" s="1303" t="s">
        <v>647</v>
      </c>
      <c r="B60">
        <v>1</v>
      </c>
    </row>
    <row r="61" spans="1:2">
      <c r="A61" s="1303" t="s">
        <v>649</v>
      </c>
      <c r="B61">
        <v>1</v>
      </c>
    </row>
    <row r="62" spans="1:2">
      <c r="A62" s="1303" t="s">
        <v>646</v>
      </c>
      <c r="B62">
        <v>1</v>
      </c>
    </row>
    <row r="63" spans="1:2">
      <c r="A63" s="1303" t="s">
        <v>648</v>
      </c>
      <c r="B63">
        <v>1</v>
      </c>
    </row>
    <row r="64" spans="1:2">
      <c r="A64" s="1303" t="s">
        <v>659</v>
      </c>
      <c r="B64">
        <v>1</v>
      </c>
    </row>
    <row r="65" spans="1:2">
      <c r="A65" s="1303" t="s">
        <v>677</v>
      </c>
      <c r="B65">
        <v>1</v>
      </c>
    </row>
    <row r="66" spans="1:2">
      <c r="A66" s="1303" t="s">
        <v>666</v>
      </c>
      <c r="B66">
        <v>1</v>
      </c>
    </row>
    <row r="67" spans="1:2">
      <c r="A67" s="1303" t="s">
        <v>667</v>
      </c>
      <c r="B67">
        <v>1</v>
      </c>
    </row>
    <row r="68" spans="1:2">
      <c r="A68" s="1303" t="s">
        <v>672</v>
      </c>
      <c r="B68">
        <v>1</v>
      </c>
    </row>
    <row r="69" spans="1:2">
      <c r="A69" s="1303" t="s">
        <v>671</v>
      </c>
      <c r="B69">
        <v>1</v>
      </c>
    </row>
    <row r="70" spans="1:2">
      <c r="A70" s="1303" t="s">
        <v>670</v>
      </c>
      <c r="B70">
        <v>1</v>
      </c>
    </row>
    <row r="71" spans="1:2">
      <c r="A71" s="1303" t="s">
        <v>669</v>
      </c>
      <c r="B71">
        <v>1</v>
      </c>
    </row>
    <row r="72" spans="1:2">
      <c r="A72" s="1303" t="s">
        <v>668</v>
      </c>
      <c r="B72">
        <v>1</v>
      </c>
    </row>
    <row r="73" spans="1:2">
      <c r="A73" s="1303" t="s">
        <v>698</v>
      </c>
      <c r="B73">
        <v>1</v>
      </c>
    </row>
    <row r="74" spans="1:2">
      <c r="A74" s="1303" t="s">
        <v>694</v>
      </c>
      <c r="B74">
        <v>1</v>
      </c>
    </row>
    <row r="75" spans="1:2">
      <c r="A75" s="1303" t="s">
        <v>676</v>
      </c>
      <c r="B75">
        <v>1</v>
      </c>
    </row>
    <row r="76" spans="1:2">
      <c r="A76" s="1303" t="s">
        <v>619</v>
      </c>
      <c r="B76">
        <v>1</v>
      </c>
    </row>
    <row r="77" spans="1:2">
      <c r="A77" s="1303" t="s">
        <v>617</v>
      </c>
      <c r="B77">
        <v>1</v>
      </c>
    </row>
    <row r="78" spans="1:2">
      <c r="A78" s="1303" t="s">
        <v>616</v>
      </c>
      <c r="B78">
        <v>1</v>
      </c>
    </row>
    <row r="79" spans="1:2">
      <c r="A79" s="1303" t="s">
        <v>678</v>
      </c>
      <c r="B79">
        <v>1</v>
      </c>
    </row>
    <row r="80" spans="1:2">
      <c r="A80" s="1303" t="s">
        <v>622</v>
      </c>
      <c r="B80">
        <v>1</v>
      </c>
    </row>
    <row r="81" spans="1:2">
      <c r="A81" s="1303" t="s">
        <v>675</v>
      </c>
      <c r="B81">
        <v>1</v>
      </c>
    </row>
    <row r="82" spans="1:2">
      <c r="A82" s="1303" t="s">
        <v>673</v>
      </c>
      <c r="B82">
        <v>1</v>
      </c>
    </row>
    <row r="83" spans="1:2">
      <c r="A83" s="1303" t="s">
        <v>601</v>
      </c>
      <c r="B83">
        <v>1</v>
      </c>
    </row>
    <row r="84" spans="1:2">
      <c r="A84" s="1303" t="s">
        <v>612</v>
      </c>
      <c r="B84">
        <v>1</v>
      </c>
    </row>
    <row r="85" spans="1:2">
      <c r="A85" s="1303" t="s">
        <v>610</v>
      </c>
      <c r="B85">
        <v>1</v>
      </c>
    </row>
    <row r="86" spans="1:2">
      <c r="A86" s="1303" t="s">
        <v>682</v>
      </c>
      <c r="B86">
        <v>1</v>
      </c>
    </row>
    <row r="87" spans="1:2">
      <c r="A87" s="1303" t="s">
        <v>658</v>
      </c>
      <c r="B87">
        <v>1</v>
      </c>
    </row>
    <row r="88" spans="1:2">
      <c r="A88" s="1303" t="s">
        <v>662</v>
      </c>
      <c r="B88">
        <v>1</v>
      </c>
    </row>
    <row r="89" spans="1:2">
      <c r="A89" s="1303" t="s">
        <v>657</v>
      </c>
      <c r="B89">
        <v>1</v>
      </c>
    </row>
    <row r="90" spans="1:2">
      <c r="A90" s="1303" t="s">
        <v>696</v>
      </c>
      <c r="B90">
        <v>1</v>
      </c>
    </row>
    <row r="91" spans="1:2">
      <c r="A91" s="1303" t="s">
        <v>628</v>
      </c>
      <c r="B91">
        <v>1</v>
      </c>
    </row>
    <row r="92" spans="1:2">
      <c r="A92" s="1303" t="s">
        <v>661</v>
      </c>
      <c r="B92">
        <v>1</v>
      </c>
    </row>
    <row r="93" spans="1:2">
      <c r="A93" s="1303" t="s">
        <v>697</v>
      </c>
      <c r="B93">
        <v>1</v>
      </c>
    </row>
    <row r="94" spans="1:2">
      <c r="A94" s="1303" t="s">
        <v>704</v>
      </c>
      <c r="B94">
        <v>1</v>
      </c>
    </row>
    <row r="95" spans="1:2">
      <c r="A95" s="1303" t="s">
        <v>705</v>
      </c>
      <c r="B95">
        <v>1</v>
      </c>
    </row>
    <row r="96" spans="1:2">
      <c r="A96" s="1303" t="s">
        <v>706</v>
      </c>
      <c r="B96">
        <v>1</v>
      </c>
    </row>
    <row r="97" spans="1:2">
      <c r="A97" s="1303" t="s">
        <v>707</v>
      </c>
      <c r="B97">
        <v>1</v>
      </c>
    </row>
    <row r="98" spans="1:2">
      <c r="A98" s="1303" t="s">
        <v>711</v>
      </c>
      <c r="B98">
        <v>1</v>
      </c>
    </row>
    <row r="99" spans="1:2">
      <c r="A99" s="1303" t="s">
        <v>712</v>
      </c>
      <c r="B99">
        <v>1</v>
      </c>
    </row>
    <row r="100" spans="1:2">
      <c r="A100" s="1303" t="s">
        <v>713</v>
      </c>
      <c r="B100">
        <v>1</v>
      </c>
    </row>
    <row r="101" spans="1:2">
      <c r="A101" s="1303" t="s">
        <v>714</v>
      </c>
      <c r="B101">
        <v>1</v>
      </c>
    </row>
    <row r="102" spans="1:2">
      <c r="A102" s="1303" t="s">
        <v>715</v>
      </c>
      <c r="B102">
        <v>1</v>
      </c>
    </row>
    <row r="103" spans="1:2">
      <c r="A103" s="1303" t="s">
        <v>716</v>
      </c>
      <c r="B103">
        <v>1</v>
      </c>
    </row>
    <row r="104" spans="1:2">
      <c r="A104" s="1303" t="s">
        <v>701</v>
      </c>
      <c r="B104">
        <v>100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AL17"/>
  <sheetViews>
    <sheetView showGridLines="0" zoomScale="70" zoomScaleNormal="70" workbookViewId="0">
      <selection sqref="A1:XFD1048576"/>
    </sheetView>
  </sheetViews>
  <sheetFormatPr defaultColWidth="8.77734375" defaultRowHeight="39" customHeight="1"/>
  <cols>
    <col min="1" max="1" width="3.6640625" style="145" customWidth="1"/>
    <col min="2" max="2" width="37.6640625" style="146" customWidth="1"/>
    <col min="3" max="3" width="16.21875" style="144" customWidth="1"/>
    <col min="4" max="4" width="15.21875" style="144" customWidth="1"/>
    <col min="5" max="7" width="12.6640625" style="144" customWidth="1"/>
    <col min="8" max="9" width="14.21875" style="144" customWidth="1"/>
    <col min="10" max="18" width="11.21875" style="144" customWidth="1"/>
    <col min="19" max="19" width="13.6640625" style="632" customWidth="1"/>
    <col min="20" max="34" width="14" style="94" customWidth="1"/>
    <col min="35" max="38" width="14" style="94" hidden="1" customWidth="1"/>
    <col min="39" max="16384" width="8.77734375" style="145"/>
  </cols>
  <sheetData>
    <row r="1" spans="2:38" ht="39" customHeight="1">
      <c r="B1" s="143" t="s">
        <v>121</v>
      </c>
    </row>
    <row r="2" spans="2:38" ht="31.95" customHeight="1">
      <c r="B2" s="143" t="s">
        <v>556</v>
      </c>
      <c r="J2" s="147"/>
      <c r="K2" s="147"/>
      <c r="L2" s="147"/>
      <c r="M2" s="147"/>
      <c r="N2" s="147"/>
      <c r="O2" s="147"/>
      <c r="P2" s="147"/>
      <c r="Q2" s="147"/>
      <c r="R2" s="147"/>
      <c r="S2" s="633" t="s">
        <v>122</v>
      </c>
    </row>
    <row r="3" spans="2:38" s="150" customFormat="1" ht="39" customHeight="1">
      <c r="B3" s="1376" t="s">
        <v>87</v>
      </c>
      <c r="C3" s="1378" t="s">
        <v>123</v>
      </c>
      <c r="D3" s="630" t="s">
        <v>91</v>
      </c>
      <c r="E3" s="1380" t="s">
        <v>229</v>
      </c>
      <c r="F3" s="1378" t="s">
        <v>124</v>
      </c>
      <c r="G3" s="1380" t="s">
        <v>230</v>
      </c>
      <c r="H3" s="148" t="s">
        <v>125</v>
      </c>
      <c r="I3" s="149" t="s">
        <v>126</v>
      </c>
      <c r="J3" s="149" t="s">
        <v>127</v>
      </c>
      <c r="K3" s="149" t="s">
        <v>128</v>
      </c>
      <c r="L3" s="149" t="s">
        <v>129</v>
      </c>
      <c r="M3" s="149" t="s">
        <v>130</v>
      </c>
      <c r="N3" s="149" t="s">
        <v>131</v>
      </c>
      <c r="O3" s="149" t="s">
        <v>132</v>
      </c>
      <c r="P3" s="149" t="s">
        <v>133</v>
      </c>
      <c r="Q3" s="149" t="s">
        <v>134</v>
      </c>
      <c r="R3" s="149" t="s">
        <v>135</v>
      </c>
      <c r="S3" s="634" t="s">
        <v>136</v>
      </c>
      <c r="T3" s="634" t="s">
        <v>455</v>
      </c>
      <c r="U3" s="634" t="s">
        <v>456</v>
      </c>
      <c r="V3" s="634" t="s">
        <v>457</v>
      </c>
      <c r="W3" s="634" t="s">
        <v>458</v>
      </c>
      <c r="X3" s="634" t="s">
        <v>459</v>
      </c>
      <c r="Y3" s="634" t="s">
        <v>459</v>
      </c>
      <c r="Z3" s="634" t="s">
        <v>551</v>
      </c>
      <c r="AA3" s="634" t="s">
        <v>552</v>
      </c>
      <c r="AB3" s="634" t="s">
        <v>553</v>
      </c>
      <c r="AC3" s="634" t="s">
        <v>554</v>
      </c>
      <c r="AD3" s="634" t="s">
        <v>555</v>
      </c>
      <c r="AE3" s="634" t="s">
        <v>551</v>
      </c>
      <c r="AF3" s="634" t="s">
        <v>551</v>
      </c>
      <c r="AG3" s="634" t="s">
        <v>551</v>
      </c>
      <c r="AH3" s="634" t="s">
        <v>551</v>
      </c>
      <c r="AI3" s="634" t="s">
        <v>551</v>
      </c>
      <c r="AJ3" s="634" t="s">
        <v>551</v>
      </c>
      <c r="AK3" s="634" t="s">
        <v>551</v>
      </c>
      <c r="AL3" s="634" t="s">
        <v>551</v>
      </c>
    </row>
    <row r="4" spans="2:38" s="153" customFormat="1" ht="39" customHeight="1">
      <c r="B4" s="1377"/>
      <c r="C4" s="1379"/>
      <c r="D4" s="631" t="s">
        <v>228</v>
      </c>
      <c r="E4" s="1381"/>
      <c r="F4" s="1379"/>
      <c r="G4" s="1381"/>
      <c r="H4" s="151">
        <v>44667</v>
      </c>
      <c r="I4" s="152">
        <f>H4+7</f>
        <v>44674</v>
      </c>
      <c r="J4" s="152">
        <f>I4+7</f>
        <v>44681</v>
      </c>
      <c r="K4" s="152">
        <f t="shared" ref="K4:Z4" si="0">J4+7</f>
        <v>44688</v>
      </c>
      <c r="L4" s="152">
        <f t="shared" si="0"/>
        <v>44695</v>
      </c>
      <c r="M4" s="152">
        <f t="shared" si="0"/>
        <v>44702</v>
      </c>
      <c r="N4" s="152">
        <f t="shared" si="0"/>
        <v>44709</v>
      </c>
      <c r="O4" s="152">
        <f t="shared" si="0"/>
        <v>44716</v>
      </c>
      <c r="P4" s="152">
        <f t="shared" si="0"/>
        <v>44723</v>
      </c>
      <c r="Q4" s="152">
        <f t="shared" si="0"/>
        <v>44730</v>
      </c>
      <c r="R4" s="152">
        <f t="shared" si="0"/>
        <v>44737</v>
      </c>
      <c r="S4" s="635">
        <f t="shared" si="0"/>
        <v>44744</v>
      </c>
      <c r="T4" s="635">
        <f t="shared" si="0"/>
        <v>44751</v>
      </c>
      <c r="U4" s="635">
        <f t="shared" si="0"/>
        <v>44758</v>
      </c>
      <c r="V4" s="635">
        <f t="shared" si="0"/>
        <v>44765</v>
      </c>
      <c r="W4" s="635">
        <f t="shared" si="0"/>
        <v>44772</v>
      </c>
      <c r="X4" s="635">
        <f t="shared" si="0"/>
        <v>44779</v>
      </c>
      <c r="Y4" s="635">
        <f t="shared" si="0"/>
        <v>44786</v>
      </c>
      <c r="Z4" s="635">
        <f t="shared" si="0"/>
        <v>44793</v>
      </c>
      <c r="AA4" s="635">
        <f t="shared" ref="AA4" si="1">Z4+7</f>
        <v>44800</v>
      </c>
      <c r="AB4" s="635">
        <f t="shared" ref="AB4" si="2">AA4+7</f>
        <v>44807</v>
      </c>
      <c r="AC4" s="635">
        <f t="shared" ref="AC4" si="3">AB4+7</f>
        <v>44814</v>
      </c>
      <c r="AD4" s="635">
        <f t="shared" ref="AD4" si="4">AC4+7</f>
        <v>44821</v>
      </c>
      <c r="AE4" s="635">
        <f t="shared" ref="AE4" si="5">AD4+7</f>
        <v>44828</v>
      </c>
      <c r="AF4" s="635">
        <f t="shared" ref="AF4" si="6">AE4+7</f>
        <v>44835</v>
      </c>
      <c r="AG4" s="635">
        <f t="shared" ref="AG4" si="7">AF4+7</f>
        <v>44842</v>
      </c>
      <c r="AH4" s="635">
        <f t="shared" ref="AH4" si="8">AG4+7</f>
        <v>44849</v>
      </c>
      <c r="AI4" s="635">
        <f t="shared" ref="AI4" si="9">AH4+7</f>
        <v>44856</v>
      </c>
      <c r="AJ4" s="635">
        <f t="shared" ref="AJ4" si="10">AI4+7</f>
        <v>44863</v>
      </c>
      <c r="AK4" s="635">
        <f t="shared" ref="AK4" si="11">AJ4+7</f>
        <v>44870</v>
      </c>
      <c r="AL4" s="635">
        <f t="shared" ref="AL4" si="12">AK4+7</f>
        <v>44877</v>
      </c>
    </row>
    <row r="5" spans="2:38" ht="39" customHeight="1">
      <c r="B5" s="160" t="s">
        <v>137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636"/>
      <c r="T5" s="636"/>
      <c r="U5" s="636"/>
      <c r="V5" s="636"/>
      <c r="W5" s="636"/>
      <c r="X5" s="636"/>
      <c r="Y5" s="636"/>
      <c r="Z5" s="636"/>
      <c r="AA5" s="636"/>
      <c r="AB5" s="636"/>
      <c r="AC5" s="636"/>
      <c r="AD5" s="636"/>
      <c r="AE5" s="636"/>
      <c r="AF5" s="636"/>
      <c r="AG5" s="636"/>
      <c r="AH5" s="636"/>
      <c r="AI5" s="636"/>
      <c r="AJ5" s="636"/>
      <c r="AK5" s="636"/>
      <c r="AL5" s="636"/>
    </row>
    <row r="6" spans="2:38" ht="39" customHeight="1">
      <c r="B6" s="161" t="s">
        <v>138</v>
      </c>
      <c r="C6" s="155">
        <v>735</v>
      </c>
      <c r="D6" s="155"/>
      <c r="E6" s="155"/>
      <c r="F6" s="155">
        <f>SUM(H6:AL6)</f>
        <v>641.18804610500001</v>
      </c>
      <c r="G6" s="155"/>
      <c r="H6" s="155">
        <v>140.43013597000001</v>
      </c>
      <c r="I6" s="155">
        <v>14.991</v>
      </c>
      <c r="J6" s="155">
        <v>32</v>
      </c>
      <c r="K6" s="155"/>
      <c r="L6" s="155"/>
      <c r="M6" s="155">
        <v>5.3890000000000002</v>
      </c>
      <c r="N6" s="155"/>
      <c r="O6" s="155">
        <v>43.763599999999997</v>
      </c>
      <c r="P6" s="155"/>
      <c r="Q6" s="155">
        <v>105.7</v>
      </c>
      <c r="R6" s="155"/>
      <c r="S6" s="637"/>
      <c r="T6" s="637"/>
      <c r="U6" s="637"/>
      <c r="V6" s="637"/>
      <c r="W6" s="637">
        <v>100.36511</v>
      </c>
      <c r="X6" s="637"/>
      <c r="Y6" s="637">
        <v>23.04</v>
      </c>
      <c r="Z6" s="637"/>
      <c r="AA6" s="637">
        <v>3.7858611350000002</v>
      </c>
      <c r="AB6" s="637"/>
      <c r="AC6" s="637"/>
      <c r="AD6" s="637"/>
      <c r="AE6" s="637">
        <v>56.360891000000002</v>
      </c>
      <c r="AF6" s="637">
        <v>57.738300000000002</v>
      </c>
      <c r="AG6" s="637"/>
      <c r="AH6" s="637">
        <v>57.624147999999998</v>
      </c>
      <c r="AI6" s="637"/>
      <c r="AJ6" s="637"/>
      <c r="AK6" s="637"/>
      <c r="AL6" s="637"/>
    </row>
    <row r="7" spans="2:38" ht="39" customHeight="1">
      <c r="B7" s="161" t="s">
        <v>139</v>
      </c>
      <c r="C7" s="155">
        <v>375</v>
      </c>
      <c r="D7" s="155"/>
      <c r="E7" s="155"/>
      <c r="F7" s="155">
        <f t="shared" ref="F7:F9" si="13">SUM(H7:AL7)</f>
        <v>56.351187469999999</v>
      </c>
      <c r="G7" s="155"/>
      <c r="H7" s="155">
        <v>32.111449469999997</v>
      </c>
      <c r="I7" s="155">
        <v>19.992000000000001</v>
      </c>
      <c r="J7" s="155"/>
      <c r="K7" s="155"/>
      <c r="L7" s="155"/>
      <c r="M7" s="155">
        <v>4.247738</v>
      </c>
      <c r="N7" s="155"/>
      <c r="O7" s="155"/>
      <c r="P7" s="155"/>
      <c r="Q7" s="155"/>
      <c r="R7" s="155"/>
      <c r="S7" s="637"/>
      <c r="T7" s="637"/>
      <c r="U7" s="637"/>
      <c r="V7" s="637"/>
      <c r="W7" s="637"/>
      <c r="X7" s="637"/>
      <c r="Y7" s="637"/>
      <c r="Z7" s="637"/>
      <c r="AA7" s="637"/>
      <c r="AB7" s="637"/>
      <c r="AC7" s="637"/>
      <c r="AD7" s="637"/>
      <c r="AE7" s="637"/>
      <c r="AF7" s="637"/>
      <c r="AG7" s="637"/>
      <c r="AH7" s="637"/>
      <c r="AI7" s="637"/>
      <c r="AJ7" s="637"/>
      <c r="AK7" s="637"/>
      <c r="AL7" s="637"/>
    </row>
    <row r="8" spans="2:38" ht="39" customHeight="1">
      <c r="B8" s="161" t="s">
        <v>140</v>
      </c>
      <c r="C8" s="155">
        <v>890</v>
      </c>
      <c r="D8" s="155"/>
      <c r="E8" s="155"/>
      <c r="F8" s="155">
        <f t="shared" si="13"/>
        <v>512.27639928359997</v>
      </c>
      <c r="G8" s="155"/>
      <c r="H8" s="155">
        <v>221.86917797000001</v>
      </c>
      <c r="I8" s="155">
        <v>59.720999999999997</v>
      </c>
      <c r="J8" s="155"/>
      <c r="K8" s="155"/>
      <c r="L8" s="155"/>
      <c r="M8" s="155">
        <v>6.8940000000000001</v>
      </c>
      <c r="N8" s="155"/>
      <c r="O8" s="155">
        <v>40.747</v>
      </c>
      <c r="P8" s="155"/>
      <c r="Q8" s="155"/>
      <c r="R8" s="155">
        <v>2.6647685800000001</v>
      </c>
      <c r="S8" s="637">
        <v>120.64806</v>
      </c>
      <c r="T8" s="637"/>
      <c r="U8" s="637"/>
      <c r="V8" s="637">
        <v>13.713655233599999</v>
      </c>
      <c r="W8" s="637"/>
      <c r="X8" s="637">
        <v>44.257737499999998</v>
      </c>
      <c r="Y8" s="637">
        <v>1.7609999999999999</v>
      </c>
      <c r="Z8" s="637"/>
      <c r="AA8" s="637"/>
      <c r="AB8" s="637"/>
      <c r="AC8" s="637"/>
      <c r="AD8" s="637"/>
      <c r="AE8" s="637"/>
      <c r="AF8" s="637"/>
      <c r="AG8" s="637"/>
      <c r="AH8" s="637"/>
      <c r="AI8" s="637"/>
      <c r="AJ8" s="637"/>
      <c r="AK8" s="637"/>
      <c r="AL8" s="637"/>
    </row>
    <row r="9" spans="2:38" s="150" customFormat="1" ht="39" customHeight="1" thickBot="1">
      <c r="B9" s="156" t="s">
        <v>141</v>
      </c>
      <c r="C9" s="157">
        <f>SUM(C6:C8)</f>
        <v>2000</v>
      </c>
      <c r="D9" s="157">
        <v>1209.8156328586001</v>
      </c>
      <c r="E9" s="157">
        <f>+C9-D9</f>
        <v>790.18436714139989</v>
      </c>
      <c r="F9" s="157">
        <f t="shared" si="13"/>
        <v>1209.8156328586001</v>
      </c>
      <c r="G9" s="157">
        <f>D9-F9</f>
        <v>0</v>
      </c>
      <c r="H9" s="157">
        <f>SUM(H6:H8)</f>
        <v>394.41076341000002</v>
      </c>
      <c r="I9" s="157">
        <f t="shared" ref="I9:Y9" si="14">SUM(I6:I8)</f>
        <v>94.704000000000008</v>
      </c>
      <c r="J9" s="157">
        <f t="shared" si="14"/>
        <v>32</v>
      </c>
      <c r="K9" s="157">
        <f t="shared" si="14"/>
        <v>0</v>
      </c>
      <c r="L9" s="157">
        <f t="shared" si="14"/>
        <v>0</v>
      </c>
      <c r="M9" s="157">
        <f t="shared" si="14"/>
        <v>16.530737999999999</v>
      </c>
      <c r="N9" s="157">
        <f t="shared" si="14"/>
        <v>0</v>
      </c>
      <c r="O9" s="157">
        <f t="shared" si="14"/>
        <v>84.510599999999997</v>
      </c>
      <c r="P9" s="157">
        <f t="shared" si="14"/>
        <v>0</v>
      </c>
      <c r="Q9" s="157">
        <f t="shared" si="14"/>
        <v>105.7</v>
      </c>
      <c r="R9" s="157">
        <f t="shared" si="14"/>
        <v>2.6647685800000001</v>
      </c>
      <c r="S9" s="638">
        <f t="shared" si="14"/>
        <v>120.64806</v>
      </c>
      <c r="T9" s="638">
        <f t="shared" si="14"/>
        <v>0</v>
      </c>
      <c r="U9" s="638">
        <f t="shared" si="14"/>
        <v>0</v>
      </c>
      <c r="V9" s="638">
        <f t="shared" si="14"/>
        <v>13.713655233599999</v>
      </c>
      <c r="W9" s="638">
        <f t="shared" si="14"/>
        <v>100.36511</v>
      </c>
      <c r="X9" s="638">
        <f t="shared" si="14"/>
        <v>44.257737499999998</v>
      </c>
      <c r="Y9" s="638">
        <f t="shared" si="14"/>
        <v>24.800999999999998</v>
      </c>
      <c r="Z9" s="638">
        <f t="shared" ref="Z9:AL9" si="15">SUM(Z6:Z8)</f>
        <v>0</v>
      </c>
      <c r="AA9" s="638">
        <f t="shared" si="15"/>
        <v>3.7858611350000002</v>
      </c>
      <c r="AB9" s="638">
        <f t="shared" si="15"/>
        <v>0</v>
      </c>
      <c r="AC9" s="638">
        <f t="shared" si="15"/>
        <v>0</v>
      </c>
      <c r="AD9" s="638">
        <f t="shared" si="15"/>
        <v>0</v>
      </c>
      <c r="AE9" s="638">
        <f t="shared" si="15"/>
        <v>56.360891000000002</v>
      </c>
      <c r="AF9" s="638">
        <f t="shared" si="15"/>
        <v>57.738300000000002</v>
      </c>
      <c r="AG9" s="638">
        <f t="shared" si="15"/>
        <v>0</v>
      </c>
      <c r="AH9" s="638">
        <f t="shared" si="15"/>
        <v>57.624147999999998</v>
      </c>
      <c r="AI9" s="638">
        <f t="shared" si="15"/>
        <v>0</v>
      </c>
      <c r="AJ9" s="638">
        <f t="shared" si="15"/>
        <v>0</v>
      </c>
      <c r="AK9" s="638">
        <f t="shared" si="15"/>
        <v>0</v>
      </c>
      <c r="AL9" s="638">
        <f t="shared" si="15"/>
        <v>0</v>
      </c>
    </row>
    <row r="10" spans="2:38" ht="12" customHeight="1" thickTop="1">
      <c r="B10" s="158"/>
      <c r="C10" s="159"/>
      <c r="D10" s="159"/>
      <c r="E10" s="159"/>
      <c r="F10" s="159"/>
      <c r="G10" s="159"/>
      <c r="H10" s="159"/>
      <c r="I10" s="159"/>
      <c r="J10" s="159"/>
      <c r="K10" s="1375" t="s">
        <v>357</v>
      </c>
      <c r="L10" s="1375"/>
      <c r="M10" s="159"/>
      <c r="N10" s="159"/>
      <c r="O10" s="159"/>
      <c r="P10" s="159"/>
      <c r="Q10" s="159"/>
      <c r="R10" s="159"/>
      <c r="S10" s="639"/>
      <c r="T10" s="639"/>
      <c r="U10" s="639"/>
      <c r="V10" s="639"/>
      <c r="W10" s="639"/>
      <c r="X10" s="639"/>
      <c r="Y10" s="639"/>
      <c r="Z10" s="639"/>
      <c r="AA10" s="639"/>
      <c r="AB10" s="639"/>
      <c r="AC10" s="639"/>
      <c r="AD10" s="639"/>
      <c r="AE10" s="639"/>
      <c r="AF10" s="639"/>
      <c r="AG10" s="639"/>
      <c r="AH10" s="639"/>
      <c r="AI10" s="639"/>
      <c r="AJ10" s="639"/>
      <c r="AK10" s="639"/>
      <c r="AL10" s="639"/>
    </row>
    <row r="11" spans="2:38" ht="39" customHeight="1">
      <c r="B11" s="160" t="s">
        <v>142</v>
      </c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636"/>
      <c r="T11" s="636"/>
      <c r="U11" s="636"/>
      <c r="V11" s="636"/>
      <c r="W11" s="636"/>
      <c r="X11" s="636"/>
      <c r="Y11" s="636"/>
      <c r="Z11" s="636"/>
      <c r="AA11" s="636"/>
      <c r="AB11" s="636"/>
      <c r="AC11" s="636"/>
      <c r="AD11" s="636"/>
      <c r="AE11" s="636"/>
      <c r="AF11" s="636"/>
      <c r="AG11" s="636"/>
      <c r="AH11" s="636"/>
      <c r="AI11" s="636"/>
      <c r="AJ11" s="636"/>
      <c r="AK11" s="636"/>
      <c r="AL11" s="636"/>
    </row>
    <row r="12" spans="2:38" ht="39" customHeight="1">
      <c r="B12" s="161" t="s">
        <v>143</v>
      </c>
      <c r="C12" s="155">
        <f>C14-C13</f>
        <v>875</v>
      </c>
      <c r="D12" s="155"/>
      <c r="E12" s="155"/>
      <c r="F12" s="155">
        <f>SUM(H12:X12)</f>
        <v>613.79999999999995</v>
      </c>
      <c r="G12" s="155"/>
      <c r="H12" s="155">
        <v>75</v>
      </c>
      <c r="I12" s="155">
        <v>0</v>
      </c>
      <c r="J12" s="410">
        <v>108.2</v>
      </c>
      <c r="K12" s="155">
        <v>30.1</v>
      </c>
      <c r="L12" s="155">
        <v>17.5</v>
      </c>
      <c r="M12" s="155">
        <v>13</v>
      </c>
      <c r="N12" s="155">
        <v>50</v>
      </c>
      <c r="O12" s="155">
        <v>76</v>
      </c>
      <c r="P12" s="155">
        <v>80.099999999999994</v>
      </c>
      <c r="Q12" s="155">
        <v>13</v>
      </c>
      <c r="R12" s="155">
        <v>28.7</v>
      </c>
      <c r="S12" s="637">
        <v>0</v>
      </c>
      <c r="T12" s="637">
        <v>0</v>
      </c>
      <c r="U12" s="637">
        <f>22.5+34.2</f>
        <v>56.7</v>
      </c>
      <c r="V12" s="637">
        <v>28.1</v>
      </c>
      <c r="W12" s="637">
        <v>0</v>
      </c>
      <c r="X12" s="637">
        <v>37.4</v>
      </c>
      <c r="Y12" s="637"/>
      <c r="Z12" s="637"/>
      <c r="AA12" s="637"/>
      <c r="AB12" s="637"/>
      <c r="AC12" s="637"/>
      <c r="AD12" s="637"/>
      <c r="AE12" s="637"/>
      <c r="AF12" s="637"/>
      <c r="AG12" s="637"/>
      <c r="AH12" s="637"/>
      <c r="AI12" s="637"/>
      <c r="AJ12" s="637"/>
      <c r="AK12" s="637"/>
      <c r="AL12" s="637"/>
    </row>
    <row r="13" spans="2:38" ht="39" customHeight="1">
      <c r="B13" s="161" t="s">
        <v>144</v>
      </c>
      <c r="C13" s="155">
        <v>1300</v>
      </c>
      <c r="D13" s="155"/>
      <c r="E13" s="155"/>
      <c r="F13" s="155">
        <f>SUM(H13:X13)</f>
        <v>926.55000000000007</v>
      </c>
      <c r="G13" s="155"/>
      <c r="H13" s="155">
        <v>75</v>
      </c>
      <c r="I13" s="155">
        <v>0</v>
      </c>
      <c r="J13" s="410">
        <v>67.8</v>
      </c>
      <c r="K13" s="155">
        <v>54.5</v>
      </c>
      <c r="L13" s="155">
        <v>2.5</v>
      </c>
      <c r="M13" s="155">
        <v>104.5</v>
      </c>
      <c r="N13" s="155">
        <v>59.5</v>
      </c>
      <c r="O13" s="155">
        <v>45.5</v>
      </c>
      <c r="P13" s="155">
        <v>16.7</v>
      </c>
      <c r="Q13" s="155">
        <v>34.5</v>
      </c>
      <c r="R13" s="155">
        <v>27.8</v>
      </c>
      <c r="S13" s="637">
        <v>0</v>
      </c>
      <c r="T13" s="637">
        <v>0</v>
      </c>
      <c r="U13" s="637">
        <f>52.6+78.85</f>
        <v>131.44999999999999</v>
      </c>
      <c r="V13" s="637">
        <v>249.6</v>
      </c>
      <c r="W13" s="637">
        <v>0</v>
      </c>
      <c r="X13" s="637">
        <v>57.2</v>
      </c>
      <c r="Y13" s="637"/>
      <c r="Z13" s="637"/>
      <c r="AA13" s="637"/>
      <c r="AB13" s="637"/>
      <c r="AC13" s="637"/>
      <c r="AD13" s="637"/>
      <c r="AE13" s="637"/>
      <c r="AF13" s="637"/>
      <c r="AG13" s="637"/>
      <c r="AH13" s="637"/>
      <c r="AI13" s="637"/>
      <c r="AJ13" s="637"/>
      <c r="AK13" s="637"/>
      <c r="AL13" s="637"/>
    </row>
    <row r="14" spans="2:38" s="150" customFormat="1" ht="39" customHeight="1" thickBot="1">
      <c r="B14" s="156" t="s">
        <v>141</v>
      </c>
      <c r="C14" s="157">
        <v>2175</v>
      </c>
      <c r="D14" s="157">
        <v>1540.35</v>
      </c>
      <c r="E14" s="157">
        <f>+C14-D14</f>
        <v>634.65000000000009</v>
      </c>
      <c r="F14" s="157">
        <f>SUM(H14:X14)</f>
        <v>1540.35</v>
      </c>
      <c r="G14" s="157">
        <f>D14-F14</f>
        <v>0</v>
      </c>
      <c r="H14" s="157">
        <f>SUM(H12:H13)</f>
        <v>150</v>
      </c>
      <c r="I14" s="157">
        <f t="shared" ref="I14:Y14" si="16">SUM(I12:I13)</f>
        <v>0</v>
      </c>
      <c r="J14" s="157">
        <f t="shared" si="16"/>
        <v>176</v>
      </c>
      <c r="K14" s="157">
        <f t="shared" si="16"/>
        <v>84.6</v>
      </c>
      <c r="L14" s="157">
        <f t="shared" si="16"/>
        <v>20</v>
      </c>
      <c r="M14" s="157">
        <f t="shared" si="16"/>
        <v>117.5</v>
      </c>
      <c r="N14" s="157">
        <f t="shared" si="16"/>
        <v>109.5</v>
      </c>
      <c r="O14" s="157">
        <f t="shared" si="16"/>
        <v>121.5</v>
      </c>
      <c r="P14" s="157">
        <f t="shared" si="16"/>
        <v>96.8</v>
      </c>
      <c r="Q14" s="157">
        <f t="shared" si="16"/>
        <v>47.5</v>
      </c>
      <c r="R14" s="157">
        <f t="shared" si="16"/>
        <v>56.5</v>
      </c>
      <c r="S14" s="638">
        <f t="shared" si="16"/>
        <v>0</v>
      </c>
      <c r="T14" s="638">
        <f t="shared" si="16"/>
        <v>0</v>
      </c>
      <c r="U14" s="638">
        <f t="shared" si="16"/>
        <v>188.14999999999998</v>
      </c>
      <c r="V14" s="638">
        <f t="shared" si="16"/>
        <v>277.7</v>
      </c>
      <c r="W14" s="638">
        <f t="shared" si="16"/>
        <v>0</v>
      </c>
      <c r="X14" s="638">
        <f t="shared" si="16"/>
        <v>94.6</v>
      </c>
      <c r="Y14" s="638">
        <f t="shared" si="16"/>
        <v>0</v>
      </c>
      <c r="Z14" s="638">
        <f t="shared" ref="Z14:AL14" si="17">SUM(Z12:Z13)</f>
        <v>0</v>
      </c>
      <c r="AA14" s="638">
        <f t="shared" si="17"/>
        <v>0</v>
      </c>
      <c r="AB14" s="638">
        <f t="shared" si="17"/>
        <v>0</v>
      </c>
      <c r="AC14" s="638">
        <f t="shared" si="17"/>
        <v>0</v>
      </c>
      <c r="AD14" s="638">
        <f t="shared" si="17"/>
        <v>0</v>
      </c>
      <c r="AE14" s="638">
        <f t="shared" si="17"/>
        <v>0</v>
      </c>
      <c r="AF14" s="638">
        <f t="shared" si="17"/>
        <v>0</v>
      </c>
      <c r="AG14" s="638">
        <f t="shared" si="17"/>
        <v>0</v>
      </c>
      <c r="AH14" s="638">
        <f t="shared" si="17"/>
        <v>0</v>
      </c>
      <c r="AI14" s="638">
        <f t="shared" si="17"/>
        <v>0</v>
      </c>
      <c r="AJ14" s="638">
        <f t="shared" si="17"/>
        <v>0</v>
      </c>
      <c r="AK14" s="638">
        <f t="shared" si="17"/>
        <v>0</v>
      </c>
      <c r="AL14" s="638">
        <f t="shared" si="17"/>
        <v>0</v>
      </c>
    </row>
    <row r="15" spans="2:38" ht="39" customHeight="1" thickTop="1">
      <c r="D15" s="923"/>
      <c r="I15" s="640"/>
      <c r="K15" s="640"/>
    </row>
    <row r="16" spans="2:38" ht="39" customHeight="1">
      <c r="D16" s="923"/>
    </row>
    <row r="17" spans="4:4" ht="39" customHeight="1">
      <c r="D17" s="924"/>
    </row>
  </sheetData>
  <mergeCells count="6">
    <mergeCell ref="K10:L10"/>
    <mergeCell ref="B3:B4"/>
    <mergeCell ref="C3:C4"/>
    <mergeCell ref="F3:F4"/>
    <mergeCell ref="G3:G4"/>
    <mergeCell ref="E3:E4"/>
  </mergeCells>
  <pageMargins left="0.7" right="0.7" top="0.75" bottom="0.75" header="0.3" footer="0.3"/>
  <pageSetup scale="2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137"/>
  <sheetViews>
    <sheetView showGridLines="0" showZeros="0" zoomScale="90" zoomScaleNormal="90" zoomScaleSheetLayoutView="80" workbookViewId="0">
      <pane ySplit="3" topLeftCell="A4" activePane="bottomLeft" state="frozen"/>
      <selection pane="bottomLeft" sqref="A1:XFD1048576"/>
    </sheetView>
  </sheetViews>
  <sheetFormatPr defaultColWidth="8.77734375" defaultRowHeight="15"/>
  <cols>
    <col min="1" max="1" width="11.6640625" style="188" customWidth="1"/>
    <col min="2" max="2" width="21.77734375" style="188" customWidth="1"/>
    <col min="3" max="3" width="25.21875" style="189" customWidth="1"/>
    <col min="4" max="4" width="9.21875" style="187" customWidth="1"/>
    <col min="5" max="5" width="46.6640625" style="190" bestFit="1" customWidth="1"/>
    <col min="6" max="6" width="19.21875" style="190" customWidth="1"/>
    <col min="7" max="7" width="21.77734375" style="187" customWidth="1"/>
    <col min="8" max="8" width="16.77734375" style="192" customWidth="1"/>
    <col min="9" max="9" width="9.6640625" style="187" bestFit="1" customWidth="1"/>
    <col min="10" max="10" width="34.21875" style="193" customWidth="1"/>
    <col min="11" max="232" width="8.77734375" style="193"/>
    <col min="233" max="233" width="19.21875" style="193" customWidth="1"/>
    <col min="234" max="235" width="8.77734375" style="193"/>
    <col min="236" max="236" width="27.21875" style="193" customWidth="1"/>
    <col min="237" max="237" width="9.21875" style="193" bestFit="1" customWidth="1"/>
    <col min="238" max="238" width="27" style="193" customWidth="1"/>
    <col min="239" max="239" width="10.21875" style="193" bestFit="1" customWidth="1"/>
    <col min="240" max="240" width="23.21875" style="193" customWidth="1"/>
    <col min="241" max="241" width="26.21875" style="193" customWidth="1"/>
    <col min="242" max="242" width="9" style="193" bestFit="1" customWidth="1"/>
    <col min="243" max="243" width="13.21875" style="193" bestFit="1" customWidth="1"/>
    <col min="244" max="244" width="4.77734375" style="193" bestFit="1" customWidth="1"/>
    <col min="245" max="245" width="4.21875" style="193" bestFit="1" customWidth="1"/>
    <col min="246" max="246" width="9.21875" style="193" bestFit="1" customWidth="1"/>
    <col min="247" max="247" width="9.21875" style="193" customWidth="1"/>
    <col min="248" max="248" width="2.21875" style="193" bestFit="1" customWidth="1"/>
    <col min="249" max="249" width="7.21875" style="193" bestFit="1" customWidth="1"/>
    <col min="250" max="250" width="2.21875" style="193" bestFit="1" customWidth="1"/>
    <col min="251" max="251" width="7.21875" style="193" bestFit="1" customWidth="1"/>
    <col min="252" max="252" width="2.21875" style="193" bestFit="1" customWidth="1"/>
    <col min="253" max="253" width="7.21875" style="193" bestFit="1" customWidth="1"/>
    <col min="254" max="254" width="16.21875" style="193" bestFit="1" customWidth="1"/>
    <col min="255" max="255" width="23.21875" style="193" customWidth="1"/>
    <col min="256" max="256" width="27.21875" style="193" customWidth="1"/>
    <col min="257" max="261" width="8.77734375" style="193"/>
    <col min="262" max="262" width="44.77734375" style="193" bestFit="1" customWidth="1"/>
    <col min="263" max="488" width="8.77734375" style="193"/>
    <col min="489" max="489" width="19.21875" style="193" customWidth="1"/>
    <col min="490" max="491" width="8.77734375" style="193"/>
    <col min="492" max="492" width="27.21875" style="193" customWidth="1"/>
    <col min="493" max="493" width="9.21875" style="193" bestFit="1" customWidth="1"/>
    <col min="494" max="494" width="27" style="193" customWidth="1"/>
    <col min="495" max="495" width="10.21875" style="193" bestFit="1" customWidth="1"/>
    <col min="496" max="496" width="23.21875" style="193" customWidth="1"/>
    <col min="497" max="497" width="26.21875" style="193" customWidth="1"/>
    <col min="498" max="498" width="9" style="193" bestFit="1" customWidth="1"/>
    <col min="499" max="499" width="13.21875" style="193" bestFit="1" customWidth="1"/>
    <col min="500" max="500" width="4.77734375" style="193" bestFit="1" customWidth="1"/>
    <col min="501" max="501" width="4.21875" style="193" bestFit="1" customWidth="1"/>
    <col min="502" max="502" width="9.21875" style="193" bestFit="1" customWidth="1"/>
    <col min="503" max="503" width="9.21875" style="193" customWidth="1"/>
    <col min="504" max="504" width="2.21875" style="193" bestFit="1" customWidth="1"/>
    <col min="505" max="505" width="7.21875" style="193" bestFit="1" customWidth="1"/>
    <col min="506" max="506" width="2.21875" style="193" bestFit="1" customWidth="1"/>
    <col min="507" max="507" width="7.21875" style="193" bestFit="1" customWidth="1"/>
    <col min="508" max="508" width="2.21875" style="193" bestFit="1" customWidth="1"/>
    <col min="509" max="509" width="7.21875" style="193" bestFit="1" customWidth="1"/>
    <col min="510" max="510" width="16.21875" style="193" bestFit="1" customWidth="1"/>
    <col min="511" max="511" width="23.21875" style="193" customWidth="1"/>
    <col min="512" max="512" width="27.21875" style="193" customWidth="1"/>
    <col min="513" max="517" width="8.77734375" style="193"/>
    <col min="518" max="518" width="44.77734375" style="193" bestFit="1" customWidth="1"/>
    <col min="519" max="744" width="8.77734375" style="193"/>
    <col min="745" max="745" width="19.21875" style="193" customWidth="1"/>
    <col min="746" max="747" width="8.77734375" style="193"/>
    <col min="748" max="748" width="27.21875" style="193" customWidth="1"/>
    <col min="749" max="749" width="9.21875" style="193" bestFit="1" customWidth="1"/>
    <col min="750" max="750" width="27" style="193" customWidth="1"/>
    <col min="751" max="751" width="10.21875" style="193" bestFit="1" customWidth="1"/>
    <col min="752" max="752" width="23.21875" style="193" customWidth="1"/>
    <col min="753" max="753" width="26.21875" style="193" customWidth="1"/>
    <col min="754" max="754" width="9" style="193" bestFit="1" customWidth="1"/>
    <col min="755" max="755" width="13.21875" style="193" bestFit="1" customWidth="1"/>
    <col min="756" max="756" width="4.77734375" style="193" bestFit="1" customWidth="1"/>
    <col min="757" max="757" width="4.21875" style="193" bestFit="1" customWidth="1"/>
    <col min="758" max="758" width="9.21875" style="193" bestFit="1" customWidth="1"/>
    <col min="759" max="759" width="9.21875" style="193" customWidth="1"/>
    <col min="760" max="760" width="2.21875" style="193" bestFit="1" customWidth="1"/>
    <col min="761" max="761" width="7.21875" style="193" bestFit="1" customWidth="1"/>
    <col min="762" max="762" width="2.21875" style="193" bestFit="1" customWidth="1"/>
    <col min="763" max="763" width="7.21875" style="193" bestFit="1" customWidth="1"/>
    <col min="764" max="764" width="2.21875" style="193" bestFit="1" customWidth="1"/>
    <col min="765" max="765" width="7.21875" style="193" bestFit="1" customWidth="1"/>
    <col min="766" max="766" width="16.21875" style="193" bestFit="1" customWidth="1"/>
    <col min="767" max="767" width="23.21875" style="193" customWidth="1"/>
    <col min="768" max="768" width="27.21875" style="193" customWidth="1"/>
    <col min="769" max="773" width="8.77734375" style="193"/>
    <col min="774" max="774" width="44.77734375" style="193" bestFit="1" customWidth="1"/>
    <col min="775" max="1000" width="8.77734375" style="193"/>
    <col min="1001" max="1001" width="19.21875" style="193" customWidth="1"/>
    <col min="1002" max="1003" width="8.77734375" style="193"/>
    <col min="1004" max="1004" width="27.21875" style="193" customWidth="1"/>
    <col min="1005" max="1005" width="9.21875" style="193" bestFit="1" customWidth="1"/>
    <col min="1006" max="1006" width="27" style="193" customWidth="1"/>
    <col min="1007" max="1007" width="10.21875" style="193" bestFit="1" customWidth="1"/>
    <col min="1008" max="1008" width="23.21875" style="193" customWidth="1"/>
    <col min="1009" max="1009" width="26.21875" style="193" customWidth="1"/>
    <col min="1010" max="1010" width="9" style="193" bestFit="1" customWidth="1"/>
    <col min="1011" max="1011" width="13.21875" style="193" bestFit="1" customWidth="1"/>
    <col min="1012" max="1012" width="4.77734375" style="193" bestFit="1" customWidth="1"/>
    <col min="1013" max="1013" width="4.21875" style="193" bestFit="1" customWidth="1"/>
    <col min="1014" max="1014" width="9.21875" style="193" bestFit="1" customWidth="1"/>
    <col min="1015" max="1015" width="9.21875" style="193" customWidth="1"/>
    <col min="1016" max="1016" width="2.21875" style="193" bestFit="1" customWidth="1"/>
    <col min="1017" max="1017" width="7.21875" style="193" bestFit="1" customWidth="1"/>
    <col min="1018" max="1018" width="2.21875" style="193" bestFit="1" customWidth="1"/>
    <col min="1019" max="1019" width="7.21875" style="193" bestFit="1" customWidth="1"/>
    <col min="1020" max="1020" width="2.21875" style="193" bestFit="1" customWidth="1"/>
    <col min="1021" max="1021" width="7.21875" style="193" bestFit="1" customWidth="1"/>
    <col min="1022" max="1022" width="16.21875" style="193" bestFit="1" customWidth="1"/>
    <col min="1023" max="1023" width="23.21875" style="193" customWidth="1"/>
    <col min="1024" max="1024" width="27.21875" style="193" customWidth="1"/>
    <col min="1025" max="1029" width="8.77734375" style="193"/>
    <col min="1030" max="1030" width="44.77734375" style="193" bestFit="1" customWidth="1"/>
    <col min="1031" max="1256" width="8.77734375" style="193"/>
    <col min="1257" max="1257" width="19.21875" style="193" customWidth="1"/>
    <col min="1258" max="1259" width="8.77734375" style="193"/>
    <col min="1260" max="1260" width="27.21875" style="193" customWidth="1"/>
    <col min="1261" max="1261" width="9.21875" style="193" bestFit="1" customWidth="1"/>
    <col min="1262" max="1262" width="27" style="193" customWidth="1"/>
    <col min="1263" max="1263" width="10.21875" style="193" bestFit="1" customWidth="1"/>
    <col min="1264" max="1264" width="23.21875" style="193" customWidth="1"/>
    <col min="1265" max="1265" width="26.21875" style="193" customWidth="1"/>
    <col min="1266" max="1266" width="9" style="193" bestFit="1" customWidth="1"/>
    <col min="1267" max="1267" width="13.21875" style="193" bestFit="1" customWidth="1"/>
    <col min="1268" max="1268" width="4.77734375" style="193" bestFit="1" customWidth="1"/>
    <col min="1269" max="1269" width="4.21875" style="193" bestFit="1" customWidth="1"/>
    <col min="1270" max="1270" width="9.21875" style="193" bestFit="1" customWidth="1"/>
    <col min="1271" max="1271" width="9.21875" style="193" customWidth="1"/>
    <col min="1272" max="1272" width="2.21875" style="193" bestFit="1" customWidth="1"/>
    <col min="1273" max="1273" width="7.21875" style="193" bestFit="1" customWidth="1"/>
    <col min="1274" max="1274" width="2.21875" style="193" bestFit="1" customWidth="1"/>
    <col min="1275" max="1275" width="7.21875" style="193" bestFit="1" customWidth="1"/>
    <col min="1276" max="1276" width="2.21875" style="193" bestFit="1" customWidth="1"/>
    <col min="1277" max="1277" width="7.21875" style="193" bestFit="1" customWidth="1"/>
    <col min="1278" max="1278" width="16.21875" style="193" bestFit="1" customWidth="1"/>
    <col min="1279" max="1279" width="23.21875" style="193" customWidth="1"/>
    <col min="1280" max="1280" width="27.21875" style="193" customWidth="1"/>
    <col min="1281" max="1285" width="8.77734375" style="193"/>
    <col min="1286" max="1286" width="44.77734375" style="193" bestFit="1" customWidth="1"/>
    <col min="1287" max="1512" width="8.77734375" style="193"/>
    <col min="1513" max="1513" width="19.21875" style="193" customWidth="1"/>
    <col min="1514" max="1515" width="8.77734375" style="193"/>
    <col min="1516" max="1516" width="27.21875" style="193" customWidth="1"/>
    <col min="1517" max="1517" width="9.21875" style="193" bestFit="1" customWidth="1"/>
    <col min="1518" max="1518" width="27" style="193" customWidth="1"/>
    <col min="1519" max="1519" width="10.21875" style="193" bestFit="1" customWidth="1"/>
    <col min="1520" max="1520" width="23.21875" style="193" customWidth="1"/>
    <col min="1521" max="1521" width="26.21875" style="193" customWidth="1"/>
    <col min="1522" max="1522" width="9" style="193" bestFit="1" customWidth="1"/>
    <col min="1523" max="1523" width="13.21875" style="193" bestFit="1" customWidth="1"/>
    <col min="1524" max="1524" width="4.77734375" style="193" bestFit="1" customWidth="1"/>
    <col min="1525" max="1525" width="4.21875" style="193" bestFit="1" customWidth="1"/>
    <col min="1526" max="1526" width="9.21875" style="193" bestFit="1" customWidth="1"/>
    <col min="1527" max="1527" width="9.21875" style="193" customWidth="1"/>
    <col min="1528" max="1528" width="2.21875" style="193" bestFit="1" customWidth="1"/>
    <col min="1529" max="1529" width="7.21875" style="193" bestFit="1" customWidth="1"/>
    <col min="1530" max="1530" width="2.21875" style="193" bestFit="1" customWidth="1"/>
    <col min="1531" max="1531" width="7.21875" style="193" bestFit="1" customWidth="1"/>
    <col min="1532" max="1532" width="2.21875" style="193" bestFit="1" customWidth="1"/>
    <col min="1533" max="1533" width="7.21875" style="193" bestFit="1" customWidth="1"/>
    <col min="1534" max="1534" width="16.21875" style="193" bestFit="1" customWidth="1"/>
    <col min="1535" max="1535" width="23.21875" style="193" customWidth="1"/>
    <col min="1536" max="1536" width="27.21875" style="193" customWidth="1"/>
    <col min="1537" max="1541" width="8.77734375" style="193"/>
    <col min="1542" max="1542" width="44.77734375" style="193" bestFit="1" customWidth="1"/>
    <col min="1543" max="1768" width="8.77734375" style="193"/>
    <col min="1769" max="1769" width="19.21875" style="193" customWidth="1"/>
    <col min="1770" max="1771" width="8.77734375" style="193"/>
    <col min="1772" max="1772" width="27.21875" style="193" customWidth="1"/>
    <col min="1773" max="1773" width="9.21875" style="193" bestFit="1" customWidth="1"/>
    <col min="1774" max="1774" width="27" style="193" customWidth="1"/>
    <col min="1775" max="1775" width="10.21875" style="193" bestFit="1" customWidth="1"/>
    <col min="1776" max="1776" width="23.21875" style="193" customWidth="1"/>
    <col min="1777" max="1777" width="26.21875" style="193" customWidth="1"/>
    <col min="1778" max="1778" width="9" style="193" bestFit="1" customWidth="1"/>
    <col min="1779" max="1779" width="13.21875" style="193" bestFit="1" customWidth="1"/>
    <col min="1780" max="1780" width="4.77734375" style="193" bestFit="1" customWidth="1"/>
    <col min="1781" max="1781" width="4.21875" style="193" bestFit="1" customWidth="1"/>
    <col min="1782" max="1782" width="9.21875" style="193" bestFit="1" customWidth="1"/>
    <col min="1783" max="1783" width="9.21875" style="193" customWidth="1"/>
    <col min="1784" max="1784" width="2.21875" style="193" bestFit="1" customWidth="1"/>
    <col min="1785" max="1785" width="7.21875" style="193" bestFit="1" customWidth="1"/>
    <col min="1786" max="1786" width="2.21875" style="193" bestFit="1" customWidth="1"/>
    <col min="1787" max="1787" width="7.21875" style="193" bestFit="1" customWidth="1"/>
    <col min="1788" max="1788" width="2.21875" style="193" bestFit="1" customWidth="1"/>
    <col min="1789" max="1789" width="7.21875" style="193" bestFit="1" customWidth="1"/>
    <col min="1790" max="1790" width="16.21875" style="193" bestFit="1" customWidth="1"/>
    <col min="1791" max="1791" width="23.21875" style="193" customWidth="1"/>
    <col min="1792" max="1792" width="27.21875" style="193" customWidth="1"/>
    <col min="1793" max="1797" width="8.77734375" style="193"/>
    <col min="1798" max="1798" width="44.77734375" style="193" bestFit="1" customWidth="1"/>
    <col min="1799" max="2024" width="8.77734375" style="193"/>
    <col min="2025" max="2025" width="19.21875" style="193" customWidth="1"/>
    <col min="2026" max="2027" width="8.77734375" style="193"/>
    <col min="2028" max="2028" width="27.21875" style="193" customWidth="1"/>
    <col min="2029" max="2029" width="9.21875" style="193" bestFit="1" customWidth="1"/>
    <col min="2030" max="2030" width="27" style="193" customWidth="1"/>
    <col min="2031" max="2031" width="10.21875" style="193" bestFit="1" customWidth="1"/>
    <col min="2032" max="2032" width="23.21875" style="193" customWidth="1"/>
    <col min="2033" max="2033" width="26.21875" style="193" customWidth="1"/>
    <col min="2034" max="2034" width="9" style="193" bestFit="1" customWidth="1"/>
    <col min="2035" max="2035" width="13.21875" style="193" bestFit="1" customWidth="1"/>
    <col min="2036" max="2036" width="4.77734375" style="193" bestFit="1" customWidth="1"/>
    <col min="2037" max="2037" width="4.21875" style="193" bestFit="1" customWidth="1"/>
    <col min="2038" max="2038" width="9.21875" style="193" bestFit="1" customWidth="1"/>
    <col min="2039" max="2039" width="9.21875" style="193" customWidth="1"/>
    <col min="2040" max="2040" width="2.21875" style="193" bestFit="1" customWidth="1"/>
    <col min="2041" max="2041" width="7.21875" style="193" bestFit="1" customWidth="1"/>
    <col min="2042" max="2042" width="2.21875" style="193" bestFit="1" customWidth="1"/>
    <col min="2043" max="2043" width="7.21875" style="193" bestFit="1" customWidth="1"/>
    <col min="2044" max="2044" width="2.21875" style="193" bestFit="1" customWidth="1"/>
    <col min="2045" max="2045" width="7.21875" style="193" bestFit="1" customWidth="1"/>
    <col min="2046" max="2046" width="16.21875" style="193" bestFit="1" customWidth="1"/>
    <col min="2047" max="2047" width="23.21875" style="193" customWidth="1"/>
    <col min="2048" max="2048" width="27.21875" style="193" customWidth="1"/>
    <col min="2049" max="2053" width="8.77734375" style="193"/>
    <col min="2054" max="2054" width="44.77734375" style="193" bestFit="1" customWidth="1"/>
    <col min="2055" max="2280" width="8.77734375" style="193"/>
    <col min="2281" max="2281" width="19.21875" style="193" customWidth="1"/>
    <col min="2282" max="2283" width="8.77734375" style="193"/>
    <col min="2284" max="2284" width="27.21875" style="193" customWidth="1"/>
    <col min="2285" max="2285" width="9.21875" style="193" bestFit="1" customWidth="1"/>
    <col min="2286" max="2286" width="27" style="193" customWidth="1"/>
    <col min="2287" max="2287" width="10.21875" style="193" bestFit="1" customWidth="1"/>
    <col min="2288" max="2288" width="23.21875" style="193" customWidth="1"/>
    <col min="2289" max="2289" width="26.21875" style="193" customWidth="1"/>
    <col min="2290" max="2290" width="9" style="193" bestFit="1" customWidth="1"/>
    <col min="2291" max="2291" width="13.21875" style="193" bestFit="1" customWidth="1"/>
    <col min="2292" max="2292" width="4.77734375" style="193" bestFit="1" customWidth="1"/>
    <col min="2293" max="2293" width="4.21875" style="193" bestFit="1" customWidth="1"/>
    <col min="2294" max="2294" width="9.21875" style="193" bestFit="1" customWidth="1"/>
    <col min="2295" max="2295" width="9.21875" style="193" customWidth="1"/>
    <col min="2296" max="2296" width="2.21875" style="193" bestFit="1" customWidth="1"/>
    <col min="2297" max="2297" width="7.21875" style="193" bestFit="1" customWidth="1"/>
    <col min="2298" max="2298" width="2.21875" style="193" bestFit="1" customWidth="1"/>
    <col min="2299" max="2299" width="7.21875" style="193" bestFit="1" customWidth="1"/>
    <col min="2300" max="2300" width="2.21875" style="193" bestFit="1" customWidth="1"/>
    <col min="2301" max="2301" width="7.21875" style="193" bestFit="1" customWidth="1"/>
    <col min="2302" max="2302" width="16.21875" style="193" bestFit="1" customWidth="1"/>
    <col min="2303" max="2303" width="23.21875" style="193" customWidth="1"/>
    <col min="2304" max="2304" width="27.21875" style="193" customWidth="1"/>
    <col min="2305" max="2309" width="8.77734375" style="193"/>
    <col min="2310" max="2310" width="44.77734375" style="193" bestFit="1" customWidth="1"/>
    <col min="2311" max="2536" width="8.77734375" style="193"/>
    <col min="2537" max="2537" width="19.21875" style="193" customWidth="1"/>
    <col min="2538" max="2539" width="8.77734375" style="193"/>
    <col min="2540" max="2540" width="27.21875" style="193" customWidth="1"/>
    <col min="2541" max="2541" width="9.21875" style="193" bestFit="1" customWidth="1"/>
    <col min="2542" max="2542" width="27" style="193" customWidth="1"/>
    <col min="2543" max="2543" width="10.21875" style="193" bestFit="1" customWidth="1"/>
    <col min="2544" max="2544" width="23.21875" style="193" customWidth="1"/>
    <col min="2545" max="2545" width="26.21875" style="193" customWidth="1"/>
    <col min="2546" max="2546" width="9" style="193" bestFit="1" customWidth="1"/>
    <col min="2547" max="2547" width="13.21875" style="193" bestFit="1" customWidth="1"/>
    <col min="2548" max="2548" width="4.77734375" style="193" bestFit="1" customWidth="1"/>
    <col min="2549" max="2549" width="4.21875" style="193" bestFit="1" customWidth="1"/>
    <col min="2550" max="2550" width="9.21875" style="193" bestFit="1" customWidth="1"/>
    <col min="2551" max="2551" width="9.21875" style="193" customWidth="1"/>
    <col min="2552" max="2552" width="2.21875" style="193" bestFit="1" customWidth="1"/>
    <col min="2553" max="2553" width="7.21875" style="193" bestFit="1" customWidth="1"/>
    <col min="2554" max="2554" width="2.21875" style="193" bestFit="1" customWidth="1"/>
    <col min="2555" max="2555" width="7.21875" style="193" bestFit="1" customWidth="1"/>
    <col min="2556" max="2556" width="2.21875" style="193" bestFit="1" customWidth="1"/>
    <col min="2557" max="2557" width="7.21875" style="193" bestFit="1" customWidth="1"/>
    <col min="2558" max="2558" width="16.21875" style="193" bestFit="1" customWidth="1"/>
    <col min="2559" max="2559" width="23.21875" style="193" customWidth="1"/>
    <col min="2560" max="2560" width="27.21875" style="193" customWidth="1"/>
    <col min="2561" max="2565" width="8.77734375" style="193"/>
    <col min="2566" max="2566" width="44.77734375" style="193" bestFit="1" customWidth="1"/>
    <col min="2567" max="2792" width="8.77734375" style="193"/>
    <col min="2793" max="2793" width="19.21875" style="193" customWidth="1"/>
    <col min="2794" max="2795" width="8.77734375" style="193"/>
    <col min="2796" max="2796" width="27.21875" style="193" customWidth="1"/>
    <col min="2797" max="2797" width="9.21875" style="193" bestFit="1" customWidth="1"/>
    <col min="2798" max="2798" width="27" style="193" customWidth="1"/>
    <col min="2799" max="2799" width="10.21875" style="193" bestFit="1" customWidth="1"/>
    <col min="2800" max="2800" width="23.21875" style="193" customWidth="1"/>
    <col min="2801" max="2801" width="26.21875" style="193" customWidth="1"/>
    <col min="2802" max="2802" width="9" style="193" bestFit="1" customWidth="1"/>
    <col min="2803" max="2803" width="13.21875" style="193" bestFit="1" customWidth="1"/>
    <col min="2804" max="2804" width="4.77734375" style="193" bestFit="1" customWidth="1"/>
    <col min="2805" max="2805" width="4.21875" style="193" bestFit="1" customWidth="1"/>
    <col min="2806" max="2806" width="9.21875" style="193" bestFit="1" customWidth="1"/>
    <col min="2807" max="2807" width="9.21875" style="193" customWidth="1"/>
    <col min="2808" max="2808" width="2.21875" style="193" bestFit="1" customWidth="1"/>
    <col min="2809" max="2809" width="7.21875" style="193" bestFit="1" customWidth="1"/>
    <col min="2810" max="2810" width="2.21875" style="193" bestFit="1" customWidth="1"/>
    <col min="2811" max="2811" width="7.21875" style="193" bestFit="1" customWidth="1"/>
    <col min="2812" max="2812" width="2.21875" style="193" bestFit="1" customWidth="1"/>
    <col min="2813" max="2813" width="7.21875" style="193" bestFit="1" customWidth="1"/>
    <col min="2814" max="2814" width="16.21875" style="193" bestFit="1" customWidth="1"/>
    <col min="2815" max="2815" width="23.21875" style="193" customWidth="1"/>
    <col min="2816" max="2816" width="27.21875" style="193" customWidth="1"/>
    <col min="2817" max="2821" width="8.77734375" style="193"/>
    <col min="2822" max="2822" width="44.77734375" style="193" bestFit="1" customWidth="1"/>
    <col min="2823" max="3048" width="8.77734375" style="193"/>
    <col min="3049" max="3049" width="19.21875" style="193" customWidth="1"/>
    <col min="3050" max="3051" width="8.77734375" style="193"/>
    <col min="3052" max="3052" width="27.21875" style="193" customWidth="1"/>
    <col min="3053" max="3053" width="9.21875" style="193" bestFit="1" customWidth="1"/>
    <col min="3054" max="3054" width="27" style="193" customWidth="1"/>
    <col min="3055" max="3055" width="10.21875" style="193" bestFit="1" customWidth="1"/>
    <col min="3056" max="3056" width="23.21875" style="193" customWidth="1"/>
    <col min="3057" max="3057" width="26.21875" style="193" customWidth="1"/>
    <col min="3058" max="3058" width="9" style="193" bestFit="1" customWidth="1"/>
    <col min="3059" max="3059" width="13.21875" style="193" bestFit="1" customWidth="1"/>
    <col min="3060" max="3060" width="4.77734375" style="193" bestFit="1" customWidth="1"/>
    <col min="3061" max="3061" width="4.21875" style="193" bestFit="1" customWidth="1"/>
    <col min="3062" max="3062" width="9.21875" style="193" bestFit="1" customWidth="1"/>
    <col min="3063" max="3063" width="9.21875" style="193" customWidth="1"/>
    <col min="3064" max="3064" width="2.21875" style="193" bestFit="1" customWidth="1"/>
    <col min="3065" max="3065" width="7.21875" style="193" bestFit="1" customWidth="1"/>
    <col min="3066" max="3066" width="2.21875" style="193" bestFit="1" customWidth="1"/>
    <col min="3067" max="3067" width="7.21875" style="193" bestFit="1" customWidth="1"/>
    <col min="3068" max="3068" width="2.21875" style="193" bestFit="1" customWidth="1"/>
    <col min="3069" max="3069" width="7.21875" style="193" bestFit="1" customWidth="1"/>
    <col min="3070" max="3070" width="16.21875" style="193" bestFit="1" customWidth="1"/>
    <col min="3071" max="3071" width="23.21875" style="193" customWidth="1"/>
    <col min="3072" max="3072" width="27.21875" style="193" customWidth="1"/>
    <col min="3073" max="3077" width="8.77734375" style="193"/>
    <col min="3078" max="3078" width="44.77734375" style="193" bestFit="1" customWidth="1"/>
    <col min="3079" max="3304" width="8.77734375" style="193"/>
    <col min="3305" max="3305" width="19.21875" style="193" customWidth="1"/>
    <col min="3306" max="3307" width="8.77734375" style="193"/>
    <col min="3308" max="3308" width="27.21875" style="193" customWidth="1"/>
    <col min="3309" max="3309" width="9.21875" style="193" bestFit="1" customWidth="1"/>
    <col min="3310" max="3310" width="27" style="193" customWidth="1"/>
    <col min="3311" max="3311" width="10.21875" style="193" bestFit="1" customWidth="1"/>
    <col min="3312" max="3312" width="23.21875" style="193" customWidth="1"/>
    <col min="3313" max="3313" width="26.21875" style="193" customWidth="1"/>
    <col min="3314" max="3314" width="9" style="193" bestFit="1" customWidth="1"/>
    <col min="3315" max="3315" width="13.21875" style="193" bestFit="1" customWidth="1"/>
    <col min="3316" max="3316" width="4.77734375" style="193" bestFit="1" customWidth="1"/>
    <col min="3317" max="3317" width="4.21875" style="193" bestFit="1" customWidth="1"/>
    <col min="3318" max="3318" width="9.21875" style="193" bestFit="1" customWidth="1"/>
    <col min="3319" max="3319" width="9.21875" style="193" customWidth="1"/>
    <col min="3320" max="3320" width="2.21875" style="193" bestFit="1" customWidth="1"/>
    <col min="3321" max="3321" width="7.21875" style="193" bestFit="1" customWidth="1"/>
    <col min="3322" max="3322" width="2.21875" style="193" bestFit="1" customWidth="1"/>
    <col min="3323" max="3323" width="7.21875" style="193" bestFit="1" customWidth="1"/>
    <col min="3324" max="3324" width="2.21875" style="193" bestFit="1" customWidth="1"/>
    <col min="3325" max="3325" width="7.21875" style="193" bestFit="1" customWidth="1"/>
    <col min="3326" max="3326" width="16.21875" style="193" bestFit="1" customWidth="1"/>
    <col min="3327" max="3327" width="23.21875" style="193" customWidth="1"/>
    <col min="3328" max="3328" width="27.21875" style="193" customWidth="1"/>
    <col min="3329" max="3333" width="8.77734375" style="193"/>
    <col min="3334" max="3334" width="44.77734375" style="193" bestFit="1" customWidth="1"/>
    <col min="3335" max="3560" width="8.77734375" style="193"/>
    <col min="3561" max="3561" width="19.21875" style="193" customWidth="1"/>
    <col min="3562" max="3563" width="8.77734375" style="193"/>
    <col min="3564" max="3564" width="27.21875" style="193" customWidth="1"/>
    <col min="3565" max="3565" width="9.21875" style="193" bestFit="1" customWidth="1"/>
    <col min="3566" max="3566" width="27" style="193" customWidth="1"/>
    <col min="3567" max="3567" width="10.21875" style="193" bestFit="1" customWidth="1"/>
    <col min="3568" max="3568" width="23.21875" style="193" customWidth="1"/>
    <col min="3569" max="3569" width="26.21875" style="193" customWidth="1"/>
    <col min="3570" max="3570" width="9" style="193" bestFit="1" customWidth="1"/>
    <col min="3571" max="3571" width="13.21875" style="193" bestFit="1" customWidth="1"/>
    <col min="3572" max="3572" width="4.77734375" style="193" bestFit="1" customWidth="1"/>
    <col min="3573" max="3573" width="4.21875" style="193" bestFit="1" customWidth="1"/>
    <col min="3574" max="3574" width="9.21875" style="193" bestFit="1" customWidth="1"/>
    <col min="3575" max="3575" width="9.21875" style="193" customWidth="1"/>
    <col min="3576" max="3576" width="2.21875" style="193" bestFit="1" customWidth="1"/>
    <col min="3577" max="3577" width="7.21875" style="193" bestFit="1" customWidth="1"/>
    <col min="3578" max="3578" width="2.21875" style="193" bestFit="1" customWidth="1"/>
    <col min="3579" max="3579" width="7.21875" style="193" bestFit="1" customWidth="1"/>
    <col min="3580" max="3580" width="2.21875" style="193" bestFit="1" customWidth="1"/>
    <col min="3581" max="3581" width="7.21875" style="193" bestFit="1" customWidth="1"/>
    <col min="3582" max="3582" width="16.21875" style="193" bestFit="1" customWidth="1"/>
    <col min="3583" max="3583" width="23.21875" style="193" customWidth="1"/>
    <col min="3584" max="3584" width="27.21875" style="193" customWidth="1"/>
    <col min="3585" max="3589" width="8.77734375" style="193"/>
    <col min="3590" max="3590" width="44.77734375" style="193" bestFit="1" customWidth="1"/>
    <col min="3591" max="3816" width="8.77734375" style="193"/>
    <col min="3817" max="3817" width="19.21875" style="193" customWidth="1"/>
    <col min="3818" max="3819" width="8.77734375" style="193"/>
    <col min="3820" max="3820" width="27.21875" style="193" customWidth="1"/>
    <col min="3821" max="3821" width="9.21875" style="193" bestFit="1" customWidth="1"/>
    <col min="3822" max="3822" width="27" style="193" customWidth="1"/>
    <col min="3823" max="3823" width="10.21875" style="193" bestFit="1" customWidth="1"/>
    <col min="3824" max="3824" width="23.21875" style="193" customWidth="1"/>
    <col min="3825" max="3825" width="26.21875" style="193" customWidth="1"/>
    <col min="3826" max="3826" width="9" style="193" bestFit="1" customWidth="1"/>
    <col min="3827" max="3827" width="13.21875" style="193" bestFit="1" customWidth="1"/>
    <col min="3828" max="3828" width="4.77734375" style="193" bestFit="1" customWidth="1"/>
    <col min="3829" max="3829" width="4.21875" style="193" bestFit="1" customWidth="1"/>
    <col min="3830" max="3830" width="9.21875" style="193" bestFit="1" customWidth="1"/>
    <col min="3831" max="3831" width="9.21875" style="193" customWidth="1"/>
    <col min="3832" max="3832" width="2.21875" style="193" bestFit="1" customWidth="1"/>
    <col min="3833" max="3833" width="7.21875" style="193" bestFit="1" customWidth="1"/>
    <col min="3834" max="3834" width="2.21875" style="193" bestFit="1" customWidth="1"/>
    <col min="3835" max="3835" width="7.21875" style="193" bestFit="1" customWidth="1"/>
    <col min="3836" max="3836" width="2.21875" style="193" bestFit="1" customWidth="1"/>
    <col min="3837" max="3837" width="7.21875" style="193" bestFit="1" customWidth="1"/>
    <col min="3838" max="3838" width="16.21875" style="193" bestFit="1" customWidth="1"/>
    <col min="3839" max="3839" width="23.21875" style="193" customWidth="1"/>
    <col min="3840" max="3840" width="27.21875" style="193" customWidth="1"/>
    <col min="3841" max="3845" width="8.77734375" style="193"/>
    <col min="3846" max="3846" width="44.77734375" style="193" bestFit="1" customWidth="1"/>
    <col min="3847" max="4072" width="8.77734375" style="193"/>
    <col min="4073" max="4073" width="19.21875" style="193" customWidth="1"/>
    <col min="4074" max="4075" width="8.77734375" style="193"/>
    <col min="4076" max="4076" width="27.21875" style="193" customWidth="1"/>
    <col min="4077" max="4077" width="9.21875" style="193" bestFit="1" customWidth="1"/>
    <col min="4078" max="4078" width="27" style="193" customWidth="1"/>
    <col min="4079" max="4079" width="10.21875" style="193" bestFit="1" customWidth="1"/>
    <col min="4080" max="4080" width="23.21875" style="193" customWidth="1"/>
    <col min="4081" max="4081" width="26.21875" style="193" customWidth="1"/>
    <col min="4082" max="4082" width="9" style="193" bestFit="1" customWidth="1"/>
    <col min="4083" max="4083" width="13.21875" style="193" bestFit="1" customWidth="1"/>
    <col min="4084" max="4084" width="4.77734375" style="193" bestFit="1" customWidth="1"/>
    <col min="4085" max="4085" width="4.21875" style="193" bestFit="1" customWidth="1"/>
    <col min="4086" max="4086" width="9.21875" style="193" bestFit="1" customWidth="1"/>
    <col min="4087" max="4087" width="9.21875" style="193" customWidth="1"/>
    <col min="4088" max="4088" width="2.21875" style="193" bestFit="1" customWidth="1"/>
    <col min="4089" max="4089" width="7.21875" style="193" bestFit="1" customWidth="1"/>
    <col min="4090" max="4090" width="2.21875" style="193" bestFit="1" customWidth="1"/>
    <col min="4091" max="4091" width="7.21875" style="193" bestFit="1" customWidth="1"/>
    <col min="4092" max="4092" width="2.21875" style="193" bestFit="1" customWidth="1"/>
    <col min="4093" max="4093" width="7.21875" style="193" bestFit="1" customWidth="1"/>
    <col min="4094" max="4094" width="16.21875" style="193" bestFit="1" customWidth="1"/>
    <col min="4095" max="4095" width="23.21875" style="193" customWidth="1"/>
    <col min="4096" max="4096" width="27.21875" style="193" customWidth="1"/>
    <col min="4097" max="4101" width="8.77734375" style="193"/>
    <col min="4102" max="4102" width="44.77734375" style="193" bestFit="1" customWidth="1"/>
    <col min="4103" max="4328" width="8.77734375" style="193"/>
    <col min="4329" max="4329" width="19.21875" style="193" customWidth="1"/>
    <col min="4330" max="4331" width="8.77734375" style="193"/>
    <col min="4332" max="4332" width="27.21875" style="193" customWidth="1"/>
    <col min="4333" max="4333" width="9.21875" style="193" bestFit="1" customWidth="1"/>
    <col min="4334" max="4334" width="27" style="193" customWidth="1"/>
    <col min="4335" max="4335" width="10.21875" style="193" bestFit="1" customWidth="1"/>
    <col min="4336" max="4336" width="23.21875" style="193" customWidth="1"/>
    <col min="4337" max="4337" width="26.21875" style="193" customWidth="1"/>
    <col min="4338" max="4338" width="9" style="193" bestFit="1" customWidth="1"/>
    <col min="4339" max="4339" width="13.21875" style="193" bestFit="1" customWidth="1"/>
    <col min="4340" max="4340" width="4.77734375" style="193" bestFit="1" customWidth="1"/>
    <col min="4341" max="4341" width="4.21875" style="193" bestFit="1" customWidth="1"/>
    <col min="4342" max="4342" width="9.21875" style="193" bestFit="1" customWidth="1"/>
    <col min="4343" max="4343" width="9.21875" style="193" customWidth="1"/>
    <col min="4344" max="4344" width="2.21875" style="193" bestFit="1" customWidth="1"/>
    <col min="4345" max="4345" width="7.21875" style="193" bestFit="1" customWidth="1"/>
    <col min="4346" max="4346" width="2.21875" style="193" bestFit="1" customWidth="1"/>
    <col min="4347" max="4347" width="7.21875" style="193" bestFit="1" customWidth="1"/>
    <col min="4348" max="4348" width="2.21875" style="193" bestFit="1" customWidth="1"/>
    <col min="4349" max="4349" width="7.21875" style="193" bestFit="1" customWidth="1"/>
    <col min="4350" max="4350" width="16.21875" style="193" bestFit="1" customWidth="1"/>
    <col min="4351" max="4351" width="23.21875" style="193" customWidth="1"/>
    <col min="4352" max="4352" width="27.21875" style="193" customWidth="1"/>
    <col min="4353" max="4357" width="8.77734375" style="193"/>
    <col min="4358" max="4358" width="44.77734375" style="193" bestFit="1" customWidth="1"/>
    <col min="4359" max="4584" width="8.77734375" style="193"/>
    <col min="4585" max="4585" width="19.21875" style="193" customWidth="1"/>
    <col min="4586" max="4587" width="8.77734375" style="193"/>
    <col min="4588" max="4588" width="27.21875" style="193" customWidth="1"/>
    <col min="4589" max="4589" width="9.21875" style="193" bestFit="1" customWidth="1"/>
    <col min="4590" max="4590" width="27" style="193" customWidth="1"/>
    <col min="4591" max="4591" width="10.21875" style="193" bestFit="1" customWidth="1"/>
    <col min="4592" max="4592" width="23.21875" style="193" customWidth="1"/>
    <col min="4593" max="4593" width="26.21875" style="193" customWidth="1"/>
    <col min="4594" max="4594" width="9" style="193" bestFit="1" customWidth="1"/>
    <col min="4595" max="4595" width="13.21875" style="193" bestFit="1" customWidth="1"/>
    <col min="4596" max="4596" width="4.77734375" style="193" bestFit="1" customWidth="1"/>
    <col min="4597" max="4597" width="4.21875" style="193" bestFit="1" customWidth="1"/>
    <col min="4598" max="4598" width="9.21875" style="193" bestFit="1" customWidth="1"/>
    <col min="4599" max="4599" width="9.21875" style="193" customWidth="1"/>
    <col min="4600" max="4600" width="2.21875" style="193" bestFit="1" customWidth="1"/>
    <col min="4601" max="4601" width="7.21875" style="193" bestFit="1" customWidth="1"/>
    <col min="4602" max="4602" width="2.21875" style="193" bestFit="1" customWidth="1"/>
    <col min="4603" max="4603" width="7.21875" style="193" bestFit="1" customWidth="1"/>
    <col min="4604" max="4604" width="2.21875" style="193" bestFit="1" customWidth="1"/>
    <col min="4605" max="4605" width="7.21875" style="193" bestFit="1" customWidth="1"/>
    <col min="4606" max="4606" width="16.21875" style="193" bestFit="1" customWidth="1"/>
    <col min="4607" max="4607" width="23.21875" style="193" customWidth="1"/>
    <col min="4608" max="4608" width="27.21875" style="193" customWidth="1"/>
    <col min="4609" max="4613" width="8.77734375" style="193"/>
    <col min="4614" max="4614" width="44.77734375" style="193" bestFit="1" customWidth="1"/>
    <col min="4615" max="4840" width="8.77734375" style="193"/>
    <col min="4841" max="4841" width="19.21875" style="193" customWidth="1"/>
    <col min="4842" max="4843" width="8.77734375" style="193"/>
    <col min="4844" max="4844" width="27.21875" style="193" customWidth="1"/>
    <col min="4845" max="4845" width="9.21875" style="193" bestFit="1" customWidth="1"/>
    <col min="4846" max="4846" width="27" style="193" customWidth="1"/>
    <col min="4847" max="4847" width="10.21875" style="193" bestFit="1" customWidth="1"/>
    <col min="4848" max="4848" width="23.21875" style="193" customWidth="1"/>
    <col min="4849" max="4849" width="26.21875" style="193" customWidth="1"/>
    <col min="4850" max="4850" width="9" style="193" bestFit="1" customWidth="1"/>
    <col min="4851" max="4851" width="13.21875" style="193" bestFit="1" customWidth="1"/>
    <col min="4852" max="4852" width="4.77734375" style="193" bestFit="1" customWidth="1"/>
    <col min="4853" max="4853" width="4.21875" style="193" bestFit="1" customWidth="1"/>
    <col min="4854" max="4854" width="9.21875" style="193" bestFit="1" customWidth="1"/>
    <col min="4855" max="4855" width="9.21875" style="193" customWidth="1"/>
    <col min="4856" max="4856" width="2.21875" style="193" bestFit="1" customWidth="1"/>
    <col min="4857" max="4857" width="7.21875" style="193" bestFit="1" customWidth="1"/>
    <col min="4858" max="4858" width="2.21875" style="193" bestFit="1" customWidth="1"/>
    <col min="4859" max="4859" width="7.21875" style="193" bestFit="1" customWidth="1"/>
    <col min="4860" max="4860" width="2.21875" style="193" bestFit="1" customWidth="1"/>
    <col min="4861" max="4861" width="7.21875" style="193" bestFit="1" customWidth="1"/>
    <col min="4862" max="4862" width="16.21875" style="193" bestFit="1" customWidth="1"/>
    <col min="4863" max="4863" width="23.21875" style="193" customWidth="1"/>
    <col min="4864" max="4864" width="27.21875" style="193" customWidth="1"/>
    <col min="4865" max="4869" width="8.77734375" style="193"/>
    <col min="4870" max="4870" width="44.77734375" style="193" bestFit="1" customWidth="1"/>
    <col min="4871" max="5096" width="8.77734375" style="193"/>
    <col min="5097" max="5097" width="19.21875" style="193" customWidth="1"/>
    <col min="5098" max="5099" width="8.77734375" style="193"/>
    <col min="5100" max="5100" width="27.21875" style="193" customWidth="1"/>
    <col min="5101" max="5101" width="9.21875" style="193" bestFit="1" customWidth="1"/>
    <col min="5102" max="5102" width="27" style="193" customWidth="1"/>
    <col min="5103" max="5103" width="10.21875" style="193" bestFit="1" customWidth="1"/>
    <col min="5104" max="5104" width="23.21875" style="193" customWidth="1"/>
    <col min="5105" max="5105" width="26.21875" style="193" customWidth="1"/>
    <col min="5106" max="5106" width="9" style="193" bestFit="1" customWidth="1"/>
    <col min="5107" max="5107" width="13.21875" style="193" bestFit="1" customWidth="1"/>
    <col min="5108" max="5108" width="4.77734375" style="193" bestFit="1" customWidth="1"/>
    <col min="5109" max="5109" width="4.21875" style="193" bestFit="1" customWidth="1"/>
    <col min="5110" max="5110" width="9.21875" style="193" bestFit="1" customWidth="1"/>
    <col min="5111" max="5111" width="9.21875" style="193" customWidth="1"/>
    <col min="5112" max="5112" width="2.21875" style="193" bestFit="1" customWidth="1"/>
    <col min="5113" max="5113" width="7.21875" style="193" bestFit="1" customWidth="1"/>
    <col min="5114" max="5114" width="2.21875" style="193" bestFit="1" customWidth="1"/>
    <col min="5115" max="5115" width="7.21875" style="193" bestFit="1" customWidth="1"/>
    <col min="5116" max="5116" width="2.21875" style="193" bestFit="1" customWidth="1"/>
    <col min="5117" max="5117" width="7.21875" style="193" bestFit="1" customWidth="1"/>
    <col min="5118" max="5118" width="16.21875" style="193" bestFit="1" customWidth="1"/>
    <col min="5119" max="5119" width="23.21875" style="193" customWidth="1"/>
    <col min="5120" max="5120" width="27.21875" style="193" customWidth="1"/>
    <col min="5121" max="5125" width="8.77734375" style="193"/>
    <col min="5126" max="5126" width="44.77734375" style="193" bestFit="1" customWidth="1"/>
    <col min="5127" max="5352" width="8.77734375" style="193"/>
    <col min="5353" max="5353" width="19.21875" style="193" customWidth="1"/>
    <col min="5354" max="5355" width="8.77734375" style="193"/>
    <col min="5356" max="5356" width="27.21875" style="193" customWidth="1"/>
    <col min="5357" max="5357" width="9.21875" style="193" bestFit="1" customWidth="1"/>
    <col min="5358" max="5358" width="27" style="193" customWidth="1"/>
    <col min="5359" max="5359" width="10.21875" style="193" bestFit="1" customWidth="1"/>
    <col min="5360" max="5360" width="23.21875" style="193" customWidth="1"/>
    <col min="5361" max="5361" width="26.21875" style="193" customWidth="1"/>
    <col min="5362" max="5362" width="9" style="193" bestFit="1" customWidth="1"/>
    <col min="5363" max="5363" width="13.21875" style="193" bestFit="1" customWidth="1"/>
    <col min="5364" max="5364" width="4.77734375" style="193" bestFit="1" customWidth="1"/>
    <col min="5365" max="5365" width="4.21875" style="193" bestFit="1" customWidth="1"/>
    <col min="5366" max="5366" width="9.21875" style="193" bestFit="1" customWidth="1"/>
    <col min="5367" max="5367" width="9.21875" style="193" customWidth="1"/>
    <col min="5368" max="5368" width="2.21875" style="193" bestFit="1" customWidth="1"/>
    <col min="5369" max="5369" width="7.21875" style="193" bestFit="1" customWidth="1"/>
    <col min="5370" max="5370" width="2.21875" style="193" bestFit="1" customWidth="1"/>
    <col min="5371" max="5371" width="7.21875" style="193" bestFit="1" customWidth="1"/>
    <col min="5372" max="5372" width="2.21875" style="193" bestFit="1" customWidth="1"/>
    <col min="5373" max="5373" width="7.21875" style="193" bestFit="1" customWidth="1"/>
    <col min="5374" max="5374" width="16.21875" style="193" bestFit="1" customWidth="1"/>
    <col min="5375" max="5375" width="23.21875" style="193" customWidth="1"/>
    <col min="5376" max="5376" width="27.21875" style="193" customWidth="1"/>
    <col min="5377" max="5381" width="8.77734375" style="193"/>
    <col min="5382" max="5382" width="44.77734375" style="193" bestFit="1" customWidth="1"/>
    <col min="5383" max="5608" width="8.77734375" style="193"/>
    <col min="5609" max="5609" width="19.21875" style="193" customWidth="1"/>
    <col min="5610" max="5611" width="8.77734375" style="193"/>
    <col min="5612" max="5612" width="27.21875" style="193" customWidth="1"/>
    <col min="5613" max="5613" width="9.21875" style="193" bestFit="1" customWidth="1"/>
    <col min="5614" max="5614" width="27" style="193" customWidth="1"/>
    <col min="5615" max="5615" width="10.21875" style="193" bestFit="1" customWidth="1"/>
    <col min="5616" max="5616" width="23.21875" style="193" customWidth="1"/>
    <col min="5617" max="5617" width="26.21875" style="193" customWidth="1"/>
    <col min="5618" max="5618" width="9" style="193" bestFit="1" customWidth="1"/>
    <col min="5619" max="5619" width="13.21875" style="193" bestFit="1" customWidth="1"/>
    <col min="5620" max="5620" width="4.77734375" style="193" bestFit="1" customWidth="1"/>
    <col min="5621" max="5621" width="4.21875" style="193" bestFit="1" customWidth="1"/>
    <col min="5622" max="5622" width="9.21875" style="193" bestFit="1" customWidth="1"/>
    <col min="5623" max="5623" width="9.21875" style="193" customWidth="1"/>
    <col min="5624" max="5624" width="2.21875" style="193" bestFit="1" customWidth="1"/>
    <col min="5625" max="5625" width="7.21875" style="193" bestFit="1" customWidth="1"/>
    <col min="5626" max="5626" width="2.21875" style="193" bestFit="1" customWidth="1"/>
    <col min="5627" max="5627" width="7.21875" style="193" bestFit="1" customWidth="1"/>
    <col min="5628" max="5628" width="2.21875" style="193" bestFit="1" customWidth="1"/>
    <col min="5629" max="5629" width="7.21875" style="193" bestFit="1" customWidth="1"/>
    <col min="5630" max="5630" width="16.21875" style="193" bestFit="1" customWidth="1"/>
    <col min="5631" max="5631" width="23.21875" style="193" customWidth="1"/>
    <col min="5632" max="5632" width="27.21875" style="193" customWidth="1"/>
    <col min="5633" max="5637" width="8.77734375" style="193"/>
    <col min="5638" max="5638" width="44.77734375" style="193" bestFit="1" customWidth="1"/>
    <col min="5639" max="5864" width="8.77734375" style="193"/>
    <col min="5865" max="5865" width="19.21875" style="193" customWidth="1"/>
    <col min="5866" max="5867" width="8.77734375" style="193"/>
    <col min="5868" max="5868" width="27.21875" style="193" customWidth="1"/>
    <col min="5869" max="5869" width="9.21875" style="193" bestFit="1" customWidth="1"/>
    <col min="5870" max="5870" width="27" style="193" customWidth="1"/>
    <col min="5871" max="5871" width="10.21875" style="193" bestFit="1" customWidth="1"/>
    <col min="5872" max="5872" width="23.21875" style="193" customWidth="1"/>
    <col min="5873" max="5873" width="26.21875" style="193" customWidth="1"/>
    <col min="5874" max="5874" width="9" style="193" bestFit="1" customWidth="1"/>
    <col min="5875" max="5875" width="13.21875" style="193" bestFit="1" customWidth="1"/>
    <col min="5876" max="5876" width="4.77734375" style="193" bestFit="1" customWidth="1"/>
    <col min="5877" max="5877" width="4.21875" style="193" bestFit="1" customWidth="1"/>
    <col min="5878" max="5878" width="9.21875" style="193" bestFit="1" customWidth="1"/>
    <col min="5879" max="5879" width="9.21875" style="193" customWidth="1"/>
    <col min="5880" max="5880" width="2.21875" style="193" bestFit="1" customWidth="1"/>
    <col min="5881" max="5881" width="7.21875" style="193" bestFit="1" customWidth="1"/>
    <col min="5882" max="5882" width="2.21875" style="193" bestFit="1" customWidth="1"/>
    <col min="5883" max="5883" width="7.21875" style="193" bestFit="1" customWidth="1"/>
    <col min="5884" max="5884" width="2.21875" style="193" bestFit="1" customWidth="1"/>
    <col min="5885" max="5885" width="7.21875" style="193" bestFit="1" customWidth="1"/>
    <col min="5886" max="5886" width="16.21875" style="193" bestFit="1" customWidth="1"/>
    <col min="5887" max="5887" width="23.21875" style="193" customWidth="1"/>
    <col min="5888" max="5888" width="27.21875" style="193" customWidth="1"/>
    <col min="5889" max="5893" width="8.77734375" style="193"/>
    <col min="5894" max="5894" width="44.77734375" style="193" bestFit="1" customWidth="1"/>
    <col min="5895" max="6120" width="8.77734375" style="193"/>
    <col min="6121" max="6121" width="19.21875" style="193" customWidth="1"/>
    <col min="6122" max="6123" width="8.77734375" style="193"/>
    <col min="6124" max="6124" width="27.21875" style="193" customWidth="1"/>
    <col min="6125" max="6125" width="9.21875" style="193" bestFit="1" customWidth="1"/>
    <col min="6126" max="6126" width="27" style="193" customWidth="1"/>
    <col min="6127" max="6127" width="10.21875" style="193" bestFit="1" customWidth="1"/>
    <col min="6128" max="6128" width="23.21875" style="193" customWidth="1"/>
    <col min="6129" max="6129" width="26.21875" style="193" customWidth="1"/>
    <col min="6130" max="6130" width="9" style="193" bestFit="1" customWidth="1"/>
    <col min="6131" max="6131" width="13.21875" style="193" bestFit="1" customWidth="1"/>
    <col min="6132" max="6132" width="4.77734375" style="193" bestFit="1" customWidth="1"/>
    <col min="6133" max="6133" width="4.21875" style="193" bestFit="1" customWidth="1"/>
    <col min="6134" max="6134" width="9.21875" style="193" bestFit="1" customWidth="1"/>
    <col min="6135" max="6135" width="9.21875" style="193" customWidth="1"/>
    <col min="6136" max="6136" width="2.21875" style="193" bestFit="1" customWidth="1"/>
    <col min="6137" max="6137" width="7.21875" style="193" bestFit="1" customWidth="1"/>
    <col min="6138" max="6138" width="2.21875" style="193" bestFit="1" customWidth="1"/>
    <col min="6139" max="6139" width="7.21875" style="193" bestFit="1" customWidth="1"/>
    <col min="6140" max="6140" width="2.21875" style="193" bestFit="1" customWidth="1"/>
    <col min="6141" max="6141" width="7.21875" style="193" bestFit="1" customWidth="1"/>
    <col min="6142" max="6142" width="16.21875" style="193" bestFit="1" customWidth="1"/>
    <col min="6143" max="6143" width="23.21875" style="193" customWidth="1"/>
    <col min="6144" max="6144" width="27.21875" style="193" customWidth="1"/>
    <col min="6145" max="6149" width="8.77734375" style="193"/>
    <col min="6150" max="6150" width="44.77734375" style="193" bestFit="1" customWidth="1"/>
    <col min="6151" max="6376" width="8.77734375" style="193"/>
    <col min="6377" max="6377" width="19.21875" style="193" customWidth="1"/>
    <col min="6378" max="6379" width="8.77734375" style="193"/>
    <col min="6380" max="6380" width="27.21875" style="193" customWidth="1"/>
    <col min="6381" max="6381" width="9.21875" style="193" bestFit="1" customWidth="1"/>
    <col min="6382" max="6382" width="27" style="193" customWidth="1"/>
    <col min="6383" max="6383" width="10.21875" style="193" bestFit="1" customWidth="1"/>
    <col min="6384" max="6384" width="23.21875" style="193" customWidth="1"/>
    <col min="6385" max="6385" width="26.21875" style="193" customWidth="1"/>
    <col min="6386" max="6386" width="9" style="193" bestFit="1" customWidth="1"/>
    <col min="6387" max="6387" width="13.21875" style="193" bestFit="1" customWidth="1"/>
    <col min="6388" max="6388" width="4.77734375" style="193" bestFit="1" customWidth="1"/>
    <col min="6389" max="6389" width="4.21875" style="193" bestFit="1" customWidth="1"/>
    <col min="6390" max="6390" width="9.21875" style="193" bestFit="1" customWidth="1"/>
    <col min="6391" max="6391" width="9.21875" style="193" customWidth="1"/>
    <col min="6392" max="6392" width="2.21875" style="193" bestFit="1" customWidth="1"/>
    <col min="6393" max="6393" width="7.21875" style="193" bestFit="1" customWidth="1"/>
    <col min="6394" max="6394" width="2.21875" style="193" bestFit="1" customWidth="1"/>
    <col min="6395" max="6395" width="7.21875" style="193" bestFit="1" customWidth="1"/>
    <col min="6396" max="6396" width="2.21875" style="193" bestFit="1" customWidth="1"/>
    <col min="6397" max="6397" width="7.21875" style="193" bestFit="1" customWidth="1"/>
    <col min="6398" max="6398" width="16.21875" style="193" bestFit="1" customWidth="1"/>
    <col min="6399" max="6399" width="23.21875" style="193" customWidth="1"/>
    <col min="6400" max="6400" width="27.21875" style="193" customWidth="1"/>
    <col min="6401" max="6405" width="8.77734375" style="193"/>
    <col min="6406" max="6406" width="44.77734375" style="193" bestFit="1" customWidth="1"/>
    <col min="6407" max="6632" width="8.77734375" style="193"/>
    <col min="6633" max="6633" width="19.21875" style="193" customWidth="1"/>
    <col min="6634" max="6635" width="8.77734375" style="193"/>
    <col min="6636" max="6636" width="27.21875" style="193" customWidth="1"/>
    <col min="6637" max="6637" width="9.21875" style="193" bestFit="1" customWidth="1"/>
    <col min="6638" max="6638" width="27" style="193" customWidth="1"/>
    <col min="6639" max="6639" width="10.21875" style="193" bestFit="1" customWidth="1"/>
    <col min="6640" max="6640" width="23.21875" style="193" customWidth="1"/>
    <col min="6641" max="6641" width="26.21875" style="193" customWidth="1"/>
    <col min="6642" max="6642" width="9" style="193" bestFit="1" customWidth="1"/>
    <col min="6643" max="6643" width="13.21875" style="193" bestFit="1" customWidth="1"/>
    <col min="6644" max="6644" width="4.77734375" style="193" bestFit="1" customWidth="1"/>
    <col min="6645" max="6645" width="4.21875" style="193" bestFit="1" customWidth="1"/>
    <col min="6646" max="6646" width="9.21875" style="193" bestFit="1" customWidth="1"/>
    <col min="6647" max="6647" width="9.21875" style="193" customWidth="1"/>
    <col min="6648" max="6648" width="2.21875" style="193" bestFit="1" customWidth="1"/>
    <col min="6649" max="6649" width="7.21875" style="193" bestFit="1" customWidth="1"/>
    <col min="6650" max="6650" width="2.21875" style="193" bestFit="1" customWidth="1"/>
    <col min="6651" max="6651" width="7.21875" style="193" bestFit="1" customWidth="1"/>
    <col min="6652" max="6652" width="2.21875" style="193" bestFit="1" customWidth="1"/>
    <col min="6653" max="6653" width="7.21875" style="193" bestFit="1" customWidth="1"/>
    <col min="6654" max="6654" width="16.21875" style="193" bestFit="1" customWidth="1"/>
    <col min="6655" max="6655" width="23.21875" style="193" customWidth="1"/>
    <col min="6656" max="6656" width="27.21875" style="193" customWidth="1"/>
    <col min="6657" max="6661" width="8.77734375" style="193"/>
    <col min="6662" max="6662" width="44.77734375" style="193" bestFit="1" customWidth="1"/>
    <col min="6663" max="6888" width="8.77734375" style="193"/>
    <col min="6889" max="6889" width="19.21875" style="193" customWidth="1"/>
    <col min="6890" max="6891" width="8.77734375" style="193"/>
    <col min="6892" max="6892" width="27.21875" style="193" customWidth="1"/>
    <col min="6893" max="6893" width="9.21875" style="193" bestFit="1" customWidth="1"/>
    <col min="6894" max="6894" width="27" style="193" customWidth="1"/>
    <col min="6895" max="6895" width="10.21875" style="193" bestFit="1" customWidth="1"/>
    <col min="6896" max="6896" width="23.21875" style="193" customWidth="1"/>
    <col min="6897" max="6897" width="26.21875" style="193" customWidth="1"/>
    <col min="6898" max="6898" width="9" style="193" bestFit="1" customWidth="1"/>
    <col min="6899" max="6899" width="13.21875" style="193" bestFit="1" customWidth="1"/>
    <col min="6900" max="6900" width="4.77734375" style="193" bestFit="1" customWidth="1"/>
    <col min="6901" max="6901" width="4.21875" style="193" bestFit="1" customWidth="1"/>
    <col min="6902" max="6902" width="9.21875" style="193" bestFit="1" customWidth="1"/>
    <col min="6903" max="6903" width="9.21875" style="193" customWidth="1"/>
    <col min="6904" max="6904" width="2.21875" style="193" bestFit="1" customWidth="1"/>
    <col min="6905" max="6905" width="7.21875" style="193" bestFit="1" customWidth="1"/>
    <col min="6906" max="6906" width="2.21875" style="193" bestFit="1" customWidth="1"/>
    <col min="6907" max="6907" width="7.21875" style="193" bestFit="1" customWidth="1"/>
    <col min="6908" max="6908" width="2.21875" style="193" bestFit="1" customWidth="1"/>
    <col min="6909" max="6909" width="7.21875" style="193" bestFit="1" customWidth="1"/>
    <col min="6910" max="6910" width="16.21875" style="193" bestFit="1" customWidth="1"/>
    <col min="6911" max="6911" width="23.21875" style="193" customWidth="1"/>
    <col min="6912" max="6912" width="27.21875" style="193" customWidth="1"/>
    <col min="6913" max="6917" width="8.77734375" style="193"/>
    <col min="6918" max="6918" width="44.77734375" style="193" bestFit="1" customWidth="1"/>
    <col min="6919" max="7144" width="8.77734375" style="193"/>
    <col min="7145" max="7145" width="19.21875" style="193" customWidth="1"/>
    <col min="7146" max="7147" width="8.77734375" style="193"/>
    <col min="7148" max="7148" width="27.21875" style="193" customWidth="1"/>
    <col min="7149" max="7149" width="9.21875" style="193" bestFit="1" customWidth="1"/>
    <col min="7150" max="7150" width="27" style="193" customWidth="1"/>
    <col min="7151" max="7151" width="10.21875" style="193" bestFit="1" customWidth="1"/>
    <col min="7152" max="7152" width="23.21875" style="193" customWidth="1"/>
    <col min="7153" max="7153" width="26.21875" style="193" customWidth="1"/>
    <col min="7154" max="7154" width="9" style="193" bestFit="1" customWidth="1"/>
    <col min="7155" max="7155" width="13.21875" style="193" bestFit="1" customWidth="1"/>
    <col min="7156" max="7156" width="4.77734375" style="193" bestFit="1" customWidth="1"/>
    <col min="7157" max="7157" width="4.21875" style="193" bestFit="1" customWidth="1"/>
    <col min="7158" max="7158" width="9.21875" style="193" bestFit="1" customWidth="1"/>
    <col min="7159" max="7159" width="9.21875" style="193" customWidth="1"/>
    <col min="7160" max="7160" width="2.21875" style="193" bestFit="1" customWidth="1"/>
    <col min="7161" max="7161" width="7.21875" style="193" bestFit="1" customWidth="1"/>
    <col min="7162" max="7162" width="2.21875" style="193" bestFit="1" customWidth="1"/>
    <col min="7163" max="7163" width="7.21875" style="193" bestFit="1" customWidth="1"/>
    <col min="7164" max="7164" width="2.21875" style="193" bestFit="1" customWidth="1"/>
    <col min="7165" max="7165" width="7.21875" style="193" bestFit="1" customWidth="1"/>
    <col min="7166" max="7166" width="16.21875" style="193" bestFit="1" customWidth="1"/>
    <col min="7167" max="7167" width="23.21875" style="193" customWidth="1"/>
    <col min="7168" max="7168" width="27.21875" style="193" customWidth="1"/>
    <col min="7169" max="7173" width="8.77734375" style="193"/>
    <col min="7174" max="7174" width="44.77734375" style="193" bestFit="1" customWidth="1"/>
    <col min="7175" max="7400" width="8.77734375" style="193"/>
    <col min="7401" max="7401" width="19.21875" style="193" customWidth="1"/>
    <col min="7402" max="7403" width="8.77734375" style="193"/>
    <col min="7404" max="7404" width="27.21875" style="193" customWidth="1"/>
    <col min="7405" max="7405" width="9.21875" style="193" bestFit="1" customWidth="1"/>
    <col min="7406" max="7406" width="27" style="193" customWidth="1"/>
    <col min="7407" max="7407" width="10.21875" style="193" bestFit="1" customWidth="1"/>
    <col min="7408" max="7408" width="23.21875" style="193" customWidth="1"/>
    <col min="7409" max="7409" width="26.21875" style="193" customWidth="1"/>
    <col min="7410" max="7410" width="9" style="193" bestFit="1" customWidth="1"/>
    <col min="7411" max="7411" width="13.21875" style="193" bestFit="1" customWidth="1"/>
    <col min="7412" max="7412" width="4.77734375" style="193" bestFit="1" customWidth="1"/>
    <col min="7413" max="7413" width="4.21875" style="193" bestFit="1" customWidth="1"/>
    <col min="7414" max="7414" width="9.21875" style="193" bestFit="1" customWidth="1"/>
    <col min="7415" max="7415" width="9.21875" style="193" customWidth="1"/>
    <col min="7416" max="7416" width="2.21875" style="193" bestFit="1" customWidth="1"/>
    <col min="7417" max="7417" width="7.21875" style="193" bestFit="1" customWidth="1"/>
    <col min="7418" max="7418" width="2.21875" style="193" bestFit="1" customWidth="1"/>
    <col min="7419" max="7419" width="7.21875" style="193" bestFit="1" customWidth="1"/>
    <col min="7420" max="7420" width="2.21875" style="193" bestFit="1" customWidth="1"/>
    <col min="7421" max="7421" width="7.21875" style="193" bestFit="1" customWidth="1"/>
    <col min="7422" max="7422" width="16.21875" style="193" bestFit="1" customWidth="1"/>
    <col min="7423" max="7423" width="23.21875" style="193" customWidth="1"/>
    <col min="7424" max="7424" width="27.21875" style="193" customWidth="1"/>
    <col min="7425" max="7429" width="8.77734375" style="193"/>
    <col min="7430" max="7430" width="44.77734375" style="193" bestFit="1" customWidth="1"/>
    <col min="7431" max="7656" width="8.77734375" style="193"/>
    <col min="7657" max="7657" width="19.21875" style="193" customWidth="1"/>
    <col min="7658" max="7659" width="8.77734375" style="193"/>
    <col min="7660" max="7660" width="27.21875" style="193" customWidth="1"/>
    <col min="7661" max="7661" width="9.21875" style="193" bestFit="1" customWidth="1"/>
    <col min="7662" max="7662" width="27" style="193" customWidth="1"/>
    <col min="7663" max="7663" width="10.21875" style="193" bestFit="1" customWidth="1"/>
    <col min="7664" max="7664" width="23.21875" style="193" customWidth="1"/>
    <col min="7665" max="7665" width="26.21875" style="193" customWidth="1"/>
    <col min="7666" max="7666" width="9" style="193" bestFit="1" customWidth="1"/>
    <col min="7667" max="7667" width="13.21875" style="193" bestFit="1" customWidth="1"/>
    <col min="7668" max="7668" width="4.77734375" style="193" bestFit="1" customWidth="1"/>
    <col min="7669" max="7669" width="4.21875" style="193" bestFit="1" customWidth="1"/>
    <col min="7670" max="7670" width="9.21875" style="193" bestFit="1" customWidth="1"/>
    <col min="7671" max="7671" width="9.21875" style="193" customWidth="1"/>
    <col min="7672" max="7672" width="2.21875" style="193" bestFit="1" customWidth="1"/>
    <col min="7673" max="7673" width="7.21875" style="193" bestFit="1" customWidth="1"/>
    <col min="7674" max="7674" width="2.21875" style="193" bestFit="1" customWidth="1"/>
    <col min="7675" max="7675" width="7.21875" style="193" bestFit="1" customWidth="1"/>
    <col min="7676" max="7676" width="2.21875" style="193" bestFit="1" customWidth="1"/>
    <col min="7677" max="7677" width="7.21875" style="193" bestFit="1" customWidth="1"/>
    <col min="7678" max="7678" width="16.21875" style="193" bestFit="1" customWidth="1"/>
    <col min="7679" max="7679" width="23.21875" style="193" customWidth="1"/>
    <col min="7680" max="7680" width="27.21875" style="193" customWidth="1"/>
    <col min="7681" max="7685" width="8.77734375" style="193"/>
    <col min="7686" max="7686" width="44.77734375" style="193" bestFit="1" customWidth="1"/>
    <col min="7687" max="7912" width="8.77734375" style="193"/>
    <col min="7913" max="7913" width="19.21875" style="193" customWidth="1"/>
    <col min="7914" max="7915" width="8.77734375" style="193"/>
    <col min="7916" max="7916" width="27.21875" style="193" customWidth="1"/>
    <col min="7917" max="7917" width="9.21875" style="193" bestFit="1" customWidth="1"/>
    <col min="7918" max="7918" width="27" style="193" customWidth="1"/>
    <col min="7919" max="7919" width="10.21875" style="193" bestFit="1" customWidth="1"/>
    <col min="7920" max="7920" width="23.21875" style="193" customWidth="1"/>
    <col min="7921" max="7921" width="26.21875" style="193" customWidth="1"/>
    <col min="7922" max="7922" width="9" style="193" bestFit="1" customWidth="1"/>
    <col min="7923" max="7923" width="13.21875" style="193" bestFit="1" customWidth="1"/>
    <col min="7924" max="7924" width="4.77734375" style="193" bestFit="1" customWidth="1"/>
    <col min="7925" max="7925" width="4.21875" style="193" bestFit="1" customWidth="1"/>
    <col min="7926" max="7926" width="9.21875" style="193" bestFit="1" customWidth="1"/>
    <col min="7927" max="7927" width="9.21875" style="193" customWidth="1"/>
    <col min="7928" max="7928" width="2.21875" style="193" bestFit="1" customWidth="1"/>
    <col min="7929" max="7929" width="7.21875" style="193" bestFit="1" customWidth="1"/>
    <col min="7930" max="7930" width="2.21875" style="193" bestFit="1" customWidth="1"/>
    <col min="7931" max="7931" width="7.21875" style="193" bestFit="1" customWidth="1"/>
    <col min="7932" max="7932" width="2.21875" style="193" bestFit="1" customWidth="1"/>
    <col min="7933" max="7933" width="7.21875" style="193" bestFit="1" customWidth="1"/>
    <col min="7934" max="7934" width="16.21875" style="193" bestFit="1" customWidth="1"/>
    <col min="7935" max="7935" width="23.21875" style="193" customWidth="1"/>
    <col min="7936" max="7936" width="27.21875" style="193" customWidth="1"/>
    <col min="7937" max="7941" width="8.77734375" style="193"/>
    <col min="7942" max="7942" width="44.77734375" style="193" bestFit="1" customWidth="1"/>
    <col min="7943" max="8168" width="8.77734375" style="193"/>
    <col min="8169" max="8169" width="19.21875" style="193" customWidth="1"/>
    <col min="8170" max="8171" width="8.77734375" style="193"/>
    <col min="8172" max="8172" width="27.21875" style="193" customWidth="1"/>
    <col min="8173" max="8173" width="9.21875" style="193" bestFit="1" customWidth="1"/>
    <col min="8174" max="8174" width="27" style="193" customWidth="1"/>
    <col min="8175" max="8175" width="10.21875" style="193" bestFit="1" customWidth="1"/>
    <col min="8176" max="8176" width="23.21875" style="193" customWidth="1"/>
    <col min="8177" max="8177" width="26.21875" style="193" customWidth="1"/>
    <col min="8178" max="8178" width="9" style="193" bestFit="1" customWidth="1"/>
    <col min="8179" max="8179" width="13.21875" style="193" bestFit="1" customWidth="1"/>
    <col min="8180" max="8180" width="4.77734375" style="193" bestFit="1" customWidth="1"/>
    <col min="8181" max="8181" width="4.21875" style="193" bestFit="1" customWidth="1"/>
    <col min="8182" max="8182" width="9.21875" style="193" bestFit="1" customWidth="1"/>
    <col min="8183" max="8183" width="9.21875" style="193" customWidth="1"/>
    <col min="8184" max="8184" width="2.21875" style="193" bestFit="1" customWidth="1"/>
    <col min="8185" max="8185" width="7.21875" style="193" bestFit="1" customWidth="1"/>
    <col min="8186" max="8186" width="2.21875" style="193" bestFit="1" customWidth="1"/>
    <col min="8187" max="8187" width="7.21875" style="193" bestFit="1" customWidth="1"/>
    <col min="8188" max="8188" width="2.21875" style="193" bestFit="1" customWidth="1"/>
    <col min="8189" max="8189" width="7.21875" style="193" bestFit="1" customWidth="1"/>
    <col min="8190" max="8190" width="16.21875" style="193" bestFit="1" customWidth="1"/>
    <col min="8191" max="8191" width="23.21875" style="193" customWidth="1"/>
    <col min="8192" max="8192" width="27.21875" style="193" customWidth="1"/>
    <col min="8193" max="8197" width="8.77734375" style="193"/>
    <col min="8198" max="8198" width="44.77734375" style="193" bestFit="1" customWidth="1"/>
    <col min="8199" max="8424" width="8.77734375" style="193"/>
    <col min="8425" max="8425" width="19.21875" style="193" customWidth="1"/>
    <col min="8426" max="8427" width="8.77734375" style="193"/>
    <col min="8428" max="8428" width="27.21875" style="193" customWidth="1"/>
    <col min="8429" max="8429" width="9.21875" style="193" bestFit="1" customWidth="1"/>
    <col min="8430" max="8430" width="27" style="193" customWidth="1"/>
    <col min="8431" max="8431" width="10.21875" style="193" bestFit="1" customWidth="1"/>
    <col min="8432" max="8432" width="23.21875" style="193" customWidth="1"/>
    <col min="8433" max="8433" width="26.21875" style="193" customWidth="1"/>
    <col min="8434" max="8434" width="9" style="193" bestFit="1" customWidth="1"/>
    <col min="8435" max="8435" width="13.21875" style="193" bestFit="1" customWidth="1"/>
    <col min="8436" max="8436" width="4.77734375" style="193" bestFit="1" customWidth="1"/>
    <col min="8437" max="8437" width="4.21875" style="193" bestFit="1" customWidth="1"/>
    <col min="8438" max="8438" width="9.21875" style="193" bestFit="1" customWidth="1"/>
    <col min="8439" max="8439" width="9.21875" style="193" customWidth="1"/>
    <col min="8440" max="8440" width="2.21875" style="193" bestFit="1" customWidth="1"/>
    <col min="8441" max="8441" width="7.21875" style="193" bestFit="1" customWidth="1"/>
    <col min="8442" max="8442" width="2.21875" style="193" bestFit="1" customWidth="1"/>
    <col min="8443" max="8443" width="7.21875" style="193" bestFit="1" customWidth="1"/>
    <col min="8444" max="8444" width="2.21875" style="193" bestFit="1" customWidth="1"/>
    <col min="8445" max="8445" width="7.21875" style="193" bestFit="1" customWidth="1"/>
    <col min="8446" max="8446" width="16.21875" style="193" bestFit="1" customWidth="1"/>
    <col min="8447" max="8447" width="23.21875" style="193" customWidth="1"/>
    <col min="8448" max="8448" width="27.21875" style="193" customWidth="1"/>
    <col min="8449" max="8453" width="8.77734375" style="193"/>
    <col min="8454" max="8454" width="44.77734375" style="193" bestFit="1" customWidth="1"/>
    <col min="8455" max="8680" width="8.77734375" style="193"/>
    <col min="8681" max="8681" width="19.21875" style="193" customWidth="1"/>
    <col min="8682" max="8683" width="8.77734375" style="193"/>
    <col min="8684" max="8684" width="27.21875" style="193" customWidth="1"/>
    <col min="8685" max="8685" width="9.21875" style="193" bestFit="1" customWidth="1"/>
    <col min="8686" max="8686" width="27" style="193" customWidth="1"/>
    <col min="8687" max="8687" width="10.21875" style="193" bestFit="1" customWidth="1"/>
    <col min="8688" max="8688" width="23.21875" style="193" customWidth="1"/>
    <col min="8689" max="8689" width="26.21875" style="193" customWidth="1"/>
    <col min="8690" max="8690" width="9" style="193" bestFit="1" customWidth="1"/>
    <col min="8691" max="8691" width="13.21875" style="193" bestFit="1" customWidth="1"/>
    <col min="8692" max="8692" width="4.77734375" style="193" bestFit="1" customWidth="1"/>
    <col min="8693" max="8693" width="4.21875" style="193" bestFit="1" customWidth="1"/>
    <col min="8694" max="8694" width="9.21875" style="193" bestFit="1" customWidth="1"/>
    <col min="8695" max="8695" width="9.21875" style="193" customWidth="1"/>
    <col min="8696" max="8696" width="2.21875" style="193" bestFit="1" customWidth="1"/>
    <col min="8697" max="8697" width="7.21875" style="193" bestFit="1" customWidth="1"/>
    <col min="8698" max="8698" width="2.21875" style="193" bestFit="1" customWidth="1"/>
    <col min="8699" max="8699" width="7.21875" style="193" bestFit="1" customWidth="1"/>
    <col min="8700" max="8700" width="2.21875" style="193" bestFit="1" customWidth="1"/>
    <col min="8701" max="8701" width="7.21875" style="193" bestFit="1" customWidth="1"/>
    <col min="8702" max="8702" width="16.21875" style="193" bestFit="1" customWidth="1"/>
    <col min="8703" max="8703" width="23.21875" style="193" customWidth="1"/>
    <col min="8704" max="8704" width="27.21875" style="193" customWidth="1"/>
    <col min="8705" max="8709" width="8.77734375" style="193"/>
    <col min="8710" max="8710" width="44.77734375" style="193" bestFit="1" customWidth="1"/>
    <col min="8711" max="8936" width="8.77734375" style="193"/>
    <col min="8937" max="8937" width="19.21875" style="193" customWidth="1"/>
    <col min="8938" max="8939" width="8.77734375" style="193"/>
    <col min="8940" max="8940" width="27.21875" style="193" customWidth="1"/>
    <col min="8941" max="8941" width="9.21875" style="193" bestFit="1" customWidth="1"/>
    <col min="8942" max="8942" width="27" style="193" customWidth="1"/>
    <col min="8943" max="8943" width="10.21875" style="193" bestFit="1" customWidth="1"/>
    <col min="8944" max="8944" width="23.21875" style="193" customWidth="1"/>
    <col min="8945" max="8945" width="26.21875" style="193" customWidth="1"/>
    <col min="8946" max="8946" width="9" style="193" bestFit="1" customWidth="1"/>
    <col min="8947" max="8947" width="13.21875" style="193" bestFit="1" customWidth="1"/>
    <col min="8948" max="8948" width="4.77734375" style="193" bestFit="1" customWidth="1"/>
    <col min="8949" max="8949" width="4.21875" style="193" bestFit="1" customWidth="1"/>
    <col min="8950" max="8950" width="9.21875" style="193" bestFit="1" customWidth="1"/>
    <col min="8951" max="8951" width="9.21875" style="193" customWidth="1"/>
    <col min="8952" max="8952" width="2.21875" style="193" bestFit="1" customWidth="1"/>
    <col min="8953" max="8953" width="7.21875" style="193" bestFit="1" customWidth="1"/>
    <col min="8954" max="8954" width="2.21875" style="193" bestFit="1" customWidth="1"/>
    <col min="8955" max="8955" width="7.21875" style="193" bestFit="1" customWidth="1"/>
    <col min="8956" max="8956" width="2.21875" style="193" bestFit="1" customWidth="1"/>
    <col min="8957" max="8957" width="7.21875" style="193" bestFit="1" customWidth="1"/>
    <col min="8958" max="8958" width="16.21875" style="193" bestFit="1" customWidth="1"/>
    <col min="8959" max="8959" width="23.21875" style="193" customWidth="1"/>
    <col min="8960" max="8960" width="27.21875" style="193" customWidth="1"/>
    <col min="8961" max="8965" width="8.77734375" style="193"/>
    <col min="8966" max="8966" width="44.77734375" style="193" bestFit="1" customWidth="1"/>
    <col min="8967" max="9192" width="8.77734375" style="193"/>
    <col min="9193" max="9193" width="19.21875" style="193" customWidth="1"/>
    <col min="9194" max="9195" width="8.77734375" style="193"/>
    <col min="9196" max="9196" width="27.21875" style="193" customWidth="1"/>
    <col min="9197" max="9197" width="9.21875" style="193" bestFit="1" customWidth="1"/>
    <col min="9198" max="9198" width="27" style="193" customWidth="1"/>
    <col min="9199" max="9199" width="10.21875" style="193" bestFit="1" customWidth="1"/>
    <col min="9200" max="9200" width="23.21875" style="193" customWidth="1"/>
    <col min="9201" max="9201" width="26.21875" style="193" customWidth="1"/>
    <col min="9202" max="9202" width="9" style="193" bestFit="1" customWidth="1"/>
    <col min="9203" max="9203" width="13.21875" style="193" bestFit="1" customWidth="1"/>
    <col min="9204" max="9204" width="4.77734375" style="193" bestFit="1" customWidth="1"/>
    <col min="9205" max="9205" width="4.21875" style="193" bestFit="1" customWidth="1"/>
    <col min="9206" max="9206" width="9.21875" style="193" bestFit="1" customWidth="1"/>
    <col min="9207" max="9207" width="9.21875" style="193" customWidth="1"/>
    <col min="9208" max="9208" width="2.21875" style="193" bestFit="1" customWidth="1"/>
    <col min="9209" max="9209" width="7.21875" style="193" bestFit="1" customWidth="1"/>
    <col min="9210" max="9210" width="2.21875" style="193" bestFit="1" customWidth="1"/>
    <col min="9211" max="9211" width="7.21875" style="193" bestFit="1" customWidth="1"/>
    <col min="9212" max="9212" width="2.21875" style="193" bestFit="1" customWidth="1"/>
    <col min="9213" max="9213" width="7.21875" style="193" bestFit="1" customWidth="1"/>
    <col min="9214" max="9214" width="16.21875" style="193" bestFit="1" customWidth="1"/>
    <col min="9215" max="9215" width="23.21875" style="193" customWidth="1"/>
    <col min="9216" max="9216" width="27.21875" style="193" customWidth="1"/>
    <col min="9217" max="9221" width="8.77734375" style="193"/>
    <col min="9222" max="9222" width="44.77734375" style="193" bestFit="1" customWidth="1"/>
    <col min="9223" max="9448" width="8.77734375" style="193"/>
    <col min="9449" max="9449" width="19.21875" style="193" customWidth="1"/>
    <col min="9450" max="9451" width="8.77734375" style="193"/>
    <col min="9452" max="9452" width="27.21875" style="193" customWidth="1"/>
    <col min="9453" max="9453" width="9.21875" style="193" bestFit="1" customWidth="1"/>
    <col min="9454" max="9454" width="27" style="193" customWidth="1"/>
    <col min="9455" max="9455" width="10.21875" style="193" bestFit="1" customWidth="1"/>
    <col min="9456" max="9456" width="23.21875" style="193" customWidth="1"/>
    <col min="9457" max="9457" width="26.21875" style="193" customWidth="1"/>
    <col min="9458" max="9458" width="9" style="193" bestFit="1" customWidth="1"/>
    <col min="9459" max="9459" width="13.21875" style="193" bestFit="1" customWidth="1"/>
    <col min="9460" max="9460" width="4.77734375" style="193" bestFit="1" customWidth="1"/>
    <col min="9461" max="9461" width="4.21875" style="193" bestFit="1" customWidth="1"/>
    <col min="9462" max="9462" width="9.21875" style="193" bestFit="1" customWidth="1"/>
    <col min="9463" max="9463" width="9.21875" style="193" customWidth="1"/>
    <col min="9464" max="9464" width="2.21875" style="193" bestFit="1" customWidth="1"/>
    <col min="9465" max="9465" width="7.21875" style="193" bestFit="1" customWidth="1"/>
    <col min="9466" max="9466" width="2.21875" style="193" bestFit="1" customWidth="1"/>
    <col min="9467" max="9467" width="7.21875" style="193" bestFit="1" customWidth="1"/>
    <col min="9468" max="9468" width="2.21875" style="193" bestFit="1" customWidth="1"/>
    <col min="9469" max="9469" width="7.21875" style="193" bestFit="1" customWidth="1"/>
    <col min="9470" max="9470" width="16.21875" style="193" bestFit="1" customWidth="1"/>
    <col min="9471" max="9471" width="23.21875" style="193" customWidth="1"/>
    <col min="9472" max="9472" width="27.21875" style="193" customWidth="1"/>
    <col min="9473" max="9477" width="8.77734375" style="193"/>
    <col min="9478" max="9478" width="44.77734375" style="193" bestFit="1" customWidth="1"/>
    <col min="9479" max="9704" width="8.77734375" style="193"/>
    <col min="9705" max="9705" width="19.21875" style="193" customWidth="1"/>
    <col min="9706" max="9707" width="8.77734375" style="193"/>
    <col min="9708" max="9708" width="27.21875" style="193" customWidth="1"/>
    <col min="9709" max="9709" width="9.21875" style="193" bestFit="1" customWidth="1"/>
    <col min="9710" max="9710" width="27" style="193" customWidth="1"/>
    <col min="9711" max="9711" width="10.21875" style="193" bestFit="1" customWidth="1"/>
    <col min="9712" max="9712" width="23.21875" style="193" customWidth="1"/>
    <col min="9713" max="9713" width="26.21875" style="193" customWidth="1"/>
    <col min="9714" max="9714" width="9" style="193" bestFit="1" customWidth="1"/>
    <col min="9715" max="9715" width="13.21875" style="193" bestFit="1" customWidth="1"/>
    <col min="9716" max="9716" width="4.77734375" style="193" bestFit="1" customWidth="1"/>
    <col min="9717" max="9717" width="4.21875" style="193" bestFit="1" customWidth="1"/>
    <col min="9718" max="9718" width="9.21875" style="193" bestFit="1" customWidth="1"/>
    <col min="9719" max="9719" width="9.21875" style="193" customWidth="1"/>
    <col min="9720" max="9720" width="2.21875" style="193" bestFit="1" customWidth="1"/>
    <col min="9721" max="9721" width="7.21875" style="193" bestFit="1" customWidth="1"/>
    <col min="9722" max="9722" width="2.21875" style="193" bestFit="1" customWidth="1"/>
    <col min="9723" max="9723" width="7.21875" style="193" bestFit="1" customWidth="1"/>
    <col min="9724" max="9724" width="2.21875" style="193" bestFit="1" customWidth="1"/>
    <col min="9725" max="9725" width="7.21875" style="193" bestFit="1" customWidth="1"/>
    <col min="9726" max="9726" width="16.21875" style="193" bestFit="1" customWidth="1"/>
    <col min="9727" max="9727" width="23.21875" style="193" customWidth="1"/>
    <col min="9728" max="9728" width="27.21875" style="193" customWidth="1"/>
    <col min="9729" max="9733" width="8.77734375" style="193"/>
    <col min="9734" max="9734" width="44.77734375" style="193" bestFit="1" customWidth="1"/>
    <col min="9735" max="9960" width="8.77734375" style="193"/>
    <col min="9961" max="9961" width="19.21875" style="193" customWidth="1"/>
    <col min="9962" max="9963" width="8.77734375" style="193"/>
    <col min="9964" max="9964" width="27.21875" style="193" customWidth="1"/>
    <col min="9965" max="9965" width="9.21875" style="193" bestFit="1" customWidth="1"/>
    <col min="9966" max="9966" width="27" style="193" customWidth="1"/>
    <col min="9967" max="9967" width="10.21875" style="193" bestFit="1" customWidth="1"/>
    <col min="9968" max="9968" width="23.21875" style="193" customWidth="1"/>
    <col min="9969" max="9969" width="26.21875" style="193" customWidth="1"/>
    <col min="9970" max="9970" width="9" style="193" bestFit="1" customWidth="1"/>
    <col min="9971" max="9971" width="13.21875" style="193" bestFit="1" customWidth="1"/>
    <col min="9972" max="9972" width="4.77734375" style="193" bestFit="1" customWidth="1"/>
    <col min="9973" max="9973" width="4.21875" style="193" bestFit="1" customWidth="1"/>
    <col min="9974" max="9974" width="9.21875" style="193" bestFit="1" customWidth="1"/>
    <col min="9975" max="9975" width="9.21875" style="193" customWidth="1"/>
    <col min="9976" max="9976" width="2.21875" style="193" bestFit="1" customWidth="1"/>
    <col min="9977" max="9977" width="7.21875" style="193" bestFit="1" customWidth="1"/>
    <col min="9978" max="9978" width="2.21875" style="193" bestFit="1" customWidth="1"/>
    <col min="9979" max="9979" width="7.21875" style="193" bestFit="1" customWidth="1"/>
    <col min="9980" max="9980" width="2.21875" style="193" bestFit="1" customWidth="1"/>
    <col min="9981" max="9981" width="7.21875" style="193" bestFit="1" customWidth="1"/>
    <col min="9982" max="9982" width="16.21875" style="193" bestFit="1" customWidth="1"/>
    <col min="9983" max="9983" width="23.21875" style="193" customWidth="1"/>
    <col min="9984" max="9984" width="27.21875" style="193" customWidth="1"/>
    <col min="9985" max="9989" width="8.77734375" style="193"/>
    <col min="9990" max="9990" width="44.77734375" style="193" bestFit="1" customWidth="1"/>
    <col min="9991" max="10216" width="8.77734375" style="193"/>
    <col min="10217" max="10217" width="19.21875" style="193" customWidth="1"/>
    <col min="10218" max="10219" width="8.77734375" style="193"/>
    <col min="10220" max="10220" width="27.21875" style="193" customWidth="1"/>
    <col min="10221" max="10221" width="9.21875" style="193" bestFit="1" customWidth="1"/>
    <col min="10222" max="10222" width="27" style="193" customWidth="1"/>
    <col min="10223" max="10223" width="10.21875" style="193" bestFit="1" customWidth="1"/>
    <col min="10224" max="10224" width="23.21875" style="193" customWidth="1"/>
    <col min="10225" max="10225" width="26.21875" style="193" customWidth="1"/>
    <col min="10226" max="10226" width="9" style="193" bestFit="1" customWidth="1"/>
    <col min="10227" max="10227" width="13.21875" style="193" bestFit="1" customWidth="1"/>
    <col min="10228" max="10228" width="4.77734375" style="193" bestFit="1" customWidth="1"/>
    <col min="10229" max="10229" width="4.21875" style="193" bestFit="1" customWidth="1"/>
    <col min="10230" max="10230" width="9.21875" style="193" bestFit="1" customWidth="1"/>
    <col min="10231" max="10231" width="9.21875" style="193" customWidth="1"/>
    <col min="10232" max="10232" width="2.21875" style="193" bestFit="1" customWidth="1"/>
    <col min="10233" max="10233" width="7.21875" style="193" bestFit="1" customWidth="1"/>
    <col min="10234" max="10234" width="2.21875" style="193" bestFit="1" customWidth="1"/>
    <col min="10235" max="10235" width="7.21875" style="193" bestFit="1" customWidth="1"/>
    <col min="10236" max="10236" width="2.21875" style="193" bestFit="1" customWidth="1"/>
    <col min="10237" max="10237" width="7.21875" style="193" bestFit="1" customWidth="1"/>
    <col min="10238" max="10238" width="16.21875" style="193" bestFit="1" customWidth="1"/>
    <col min="10239" max="10239" width="23.21875" style="193" customWidth="1"/>
    <col min="10240" max="10240" width="27.21875" style="193" customWidth="1"/>
    <col min="10241" max="10245" width="8.77734375" style="193"/>
    <col min="10246" max="10246" width="44.77734375" style="193" bestFit="1" customWidth="1"/>
    <col min="10247" max="10472" width="8.77734375" style="193"/>
    <col min="10473" max="10473" width="19.21875" style="193" customWidth="1"/>
    <col min="10474" max="10475" width="8.77734375" style="193"/>
    <col min="10476" max="10476" width="27.21875" style="193" customWidth="1"/>
    <col min="10477" max="10477" width="9.21875" style="193" bestFit="1" customWidth="1"/>
    <col min="10478" max="10478" width="27" style="193" customWidth="1"/>
    <col min="10479" max="10479" width="10.21875" style="193" bestFit="1" customWidth="1"/>
    <col min="10480" max="10480" width="23.21875" style="193" customWidth="1"/>
    <col min="10481" max="10481" width="26.21875" style="193" customWidth="1"/>
    <col min="10482" max="10482" width="9" style="193" bestFit="1" customWidth="1"/>
    <col min="10483" max="10483" width="13.21875" style="193" bestFit="1" customWidth="1"/>
    <col min="10484" max="10484" width="4.77734375" style="193" bestFit="1" customWidth="1"/>
    <col min="10485" max="10485" width="4.21875" style="193" bestFit="1" customWidth="1"/>
    <col min="10486" max="10486" width="9.21875" style="193" bestFit="1" customWidth="1"/>
    <col min="10487" max="10487" width="9.21875" style="193" customWidth="1"/>
    <col min="10488" max="10488" width="2.21875" style="193" bestFit="1" customWidth="1"/>
    <col min="10489" max="10489" width="7.21875" style="193" bestFit="1" customWidth="1"/>
    <col min="10490" max="10490" width="2.21875" style="193" bestFit="1" customWidth="1"/>
    <col min="10491" max="10491" width="7.21875" style="193" bestFit="1" customWidth="1"/>
    <col min="10492" max="10492" width="2.21875" style="193" bestFit="1" customWidth="1"/>
    <col min="10493" max="10493" width="7.21875" style="193" bestFit="1" customWidth="1"/>
    <col min="10494" max="10494" width="16.21875" style="193" bestFit="1" customWidth="1"/>
    <col min="10495" max="10495" width="23.21875" style="193" customWidth="1"/>
    <col min="10496" max="10496" width="27.21875" style="193" customWidth="1"/>
    <col min="10497" max="10501" width="8.77734375" style="193"/>
    <col min="10502" max="10502" width="44.77734375" style="193" bestFit="1" customWidth="1"/>
    <col min="10503" max="10728" width="8.77734375" style="193"/>
    <col min="10729" max="10729" width="19.21875" style="193" customWidth="1"/>
    <col min="10730" max="10731" width="8.77734375" style="193"/>
    <col min="10732" max="10732" width="27.21875" style="193" customWidth="1"/>
    <col min="10733" max="10733" width="9.21875" style="193" bestFit="1" customWidth="1"/>
    <col min="10734" max="10734" width="27" style="193" customWidth="1"/>
    <col min="10735" max="10735" width="10.21875" style="193" bestFit="1" customWidth="1"/>
    <col min="10736" max="10736" width="23.21875" style="193" customWidth="1"/>
    <col min="10737" max="10737" width="26.21875" style="193" customWidth="1"/>
    <col min="10738" max="10738" width="9" style="193" bestFit="1" customWidth="1"/>
    <col min="10739" max="10739" width="13.21875" style="193" bestFit="1" customWidth="1"/>
    <col min="10740" max="10740" width="4.77734375" style="193" bestFit="1" customWidth="1"/>
    <col min="10741" max="10741" width="4.21875" style="193" bestFit="1" customWidth="1"/>
    <col min="10742" max="10742" width="9.21875" style="193" bestFit="1" customWidth="1"/>
    <col min="10743" max="10743" width="9.21875" style="193" customWidth="1"/>
    <col min="10744" max="10744" width="2.21875" style="193" bestFit="1" customWidth="1"/>
    <col min="10745" max="10745" width="7.21875" style="193" bestFit="1" customWidth="1"/>
    <col min="10746" max="10746" width="2.21875" style="193" bestFit="1" customWidth="1"/>
    <col min="10747" max="10747" width="7.21875" style="193" bestFit="1" customWidth="1"/>
    <col min="10748" max="10748" width="2.21875" style="193" bestFit="1" customWidth="1"/>
    <col min="10749" max="10749" width="7.21875" style="193" bestFit="1" customWidth="1"/>
    <col min="10750" max="10750" width="16.21875" style="193" bestFit="1" customWidth="1"/>
    <col min="10751" max="10751" width="23.21875" style="193" customWidth="1"/>
    <col min="10752" max="10752" width="27.21875" style="193" customWidth="1"/>
    <col min="10753" max="10757" width="8.77734375" style="193"/>
    <col min="10758" max="10758" width="44.77734375" style="193" bestFit="1" customWidth="1"/>
    <col min="10759" max="10984" width="8.77734375" style="193"/>
    <col min="10985" max="10985" width="19.21875" style="193" customWidth="1"/>
    <col min="10986" max="10987" width="8.77734375" style="193"/>
    <col min="10988" max="10988" width="27.21875" style="193" customWidth="1"/>
    <col min="10989" max="10989" width="9.21875" style="193" bestFit="1" customWidth="1"/>
    <col min="10990" max="10990" width="27" style="193" customWidth="1"/>
    <col min="10991" max="10991" width="10.21875" style="193" bestFit="1" customWidth="1"/>
    <col min="10992" max="10992" width="23.21875" style="193" customWidth="1"/>
    <col min="10993" max="10993" width="26.21875" style="193" customWidth="1"/>
    <col min="10994" max="10994" width="9" style="193" bestFit="1" customWidth="1"/>
    <col min="10995" max="10995" width="13.21875" style="193" bestFit="1" customWidth="1"/>
    <col min="10996" max="10996" width="4.77734375" style="193" bestFit="1" customWidth="1"/>
    <col min="10997" max="10997" width="4.21875" style="193" bestFit="1" customWidth="1"/>
    <col min="10998" max="10998" width="9.21875" style="193" bestFit="1" customWidth="1"/>
    <col min="10999" max="10999" width="9.21875" style="193" customWidth="1"/>
    <col min="11000" max="11000" width="2.21875" style="193" bestFit="1" customWidth="1"/>
    <col min="11001" max="11001" width="7.21875" style="193" bestFit="1" customWidth="1"/>
    <col min="11002" max="11002" width="2.21875" style="193" bestFit="1" customWidth="1"/>
    <col min="11003" max="11003" width="7.21875" style="193" bestFit="1" customWidth="1"/>
    <col min="11004" max="11004" width="2.21875" style="193" bestFit="1" customWidth="1"/>
    <col min="11005" max="11005" width="7.21875" style="193" bestFit="1" customWidth="1"/>
    <col min="11006" max="11006" width="16.21875" style="193" bestFit="1" customWidth="1"/>
    <col min="11007" max="11007" width="23.21875" style="193" customWidth="1"/>
    <col min="11008" max="11008" width="27.21875" style="193" customWidth="1"/>
    <col min="11009" max="11013" width="8.77734375" style="193"/>
    <col min="11014" max="11014" width="44.77734375" style="193" bestFit="1" customWidth="1"/>
    <col min="11015" max="11240" width="8.77734375" style="193"/>
    <col min="11241" max="11241" width="19.21875" style="193" customWidth="1"/>
    <col min="11242" max="11243" width="8.77734375" style="193"/>
    <col min="11244" max="11244" width="27.21875" style="193" customWidth="1"/>
    <col min="11245" max="11245" width="9.21875" style="193" bestFit="1" customWidth="1"/>
    <col min="11246" max="11246" width="27" style="193" customWidth="1"/>
    <col min="11247" max="11247" width="10.21875" style="193" bestFit="1" customWidth="1"/>
    <col min="11248" max="11248" width="23.21875" style="193" customWidth="1"/>
    <col min="11249" max="11249" width="26.21875" style="193" customWidth="1"/>
    <col min="11250" max="11250" width="9" style="193" bestFit="1" customWidth="1"/>
    <col min="11251" max="11251" width="13.21875" style="193" bestFit="1" customWidth="1"/>
    <col min="11252" max="11252" width="4.77734375" style="193" bestFit="1" customWidth="1"/>
    <col min="11253" max="11253" width="4.21875" style="193" bestFit="1" customWidth="1"/>
    <col min="11254" max="11254" width="9.21875" style="193" bestFit="1" customWidth="1"/>
    <col min="11255" max="11255" width="9.21875" style="193" customWidth="1"/>
    <col min="11256" max="11256" width="2.21875" style="193" bestFit="1" customWidth="1"/>
    <col min="11257" max="11257" width="7.21875" style="193" bestFit="1" customWidth="1"/>
    <col min="11258" max="11258" width="2.21875" style="193" bestFit="1" customWidth="1"/>
    <col min="11259" max="11259" width="7.21875" style="193" bestFit="1" customWidth="1"/>
    <col min="11260" max="11260" width="2.21875" style="193" bestFit="1" customWidth="1"/>
    <col min="11261" max="11261" width="7.21875" style="193" bestFit="1" customWidth="1"/>
    <col min="11262" max="11262" width="16.21875" style="193" bestFit="1" customWidth="1"/>
    <col min="11263" max="11263" width="23.21875" style="193" customWidth="1"/>
    <col min="11264" max="11264" width="27.21875" style="193" customWidth="1"/>
    <col min="11265" max="11269" width="8.77734375" style="193"/>
    <col min="11270" max="11270" width="44.77734375" style="193" bestFit="1" customWidth="1"/>
    <col min="11271" max="11496" width="8.77734375" style="193"/>
    <col min="11497" max="11497" width="19.21875" style="193" customWidth="1"/>
    <col min="11498" max="11499" width="8.77734375" style="193"/>
    <col min="11500" max="11500" width="27.21875" style="193" customWidth="1"/>
    <col min="11501" max="11501" width="9.21875" style="193" bestFit="1" customWidth="1"/>
    <col min="11502" max="11502" width="27" style="193" customWidth="1"/>
    <col min="11503" max="11503" width="10.21875" style="193" bestFit="1" customWidth="1"/>
    <col min="11504" max="11504" width="23.21875" style="193" customWidth="1"/>
    <col min="11505" max="11505" width="26.21875" style="193" customWidth="1"/>
    <col min="11506" max="11506" width="9" style="193" bestFit="1" customWidth="1"/>
    <col min="11507" max="11507" width="13.21875" style="193" bestFit="1" customWidth="1"/>
    <col min="11508" max="11508" width="4.77734375" style="193" bestFit="1" customWidth="1"/>
    <col min="11509" max="11509" width="4.21875" style="193" bestFit="1" customWidth="1"/>
    <col min="11510" max="11510" width="9.21875" style="193" bestFit="1" customWidth="1"/>
    <col min="11511" max="11511" width="9.21875" style="193" customWidth="1"/>
    <col min="11512" max="11512" width="2.21875" style="193" bestFit="1" customWidth="1"/>
    <col min="11513" max="11513" width="7.21875" style="193" bestFit="1" customWidth="1"/>
    <col min="11514" max="11514" width="2.21875" style="193" bestFit="1" customWidth="1"/>
    <col min="11515" max="11515" width="7.21875" style="193" bestFit="1" customWidth="1"/>
    <col min="11516" max="11516" width="2.21875" style="193" bestFit="1" customWidth="1"/>
    <col min="11517" max="11517" width="7.21875" style="193" bestFit="1" customWidth="1"/>
    <col min="11518" max="11518" width="16.21875" style="193" bestFit="1" customWidth="1"/>
    <col min="11519" max="11519" width="23.21875" style="193" customWidth="1"/>
    <col min="11520" max="11520" width="27.21875" style="193" customWidth="1"/>
    <col min="11521" max="11525" width="8.77734375" style="193"/>
    <col min="11526" max="11526" width="44.77734375" style="193" bestFit="1" customWidth="1"/>
    <col min="11527" max="11752" width="8.77734375" style="193"/>
    <col min="11753" max="11753" width="19.21875" style="193" customWidth="1"/>
    <col min="11754" max="11755" width="8.77734375" style="193"/>
    <col min="11756" max="11756" width="27.21875" style="193" customWidth="1"/>
    <col min="11757" max="11757" width="9.21875" style="193" bestFit="1" customWidth="1"/>
    <col min="11758" max="11758" width="27" style="193" customWidth="1"/>
    <col min="11759" max="11759" width="10.21875" style="193" bestFit="1" customWidth="1"/>
    <col min="11760" max="11760" width="23.21875" style="193" customWidth="1"/>
    <col min="11761" max="11761" width="26.21875" style="193" customWidth="1"/>
    <col min="11762" max="11762" width="9" style="193" bestFit="1" customWidth="1"/>
    <col min="11763" max="11763" width="13.21875" style="193" bestFit="1" customWidth="1"/>
    <col min="11764" max="11764" width="4.77734375" style="193" bestFit="1" customWidth="1"/>
    <col min="11765" max="11765" width="4.21875" style="193" bestFit="1" customWidth="1"/>
    <col min="11766" max="11766" width="9.21875" style="193" bestFit="1" customWidth="1"/>
    <col min="11767" max="11767" width="9.21875" style="193" customWidth="1"/>
    <col min="11768" max="11768" width="2.21875" style="193" bestFit="1" customWidth="1"/>
    <col min="11769" max="11769" width="7.21875" style="193" bestFit="1" customWidth="1"/>
    <col min="11770" max="11770" width="2.21875" style="193" bestFit="1" customWidth="1"/>
    <col min="11771" max="11771" width="7.21875" style="193" bestFit="1" customWidth="1"/>
    <col min="11772" max="11772" width="2.21875" style="193" bestFit="1" customWidth="1"/>
    <col min="11773" max="11773" width="7.21875" style="193" bestFit="1" customWidth="1"/>
    <col min="11774" max="11774" width="16.21875" style="193" bestFit="1" customWidth="1"/>
    <col min="11775" max="11775" width="23.21875" style="193" customWidth="1"/>
    <col min="11776" max="11776" width="27.21875" style="193" customWidth="1"/>
    <col min="11777" max="11781" width="8.77734375" style="193"/>
    <col min="11782" max="11782" width="44.77734375" style="193" bestFit="1" customWidth="1"/>
    <col min="11783" max="12008" width="8.77734375" style="193"/>
    <col min="12009" max="12009" width="19.21875" style="193" customWidth="1"/>
    <col min="12010" max="12011" width="8.77734375" style="193"/>
    <col min="12012" max="12012" width="27.21875" style="193" customWidth="1"/>
    <col min="12013" max="12013" width="9.21875" style="193" bestFit="1" customWidth="1"/>
    <col min="12014" max="12014" width="27" style="193" customWidth="1"/>
    <col min="12015" max="12015" width="10.21875" style="193" bestFit="1" customWidth="1"/>
    <col min="12016" max="12016" width="23.21875" style="193" customWidth="1"/>
    <col min="12017" max="12017" width="26.21875" style="193" customWidth="1"/>
    <col min="12018" max="12018" width="9" style="193" bestFit="1" customWidth="1"/>
    <col min="12019" max="12019" width="13.21875" style="193" bestFit="1" customWidth="1"/>
    <col min="12020" max="12020" width="4.77734375" style="193" bestFit="1" customWidth="1"/>
    <col min="12021" max="12021" width="4.21875" style="193" bestFit="1" customWidth="1"/>
    <col min="12022" max="12022" width="9.21875" style="193" bestFit="1" customWidth="1"/>
    <col min="12023" max="12023" width="9.21875" style="193" customWidth="1"/>
    <col min="12024" max="12024" width="2.21875" style="193" bestFit="1" customWidth="1"/>
    <col min="12025" max="12025" width="7.21875" style="193" bestFit="1" customWidth="1"/>
    <col min="12026" max="12026" width="2.21875" style="193" bestFit="1" customWidth="1"/>
    <col min="12027" max="12027" width="7.21875" style="193" bestFit="1" customWidth="1"/>
    <col min="12028" max="12028" width="2.21875" style="193" bestFit="1" customWidth="1"/>
    <col min="12029" max="12029" width="7.21875" style="193" bestFit="1" customWidth="1"/>
    <col min="12030" max="12030" width="16.21875" style="193" bestFit="1" customWidth="1"/>
    <col min="12031" max="12031" width="23.21875" style="193" customWidth="1"/>
    <col min="12032" max="12032" width="27.21875" style="193" customWidth="1"/>
    <col min="12033" max="12037" width="8.77734375" style="193"/>
    <col min="12038" max="12038" width="44.77734375" style="193" bestFit="1" customWidth="1"/>
    <col min="12039" max="12264" width="8.77734375" style="193"/>
    <col min="12265" max="12265" width="19.21875" style="193" customWidth="1"/>
    <col min="12266" max="12267" width="8.77734375" style="193"/>
    <col min="12268" max="12268" width="27.21875" style="193" customWidth="1"/>
    <col min="12269" max="12269" width="9.21875" style="193" bestFit="1" customWidth="1"/>
    <col min="12270" max="12270" width="27" style="193" customWidth="1"/>
    <col min="12271" max="12271" width="10.21875" style="193" bestFit="1" customWidth="1"/>
    <col min="12272" max="12272" width="23.21875" style="193" customWidth="1"/>
    <col min="12273" max="12273" width="26.21875" style="193" customWidth="1"/>
    <col min="12274" max="12274" width="9" style="193" bestFit="1" customWidth="1"/>
    <col min="12275" max="12275" width="13.21875" style="193" bestFit="1" customWidth="1"/>
    <col min="12276" max="12276" width="4.77734375" style="193" bestFit="1" customWidth="1"/>
    <col min="12277" max="12277" width="4.21875" style="193" bestFit="1" customWidth="1"/>
    <col min="12278" max="12278" width="9.21875" style="193" bestFit="1" customWidth="1"/>
    <col min="12279" max="12279" width="9.21875" style="193" customWidth="1"/>
    <col min="12280" max="12280" width="2.21875" style="193" bestFit="1" customWidth="1"/>
    <col min="12281" max="12281" width="7.21875" style="193" bestFit="1" customWidth="1"/>
    <col min="12282" max="12282" width="2.21875" style="193" bestFit="1" customWidth="1"/>
    <col min="12283" max="12283" width="7.21875" style="193" bestFit="1" customWidth="1"/>
    <col min="12284" max="12284" width="2.21875" style="193" bestFit="1" customWidth="1"/>
    <col min="12285" max="12285" width="7.21875" style="193" bestFit="1" customWidth="1"/>
    <col min="12286" max="12286" width="16.21875" style="193" bestFit="1" customWidth="1"/>
    <col min="12287" max="12287" width="23.21875" style="193" customWidth="1"/>
    <col min="12288" max="12288" width="27.21875" style="193" customWidth="1"/>
    <col min="12289" max="12293" width="8.77734375" style="193"/>
    <col min="12294" max="12294" width="44.77734375" style="193" bestFit="1" customWidth="1"/>
    <col min="12295" max="12520" width="8.77734375" style="193"/>
    <col min="12521" max="12521" width="19.21875" style="193" customWidth="1"/>
    <col min="12522" max="12523" width="8.77734375" style="193"/>
    <col min="12524" max="12524" width="27.21875" style="193" customWidth="1"/>
    <col min="12525" max="12525" width="9.21875" style="193" bestFit="1" customWidth="1"/>
    <col min="12526" max="12526" width="27" style="193" customWidth="1"/>
    <col min="12527" max="12527" width="10.21875" style="193" bestFit="1" customWidth="1"/>
    <col min="12528" max="12528" width="23.21875" style="193" customWidth="1"/>
    <col min="12529" max="12529" width="26.21875" style="193" customWidth="1"/>
    <col min="12530" max="12530" width="9" style="193" bestFit="1" customWidth="1"/>
    <col min="12531" max="12531" width="13.21875" style="193" bestFit="1" customWidth="1"/>
    <col min="12532" max="12532" width="4.77734375" style="193" bestFit="1" customWidth="1"/>
    <col min="12533" max="12533" width="4.21875" style="193" bestFit="1" customWidth="1"/>
    <col min="12534" max="12534" width="9.21875" style="193" bestFit="1" customWidth="1"/>
    <col min="12535" max="12535" width="9.21875" style="193" customWidth="1"/>
    <col min="12536" max="12536" width="2.21875" style="193" bestFit="1" customWidth="1"/>
    <col min="12537" max="12537" width="7.21875" style="193" bestFit="1" customWidth="1"/>
    <col min="12538" max="12538" width="2.21875" style="193" bestFit="1" customWidth="1"/>
    <col min="12539" max="12539" width="7.21875" style="193" bestFit="1" customWidth="1"/>
    <col min="12540" max="12540" width="2.21875" style="193" bestFit="1" customWidth="1"/>
    <col min="12541" max="12541" width="7.21875" style="193" bestFit="1" customWidth="1"/>
    <col min="12542" max="12542" width="16.21875" style="193" bestFit="1" customWidth="1"/>
    <col min="12543" max="12543" width="23.21875" style="193" customWidth="1"/>
    <col min="12544" max="12544" width="27.21875" style="193" customWidth="1"/>
    <col min="12545" max="12549" width="8.77734375" style="193"/>
    <col min="12550" max="12550" width="44.77734375" style="193" bestFit="1" customWidth="1"/>
    <col min="12551" max="12776" width="8.77734375" style="193"/>
    <col min="12777" max="12777" width="19.21875" style="193" customWidth="1"/>
    <col min="12778" max="12779" width="8.77734375" style="193"/>
    <col min="12780" max="12780" width="27.21875" style="193" customWidth="1"/>
    <col min="12781" max="12781" width="9.21875" style="193" bestFit="1" customWidth="1"/>
    <col min="12782" max="12782" width="27" style="193" customWidth="1"/>
    <col min="12783" max="12783" width="10.21875" style="193" bestFit="1" customWidth="1"/>
    <col min="12784" max="12784" width="23.21875" style="193" customWidth="1"/>
    <col min="12785" max="12785" width="26.21875" style="193" customWidth="1"/>
    <col min="12786" max="12786" width="9" style="193" bestFit="1" customWidth="1"/>
    <col min="12787" max="12787" width="13.21875" style="193" bestFit="1" customWidth="1"/>
    <col min="12788" max="12788" width="4.77734375" style="193" bestFit="1" customWidth="1"/>
    <col min="12789" max="12789" width="4.21875" style="193" bestFit="1" customWidth="1"/>
    <col min="12790" max="12790" width="9.21875" style="193" bestFit="1" customWidth="1"/>
    <col min="12791" max="12791" width="9.21875" style="193" customWidth="1"/>
    <col min="12792" max="12792" width="2.21875" style="193" bestFit="1" customWidth="1"/>
    <col min="12793" max="12793" width="7.21875" style="193" bestFit="1" customWidth="1"/>
    <col min="12794" max="12794" width="2.21875" style="193" bestFit="1" customWidth="1"/>
    <col min="12795" max="12795" width="7.21875" style="193" bestFit="1" customWidth="1"/>
    <col min="12796" max="12796" width="2.21875" style="193" bestFit="1" customWidth="1"/>
    <col min="12797" max="12797" width="7.21875" style="193" bestFit="1" customWidth="1"/>
    <col min="12798" max="12798" width="16.21875" style="193" bestFit="1" customWidth="1"/>
    <col min="12799" max="12799" width="23.21875" style="193" customWidth="1"/>
    <col min="12800" max="12800" width="27.21875" style="193" customWidth="1"/>
    <col min="12801" max="12805" width="8.77734375" style="193"/>
    <col min="12806" max="12806" width="44.77734375" style="193" bestFit="1" customWidth="1"/>
    <col min="12807" max="13032" width="8.77734375" style="193"/>
    <col min="13033" max="13033" width="19.21875" style="193" customWidth="1"/>
    <col min="13034" max="13035" width="8.77734375" style="193"/>
    <col min="13036" max="13036" width="27.21875" style="193" customWidth="1"/>
    <col min="13037" max="13037" width="9.21875" style="193" bestFit="1" customWidth="1"/>
    <col min="13038" max="13038" width="27" style="193" customWidth="1"/>
    <col min="13039" max="13039" width="10.21875" style="193" bestFit="1" customWidth="1"/>
    <col min="13040" max="13040" width="23.21875" style="193" customWidth="1"/>
    <col min="13041" max="13041" width="26.21875" style="193" customWidth="1"/>
    <col min="13042" max="13042" width="9" style="193" bestFit="1" customWidth="1"/>
    <col min="13043" max="13043" width="13.21875" style="193" bestFit="1" customWidth="1"/>
    <col min="13044" max="13044" width="4.77734375" style="193" bestFit="1" customWidth="1"/>
    <col min="13045" max="13045" width="4.21875" style="193" bestFit="1" customWidth="1"/>
    <col min="13046" max="13046" width="9.21875" style="193" bestFit="1" customWidth="1"/>
    <col min="13047" max="13047" width="9.21875" style="193" customWidth="1"/>
    <col min="13048" max="13048" width="2.21875" style="193" bestFit="1" customWidth="1"/>
    <col min="13049" max="13049" width="7.21875" style="193" bestFit="1" customWidth="1"/>
    <col min="13050" max="13050" width="2.21875" style="193" bestFit="1" customWidth="1"/>
    <col min="13051" max="13051" width="7.21875" style="193" bestFit="1" customWidth="1"/>
    <col min="13052" max="13052" width="2.21875" style="193" bestFit="1" customWidth="1"/>
    <col min="13053" max="13053" width="7.21875" style="193" bestFit="1" customWidth="1"/>
    <col min="13054" max="13054" width="16.21875" style="193" bestFit="1" customWidth="1"/>
    <col min="13055" max="13055" width="23.21875" style="193" customWidth="1"/>
    <col min="13056" max="13056" width="27.21875" style="193" customWidth="1"/>
    <col min="13057" max="13061" width="8.77734375" style="193"/>
    <col min="13062" max="13062" width="44.77734375" style="193" bestFit="1" customWidth="1"/>
    <col min="13063" max="13288" width="8.77734375" style="193"/>
    <col min="13289" max="13289" width="19.21875" style="193" customWidth="1"/>
    <col min="13290" max="13291" width="8.77734375" style="193"/>
    <col min="13292" max="13292" width="27.21875" style="193" customWidth="1"/>
    <col min="13293" max="13293" width="9.21875" style="193" bestFit="1" customWidth="1"/>
    <col min="13294" max="13294" width="27" style="193" customWidth="1"/>
    <col min="13295" max="13295" width="10.21875" style="193" bestFit="1" customWidth="1"/>
    <col min="13296" max="13296" width="23.21875" style="193" customWidth="1"/>
    <col min="13297" max="13297" width="26.21875" style="193" customWidth="1"/>
    <col min="13298" max="13298" width="9" style="193" bestFit="1" customWidth="1"/>
    <col min="13299" max="13299" width="13.21875" style="193" bestFit="1" customWidth="1"/>
    <col min="13300" max="13300" width="4.77734375" style="193" bestFit="1" customWidth="1"/>
    <col min="13301" max="13301" width="4.21875" style="193" bestFit="1" customWidth="1"/>
    <col min="13302" max="13302" width="9.21875" style="193" bestFit="1" customWidth="1"/>
    <col min="13303" max="13303" width="9.21875" style="193" customWidth="1"/>
    <col min="13304" max="13304" width="2.21875" style="193" bestFit="1" customWidth="1"/>
    <col min="13305" max="13305" width="7.21875" style="193" bestFit="1" customWidth="1"/>
    <col min="13306" max="13306" width="2.21875" style="193" bestFit="1" customWidth="1"/>
    <col min="13307" max="13307" width="7.21875" style="193" bestFit="1" customWidth="1"/>
    <col min="13308" max="13308" width="2.21875" style="193" bestFit="1" customWidth="1"/>
    <col min="13309" max="13309" width="7.21875" style="193" bestFit="1" customWidth="1"/>
    <col min="13310" max="13310" width="16.21875" style="193" bestFit="1" customWidth="1"/>
    <col min="13311" max="13311" width="23.21875" style="193" customWidth="1"/>
    <col min="13312" max="13312" width="27.21875" style="193" customWidth="1"/>
    <col min="13313" max="13317" width="8.77734375" style="193"/>
    <col min="13318" max="13318" width="44.77734375" style="193" bestFit="1" customWidth="1"/>
    <col min="13319" max="13544" width="8.77734375" style="193"/>
    <col min="13545" max="13545" width="19.21875" style="193" customWidth="1"/>
    <col min="13546" max="13547" width="8.77734375" style="193"/>
    <col min="13548" max="13548" width="27.21875" style="193" customWidth="1"/>
    <col min="13549" max="13549" width="9.21875" style="193" bestFit="1" customWidth="1"/>
    <col min="13550" max="13550" width="27" style="193" customWidth="1"/>
    <col min="13551" max="13551" width="10.21875" style="193" bestFit="1" customWidth="1"/>
    <col min="13552" max="13552" width="23.21875" style="193" customWidth="1"/>
    <col min="13553" max="13553" width="26.21875" style="193" customWidth="1"/>
    <col min="13554" max="13554" width="9" style="193" bestFit="1" customWidth="1"/>
    <col min="13555" max="13555" width="13.21875" style="193" bestFit="1" customWidth="1"/>
    <col min="13556" max="13556" width="4.77734375" style="193" bestFit="1" customWidth="1"/>
    <col min="13557" max="13557" width="4.21875" style="193" bestFit="1" customWidth="1"/>
    <col min="13558" max="13558" width="9.21875" style="193" bestFit="1" customWidth="1"/>
    <col min="13559" max="13559" width="9.21875" style="193" customWidth="1"/>
    <col min="13560" max="13560" width="2.21875" style="193" bestFit="1" customWidth="1"/>
    <col min="13561" max="13561" width="7.21875" style="193" bestFit="1" customWidth="1"/>
    <col min="13562" max="13562" width="2.21875" style="193" bestFit="1" customWidth="1"/>
    <col min="13563" max="13563" width="7.21875" style="193" bestFit="1" customWidth="1"/>
    <col min="13564" max="13564" width="2.21875" style="193" bestFit="1" customWidth="1"/>
    <col min="13565" max="13565" width="7.21875" style="193" bestFit="1" customWidth="1"/>
    <col min="13566" max="13566" width="16.21875" style="193" bestFit="1" customWidth="1"/>
    <col min="13567" max="13567" width="23.21875" style="193" customWidth="1"/>
    <col min="13568" max="13568" width="27.21875" style="193" customWidth="1"/>
    <col min="13569" max="13573" width="8.77734375" style="193"/>
    <col min="13574" max="13574" width="44.77734375" style="193" bestFit="1" customWidth="1"/>
    <col min="13575" max="13800" width="8.77734375" style="193"/>
    <col min="13801" max="13801" width="19.21875" style="193" customWidth="1"/>
    <col min="13802" max="13803" width="8.77734375" style="193"/>
    <col min="13804" max="13804" width="27.21875" style="193" customWidth="1"/>
    <col min="13805" max="13805" width="9.21875" style="193" bestFit="1" customWidth="1"/>
    <col min="13806" max="13806" width="27" style="193" customWidth="1"/>
    <col min="13807" max="13807" width="10.21875" style="193" bestFit="1" customWidth="1"/>
    <col min="13808" max="13808" width="23.21875" style="193" customWidth="1"/>
    <col min="13809" max="13809" width="26.21875" style="193" customWidth="1"/>
    <col min="13810" max="13810" width="9" style="193" bestFit="1" customWidth="1"/>
    <col min="13811" max="13811" width="13.21875" style="193" bestFit="1" customWidth="1"/>
    <col min="13812" max="13812" width="4.77734375" style="193" bestFit="1" customWidth="1"/>
    <col min="13813" max="13813" width="4.21875" style="193" bestFit="1" customWidth="1"/>
    <col min="13814" max="13814" width="9.21875" style="193" bestFit="1" customWidth="1"/>
    <col min="13815" max="13815" width="9.21875" style="193" customWidth="1"/>
    <col min="13816" max="13816" width="2.21875" style="193" bestFit="1" customWidth="1"/>
    <col min="13817" max="13817" width="7.21875" style="193" bestFit="1" customWidth="1"/>
    <col min="13818" max="13818" width="2.21875" style="193" bestFit="1" customWidth="1"/>
    <col min="13819" max="13819" width="7.21875" style="193" bestFit="1" customWidth="1"/>
    <col min="13820" max="13820" width="2.21875" style="193" bestFit="1" customWidth="1"/>
    <col min="13821" max="13821" width="7.21875" style="193" bestFit="1" customWidth="1"/>
    <col min="13822" max="13822" width="16.21875" style="193" bestFit="1" customWidth="1"/>
    <col min="13823" max="13823" width="23.21875" style="193" customWidth="1"/>
    <col min="13824" max="13824" width="27.21875" style="193" customWidth="1"/>
    <col min="13825" max="13829" width="8.77734375" style="193"/>
    <col min="13830" max="13830" width="44.77734375" style="193" bestFit="1" customWidth="1"/>
    <col min="13831" max="14056" width="8.77734375" style="193"/>
    <col min="14057" max="14057" width="19.21875" style="193" customWidth="1"/>
    <col min="14058" max="14059" width="8.77734375" style="193"/>
    <col min="14060" max="14060" width="27.21875" style="193" customWidth="1"/>
    <col min="14061" max="14061" width="9.21875" style="193" bestFit="1" customWidth="1"/>
    <col min="14062" max="14062" width="27" style="193" customWidth="1"/>
    <col min="14063" max="14063" width="10.21875" style="193" bestFit="1" customWidth="1"/>
    <col min="14064" max="14064" width="23.21875" style="193" customWidth="1"/>
    <col min="14065" max="14065" width="26.21875" style="193" customWidth="1"/>
    <col min="14066" max="14066" width="9" style="193" bestFit="1" customWidth="1"/>
    <col min="14067" max="14067" width="13.21875" style="193" bestFit="1" customWidth="1"/>
    <col min="14068" max="14068" width="4.77734375" style="193" bestFit="1" customWidth="1"/>
    <col min="14069" max="14069" width="4.21875" style="193" bestFit="1" customWidth="1"/>
    <col min="14070" max="14070" width="9.21875" style="193" bestFit="1" customWidth="1"/>
    <col min="14071" max="14071" width="9.21875" style="193" customWidth="1"/>
    <col min="14072" max="14072" width="2.21875" style="193" bestFit="1" customWidth="1"/>
    <col min="14073" max="14073" width="7.21875" style="193" bestFit="1" customWidth="1"/>
    <col min="14074" max="14074" width="2.21875" style="193" bestFit="1" customWidth="1"/>
    <col min="14075" max="14075" width="7.21875" style="193" bestFit="1" customWidth="1"/>
    <col min="14076" max="14076" width="2.21875" style="193" bestFit="1" customWidth="1"/>
    <col min="14077" max="14077" width="7.21875" style="193" bestFit="1" customWidth="1"/>
    <col min="14078" max="14078" width="16.21875" style="193" bestFit="1" customWidth="1"/>
    <col min="14079" max="14079" width="23.21875" style="193" customWidth="1"/>
    <col min="14080" max="14080" width="27.21875" style="193" customWidth="1"/>
    <col min="14081" max="14085" width="8.77734375" style="193"/>
    <col min="14086" max="14086" width="44.77734375" style="193" bestFit="1" customWidth="1"/>
    <col min="14087" max="14312" width="8.77734375" style="193"/>
    <col min="14313" max="14313" width="19.21875" style="193" customWidth="1"/>
    <col min="14314" max="14315" width="8.77734375" style="193"/>
    <col min="14316" max="14316" width="27.21875" style="193" customWidth="1"/>
    <col min="14317" max="14317" width="9.21875" style="193" bestFit="1" customWidth="1"/>
    <col min="14318" max="14318" width="27" style="193" customWidth="1"/>
    <col min="14319" max="14319" width="10.21875" style="193" bestFit="1" customWidth="1"/>
    <col min="14320" max="14320" width="23.21875" style="193" customWidth="1"/>
    <col min="14321" max="14321" width="26.21875" style="193" customWidth="1"/>
    <col min="14322" max="14322" width="9" style="193" bestFit="1" customWidth="1"/>
    <col min="14323" max="14323" width="13.21875" style="193" bestFit="1" customWidth="1"/>
    <col min="14324" max="14324" width="4.77734375" style="193" bestFit="1" customWidth="1"/>
    <col min="14325" max="14325" width="4.21875" style="193" bestFit="1" customWidth="1"/>
    <col min="14326" max="14326" width="9.21875" style="193" bestFit="1" customWidth="1"/>
    <col min="14327" max="14327" width="9.21875" style="193" customWidth="1"/>
    <col min="14328" max="14328" width="2.21875" style="193" bestFit="1" customWidth="1"/>
    <col min="14329" max="14329" width="7.21875" style="193" bestFit="1" customWidth="1"/>
    <col min="14330" max="14330" width="2.21875" style="193" bestFit="1" customWidth="1"/>
    <col min="14331" max="14331" width="7.21875" style="193" bestFit="1" customWidth="1"/>
    <col min="14332" max="14332" width="2.21875" style="193" bestFit="1" customWidth="1"/>
    <col min="14333" max="14333" width="7.21875" style="193" bestFit="1" customWidth="1"/>
    <col min="14334" max="14334" width="16.21875" style="193" bestFit="1" customWidth="1"/>
    <col min="14335" max="14335" width="23.21875" style="193" customWidth="1"/>
    <col min="14336" max="14336" width="27.21875" style="193" customWidth="1"/>
    <col min="14337" max="14341" width="8.77734375" style="193"/>
    <col min="14342" max="14342" width="44.77734375" style="193" bestFit="1" customWidth="1"/>
    <col min="14343" max="14568" width="8.77734375" style="193"/>
    <col min="14569" max="14569" width="19.21875" style="193" customWidth="1"/>
    <col min="14570" max="14571" width="8.77734375" style="193"/>
    <col min="14572" max="14572" width="27.21875" style="193" customWidth="1"/>
    <col min="14573" max="14573" width="9.21875" style="193" bestFit="1" customWidth="1"/>
    <col min="14574" max="14574" width="27" style="193" customWidth="1"/>
    <col min="14575" max="14575" width="10.21875" style="193" bestFit="1" customWidth="1"/>
    <col min="14576" max="14576" width="23.21875" style="193" customWidth="1"/>
    <col min="14577" max="14577" width="26.21875" style="193" customWidth="1"/>
    <col min="14578" max="14578" width="9" style="193" bestFit="1" customWidth="1"/>
    <col min="14579" max="14579" width="13.21875" style="193" bestFit="1" customWidth="1"/>
    <col min="14580" max="14580" width="4.77734375" style="193" bestFit="1" customWidth="1"/>
    <col min="14581" max="14581" width="4.21875" style="193" bestFit="1" customWidth="1"/>
    <col min="14582" max="14582" width="9.21875" style="193" bestFit="1" customWidth="1"/>
    <col min="14583" max="14583" width="9.21875" style="193" customWidth="1"/>
    <col min="14584" max="14584" width="2.21875" style="193" bestFit="1" customWidth="1"/>
    <col min="14585" max="14585" width="7.21875" style="193" bestFit="1" customWidth="1"/>
    <col min="14586" max="14586" width="2.21875" style="193" bestFit="1" customWidth="1"/>
    <col min="14587" max="14587" width="7.21875" style="193" bestFit="1" customWidth="1"/>
    <col min="14588" max="14588" width="2.21875" style="193" bestFit="1" customWidth="1"/>
    <col min="14589" max="14589" width="7.21875" style="193" bestFit="1" customWidth="1"/>
    <col min="14590" max="14590" width="16.21875" style="193" bestFit="1" customWidth="1"/>
    <col min="14591" max="14591" width="23.21875" style="193" customWidth="1"/>
    <col min="14592" max="14592" width="27.21875" style="193" customWidth="1"/>
    <col min="14593" max="14597" width="8.77734375" style="193"/>
    <col min="14598" max="14598" width="44.77734375" style="193" bestFit="1" customWidth="1"/>
    <col min="14599" max="14824" width="8.77734375" style="193"/>
    <col min="14825" max="14825" width="19.21875" style="193" customWidth="1"/>
    <col min="14826" max="14827" width="8.77734375" style="193"/>
    <col min="14828" max="14828" width="27.21875" style="193" customWidth="1"/>
    <col min="14829" max="14829" width="9.21875" style="193" bestFit="1" customWidth="1"/>
    <col min="14830" max="14830" width="27" style="193" customWidth="1"/>
    <col min="14831" max="14831" width="10.21875" style="193" bestFit="1" customWidth="1"/>
    <col min="14832" max="14832" width="23.21875" style="193" customWidth="1"/>
    <col min="14833" max="14833" width="26.21875" style="193" customWidth="1"/>
    <col min="14834" max="14834" width="9" style="193" bestFit="1" customWidth="1"/>
    <col min="14835" max="14835" width="13.21875" style="193" bestFit="1" customWidth="1"/>
    <col min="14836" max="14836" width="4.77734375" style="193" bestFit="1" customWidth="1"/>
    <col min="14837" max="14837" width="4.21875" style="193" bestFit="1" customWidth="1"/>
    <col min="14838" max="14838" width="9.21875" style="193" bestFit="1" customWidth="1"/>
    <col min="14839" max="14839" width="9.21875" style="193" customWidth="1"/>
    <col min="14840" max="14840" width="2.21875" style="193" bestFit="1" customWidth="1"/>
    <col min="14841" max="14841" width="7.21875" style="193" bestFit="1" customWidth="1"/>
    <col min="14842" max="14842" width="2.21875" style="193" bestFit="1" customWidth="1"/>
    <col min="14843" max="14843" width="7.21875" style="193" bestFit="1" customWidth="1"/>
    <col min="14844" max="14844" width="2.21875" style="193" bestFit="1" customWidth="1"/>
    <col min="14845" max="14845" width="7.21875" style="193" bestFit="1" customWidth="1"/>
    <col min="14846" max="14846" width="16.21875" style="193" bestFit="1" customWidth="1"/>
    <col min="14847" max="14847" width="23.21875" style="193" customWidth="1"/>
    <col min="14848" max="14848" width="27.21875" style="193" customWidth="1"/>
    <col min="14849" max="14853" width="8.77734375" style="193"/>
    <col min="14854" max="14854" width="44.77734375" style="193" bestFit="1" customWidth="1"/>
    <col min="14855" max="15080" width="8.77734375" style="193"/>
    <col min="15081" max="15081" width="19.21875" style="193" customWidth="1"/>
    <col min="15082" max="15083" width="8.77734375" style="193"/>
    <col min="15084" max="15084" width="27.21875" style="193" customWidth="1"/>
    <col min="15085" max="15085" width="9.21875" style="193" bestFit="1" customWidth="1"/>
    <col min="15086" max="15086" width="27" style="193" customWidth="1"/>
    <col min="15087" max="15087" width="10.21875" style="193" bestFit="1" customWidth="1"/>
    <col min="15088" max="15088" width="23.21875" style="193" customWidth="1"/>
    <col min="15089" max="15089" width="26.21875" style="193" customWidth="1"/>
    <col min="15090" max="15090" width="9" style="193" bestFit="1" customWidth="1"/>
    <col min="15091" max="15091" width="13.21875" style="193" bestFit="1" customWidth="1"/>
    <col min="15092" max="15092" width="4.77734375" style="193" bestFit="1" customWidth="1"/>
    <col min="15093" max="15093" width="4.21875" style="193" bestFit="1" customWidth="1"/>
    <col min="15094" max="15094" width="9.21875" style="193" bestFit="1" customWidth="1"/>
    <col min="15095" max="15095" width="9.21875" style="193" customWidth="1"/>
    <col min="15096" max="15096" width="2.21875" style="193" bestFit="1" customWidth="1"/>
    <col min="15097" max="15097" width="7.21875" style="193" bestFit="1" customWidth="1"/>
    <col min="15098" max="15098" width="2.21875" style="193" bestFit="1" customWidth="1"/>
    <col min="15099" max="15099" width="7.21875" style="193" bestFit="1" customWidth="1"/>
    <col min="15100" max="15100" width="2.21875" style="193" bestFit="1" customWidth="1"/>
    <col min="15101" max="15101" width="7.21875" style="193" bestFit="1" customWidth="1"/>
    <col min="15102" max="15102" width="16.21875" style="193" bestFit="1" customWidth="1"/>
    <col min="15103" max="15103" width="23.21875" style="193" customWidth="1"/>
    <col min="15104" max="15104" width="27.21875" style="193" customWidth="1"/>
    <col min="15105" max="15109" width="8.77734375" style="193"/>
    <col min="15110" max="15110" width="44.77734375" style="193" bestFit="1" customWidth="1"/>
    <col min="15111" max="15336" width="8.77734375" style="193"/>
    <col min="15337" max="15337" width="19.21875" style="193" customWidth="1"/>
    <col min="15338" max="15339" width="8.77734375" style="193"/>
    <col min="15340" max="15340" width="27.21875" style="193" customWidth="1"/>
    <col min="15341" max="15341" width="9.21875" style="193" bestFit="1" customWidth="1"/>
    <col min="15342" max="15342" width="27" style="193" customWidth="1"/>
    <col min="15343" max="15343" width="10.21875" style="193" bestFit="1" customWidth="1"/>
    <col min="15344" max="15344" width="23.21875" style="193" customWidth="1"/>
    <col min="15345" max="15345" width="26.21875" style="193" customWidth="1"/>
    <col min="15346" max="15346" width="9" style="193" bestFit="1" customWidth="1"/>
    <col min="15347" max="15347" width="13.21875" style="193" bestFit="1" customWidth="1"/>
    <col min="15348" max="15348" width="4.77734375" style="193" bestFit="1" customWidth="1"/>
    <col min="15349" max="15349" width="4.21875" style="193" bestFit="1" customWidth="1"/>
    <col min="15350" max="15350" width="9.21875" style="193" bestFit="1" customWidth="1"/>
    <col min="15351" max="15351" width="9.21875" style="193" customWidth="1"/>
    <col min="15352" max="15352" width="2.21875" style="193" bestFit="1" customWidth="1"/>
    <col min="15353" max="15353" width="7.21875" style="193" bestFit="1" customWidth="1"/>
    <col min="15354" max="15354" width="2.21875" style="193" bestFit="1" customWidth="1"/>
    <col min="15355" max="15355" width="7.21875" style="193" bestFit="1" customWidth="1"/>
    <col min="15356" max="15356" width="2.21875" style="193" bestFit="1" customWidth="1"/>
    <col min="15357" max="15357" width="7.21875" style="193" bestFit="1" customWidth="1"/>
    <col min="15358" max="15358" width="16.21875" style="193" bestFit="1" customWidth="1"/>
    <col min="15359" max="15359" width="23.21875" style="193" customWidth="1"/>
    <col min="15360" max="15360" width="27.21875" style="193" customWidth="1"/>
    <col min="15361" max="15365" width="8.77734375" style="193"/>
    <col min="15366" max="15366" width="44.77734375" style="193" bestFit="1" customWidth="1"/>
    <col min="15367" max="15592" width="8.77734375" style="193"/>
    <col min="15593" max="15593" width="19.21875" style="193" customWidth="1"/>
    <col min="15594" max="15595" width="8.77734375" style="193"/>
    <col min="15596" max="15596" width="27.21875" style="193" customWidth="1"/>
    <col min="15597" max="15597" width="9.21875" style="193" bestFit="1" customWidth="1"/>
    <col min="15598" max="15598" width="27" style="193" customWidth="1"/>
    <col min="15599" max="15599" width="10.21875" style="193" bestFit="1" customWidth="1"/>
    <col min="15600" max="15600" width="23.21875" style="193" customWidth="1"/>
    <col min="15601" max="15601" width="26.21875" style="193" customWidth="1"/>
    <col min="15602" max="15602" width="9" style="193" bestFit="1" customWidth="1"/>
    <col min="15603" max="15603" width="13.21875" style="193" bestFit="1" customWidth="1"/>
    <col min="15604" max="15604" width="4.77734375" style="193" bestFit="1" customWidth="1"/>
    <col min="15605" max="15605" width="4.21875" style="193" bestFit="1" customWidth="1"/>
    <col min="15606" max="15606" width="9.21875" style="193" bestFit="1" customWidth="1"/>
    <col min="15607" max="15607" width="9.21875" style="193" customWidth="1"/>
    <col min="15608" max="15608" width="2.21875" style="193" bestFit="1" customWidth="1"/>
    <col min="15609" max="15609" width="7.21875" style="193" bestFit="1" customWidth="1"/>
    <col min="15610" max="15610" width="2.21875" style="193" bestFit="1" customWidth="1"/>
    <col min="15611" max="15611" width="7.21875" style="193" bestFit="1" customWidth="1"/>
    <col min="15612" max="15612" width="2.21875" style="193" bestFit="1" customWidth="1"/>
    <col min="15613" max="15613" width="7.21875" style="193" bestFit="1" customWidth="1"/>
    <col min="15614" max="15614" width="16.21875" style="193" bestFit="1" customWidth="1"/>
    <col min="15615" max="15615" width="23.21875" style="193" customWidth="1"/>
    <col min="15616" max="15616" width="27.21875" style="193" customWidth="1"/>
    <col min="15617" max="15621" width="8.77734375" style="193"/>
    <col min="15622" max="15622" width="44.77734375" style="193" bestFit="1" customWidth="1"/>
    <col min="15623" max="15848" width="8.77734375" style="193"/>
    <col min="15849" max="15849" width="19.21875" style="193" customWidth="1"/>
    <col min="15850" max="15851" width="8.77734375" style="193"/>
    <col min="15852" max="15852" width="27.21875" style="193" customWidth="1"/>
    <col min="15853" max="15853" width="9.21875" style="193" bestFit="1" customWidth="1"/>
    <col min="15854" max="15854" width="27" style="193" customWidth="1"/>
    <col min="15855" max="15855" width="10.21875" style="193" bestFit="1" customWidth="1"/>
    <col min="15856" max="15856" width="23.21875" style="193" customWidth="1"/>
    <col min="15857" max="15857" width="26.21875" style="193" customWidth="1"/>
    <col min="15858" max="15858" width="9" style="193" bestFit="1" customWidth="1"/>
    <col min="15859" max="15859" width="13.21875" style="193" bestFit="1" customWidth="1"/>
    <col min="15860" max="15860" width="4.77734375" style="193" bestFit="1" customWidth="1"/>
    <col min="15861" max="15861" width="4.21875" style="193" bestFit="1" customWidth="1"/>
    <col min="15862" max="15862" width="9.21875" style="193" bestFit="1" customWidth="1"/>
    <col min="15863" max="15863" width="9.21875" style="193" customWidth="1"/>
    <col min="15864" max="15864" width="2.21875" style="193" bestFit="1" customWidth="1"/>
    <col min="15865" max="15865" width="7.21875" style="193" bestFit="1" customWidth="1"/>
    <col min="15866" max="15866" width="2.21875" style="193" bestFit="1" customWidth="1"/>
    <col min="15867" max="15867" width="7.21875" style="193" bestFit="1" customWidth="1"/>
    <col min="15868" max="15868" width="2.21875" style="193" bestFit="1" customWidth="1"/>
    <col min="15869" max="15869" width="7.21875" style="193" bestFit="1" customWidth="1"/>
    <col min="15870" max="15870" width="16.21875" style="193" bestFit="1" customWidth="1"/>
    <col min="15871" max="15871" width="23.21875" style="193" customWidth="1"/>
    <col min="15872" max="15872" width="27.21875" style="193" customWidth="1"/>
    <col min="15873" max="15877" width="8.77734375" style="193"/>
    <col min="15878" max="15878" width="44.77734375" style="193" bestFit="1" customWidth="1"/>
    <col min="15879" max="16104" width="8.77734375" style="193"/>
    <col min="16105" max="16105" width="19.21875" style="193" customWidth="1"/>
    <col min="16106" max="16107" width="8.77734375" style="193"/>
    <col min="16108" max="16108" width="27.21875" style="193" customWidth="1"/>
    <col min="16109" max="16109" width="9.21875" style="193" bestFit="1" customWidth="1"/>
    <col min="16110" max="16110" width="27" style="193" customWidth="1"/>
    <col min="16111" max="16111" width="10.21875" style="193" bestFit="1" customWidth="1"/>
    <col min="16112" max="16112" width="23.21875" style="193" customWidth="1"/>
    <col min="16113" max="16113" width="26.21875" style="193" customWidth="1"/>
    <col min="16114" max="16114" width="9" style="193" bestFit="1" customWidth="1"/>
    <col min="16115" max="16115" width="13.21875" style="193" bestFit="1" customWidth="1"/>
    <col min="16116" max="16116" width="4.77734375" style="193" bestFit="1" customWidth="1"/>
    <col min="16117" max="16117" width="4.21875" style="193" bestFit="1" customWidth="1"/>
    <col min="16118" max="16118" width="9.21875" style="193" bestFit="1" customWidth="1"/>
    <col min="16119" max="16119" width="9.21875" style="193" customWidth="1"/>
    <col min="16120" max="16120" width="2.21875" style="193" bestFit="1" customWidth="1"/>
    <col min="16121" max="16121" width="7.21875" style="193" bestFit="1" customWidth="1"/>
    <col min="16122" max="16122" width="2.21875" style="193" bestFit="1" customWidth="1"/>
    <col min="16123" max="16123" width="7.21875" style="193" bestFit="1" customWidth="1"/>
    <col min="16124" max="16124" width="2.21875" style="193" bestFit="1" customWidth="1"/>
    <col min="16125" max="16125" width="7.21875" style="193" bestFit="1" customWidth="1"/>
    <col min="16126" max="16126" width="16.21875" style="193" bestFit="1" customWidth="1"/>
    <col min="16127" max="16127" width="23.21875" style="193" customWidth="1"/>
    <col min="16128" max="16128" width="27.21875" style="193" customWidth="1"/>
    <col min="16129" max="16133" width="8.77734375" style="193"/>
    <col min="16134" max="16134" width="44.77734375" style="193" bestFit="1" customWidth="1"/>
    <col min="16135" max="16350" width="8.77734375" style="193"/>
    <col min="16351" max="16384" width="9.21875" style="193" customWidth="1"/>
  </cols>
  <sheetData>
    <row r="1" spans="1:9" ht="23.4">
      <c r="A1" s="95" t="s">
        <v>377</v>
      </c>
      <c r="D1" s="1382" t="s">
        <v>381</v>
      </c>
      <c r="E1" s="1382"/>
    </row>
    <row r="2" spans="1:9">
      <c r="A2" s="193"/>
      <c r="B2" s="193"/>
    </row>
    <row r="3" spans="1:9" s="166" customFormat="1" ht="34.200000000000003" customHeight="1">
      <c r="A3" s="162" t="s">
        <v>227</v>
      </c>
      <c r="B3" s="162" t="s">
        <v>145</v>
      </c>
      <c r="C3" s="163" t="s">
        <v>146</v>
      </c>
      <c r="D3" s="164" t="s">
        <v>147</v>
      </c>
      <c r="E3" s="164" t="s">
        <v>148</v>
      </c>
      <c r="F3" s="164" t="s">
        <v>149</v>
      </c>
      <c r="G3" s="165" t="s">
        <v>150</v>
      </c>
      <c r="H3" s="165" t="s">
        <v>93</v>
      </c>
      <c r="I3" s="165" t="s">
        <v>151</v>
      </c>
    </row>
    <row r="4" spans="1:9" s="166" customFormat="1" ht="15" customHeight="1">
      <c r="A4" s="167" t="s">
        <v>41</v>
      </c>
      <c r="B4" s="167" t="s">
        <v>41</v>
      </c>
      <c r="C4" s="167" t="s">
        <v>42</v>
      </c>
      <c r="D4" s="168" t="s">
        <v>152</v>
      </c>
      <c r="E4" s="169" t="s">
        <v>153</v>
      </c>
      <c r="F4" s="170" t="s">
        <v>154</v>
      </c>
      <c r="G4" s="171">
        <v>1.180097</v>
      </c>
      <c r="H4" s="172">
        <v>0.05</v>
      </c>
      <c r="I4" s="168" t="s">
        <v>155</v>
      </c>
    </row>
    <row r="5" spans="1:9" s="166" customFormat="1" ht="15" customHeight="1">
      <c r="A5" s="167" t="s">
        <v>41</v>
      </c>
      <c r="B5" s="167" t="s">
        <v>41</v>
      </c>
      <c r="C5" s="167" t="s">
        <v>42</v>
      </c>
      <c r="D5" s="168" t="s">
        <v>152</v>
      </c>
      <c r="E5" s="169" t="s">
        <v>153</v>
      </c>
      <c r="F5" s="170" t="s">
        <v>156</v>
      </c>
      <c r="G5" s="171">
        <v>521.02</v>
      </c>
      <c r="H5" s="172">
        <v>0.09</v>
      </c>
      <c r="I5" s="168" t="s">
        <v>157</v>
      </c>
    </row>
    <row r="6" spans="1:9" s="166" customFormat="1" ht="15" customHeight="1">
      <c r="A6" s="167" t="s">
        <v>41</v>
      </c>
      <c r="B6" s="167" t="s">
        <v>42</v>
      </c>
      <c r="C6" s="169" t="s">
        <v>158</v>
      </c>
      <c r="D6" s="168" t="s">
        <v>152</v>
      </c>
      <c r="E6" s="169" t="s">
        <v>159</v>
      </c>
      <c r="F6" s="170" t="s">
        <v>160</v>
      </c>
      <c r="G6" s="171">
        <v>113</v>
      </c>
      <c r="H6" s="172">
        <v>0.09</v>
      </c>
      <c r="I6" s="168" t="s">
        <v>157</v>
      </c>
    </row>
    <row r="7" spans="1:9" s="166" customFormat="1" ht="15" customHeight="1">
      <c r="A7" s="167" t="s">
        <v>41</v>
      </c>
      <c r="B7" s="167" t="s">
        <v>42</v>
      </c>
      <c r="C7" s="169" t="s">
        <v>158</v>
      </c>
      <c r="D7" s="168" t="s">
        <v>152</v>
      </c>
      <c r="E7" s="169" t="s">
        <v>161</v>
      </c>
      <c r="F7" s="170" t="s">
        <v>162</v>
      </c>
      <c r="G7" s="171">
        <v>20</v>
      </c>
      <c r="H7" s="172">
        <v>0.09</v>
      </c>
      <c r="I7" s="168" t="s">
        <v>157</v>
      </c>
    </row>
    <row r="8" spans="1:9" s="166" customFormat="1" ht="15" customHeight="1">
      <c r="A8" s="167" t="s">
        <v>41</v>
      </c>
      <c r="B8" s="167" t="s">
        <v>42</v>
      </c>
      <c r="C8" s="169" t="s">
        <v>158</v>
      </c>
      <c r="D8" s="168" t="s">
        <v>152</v>
      </c>
      <c r="E8" s="169" t="s">
        <v>163</v>
      </c>
      <c r="F8" s="170" t="s">
        <v>164</v>
      </c>
      <c r="G8" s="171">
        <v>45</v>
      </c>
      <c r="H8" s="172">
        <v>0.09</v>
      </c>
      <c r="I8" s="168" t="s">
        <v>157</v>
      </c>
    </row>
    <row r="9" spans="1:9" s="166" customFormat="1" ht="15" customHeight="1">
      <c r="A9" s="167" t="s">
        <v>41</v>
      </c>
      <c r="B9" s="167" t="s">
        <v>42</v>
      </c>
      <c r="C9" s="169" t="s">
        <v>165</v>
      </c>
      <c r="D9" s="168" t="s">
        <v>152</v>
      </c>
      <c r="E9" s="169" t="s">
        <v>166</v>
      </c>
      <c r="F9" s="170" t="s">
        <v>167</v>
      </c>
      <c r="G9" s="171">
        <v>6.5392000000000001</v>
      </c>
      <c r="H9" s="172">
        <v>0.05</v>
      </c>
      <c r="I9" s="168" t="s">
        <v>155</v>
      </c>
    </row>
    <row r="10" spans="1:9" s="166" customFormat="1" ht="15" customHeight="1">
      <c r="A10" s="167" t="s">
        <v>41</v>
      </c>
      <c r="B10" s="167" t="s">
        <v>42</v>
      </c>
      <c r="C10" s="169" t="s">
        <v>165</v>
      </c>
      <c r="D10" s="168" t="s">
        <v>152</v>
      </c>
      <c r="E10" s="169" t="s">
        <v>159</v>
      </c>
      <c r="F10" s="170" t="s">
        <v>168</v>
      </c>
      <c r="G10" s="171">
        <v>345.72</v>
      </c>
      <c r="H10" s="172">
        <v>0.09</v>
      </c>
      <c r="I10" s="168" t="s">
        <v>157</v>
      </c>
    </row>
    <row r="11" spans="1:9" s="166" customFormat="1" ht="15" customHeight="1">
      <c r="A11" s="167" t="s">
        <v>41</v>
      </c>
      <c r="B11" s="167" t="s">
        <v>42</v>
      </c>
      <c r="C11" s="169" t="s">
        <v>37</v>
      </c>
      <c r="D11" s="168" t="s">
        <v>152</v>
      </c>
      <c r="E11" s="169" t="s">
        <v>169</v>
      </c>
      <c r="F11" s="170">
        <v>42453</v>
      </c>
      <c r="G11" s="171">
        <v>44</v>
      </c>
      <c r="H11" s="172">
        <v>0.09</v>
      </c>
      <c r="I11" s="168" t="s">
        <v>157</v>
      </c>
    </row>
    <row r="12" spans="1:9" s="166" customFormat="1" ht="15" customHeight="1">
      <c r="A12" s="167" t="s">
        <v>41</v>
      </c>
      <c r="B12" s="167" t="s">
        <v>33</v>
      </c>
      <c r="C12" s="169" t="s">
        <v>158</v>
      </c>
      <c r="D12" s="168" t="s">
        <v>152</v>
      </c>
      <c r="E12" s="169" t="s">
        <v>170</v>
      </c>
      <c r="F12" s="170">
        <v>44295</v>
      </c>
      <c r="G12" s="171">
        <v>41.322000000000003</v>
      </c>
      <c r="H12" s="172">
        <v>0.09</v>
      </c>
      <c r="I12" s="168" t="s">
        <v>157</v>
      </c>
    </row>
    <row r="13" spans="1:9" s="166" customFormat="1" ht="15" customHeight="1">
      <c r="A13" s="167" t="s">
        <v>41</v>
      </c>
      <c r="B13" s="167" t="s">
        <v>33</v>
      </c>
      <c r="C13" s="169" t="s">
        <v>158</v>
      </c>
      <c r="D13" s="168" t="s">
        <v>152</v>
      </c>
      <c r="E13" s="169" t="s">
        <v>171</v>
      </c>
      <c r="F13" s="170">
        <v>44433</v>
      </c>
      <c r="G13" s="171">
        <v>74.534999999999997</v>
      </c>
      <c r="H13" s="172">
        <v>0.09</v>
      </c>
      <c r="I13" s="168" t="s">
        <v>157</v>
      </c>
    </row>
    <row r="14" spans="1:9" s="166" customFormat="1" ht="15" customHeight="1">
      <c r="A14" s="167" t="s">
        <v>41</v>
      </c>
      <c r="B14" s="167" t="s">
        <v>33</v>
      </c>
      <c r="C14" s="169" t="s">
        <v>172</v>
      </c>
      <c r="D14" s="168" t="s">
        <v>152</v>
      </c>
      <c r="E14" s="169" t="s">
        <v>173</v>
      </c>
      <c r="F14" s="170">
        <v>43150</v>
      </c>
      <c r="G14" s="171">
        <v>392</v>
      </c>
      <c r="H14" s="172">
        <v>0.1</v>
      </c>
      <c r="I14" s="168" t="s">
        <v>157</v>
      </c>
    </row>
    <row r="15" spans="1:9" s="166" customFormat="1" ht="15" customHeight="1">
      <c r="A15" s="167" t="s">
        <v>41</v>
      </c>
      <c r="B15" s="167" t="s">
        <v>33</v>
      </c>
      <c r="C15" s="169" t="s">
        <v>172</v>
      </c>
      <c r="D15" s="168" t="s">
        <v>152</v>
      </c>
      <c r="E15" s="169" t="s">
        <v>174</v>
      </c>
      <c r="F15" s="170">
        <v>43245</v>
      </c>
      <c r="G15" s="171">
        <v>213.55070000000001</v>
      </c>
      <c r="H15" s="172">
        <v>0.1</v>
      </c>
      <c r="I15" s="168" t="s">
        <v>157</v>
      </c>
    </row>
    <row r="16" spans="1:9" s="166" customFormat="1" ht="15" customHeight="1">
      <c r="A16" s="167" t="s">
        <v>41</v>
      </c>
      <c r="B16" s="167" t="s">
        <v>33</v>
      </c>
      <c r="C16" s="169" t="s">
        <v>172</v>
      </c>
      <c r="D16" s="168" t="s">
        <v>152</v>
      </c>
      <c r="E16" s="169" t="s">
        <v>175</v>
      </c>
      <c r="F16" s="170">
        <v>43313</v>
      </c>
      <c r="G16" s="171">
        <v>37.519379999999998</v>
      </c>
      <c r="H16" s="172">
        <v>0.1</v>
      </c>
      <c r="I16" s="168" t="s">
        <v>157</v>
      </c>
    </row>
    <row r="17" spans="1:9" s="166" customFormat="1" ht="15" customHeight="1">
      <c r="A17" s="167" t="s">
        <v>41</v>
      </c>
      <c r="B17" s="167" t="s">
        <v>33</v>
      </c>
      <c r="C17" s="169" t="s">
        <v>172</v>
      </c>
      <c r="D17" s="168" t="s">
        <v>152</v>
      </c>
      <c r="E17" s="169" t="s">
        <v>176</v>
      </c>
      <c r="F17" s="170">
        <v>43405</v>
      </c>
      <c r="G17" s="171">
        <v>193.48475999999999</v>
      </c>
      <c r="H17" s="172">
        <v>0.1</v>
      </c>
      <c r="I17" s="168" t="s">
        <v>157</v>
      </c>
    </row>
    <row r="18" spans="1:9" s="166" customFormat="1" ht="15" customHeight="1">
      <c r="A18" s="167" t="s">
        <v>41</v>
      </c>
      <c r="B18" s="167" t="s">
        <v>33</v>
      </c>
      <c r="C18" s="169" t="s">
        <v>172</v>
      </c>
      <c r="D18" s="168" t="s">
        <v>152</v>
      </c>
      <c r="E18" s="169" t="s">
        <v>177</v>
      </c>
      <c r="F18" s="170">
        <v>43440</v>
      </c>
      <c r="G18" s="171">
        <v>193.95249000000001</v>
      </c>
      <c r="H18" s="172">
        <v>0.1</v>
      </c>
      <c r="I18" s="168" t="s">
        <v>157</v>
      </c>
    </row>
    <row r="19" spans="1:9" s="166" customFormat="1" ht="15" customHeight="1">
      <c r="A19" s="167" t="s">
        <v>41</v>
      </c>
      <c r="B19" s="167" t="s">
        <v>33</v>
      </c>
      <c r="C19" s="169" t="s">
        <v>172</v>
      </c>
      <c r="D19" s="168" t="s">
        <v>152</v>
      </c>
      <c r="E19" s="169" t="s">
        <v>178</v>
      </c>
      <c r="F19" s="170">
        <v>43517</v>
      </c>
      <c r="G19" s="171">
        <v>52.252130000000001</v>
      </c>
      <c r="H19" s="172">
        <v>0.1</v>
      </c>
      <c r="I19" s="168" t="s">
        <v>157</v>
      </c>
    </row>
    <row r="20" spans="1:9" s="166" customFormat="1" ht="15" customHeight="1">
      <c r="A20" s="167" t="s">
        <v>41</v>
      </c>
      <c r="B20" s="167" t="s">
        <v>33</v>
      </c>
      <c r="C20" s="169" t="s">
        <v>172</v>
      </c>
      <c r="D20" s="168" t="s">
        <v>152</v>
      </c>
      <c r="E20" s="169" t="s">
        <v>179</v>
      </c>
      <c r="F20" s="170">
        <v>43746</v>
      </c>
      <c r="G20" s="171">
        <v>25.561640000000001</v>
      </c>
      <c r="H20" s="172">
        <v>0.1</v>
      </c>
      <c r="I20" s="168" t="s">
        <v>157</v>
      </c>
    </row>
    <row r="21" spans="1:9" s="166" customFormat="1" ht="15" customHeight="1">
      <c r="A21" s="167" t="s">
        <v>41</v>
      </c>
      <c r="B21" s="167" t="s">
        <v>33</v>
      </c>
      <c r="C21" s="169" t="s">
        <v>172</v>
      </c>
      <c r="D21" s="168" t="s">
        <v>152</v>
      </c>
      <c r="E21" s="169" t="s">
        <v>180</v>
      </c>
      <c r="F21" s="170">
        <v>44484</v>
      </c>
      <c r="G21" s="171">
        <v>51.164380000000001</v>
      </c>
      <c r="H21" s="172">
        <v>0.1</v>
      </c>
      <c r="I21" s="168" t="s">
        <v>157</v>
      </c>
    </row>
    <row r="22" spans="1:9" s="166" customFormat="1" ht="15" customHeight="1">
      <c r="A22" s="167" t="s">
        <v>41</v>
      </c>
      <c r="B22" s="167" t="s">
        <v>33</v>
      </c>
      <c r="C22" s="169" t="s">
        <v>181</v>
      </c>
      <c r="D22" s="168" t="s">
        <v>152</v>
      </c>
      <c r="E22" s="169" t="s">
        <v>182</v>
      </c>
      <c r="F22" s="170">
        <v>43158</v>
      </c>
      <c r="G22" s="171">
        <v>120.57795</v>
      </c>
      <c r="H22" s="172">
        <v>0.1</v>
      </c>
      <c r="I22" s="168" t="s">
        <v>157</v>
      </c>
    </row>
    <row r="23" spans="1:9" s="166" customFormat="1" ht="15" customHeight="1">
      <c r="A23" s="167" t="s">
        <v>41</v>
      </c>
      <c r="B23" s="167" t="s">
        <v>33</v>
      </c>
      <c r="C23" s="169" t="s">
        <v>38</v>
      </c>
      <c r="D23" s="168" t="s">
        <v>152</v>
      </c>
      <c r="E23" s="169" t="s">
        <v>183</v>
      </c>
      <c r="F23" s="170">
        <v>44454</v>
      </c>
      <c r="G23" s="171">
        <v>106</v>
      </c>
      <c r="H23" s="172">
        <v>0.08</v>
      </c>
      <c r="I23" s="168" t="s">
        <v>157</v>
      </c>
    </row>
    <row r="24" spans="1:9" s="166" customFormat="1" ht="15" customHeight="1">
      <c r="A24" s="167" t="s">
        <v>41</v>
      </c>
      <c r="B24" s="167" t="s">
        <v>33</v>
      </c>
      <c r="C24" s="169" t="s">
        <v>38</v>
      </c>
      <c r="D24" s="168" t="s">
        <v>152</v>
      </c>
      <c r="E24" s="169" t="s">
        <v>184</v>
      </c>
      <c r="F24" s="170">
        <v>43892</v>
      </c>
      <c r="G24" s="171">
        <v>25.242999999999999</v>
      </c>
      <c r="H24" s="172">
        <v>6.5000000000000002E-2</v>
      </c>
      <c r="I24" s="168" t="s">
        <v>157</v>
      </c>
    </row>
    <row r="25" spans="1:9" s="166" customFormat="1" ht="15" customHeight="1">
      <c r="A25" s="167" t="s">
        <v>41</v>
      </c>
      <c r="B25" s="167" t="s">
        <v>33</v>
      </c>
      <c r="C25" s="169" t="s">
        <v>38</v>
      </c>
      <c r="D25" s="168" t="s">
        <v>152</v>
      </c>
      <c r="E25" s="169" t="s">
        <v>185</v>
      </c>
      <c r="F25" s="170">
        <v>44166</v>
      </c>
      <c r="G25" s="171">
        <v>14.042</v>
      </c>
      <c r="H25" s="172">
        <v>0.09</v>
      </c>
      <c r="I25" s="168" t="s">
        <v>157</v>
      </c>
    </row>
    <row r="26" spans="1:9" s="166" customFormat="1" ht="15" customHeight="1">
      <c r="A26" s="167" t="s">
        <v>41</v>
      </c>
      <c r="B26" s="167" t="s">
        <v>33</v>
      </c>
      <c r="C26" s="169" t="s">
        <v>38</v>
      </c>
      <c r="D26" s="168" t="s">
        <v>152</v>
      </c>
      <c r="E26" s="169" t="s">
        <v>186</v>
      </c>
      <c r="F26" s="170">
        <v>44166</v>
      </c>
      <c r="G26" s="171">
        <v>152.28299999999999</v>
      </c>
      <c r="H26" s="172">
        <v>0.09</v>
      </c>
      <c r="I26" s="168" t="s">
        <v>157</v>
      </c>
    </row>
    <row r="27" spans="1:9" s="166" customFormat="1" ht="15" customHeight="1">
      <c r="A27" s="167" t="s">
        <v>41</v>
      </c>
      <c r="B27" s="167" t="s">
        <v>33</v>
      </c>
      <c r="C27" s="169" t="s">
        <v>38</v>
      </c>
      <c r="D27" s="168" t="s">
        <v>152</v>
      </c>
      <c r="E27" s="169" t="s">
        <v>187</v>
      </c>
      <c r="F27" s="170">
        <v>44256</v>
      </c>
      <c r="G27" s="171">
        <v>49.847999999999999</v>
      </c>
      <c r="H27" s="172">
        <v>0.09</v>
      </c>
      <c r="I27" s="168" t="s">
        <v>157</v>
      </c>
    </row>
    <row r="28" spans="1:9" s="166" customFormat="1" ht="15" customHeight="1">
      <c r="A28" s="167" t="s">
        <v>41</v>
      </c>
      <c r="B28" s="167" t="s">
        <v>33</v>
      </c>
      <c r="C28" s="169" t="s">
        <v>38</v>
      </c>
      <c r="D28" s="168" t="s">
        <v>152</v>
      </c>
      <c r="E28" s="169" t="s">
        <v>188</v>
      </c>
      <c r="F28" s="170">
        <v>44348</v>
      </c>
      <c r="G28" s="171">
        <v>2.0804299999999998</v>
      </c>
      <c r="H28" s="172">
        <v>0.09</v>
      </c>
      <c r="I28" s="168" t="s">
        <v>157</v>
      </c>
    </row>
    <row r="29" spans="1:9" s="166" customFormat="1" ht="15" customHeight="1">
      <c r="A29" s="167" t="s">
        <v>41</v>
      </c>
      <c r="B29" s="167" t="s">
        <v>33</v>
      </c>
      <c r="C29" s="169" t="s">
        <v>38</v>
      </c>
      <c r="D29" s="168" t="s">
        <v>152</v>
      </c>
      <c r="E29" s="169" t="s">
        <v>189</v>
      </c>
      <c r="F29" s="170">
        <v>44348</v>
      </c>
      <c r="G29" s="171">
        <v>10.881360000000001</v>
      </c>
      <c r="H29" s="172">
        <v>0.09</v>
      </c>
      <c r="I29" s="168" t="s">
        <v>157</v>
      </c>
    </row>
    <row r="30" spans="1:9" s="166" customFormat="1" ht="15" customHeight="1">
      <c r="A30" s="167" t="s">
        <v>41</v>
      </c>
      <c r="B30" s="167" t="s">
        <v>33</v>
      </c>
      <c r="C30" s="169" t="s">
        <v>38</v>
      </c>
      <c r="D30" s="168" t="s">
        <v>152</v>
      </c>
      <c r="E30" s="169" t="s">
        <v>190</v>
      </c>
      <c r="F30" s="170">
        <v>44452</v>
      </c>
      <c r="G30" s="171">
        <v>10.063969999999999</v>
      </c>
      <c r="H30" s="172">
        <v>0.08</v>
      </c>
      <c r="I30" s="168" t="s">
        <v>157</v>
      </c>
    </row>
    <row r="31" spans="1:9" s="166" customFormat="1" ht="15" customHeight="1">
      <c r="A31" s="167" t="s">
        <v>41</v>
      </c>
      <c r="B31" s="167" t="s">
        <v>33</v>
      </c>
      <c r="C31" s="169" t="s">
        <v>38</v>
      </c>
      <c r="D31" s="168" t="s">
        <v>152</v>
      </c>
      <c r="E31" s="169" t="s">
        <v>191</v>
      </c>
      <c r="F31" s="170">
        <v>44452</v>
      </c>
      <c r="G31" s="171">
        <v>20.290590000000002</v>
      </c>
      <c r="H31" s="172">
        <v>0.08</v>
      </c>
      <c r="I31" s="168" t="s">
        <v>157</v>
      </c>
    </row>
    <row r="32" spans="1:9" s="166" customFormat="1" ht="15" customHeight="1">
      <c r="A32" s="167" t="s">
        <v>41</v>
      </c>
      <c r="B32" s="167" t="s">
        <v>33</v>
      </c>
      <c r="C32" s="169" t="s">
        <v>38</v>
      </c>
      <c r="D32" s="168" t="s">
        <v>152</v>
      </c>
      <c r="E32" s="169" t="s">
        <v>192</v>
      </c>
      <c r="F32" s="170">
        <v>44582</v>
      </c>
      <c r="G32" s="171">
        <v>95.315799999999996</v>
      </c>
      <c r="H32" s="172">
        <v>0.08</v>
      </c>
      <c r="I32" s="168" t="s">
        <v>157</v>
      </c>
    </row>
    <row r="33" spans="1:9" s="166" customFormat="1" ht="15" customHeight="1">
      <c r="A33" s="167" t="s">
        <v>41</v>
      </c>
      <c r="B33" s="167" t="s">
        <v>33</v>
      </c>
      <c r="C33" s="169" t="s">
        <v>38</v>
      </c>
      <c r="D33" s="168" t="s">
        <v>152</v>
      </c>
      <c r="E33" s="169" t="s">
        <v>193</v>
      </c>
      <c r="F33" s="170">
        <v>44582</v>
      </c>
      <c r="G33" s="171">
        <v>9.2476400000000005</v>
      </c>
      <c r="H33" s="172">
        <v>0.08</v>
      </c>
      <c r="I33" s="168" t="s">
        <v>157</v>
      </c>
    </row>
    <row r="34" spans="1:9" s="166" customFormat="1" ht="15" customHeight="1">
      <c r="A34" s="167" t="s">
        <v>41</v>
      </c>
      <c r="B34" s="167" t="s">
        <v>33</v>
      </c>
      <c r="C34" s="169" t="s">
        <v>38</v>
      </c>
      <c r="D34" s="168" t="s">
        <v>152</v>
      </c>
      <c r="E34" s="169" t="s">
        <v>194</v>
      </c>
      <c r="F34" s="170">
        <v>44582</v>
      </c>
      <c r="G34" s="171">
        <v>6.0276199999999998</v>
      </c>
      <c r="H34" s="172">
        <v>0.08</v>
      </c>
      <c r="I34" s="168" t="s">
        <v>157</v>
      </c>
    </row>
    <row r="35" spans="1:9" s="166" customFormat="1" ht="15" customHeight="1">
      <c r="A35" s="167" t="s">
        <v>41</v>
      </c>
      <c r="B35" s="167" t="s">
        <v>33</v>
      </c>
      <c r="C35" s="169" t="s">
        <v>38</v>
      </c>
      <c r="D35" s="168" t="s">
        <v>152</v>
      </c>
      <c r="E35" s="169" t="s">
        <v>195</v>
      </c>
      <c r="F35" s="170">
        <v>44420</v>
      </c>
      <c r="G35" s="171">
        <v>6.1</v>
      </c>
      <c r="H35" s="172">
        <v>0.08</v>
      </c>
      <c r="I35" s="168" t="s">
        <v>157</v>
      </c>
    </row>
    <row r="36" spans="1:9" s="166" customFormat="1" ht="15" customHeight="1">
      <c r="A36" s="167" t="s">
        <v>41</v>
      </c>
      <c r="B36" s="167" t="s">
        <v>33</v>
      </c>
      <c r="C36" s="169" t="s">
        <v>38</v>
      </c>
      <c r="D36" s="168" t="s">
        <v>152</v>
      </c>
      <c r="E36" s="169" t="s">
        <v>196</v>
      </c>
      <c r="F36" s="170">
        <v>44271</v>
      </c>
      <c r="G36" s="171">
        <v>25</v>
      </c>
      <c r="H36" s="172">
        <v>0.09</v>
      </c>
      <c r="I36" s="168" t="s">
        <v>157</v>
      </c>
    </row>
    <row r="37" spans="1:9" s="166" customFormat="1" ht="15" customHeight="1">
      <c r="A37" s="167" t="s">
        <v>41</v>
      </c>
      <c r="B37" s="167" t="s">
        <v>33</v>
      </c>
      <c r="C37" s="169" t="s">
        <v>197</v>
      </c>
      <c r="D37" s="168" t="s">
        <v>152</v>
      </c>
      <c r="E37" s="169" t="s">
        <v>198</v>
      </c>
      <c r="F37" s="170">
        <v>43917</v>
      </c>
      <c r="G37" s="171">
        <v>40</v>
      </c>
      <c r="H37" s="172">
        <v>0.09</v>
      </c>
      <c r="I37" s="168" t="s">
        <v>157</v>
      </c>
    </row>
    <row r="38" spans="1:9" s="166" customFormat="1" ht="15" customHeight="1">
      <c r="A38" s="167" t="s">
        <v>41</v>
      </c>
      <c r="B38" s="167" t="s">
        <v>33</v>
      </c>
      <c r="C38" s="169" t="s">
        <v>199</v>
      </c>
      <c r="D38" s="168" t="s">
        <v>152</v>
      </c>
      <c r="E38" s="169" t="s">
        <v>200</v>
      </c>
      <c r="F38" s="170">
        <v>44153</v>
      </c>
      <c r="G38" s="171">
        <v>333.42500000000001</v>
      </c>
      <c r="H38" s="172">
        <v>0.09</v>
      </c>
      <c r="I38" s="168" t="s">
        <v>157</v>
      </c>
    </row>
    <row r="39" spans="1:9" s="166" customFormat="1" ht="15" customHeight="1">
      <c r="A39" s="167" t="s">
        <v>41</v>
      </c>
      <c r="B39" s="167" t="s">
        <v>35</v>
      </c>
      <c r="C39" s="169" t="s">
        <v>158</v>
      </c>
      <c r="D39" s="168" t="s">
        <v>152</v>
      </c>
      <c r="E39" s="169" t="s">
        <v>153</v>
      </c>
      <c r="F39" s="170">
        <v>41613</v>
      </c>
      <c r="G39" s="171">
        <v>44.971049999999998</v>
      </c>
      <c r="H39" s="173">
        <v>0</v>
      </c>
      <c r="I39" s="168" t="s">
        <v>157</v>
      </c>
    </row>
    <row r="40" spans="1:9" s="166" customFormat="1" ht="15" customHeight="1">
      <c r="A40" s="167" t="s">
        <v>41</v>
      </c>
      <c r="B40" s="167" t="s">
        <v>35</v>
      </c>
      <c r="C40" s="169" t="s">
        <v>158</v>
      </c>
      <c r="D40" s="168" t="s">
        <v>152</v>
      </c>
      <c r="E40" s="169" t="s">
        <v>201</v>
      </c>
      <c r="F40" s="170">
        <v>43145</v>
      </c>
      <c r="G40" s="171">
        <v>3.4449999999999998</v>
      </c>
      <c r="H40" s="172">
        <v>0.1</v>
      </c>
      <c r="I40" s="168" t="s">
        <v>157</v>
      </c>
    </row>
    <row r="41" spans="1:9" s="166" customFormat="1" ht="15" customHeight="1">
      <c r="A41" s="167" t="s">
        <v>41</v>
      </c>
      <c r="B41" s="167" t="s">
        <v>35</v>
      </c>
      <c r="C41" s="169" t="s">
        <v>158</v>
      </c>
      <c r="D41" s="168" t="s">
        <v>152</v>
      </c>
      <c r="E41" s="169" t="s">
        <v>202</v>
      </c>
      <c r="F41" s="170">
        <v>43997</v>
      </c>
      <c r="G41" s="171">
        <v>22.5</v>
      </c>
      <c r="H41" s="172">
        <v>0.09</v>
      </c>
      <c r="I41" s="168" t="s">
        <v>157</v>
      </c>
    </row>
    <row r="42" spans="1:9" s="166" customFormat="1" ht="15" customHeight="1">
      <c r="A42" s="167" t="s">
        <v>41</v>
      </c>
      <c r="B42" s="167" t="s">
        <v>35</v>
      </c>
      <c r="C42" s="169" t="s">
        <v>172</v>
      </c>
      <c r="D42" s="168" t="s">
        <v>152</v>
      </c>
      <c r="E42" s="169" t="s">
        <v>203</v>
      </c>
      <c r="F42" s="170">
        <v>43444</v>
      </c>
      <c r="G42" s="171">
        <v>25.31</v>
      </c>
      <c r="H42" s="174">
        <v>0.1</v>
      </c>
      <c r="I42" s="168" t="s">
        <v>157</v>
      </c>
    </row>
    <row r="43" spans="1:9" s="166" customFormat="1" ht="15" customHeight="1">
      <c r="A43" s="167" t="s">
        <v>41</v>
      </c>
      <c r="B43" s="167" t="s">
        <v>35</v>
      </c>
      <c r="C43" s="169" t="s">
        <v>172</v>
      </c>
      <c r="D43" s="168" t="s">
        <v>152</v>
      </c>
      <c r="E43" s="169" t="s">
        <v>204</v>
      </c>
      <c r="F43" s="170">
        <v>43517</v>
      </c>
      <c r="G43" s="171">
        <v>65.585999999999999</v>
      </c>
      <c r="H43" s="174">
        <v>0.1</v>
      </c>
      <c r="I43" s="168" t="s">
        <v>157</v>
      </c>
    </row>
    <row r="44" spans="1:9" s="166" customFormat="1" ht="15" customHeight="1">
      <c r="A44" s="167" t="s">
        <v>41</v>
      </c>
      <c r="B44" s="167" t="s">
        <v>35</v>
      </c>
      <c r="C44" s="169" t="s">
        <v>181</v>
      </c>
      <c r="D44" s="168" t="s">
        <v>152</v>
      </c>
      <c r="E44" s="169" t="s">
        <v>205</v>
      </c>
      <c r="F44" s="170">
        <v>43336</v>
      </c>
      <c r="G44" s="171">
        <v>100</v>
      </c>
      <c r="H44" s="172">
        <v>0.1</v>
      </c>
      <c r="I44" s="168" t="s">
        <v>157</v>
      </c>
    </row>
    <row r="45" spans="1:9" s="166" customFormat="1" ht="15" customHeight="1">
      <c r="A45" s="167" t="s">
        <v>41</v>
      </c>
      <c r="B45" s="167" t="s">
        <v>35</v>
      </c>
      <c r="C45" s="169" t="s">
        <v>181</v>
      </c>
      <c r="D45" s="168" t="s">
        <v>152</v>
      </c>
      <c r="E45" s="169" t="s">
        <v>206</v>
      </c>
      <c r="F45" s="170">
        <v>43398</v>
      </c>
      <c r="G45" s="171">
        <v>196.441</v>
      </c>
      <c r="H45" s="172">
        <v>0.1</v>
      </c>
      <c r="I45" s="168" t="s">
        <v>157</v>
      </c>
    </row>
    <row r="46" spans="1:9" s="166" customFormat="1" ht="15" customHeight="1">
      <c r="A46" s="167" t="s">
        <v>41</v>
      </c>
      <c r="B46" s="167" t="s">
        <v>35</v>
      </c>
      <c r="C46" s="169" t="s">
        <v>181</v>
      </c>
      <c r="D46" s="168" t="s">
        <v>152</v>
      </c>
      <c r="E46" s="169" t="s">
        <v>207</v>
      </c>
      <c r="F46" s="170">
        <v>44473</v>
      </c>
      <c r="G46" s="171">
        <v>115</v>
      </c>
      <c r="H46" s="174">
        <v>0.08</v>
      </c>
      <c r="I46" s="168" t="s">
        <v>157</v>
      </c>
    </row>
    <row r="47" spans="1:9" s="166" customFormat="1" ht="15" customHeight="1">
      <c r="A47" s="167" t="s">
        <v>41</v>
      </c>
      <c r="B47" s="167" t="s">
        <v>181</v>
      </c>
      <c r="C47" s="169" t="s">
        <v>158</v>
      </c>
      <c r="D47" s="168" t="s">
        <v>152</v>
      </c>
      <c r="E47" s="169" t="s">
        <v>208</v>
      </c>
      <c r="F47" s="170">
        <v>42530</v>
      </c>
      <c r="G47" s="171">
        <v>22.36562</v>
      </c>
      <c r="H47" s="172">
        <v>0.1</v>
      </c>
      <c r="I47" s="168" t="s">
        <v>157</v>
      </c>
    </row>
    <row r="48" spans="1:9" s="166" customFormat="1" ht="15" customHeight="1">
      <c r="A48" s="167" t="s">
        <v>41</v>
      </c>
      <c r="B48" s="167" t="s">
        <v>181</v>
      </c>
      <c r="C48" s="169" t="s">
        <v>158</v>
      </c>
      <c r="D48" s="168" t="s">
        <v>152</v>
      </c>
      <c r="E48" s="169" t="s">
        <v>209</v>
      </c>
      <c r="F48" s="170">
        <v>42971</v>
      </c>
      <c r="G48" s="171">
        <v>17.19359</v>
      </c>
      <c r="H48" s="172">
        <v>0.1</v>
      </c>
      <c r="I48" s="168" t="s">
        <v>157</v>
      </c>
    </row>
    <row r="49" spans="1:9" s="166" customFormat="1" ht="15" customHeight="1">
      <c r="A49" s="167" t="s">
        <v>41</v>
      </c>
      <c r="B49" s="167" t="s">
        <v>181</v>
      </c>
      <c r="C49" s="169" t="s">
        <v>158</v>
      </c>
      <c r="D49" s="168" t="s">
        <v>152</v>
      </c>
      <c r="E49" s="169" t="s">
        <v>210</v>
      </c>
      <c r="F49" s="170">
        <v>43118</v>
      </c>
      <c r="G49" s="171">
        <v>12</v>
      </c>
      <c r="H49" s="174">
        <v>0.1</v>
      </c>
      <c r="I49" s="168" t="s">
        <v>157</v>
      </c>
    </row>
    <row r="50" spans="1:9" s="166" customFormat="1" ht="15" customHeight="1">
      <c r="A50" s="167"/>
      <c r="B50" s="167"/>
      <c r="C50" s="169"/>
      <c r="D50" s="168"/>
      <c r="E50" s="169"/>
      <c r="F50" s="170"/>
      <c r="G50" s="171"/>
      <c r="H50" s="174"/>
      <c r="I50" s="168"/>
    </row>
    <row r="51" spans="1:9" s="166" customFormat="1" ht="15" customHeight="1">
      <c r="A51" s="167" t="s">
        <v>43</v>
      </c>
      <c r="B51" s="167" t="s">
        <v>211</v>
      </c>
      <c r="C51" s="169" t="s">
        <v>212</v>
      </c>
      <c r="D51" s="168" t="s">
        <v>213</v>
      </c>
      <c r="E51" s="169" t="s">
        <v>214</v>
      </c>
      <c r="F51" s="170">
        <v>44294</v>
      </c>
      <c r="G51" s="171">
        <v>6</v>
      </c>
      <c r="H51" s="174">
        <v>9.5000000000000001E-2</v>
      </c>
      <c r="I51" s="168" t="s">
        <v>157</v>
      </c>
    </row>
    <row r="52" spans="1:9" s="166" customFormat="1" ht="15" customHeight="1">
      <c r="A52" s="167" t="s">
        <v>43</v>
      </c>
      <c r="B52" s="167" t="s">
        <v>211</v>
      </c>
      <c r="C52" s="169" t="s">
        <v>212</v>
      </c>
      <c r="D52" s="168" t="s">
        <v>213</v>
      </c>
      <c r="E52" s="169" t="s">
        <v>215</v>
      </c>
      <c r="F52" s="170">
        <v>44481</v>
      </c>
      <c r="G52" s="171">
        <v>10</v>
      </c>
      <c r="H52" s="174">
        <v>9.5000000000000001E-2</v>
      </c>
      <c r="I52" s="168" t="s">
        <v>157</v>
      </c>
    </row>
    <row r="53" spans="1:9" s="166" customFormat="1" ht="15" customHeight="1">
      <c r="A53" s="167" t="s">
        <v>43</v>
      </c>
      <c r="B53" s="167" t="s">
        <v>211</v>
      </c>
      <c r="C53" s="169" t="s">
        <v>212</v>
      </c>
      <c r="D53" s="168" t="s">
        <v>213</v>
      </c>
      <c r="E53" s="169" t="s">
        <v>216</v>
      </c>
      <c r="F53" s="170">
        <v>44593</v>
      </c>
      <c r="G53" s="171">
        <v>3</v>
      </c>
      <c r="H53" s="174">
        <v>0.09</v>
      </c>
      <c r="I53" s="168" t="s">
        <v>157</v>
      </c>
    </row>
    <row r="54" spans="1:9" s="166" customFormat="1" ht="15" customHeight="1">
      <c r="A54" s="167"/>
      <c r="B54" s="167"/>
      <c r="C54" s="169"/>
      <c r="D54" s="168"/>
      <c r="E54" s="169"/>
      <c r="F54" s="170"/>
      <c r="G54" s="171"/>
      <c r="H54" s="174"/>
      <c r="I54" s="168"/>
    </row>
    <row r="55" spans="1:9" s="166" customFormat="1" ht="15" customHeight="1">
      <c r="A55" s="167" t="s">
        <v>21</v>
      </c>
      <c r="B55" s="167" t="s">
        <v>21</v>
      </c>
      <c r="C55" s="169" t="s">
        <v>22</v>
      </c>
      <c r="D55" s="168" t="s">
        <v>213</v>
      </c>
      <c r="E55" s="169" t="s">
        <v>217</v>
      </c>
      <c r="F55" s="170" t="s">
        <v>218</v>
      </c>
      <c r="G55" s="171">
        <v>339</v>
      </c>
      <c r="H55" s="174">
        <v>0.09</v>
      </c>
      <c r="I55" s="168" t="s">
        <v>157</v>
      </c>
    </row>
    <row r="56" spans="1:9" s="166" customFormat="1" ht="15" customHeight="1">
      <c r="A56" s="167" t="s">
        <v>21</v>
      </c>
      <c r="B56" s="167" t="s">
        <v>21</v>
      </c>
      <c r="C56" s="169" t="s">
        <v>25</v>
      </c>
      <c r="D56" s="168" t="s">
        <v>213</v>
      </c>
      <c r="E56" s="169" t="s">
        <v>219</v>
      </c>
      <c r="F56" s="170" t="s">
        <v>220</v>
      </c>
      <c r="G56" s="171">
        <v>365</v>
      </c>
      <c r="H56" s="174">
        <v>0.09</v>
      </c>
      <c r="I56" s="168" t="s">
        <v>157</v>
      </c>
    </row>
    <row r="57" spans="1:9" s="166" customFormat="1" ht="15" customHeight="1">
      <c r="A57" s="167" t="s">
        <v>21</v>
      </c>
      <c r="B57" s="167" t="s">
        <v>21</v>
      </c>
      <c r="C57" s="169" t="s">
        <v>23</v>
      </c>
      <c r="D57" s="168" t="s">
        <v>213</v>
      </c>
      <c r="E57" s="169" t="s">
        <v>221</v>
      </c>
      <c r="F57" s="170" t="s">
        <v>222</v>
      </c>
      <c r="G57" s="171">
        <v>6</v>
      </c>
      <c r="H57" s="174">
        <v>0.09</v>
      </c>
      <c r="I57" s="168" t="s">
        <v>157</v>
      </c>
    </row>
    <row r="58" spans="1:9" s="166" customFormat="1" ht="15" customHeight="1">
      <c r="A58" s="167" t="s">
        <v>21</v>
      </c>
      <c r="B58" s="167" t="s">
        <v>21</v>
      </c>
      <c r="C58" s="169" t="s">
        <v>26</v>
      </c>
      <c r="D58" s="168" t="s">
        <v>213</v>
      </c>
      <c r="E58" s="169" t="s">
        <v>223</v>
      </c>
      <c r="F58" s="170" t="s">
        <v>224</v>
      </c>
      <c r="G58" s="171">
        <v>34</v>
      </c>
      <c r="H58" s="174">
        <v>0.09</v>
      </c>
      <c r="I58" s="168" t="s">
        <v>157</v>
      </c>
    </row>
    <row r="59" spans="1:9" s="166" customFormat="1" ht="15" customHeight="1">
      <c r="A59" s="167"/>
      <c r="B59" s="167"/>
      <c r="C59" s="169"/>
      <c r="D59" s="168"/>
      <c r="E59" s="167"/>
      <c r="F59" s="170"/>
      <c r="G59" s="171"/>
      <c r="H59" s="172"/>
      <c r="I59" s="168"/>
    </row>
    <row r="60" spans="1:9" s="181" customFormat="1" ht="15" customHeight="1">
      <c r="A60" s="182" t="s">
        <v>41</v>
      </c>
      <c r="B60" s="182"/>
      <c r="C60" s="182" t="s">
        <v>225</v>
      </c>
      <c r="D60" s="183" t="s">
        <v>213</v>
      </c>
      <c r="E60" s="182"/>
      <c r="F60" s="184"/>
      <c r="G60" s="185">
        <f>SUMIFS($G$4:$G$59,$D$4:$D$59,D60,$I$4:$I$59,I60,$A$4:$A$59,A60)</f>
        <v>0</v>
      </c>
      <c r="H60" s="186"/>
      <c r="I60" s="186" t="s">
        <v>157</v>
      </c>
    </row>
    <row r="61" spans="1:9" s="181" customFormat="1" ht="15" customHeight="1">
      <c r="A61" s="182" t="s">
        <v>41</v>
      </c>
      <c r="B61" s="182"/>
      <c r="C61" s="182" t="s">
        <v>226</v>
      </c>
      <c r="D61" s="183" t="s">
        <v>152</v>
      </c>
      <c r="E61" s="182"/>
      <c r="F61" s="184"/>
      <c r="G61" s="185">
        <f t="shared" ref="G61:G63" si="0">SUMIFS($G$4:$G$59,$D$4:$D$59,D61,$I$4:$I$59,I61,$A$4:$A$59,A61)</f>
        <v>4015.3210999999992</v>
      </c>
      <c r="H61" s="186"/>
      <c r="I61" s="186" t="s">
        <v>157</v>
      </c>
    </row>
    <row r="62" spans="1:9" s="166" customFormat="1">
      <c r="A62" s="195" t="s">
        <v>41</v>
      </c>
      <c r="B62" s="195"/>
      <c r="C62" s="195" t="s">
        <v>14</v>
      </c>
      <c r="D62" s="196"/>
      <c r="E62" s="197"/>
      <c r="F62" s="197"/>
      <c r="G62" s="198">
        <f>SUM(G60:G61)</f>
        <v>4015.3210999999992</v>
      </c>
      <c r="H62" s="199"/>
      <c r="I62" s="200" t="s">
        <v>157</v>
      </c>
    </row>
    <row r="63" spans="1:9" s="181" customFormat="1" ht="15" customHeight="1">
      <c r="A63" s="175" t="s">
        <v>41</v>
      </c>
      <c r="B63" s="175"/>
      <c r="C63" s="176"/>
      <c r="D63" s="177" t="s">
        <v>152</v>
      </c>
      <c r="E63" s="175"/>
      <c r="F63" s="178"/>
      <c r="G63" s="179">
        <f t="shared" si="0"/>
        <v>7.7192970000000001</v>
      </c>
      <c r="H63" s="180"/>
      <c r="I63" s="180" t="s">
        <v>155</v>
      </c>
    </row>
    <row r="64" spans="1:9" s="166" customFormat="1">
      <c r="A64" s="167"/>
      <c r="B64" s="167"/>
      <c r="C64" s="169"/>
      <c r="D64" s="168"/>
      <c r="E64" s="169"/>
      <c r="F64" s="169"/>
      <c r="G64" s="168"/>
      <c r="H64" s="187"/>
      <c r="I64" s="168"/>
    </row>
    <row r="65" spans="1:9" s="181" customFormat="1" ht="15" customHeight="1">
      <c r="A65" s="182" t="s">
        <v>21</v>
      </c>
      <c r="B65" s="182"/>
      <c r="C65" s="182" t="s">
        <v>225</v>
      </c>
      <c r="D65" s="183" t="s">
        <v>213</v>
      </c>
      <c r="E65" s="182"/>
      <c r="F65" s="184"/>
      <c r="G65" s="185">
        <f>SUMIFS($G$4:$G$59,$D$4:$D$59,D65,$I$4:$I$59,I65,$A$4:$A$59,A65)</f>
        <v>744</v>
      </c>
      <c r="H65" s="186"/>
      <c r="I65" s="186" t="s">
        <v>157</v>
      </c>
    </row>
    <row r="66" spans="1:9" s="181" customFormat="1" ht="15" customHeight="1">
      <c r="A66" s="182" t="s">
        <v>21</v>
      </c>
      <c r="B66" s="182"/>
      <c r="C66" s="182" t="s">
        <v>226</v>
      </c>
      <c r="D66" s="183" t="s">
        <v>152</v>
      </c>
      <c r="E66" s="182"/>
      <c r="F66" s="184"/>
      <c r="G66" s="185">
        <f t="shared" ref="G66" si="1">SUMIFS($G$4:$G$59,$D$4:$D$59,D66,$I$4:$I$59,I66,$A$4:$A$59,A66)</f>
        <v>0</v>
      </c>
      <c r="H66" s="186"/>
      <c r="I66" s="186" t="s">
        <v>157</v>
      </c>
    </row>
    <row r="67" spans="1:9" s="166" customFormat="1">
      <c r="A67" s="195" t="s">
        <v>21</v>
      </c>
      <c r="B67" s="195"/>
      <c r="C67" s="195" t="s">
        <v>14</v>
      </c>
      <c r="D67" s="196"/>
      <c r="E67" s="197"/>
      <c r="F67" s="197"/>
      <c r="G67" s="198">
        <f>SUM(G65:G66)</f>
        <v>744</v>
      </c>
      <c r="H67" s="199"/>
      <c r="I67" s="200" t="s">
        <v>157</v>
      </c>
    </row>
    <row r="68" spans="1:9" hidden="1">
      <c r="G68" s="191"/>
    </row>
    <row r="69" spans="1:9">
      <c r="G69" s="191"/>
    </row>
    <row r="70" spans="1:9" s="181" customFormat="1" ht="15" customHeight="1">
      <c r="A70" s="182" t="s">
        <v>43</v>
      </c>
      <c r="B70" s="182"/>
      <c r="C70" s="182" t="s">
        <v>225</v>
      </c>
      <c r="D70" s="183" t="s">
        <v>213</v>
      </c>
      <c r="E70" s="182"/>
      <c r="F70" s="184"/>
      <c r="G70" s="185">
        <f>SUMIFS($G$4:$G$59,$D$4:$D$59,D70,$I$4:$I$59,I70,$A$4:$A$59,A70)</f>
        <v>19</v>
      </c>
      <c r="H70" s="186"/>
      <c r="I70" s="186" t="s">
        <v>157</v>
      </c>
    </row>
    <row r="71" spans="1:9" s="181" customFormat="1" ht="15" customHeight="1">
      <c r="A71" s="182" t="s">
        <v>43</v>
      </c>
      <c r="B71" s="182"/>
      <c r="C71" s="182" t="s">
        <v>226</v>
      </c>
      <c r="D71" s="183" t="s">
        <v>152</v>
      </c>
      <c r="E71" s="182"/>
      <c r="F71" s="184"/>
      <c r="G71" s="185">
        <f t="shared" ref="G71" si="2">SUMIFS($G$4:$G$59,$D$4:$D$59,D71,$I$4:$I$59,I71,$A$4:$A$59,A71)</f>
        <v>0</v>
      </c>
      <c r="H71" s="186"/>
      <c r="I71" s="186" t="s">
        <v>157</v>
      </c>
    </row>
    <row r="72" spans="1:9" s="166" customFormat="1">
      <c r="A72" s="195" t="s">
        <v>43</v>
      </c>
      <c r="B72" s="195"/>
      <c r="C72" s="195" t="s">
        <v>14</v>
      </c>
      <c r="D72" s="196"/>
      <c r="E72" s="197"/>
      <c r="F72" s="197"/>
      <c r="G72" s="198">
        <f>SUM(G70:G71)</f>
        <v>19</v>
      </c>
      <c r="H72" s="199"/>
      <c r="I72" s="200" t="s">
        <v>157</v>
      </c>
    </row>
    <row r="74" spans="1:9" s="181" customFormat="1" ht="15" customHeight="1">
      <c r="A74" s="182" t="s">
        <v>14</v>
      </c>
      <c r="B74" s="182"/>
      <c r="C74" s="182" t="s">
        <v>225</v>
      </c>
      <c r="D74" s="183" t="s">
        <v>213</v>
      </c>
      <c r="E74" s="182"/>
      <c r="F74" s="184"/>
      <c r="G74" s="185">
        <f>G60+G65+G70</f>
        <v>763</v>
      </c>
      <c r="H74" s="186"/>
      <c r="I74" s="186" t="s">
        <v>157</v>
      </c>
    </row>
    <row r="75" spans="1:9" s="181" customFormat="1" ht="15" customHeight="1">
      <c r="A75" s="182"/>
      <c r="B75" s="182"/>
      <c r="C75" s="182" t="s">
        <v>226</v>
      </c>
      <c r="D75" s="183" t="s">
        <v>152</v>
      </c>
      <c r="E75" s="182"/>
      <c r="F75" s="184"/>
      <c r="G75" s="185">
        <f t="shared" ref="G75" si="3">G61+G66+G71</f>
        <v>4015.3210999999992</v>
      </c>
      <c r="H75" s="186"/>
      <c r="I75" s="186" t="s">
        <v>157</v>
      </c>
    </row>
    <row r="76" spans="1:9" s="166" customFormat="1">
      <c r="A76" s="195"/>
      <c r="B76" s="195"/>
      <c r="C76" s="195" t="s">
        <v>14</v>
      </c>
      <c r="D76" s="196"/>
      <c r="E76" s="197"/>
      <c r="F76" s="197"/>
      <c r="G76" s="198">
        <f>SUM(G74:G75)</f>
        <v>4778.3210999999992</v>
      </c>
      <c r="H76" s="199"/>
      <c r="I76" s="200" t="s">
        <v>157</v>
      </c>
    </row>
    <row r="77" spans="1:9" s="181" customFormat="1" ht="15" customHeight="1">
      <c r="A77" s="175"/>
      <c r="B77" s="175"/>
      <c r="C77" s="176"/>
      <c r="D77" s="177" t="s">
        <v>152</v>
      </c>
      <c r="E77" s="175"/>
      <c r="F77" s="178"/>
      <c r="G77" s="179">
        <f>G63+G68+G73</f>
        <v>7.7192970000000001</v>
      </c>
      <c r="H77" s="180"/>
      <c r="I77" s="180" t="s">
        <v>155</v>
      </c>
    </row>
    <row r="78" spans="1:9">
      <c r="G78" s="201">
        <f>SUM(G4:G58)-G76-G77</f>
        <v>-3.5793590313915047E-13</v>
      </c>
      <c r="H78" s="194"/>
    </row>
    <row r="79" spans="1:9">
      <c r="H79" s="194"/>
    </row>
    <row r="80" spans="1:9">
      <c r="H80" s="194"/>
    </row>
    <row r="81" spans="8:8">
      <c r="H81" s="194"/>
    </row>
    <row r="82" spans="8:8">
      <c r="H82" s="194"/>
    </row>
    <row r="83" spans="8:8">
      <c r="H83" s="194"/>
    </row>
    <row r="84" spans="8:8">
      <c r="H84" s="194"/>
    </row>
    <row r="85" spans="8:8">
      <c r="H85" s="194"/>
    </row>
    <row r="86" spans="8:8">
      <c r="H86" s="194"/>
    </row>
    <row r="87" spans="8:8">
      <c r="H87" s="194"/>
    </row>
    <row r="88" spans="8:8">
      <c r="H88" s="194"/>
    </row>
    <row r="89" spans="8:8">
      <c r="H89" s="194"/>
    </row>
    <row r="90" spans="8:8">
      <c r="H90" s="194"/>
    </row>
    <row r="91" spans="8:8">
      <c r="H91" s="187"/>
    </row>
    <row r="92" spans="8:8">
      <c r="H92" s="187"/>
    </row>
    <row r="93" spans="8:8">
      <c r="H93" s="187"/>
    </row>
    <row r="94" spans="8:8">
      <c r="H94" s="187"/>
    </row>
    <row r="95" spans="8:8">
      <c r="H95" s="187"/>
    </row>
    <row r="96" spans="8:8">
      <c r="H96" s="187"/>
    </row>
    <row r="97" spans="8:8">
      <c r="H97" s="187"/>
    </row>
    <row r="98" spans="8:8">
      <c r="H98" s="187"/>
    </row>
    <row r="99" spans="8:8">
      <c r="H99" s="187"/>
    </row>
    <row r="100" spans="8:8">
      <c r="H100" s="187"/>
    </row>
    <row r="101" spans="8:8">
      <c r="H101" s="187"/>
    </row>
    <row r="102" spans="8:8">
      <c r="H102" s="187"/>
    </row>
    <row r="103" spans="8:8">
      <c r="H103" s="187"/>
    </row>
    <row r="104" spans="8:8">
      <c r="H104" s="187"/>
    </row>
    <row r="105" spans="8:8">
      <c r="H105" s="187"/>
    </row>
    <row r="106" spans="8:8">
      <c r="H106" s="187"/>
    </row>
    <row r="107" spans="8:8">
      <c r="H107" s="187"/>
    </row>
    <row r="108" spans="8:8">
      <c r="H108" s="187"/>
    </row>
    <row r="109" spans="8:8">
      <c r="H109" s="187"/>
    </row>
    <row r="110" spans="8:8">
      <c r="H110" s="187"/>
    </row>
    <row r="111" spans="8:8">
      <c r="H111" s="187"/>
    </row>
    <row r="112" spans="8:8">
      <c r="H112" s="187"/>
    </row>
    <row r="113" spans="8:8">
      <c r="H113" s="187"/>
    </row>
    <row r="114" spans="8:8">
      <c r="H114" s="187"/>
    </row>
    <row r="115" spans="8:8">
      <c r="H115" s="187"/>
    </row>
    <row r="116" spans="8:8">
      <c r="H116" s="187"/>
    </row>
    <row r="117" spans="8:8">
      <c r="H117" s="187"/>
    </row>
    <row r="118" spans="8:8">
      <c r="H118" s="187"/>
    </row>
    <row r="119" spans="8:8">
      <c r="H119" s="187"/>
    </row>
    <row r="120" spans="8:8">
      <c r="H120" s="187"/>
    </row>
    <row r="121" spans="8:8">
      <c r="H121" s="187"/>
    </row>
    <row r="122" spans="8:8">
      <c r="H122" s="187"/>
    </row>
    <row r="123" spans="8:8">
      <c r="H123" s="187"/>
    </row>
    <row r="124" spans="8:8">
      <c r="H124" s="187"/>
    </row>
    <row r="125" spans="8:8">
      <c r="H125" s="187"/>
    </row>
    <row r="126" spans="8:8">
      <c r="H126" s="187"/>
    </row>
    <row r="127" spans="8:8">
      <c r="H127" s="187"/>
    </row>
    <row r="128" spans="8:8">
      <c r="H128" s="187"/>
    </row>
    <row r="129" spans="8:8">
      <c r="H129" s="187"/>
    </row>
    <row r="130" spans="8:8">
      <c r="H130" s="187"/>
    </row>
    <row r="131" spans="8:8">
      <c r="H131" s="187"/>
    </row>
    <row r="132" spans="8:8">
      <c r="H132" s="187"/>
    </row>
    <row r="133" spans="8:8">
      <c r="H133" s="187"/>
    </row>
    <row r="134" spans="8:8">
      <c r="H134" s="187"/>
    </row>
    <row r="135" spans="8:8">
      <c r="H135" s="187"/>
    </row>
    <row r="136" spans="8:8">
      <c r="H136" s="187"/>
    </row>
    <row r="137" spans="8:8">
      <c r="H137" s="187"/>
    </row>
  </sheetData>
  <mergeCells count="1">
    <mergeCell ref="D1:E1"/>
  </mergeCells>
  <pageMargins left="0.70866141732283472" right="0.70866141732283472" top="0.74803149606299213" bottom="0.74803149606299213" header="0.31496062992125984" footer="0.31496062992125984"/>
  <pageSetup paperSize="9" scale="39" orientation="landscape" r:id="rId1"/>
  <rowBreaks count="1" manualBreakCount="1">
    <brk id="71" max="16383" man="1"/>
  </rowBreaks>
  <ignoredErrors>
    <ignoredError sqref="G60:G61 G63:G72 G74:G75 G77" unlockedFormula="1"/>
    <ignoredError sqref="G62 G76" formula="1" unlocked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2:F13"/>
  <sheetViews>
    <sheetView showGridLines="0" workbookViewId="0">
      <selection activeCell="B3" sqref="B3"/>
    </sheetView>
  </sheetViews>
  <sheetFormatPr defaultColWidth="8.77734375" defaultRowHeight="30" customHeight="1"/>
  <cols>
    <col min="1" max="1" width="8.77734375" style="98"/>
    <col min="2" max="2" width="31" style="98" customWidth="1"/>
    <col min="3" max="5" width="10.6640625" style="575" customWidth="1"/>
    <col min="6" max="16384" width="8.77734375" style="98"/>
  </cols>
  <sheetData>
    <row r="2" spans="2:6" ht="30" customHeight="1">
      <c r="E2" s="98"/>
      <c r="F2" s="576" t="s">
        <v>414</v>
      </c>
    </row>
    <row r="3" spans="2:6" ht="30" customHeight="1">
      <c r="B3" s="577" t="s">
        <v>416</v>
      </c>
      <c r="C3" s="578" t="s">
        <v>415</v>
      </c>
      <c r="D3" s="578" t="s">
        <v>410</v>
      </c>
      <c r="E3" s="578" t="s">
        <v>411</v>
      </c>
      <c r="F3" s="578" t="s">
        <v>413</v>
      </c>
    </row>
    <row r="4" spans="2:6" ht="30" customHeight="1">
      <c r="B4" s="579" t="s">
        <v>417</v>
      </c>
      <c r="C4" s="580">
        <v>3654.4145821299999</v>
      </c>
      <c r="D4" s="580">
        <v>1457.4773333333333</v>
      </c>
      <c r="E4" s="580">
        <v>2004.0770356580472</v>
      </c>
      <c r="F4" s="580">
        <f>SUM(C4:E4)</f>
        <v>7115.9689511213801</v>
      </c>
    </row>
    <row r="5" spans="2:6" ht="30" customHeight="1">
      <c r="B5" s="98" t="s">
        <v>418</v>
      </c>
      <c r="C5" s="581" t="e">
        <f>-#REF!</f>
        <v>#REF!</v>
      </c>
      <c r="D5" s="581" t="e">
        <f>-#REF!</f>
        <v>#REF!</v>
      </c>
      <c r="E5" s="581" t="e">
        <f>-#REF!</f>
        <v>#REF!</v>
      </c>
      <c r="F5" s="581" t="e">
        <f t="shared" ref="F5:F6" si="0">SUM(C5:E5)</f>
        <v>#REF!</v>
      </c>
    </row>
    <row r="6" spans="2:6" ht="30" customHeight="1" thickBot="1">
      <c r="B6" s="582" t="s">
        <v>412</v>
      </c>
      <c r="C6" s="583" t="e">
        <f>C5-C4</f>
        <v>#REF!</v>
      </c>
      <c r="D6" s="583" t="e">
        <f t="shared" ref="D6:E6" si="1">D5-D4</f>
        <v>#REF!</v>
      </c>
      <c r="E6" s="583" t="e">
        <f t="shared" si="1"/>
        <v>#REF!</v>
      </c>
      <c r="F6" s="583" t="e">
        <f t="shared" si="0"/>
        <v>#REF!</v>
      </c>
    </row>
    <row r="7" spans="2:6" ht="30" customHeight="1" thickTop="1"/>
    <row r="8" spans="2:6" ht="30" customHeight="1">
      <c r="E8" s="98"/>
      <c r="F8" s="576" t="s">
        <v>414</v>
      </c>
    </row>
    <row r="9" spans="2:6" ht="30" customHeight="1">
      <c r="B9" s="577" t="s">
        <v>238</v>
      </c>
      <c r="C9" s="578" t="s">
        <v>415</v>
      </c>
      <c r="D9" s="578" t="s">
        <v>410</v>
      </c>
      <c r="E9" s="578" t="s">
        <v>411</v>
      </c>
      <c r="F9" s="578" t="s">
        <v>413</v>
      </c>
    </row>
    <row r="10" spans="2:6" ht="30" customHeight="1">
      <c r="B10" s="579" t="str">
        <f>B4</f>
        <v>ประมาณการ : 14.03.2022</v>
      </c>
      <c r="C10" s="580">
        <v>3250.1741825178433</v>
      </c>
      <c r="D10" s="580">
        <v>2125.8931667312581</v>
      </c>
      <c r="E10" s="580">
        <v>1931.6423622749651</v>
      </c>
      <c r="F10" s="580">
        <f>SUM(C10:E10)</f>
        <v>7307.7097115240667</v>
      </c>
    </row>
    <row r="11" spans="2:6" ht="30" customHeight="1">
      <c r="B11" s="98" t="str">
        <f t="shared" ref="B11:B12" si="2">B5</f>
        <v>เกิดจริง : Updated 07.06.2022</v>
      </c>
      <c r="C11" s="581" t="e">
        <f>-#REF!</f>
        <v>#REF!</v>
      </c>
      <c r="D11" s="581" t="e">
        <f>-#REF!</f>
        <v>#REF!</v>
      </c>
      <c r="E11" s="581" t="e">
        <f>-#REF!</f>
        <v>#REF!</v>
      </c>
      <c r="F11" s="581" t="e">
        <f t="shared" ref="F11:F12" si="3">SUM(C11:E11)</f>
        <v>#REF!</v>
      </c>
    </row>
    <row r="12" spans="2:6" ht="30" customHeight="1" thickBot="1">
      <c r="B12" s="582" t="str">
        <f t="shared" si="2"/>
        <v>ผลต่าง</v>
      </c>
      <c r="C12" s="583" t="e">
        <f>C11-C10</f>
        <v>#REF!</v>
      </c>
      <c r="D12" s="583" t="e">
        <f t="shared" ref="D12" si="4">D11-D10</f>
        <v>#REF!</v>
      </c>
      <c r="E12" s="583" t="e">
        <f t="shared" ref="E12" si="5">E11-E10</f>
        <v>#REF!</v>
      </c>
      <c r="F12" s="583" t="e">
        <f t="shared" si="3"/>
        <v>#REF!</v>
      </c>
    </row>
    <row r="13" spans="2:6" ht="30" customHeight="1" thickTop="1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79998168889431442"/>
  </sheetPr>
  <dimension ref="A1:AD108"/>
  <sheetViews>
    <sheetView showGridLines="0" zoomScale="50" zoomScaleNormal="50" workbookViewId="0">
      <pane xSplit="5" ySplit="2" topLeftCell="R3" activePane="bottomRight" state="frozen"/>
      <selection pane="topRight" activeCell="F1" sqref="F1"/>
      <selection pane="bottomLeft" activeCell="A3" sqref="A3"/>
      <selection pane="bottomRight" activeCell="AJ104" sqref="AJ104"/>
    </sheetView>
  </sheetViews>
  <sheetFormatPr defaultColWidth="8.6640625" defaultRowHeight="24.75" customHeight="1"/>
  <cols>
    <col min="1" max="1" width="8.6640625" style="405"/>
    <col min="2" max="3" width="3.21875" style="203" customWidth="1"/>
    <col min="4" max="4" width="27" style="203" customWidth="1"/>
    <col min="5" max="5" width="10.6640625" style="204" customWidth="1"/>
    <col min="6" max="17" width="12.77734375" style="205" hidden="1" customWidth="1"/>
    <col min="18" max="18" width="12.77734375" style="205" customWidth="1"/>
    <col min="19" max="19" width="1.21875" style="527" customWidth="1"/>
    <col min="20" max="21" width="11.77734375" style="203" customWidth="1"/>
    <col min="22" max="30" width="18.21875" style="203" customWidth="1"/>
    <col min="31" max="31" width="11" style="203" customWidth="1"/>
    <col min="32" max="16384" width="8.6640625" style="203"/>
  </cols>
  <sheetData>
    <row r="1" spans="1:19" ht="24.75" hidden="1" customHeight="1" thickBot="1">
      <c r="B1" s="476" t="s">
        <v>390</v>
      </c>
      <c r="H1" s="525">
        <f>2000+2175</f>
        <v>4175</v>
      </c>
      <c r="I1" s="476" t="s">
        <v>46</v>
      </c>
    </row>
    <row r="2" spans="1:19" ht="24.75" hidden="1" customHeight="1" thickBot="1">
      <c r="B2" s="1410" t="s">
        <v>114</v>
      </c>
      <c r="C2" s="1411"/>
      <c r="D2" s="1411"/>
      <c r="E2" s="1412"/>
      <c r="F2" s="490" t="s">
        <v>249</v>
      </c>
      <c r="G2" s="490" t="s">
        <v>250</v>
      </c>
      <c r="H2" s="490" t="s">
        <v>251</v>
      </c>
      <c r="I2" s="490" t="s">
        <v>252</v>
      </c>
      <c r="J2" s="490" t="s">
        <v>253</v>
      </c>
      <c r="K2" s="490" t="s">
        <v>254</v>
      </c>
      <c r="L2" s="490" t="s">
        <v>255</v>
      </c>
      <c r="M2" s="490" t="s">
        <v>256</v>
      </c>
      <c r="N2" s="490" t="s">
        <v>257</v>
      </c>
      <c r="O2" s="490" t="s">
        <v>258</v>
      </c>
      <c r="P2" s="490" t="s">
        <v>259</v>
      </c>
      <c r="Q2" s="490" t="s">
        <v>260</v>
      </c>
      <c r="R2" s="207" t="s">
        <v>14</v>
      </c>
      <c r="S2" s="528"/>
    </row>
    <row r="3" spans="1:19" s="208" customFormat="1" ht="24.75" hidden="1" customHeight="1">
      <c r="A3" s="406"/>
      <c r="B3" s="505" t="s">
        <v>231</v>
      </c>
      <c r="C3" s="506"/>
      <c r="D3" s="507"/>
      <c r="E3" s="212">
        <v>-1</v>
      </c>
      <c r="F3" s="364">
        <v>6206.6128912546392</v>
      </c>
      <c r="G3" s="364">
        <f>F14</f>
        <v>7723.40617742225</v>
      </c>
      <c r="H3" s="364">
        <f t="shared" ref="H3:Q3" si="0">G14</f>
        <v>6530.3563561399988</v>
      </c>
      <c r="I3" s="364">
        <f t="shared" si="0"/>
        <v>2558.3203653383835</v>
      </c>
      <c r="J3" s="364">
        <f t="shared" si="0"/>
        <v>4989.9340739775589</v>
      </c>
      <c r="K3" s="364">
        <f t="shared" si="0"/>
        <v>4491.533244727344</v>
      </c>
      <c r="L3" s="364">
        <f t="shared" si="0"/>
        <v>2679.3873064215359</v>
      </c>
      <c r="M3" s="364">
        <f t="shared" si="0"/>
        <v>2751.5721471299103</v>
      </c>
      <c r="N3" s="364">
        <f t="shared" si="0"/>
        <v>2103.8068075606288</v>
      </c>
      <c r="O3" s="364">
        <f t="shared" si="0"/>
        <v>429.62187893131068</v>
      </c>
      <c r="P3" s="364">
        <f t="shared" si="0"/>
        <v>1272.7106023009192</v>
      </c>
      <c r="Q3" s="364">
        <f t="shared" si="0"/>
        <v>2688.4187528409075</v>
      </c>
      <c r="R3" s="365">
        <f>F3</f>
        <v>6206.6128912546392</v>
      </c>
      <c r="S3" s="529"/>
    </row>
    <row r="4" spans="1:19" ht="24.75" hidden="1" customHeight="1">
      <c r="A4" s="405">
        <v>1</v>
      </c>
      <c r="B4" s="508" t="s">
        <v>232</v>
      </c>
      <c r="C4" s="509" t="s">
        <v>233</v>
      </c>
      <c r="D4" s="510"/>
      <c r="F4" s="369">
        <v>5648.8809231360274</v>
      </c>
      <c r="G4" s="369">
        <v>5412.7790818329122</v>
      </c>
      <c r="H4" s="369">
        <v>5638.299485752822</v>
      </c>
      <c r="I4" s="369">
        <v>5966.5694484056285</v>
      </c>
      <c r="J4" s="369">
        <v>6216.2498896393954</v>
      </c>
      <c r="K4" s="369">
        <v>5827.1925228863374</v>
      </c>
      <c r="L4" s="369">
        <v>6462.4098698353264</v>
      </c>
      <c r="M4" s="369">
        <v>5942.3825394092128</v>
      </c>
      <c r="N4" s="369">
        <v>6134.1495309421744</v>
      </c>
      <c r="O4" s="369">
        <v>6247.9279682952165</v>
      </c>
      <c r="P4" s="369">
        <v>6255.0525352941077</v>
      </c>
      <c r="Q4" s="369">
        <v>6371.5891590917336</v>
      </c>
      <c r="R4" s="370">
        <f t="shared" ref="R4:R13" si="1">SUM(F4:Q4)</f>
        <v>72123.482954520892</v>
      </c>
      <c r="S4" s="530"/>
    </row>
    <row r="5" spans="1:19" ht="24.75" hidden="1" customHeight="1">
      <c r="A5" s="405">
        <v>2</v>
      </c>
      <c r="B5" s="511"/>
      <c r="C5" s="509" t="s">
        <v>91</v>
      </c>
      <c r="D5" s="510"/>
      <c r="F5" s="369">
        <v>1667.5999059633332</v>
      </c>
      <c r="G5" s="369">
        <v>1062.2705057033334</v>
      </c>
      <c r="H5" s="369">
        <v>822.00033333333329</v>
      </c>
      <c r="I5" s="503">
        <v>5303.3333333333339</v>
      </c>
      <c r="J5" s="369">
        <v>1416.2703333333332</v>
      </c>
      <c r="K5" s="369">
        <v>1441.2703333333332</v>
      </c>
      <c r="L5" s="369">
        <v>1916.2703333333332</v>
      </c>
      <c r="M5" s="369">
        <v>808.33333333333326</v>
      </c>
      <c r="N5" s="369">
        <v>933.33333333333326</v>
      </c>
      <c r="O5" s="381">
        <v>808.33333333333326</v>
      </c>
      <c r="P5" s="381">
        <v>808.33333333333326</v>
      </c>
      <c r="Q5" s="369">
        <v>754.61833333333323</v>
      </c>
      <c r="R5" s="370">
        <f t="shared" si="1"/>
        <v>17741.966745000002</v>
      </c>
      <c r="S5" s="530"/>
    </row>
    <row r="6" spans="1:19" ht="24.75" hidden="1" customHeight="1" thickBot="1">
      <c r="B6" s="512"/>
      <c r="C6" s="513" t="s">
        <v>234</v>
      </c>
      <c r="D6" s="514"/>
      <c r="E6" s="223">
        <v>-2</v>
      </c>
      <c r="F6" s="375">
        <f>SUM(F4:F5)</f>
        <v>7316.4808290993606</v>
      </c>
      <c r="G6" s="375">
        <f t="shared" ref="G6:Q6" si="2">SUM(G4:G5)</f>
        <v>6475.0495875362458</v>
      </c>
      <c r="H6" s="375">
        <f t="shared" si="2"/>
        <v>6460.2998190861554</v>
      </c>
      <c r="I6" s="375">
        <f t="shared" si="2"/>
        <v>11269.902781738961</v>
      </c>
      <c r="J6" s="375">
        <f t="shared" si="2"/>
        <v>7632.5202229727283</v>
      </c>
      <c r="K6" s="375">
        <f t="shared" si="2"/>
        <v>7268.4628562196704</v>
      </c>
      <c r="L6" s="375">
        <f t="shared" si="2"/>
        <v>8378.6802031686602</v>
      </c>
      <c r="M6" s="375">
        <f t="shared" si="2"/>
        <v>6750.7158727425458</v>
      </c>
      <c r="N6" s="375">
        <f t="shared" si="2"/>
        <v>7067.4828642755074</v>
      </c>
      <c r="O6" s="375">
        <f t="shared" si="2"/>
        <v>7056.2613016285495</v>
      </c>
      <c r="P6" s="375">
        <f t="shared" si="2"/>
        <v>7063.3858686274407</v>
      </c>
      <c r="Q6" s="375">
        <f t="shared" si="2"/>
        <v>7126.2074924250664</v>
      </c>
      <c r="R6" s="376">
        <f t="shared" si="1"/>
        <v>89865.44969952089</v>
      </c>
      <c r="S6" s="531"/>
    </row>
    <row r="7" spans="1:19" ht="24.75" hidden="1" customHeight="1" thickTop="1">
      <c r="A7" s="405">
        <v>3</v>
      </c>
      <c r="B7" s="508" t="s">
        <v>235</v>
      </c>
      <c r="C7" s="515"/>
      <c r="D7" s="516" t="s">
        <v>236</v>
      </c>
      <c r="E7" s="249"/>
      <c r="F7" s="369">
        <v>-3116.6418369190369</v>
      </c>
      <c r="G7" s="369">
        <v>-3135.1838644660493</v>
      </c>
      <c r="H7" s="369">
        <v>-3321.9412791735926</v>
      </c>
      <c r="I7" s="369">
        <v>-3053.2216650864248</v>
      </c>
      <c r="J7" s="369">
        <v>-2754.4550035175148</v>
      </c>
      <c r="K7" s="369">
        <v>-2625.9505324336442</v>
      </c>
      <c r="L7" s="369">
        <v>-2969.451566323356</v>
      </c>
      <c r="M7" s="369">
        <v>-2937.9889509949876</v>
      </c>
      <c r="N7" s="369">
        <v>-2799.4107655375942</v>
      </c>
      <c r="O7" s="369">
        <v>-2779.4421413238251</v>
      </c>
      <c r="P7" s="369">
        <v>-2766.40892507833</v>
      </c>
      <c r="Q7" s="369">
        <v>-2841.7826969795856</v>
      </c>
      <c r="R7" s="379">
        <f t="shared" si="1"/>
        <v>-35101.879227833939</v>
      </c>
      <c r="S7" s="531"/>
    </row>
    <row r="8" spans="1:19" ht="24.75" hidden="1" customHeight="1">
      <c r="A8" s="405">
        <v>4</v>
      </c>
      <c r="B8" s="508"/>
      <c r="C8" s="510"/>
      <c r="D8" s="516" t="s">
        <v>237</v>
      </c>
      <c r="F8" s="369">
        <v>-1047.7750775046648</v>
      </c>
      <c r="G8" s="369">
        <v>-1496.2622883679578</v>
      </c>
      <c r="H8" s="369">
        <v>-2298.5446754200002</v>
      </c>
      <c r="I8" s="369">
        <v>-1871.3440000000001</v>
      </c>
      <c r="J8" s="369">
        <v>-2510.7284963299999</v>
      </c>
      <c r="K8" s="369">
        <v>-1676.6080843300001</v>
      </c>
      <c r="L8" s="369">
        <v>-748.26649233000001</v>
      </c>
      <c r="M8" s="369">
        <v>-370.72149632999998</v>
      </c>
      <c r="N8" s="369">
        <v>-153.06200000000001</v>
      </c>
      <c r="O8" s="369">
        <v>-204.04849999999999</v>
      </c>
      <c r="P8" s="369">
        <v>-165.68799999999999</v>
      </c>
      <c r="Q8" s="369">
        <v>-169.828</v>
      </c>
      <c r="R8" s="370">
        <f t="shared" si="1"/>
        <v>-12712.877110612622</v>
      </c>
      <c r="S8" s="530"/>
    </row>
    <row r="9" spans="1:19" ht="24.75" hidden="1" customHeight="1">
      <c r="A9" s="405">
        <v>5</v>
      </c>
      <c r="B9" s="511"/>
      <c r="C9" s="510"/>
      <c r="D9" s="516" t="s">
        <v>238</v>
      </c>
      <c r="E9" s="228"/>
      <c r="F9" s="369">
        <v>-771.95894728834321</v>
      </c>
      <c r="G9" s="369">
        <v>-2072.8494215572132</v>
      </c>
      <c r="H9" s="369">
        <v>-3437.7193972084633</v>
      </c>
      <c r="I9" s="369">
        <v>-2171.0334470389034</v>
      </c>
      <c r="J9" s="369">
        <v>-2098.4509275640271</v>
      </c>
      <c r="K9" s="369">
        <v>-1973.9728868307557</v>
      </c>
      <c r="L9" s="369">
        <v>-3376.7139970527151</v>
      </c>
      <c r="M9" s="369">
        <v>-3166.0450980351898</v>
      </c>
      <c r="N9" s="369">
        <v>-2662.1976323197819</v>
      </c>
      <c r="O9" s="369">
        <v>-2658.1152654406505</v>
      </c>
      <c r="P9" s="369">
        <v>-2231.7793925279284</v>
      </c>
      <c r="Q9" s="369">
        <v>-2157.1737927387671</v>
      </c>
      <c r="R9" s="370">
        <f t="shared" si="1"/>
        <v>-28778.010205602735</v>
      </c>
      <c r="S9" s="530"/>
    </row>
    <row r="10" spans="1:19" ht="24.75" hidden="1" customHeight="1">
      <c r="A10" s="405">
        <v>6</v>
      </c>
      <c r="B10" s="511"/>
      <c r="C10" s="510"/>
      <c r="D10" s="516" t="s">
        <v>239</v>
      </c>
      <c r="E10" s="228"/>
      <c r="F10" s="381">
        <v>-21.112300000000001</v>
      </c>
      <c r="G10" s="369">
        <v>-111.54995720000001</v>
      </c>
      <c r="H10" s="369">
        <v>-259.04087880000003</v>
      </c>
      <c r="I10" s="369">
        <v>-35.632300000000001</v>
      </c>
      <c r="J10" s="369">
        <v>-104.96120139999999</v>
      </c>
      <c r="K10" s="369">
        <v>-59.789408800000004</v>
      </c>
      <c r="L10" s="381">
        <v>-32.442300000000003</v>
      </c>
      <c r="M10" s="369">
        <v>-201.84087880000004</v>
      </c>
      <c r="N10" s="369">
        <v>-39.570192200000008</v>
      </c>
      <c r="O10" s="369">
        <v>-50.812300000000008</v>
      </c>
      <c r="P10" s="369">
        <v>-118.02087880000002</v>
      </c>
      <c r="Q10" s="369">
        <v>-43.990878800000004</v>
      </c>
      <c r="R10" s="370">
        <f t="shared" si="1"/>
        <v>-1078.7634748000003</v>
      </c>
      <c r="S10" s="530"/>
    </row>
    <row r="11" spans="1:19" ht="24.75" hidden="1" customHeight="1">
      <c r="A11" s="405">
        <v>7</v>
      </c>
      <c r="B11" s="511"/>
      <c r="C11" s="510"/>
      <c r="D11" s="516" t="s">
        <v>386</v>
      </c>
      <c r="E11" s="228"/>
      <c r="F11" s="369">
        <v>-842.19938121970438</v>
      </c>
      <c r="G11" s="369">
        <v>-852.25387722727612</v>
      </c>
      <c r="H11" s="369">
        <v>-1115.0895792857157</v>
      </c>
      <c r="I11" s="369">
        <v>-1707.0576609744567</v>
      </c>
      <c r="J11" s="369">
        <v>-662.32542341140072</v>
      </c>
      <c r="K11" s="369">
        <v>-2744.2878821310778</v>
      </c>
      <c r="L11" s="369">
        <v>-1179.6210067542158</v>
      </c>
      <c r="M11" s="369">
        <v>-721.8847881516507</v>
      </c>
      <c r="N11" s="369">
        <v>-3087.4272028474493</v>
      </c>
      <c r="O11" s="369">
        <v>-520.75437149446577</v>
      </c>
      <c r="P11" s="369">
        <v>-365.78052168119422</v>
      </c>
      <c r="Q11" s="369">
        <v>-3451.6269548372811</v>
      </c>
      <c r="R11" s="370">
        <f t="shared" si="1"/>
        <v>-17250.30865001589</v>
      </c>
      <c r="S11" s="530"/>
    </row>
    <row r="12" spans="1:19" ht="24.75" hidden="1" customHeight="1" thickBot="1">
      <c r="B12" s="517"/>
      <c r="C12" s="518" t="s">
        <v>240</v>
      </c>
      <c r="D12" s="519"/>
      <c r="E12" s="232">
        <v>-3</v>
      </c>
      <c r="F12" s="385">
        <f>SUM(F7:F11)</f>
        <v>-5799.6875429317497</v>
      </c>
      <c r="G12" s="385">
        <f t="shared" ref="G12:R12" si="3">SUM(G7:G11)</f>
        <v>-7668.0994088184971</v>
      </c>
      <c r="H12" s="385">
        <f t="shared" si="3"/>
        <v>-10432.335809887771</v>
      </c>
      <c r="I12" s="385">
        <f t="shared" si="3"/>
        <v>-8838.289073099786</v>
      </c>
      <c r="J12" s="385">
        <f t="shared" si="3"/>
        <v>-8130.9210522229432</v>
      </c>
      <c r="K12" s="385">
        <f t="shared" si="3"/>
        <v>-9080.6087945254785</v>
      </c>
      <c r="L12" s="385">
        <f t="shared" si="3"/>
        <v>-8306.4953624602858</v>
      </c>
      <c r="M12" s="385">
        <f t="shared" si="3"/>
        <v>-7398.4812123118272</v>
      </c>
      <c r="N12" s="385">
        <f t="shared" si="3"/>
        <v>-8741.6677929048255</v>
      </c>
      <c r="O12" s="385">
        <f t="shared" si="3"/>
        <v>-6213.172578258941</v>
      </c>
      <c r="P12" s="385">
        <f t="shared" si="3"/>
        <v>-5647.6777180874524</v>
      </c>
      <c r="Q12" s="385">
        <f t="shared" si="3"/>
        <v>-8664.4023233556345</v>
      </c>
      <c r="R12" s="386">
        <f t="shared" si="3"/>
        <v>-94921.838668865181</v>
      </c>
      <c r="S12" s="531"/>
    </row>
    <row r="13" spans="1:19" ht="24.75" hidden="1" customHeight="1" thickBot="1">
      <c r="B13" s="520"/>
      <c r="C13" s="388" t="s">
        <v>241</v>
      </c>
      <c r="D13" s="521"/>
      <c r="E13" s="238" t="s">
        <v>242</v>
      </c>
      <c r="F13" s="390">
        <f t="shared" ref="F13:Q13" si="4">F6+F12</f>
        <v>1516.7932861676109</v>
      </c>
      <c r="G13" s="390">
        <f t="shared" si="4"/>
        <v>-1193.0498212822513</v>
      </c>
      <c r="H13" s="390">
        <f t="shared" si="4"/>
        <v>-3972.0359908016153</v>
      </c>
      <c r="I13" s="390">
        <f t="shared" si="4"/>
        <v>2431.6137086391755</v>
      </c>
      <c r="J13" s="390">
        <f t="shared" si="4"/>
        <v>-498.40082925021488</v>
      </c>
      <c r="K13" s="390">
        <f t="shared" si="4"/>
        <v>-1812.1459383058082</v>
      </c>
      <c r="L13" s="390">
        <f t="shared" si="4"/>
        <v>72.184840708374395</v>
      </c>
      <c r="M13" s="390">
        <f t="shared" si="4"/>
        <v>-647.76533956928142</v>
      </c>
      <c r="N13" s="390">
        <f t="shared" si="4"/>
        <v>-1674.1849286293182</v>
      </c>
      <c r="O13" s="390">
        <f t="shared" si="4"/>
        <v>843.08872336960849</v>
      </c>
      <c r="P13" s="390">
        <f t="shared" si="4"/>
        <v>1415.7081505399883</v>
      </c>
      <c r="Q13" s="390">
        <f t="shared" si="4"/>
        <v>-1538.1948309305681</v>
      </c>
      <c r="R13" s="391">
        <f t="shared" si="1"/>
        <v>-5056.3889693442998</v>
      </c>
      <c r="S13" s="530"/>
    </row>
    <row r="14" spans="1:19" s="208" customFormat="1" ht="24.75" hidden="1" customHeight="1" thickBot="1">
      <c r="A14" s="406"/>
      <c r="B14" s="522" t="s">
        <v>243</v>
      </c>
      <c r="C14" s="523"/>
      <c r="D14" s="524"/>
      <c r="E14" s="243" t="s">
        <v>244</v>
      </c>
      <c r="F14" s="395">
        <f t="shared" ref="F14:R14" si="5">F3+F13</f>
        <v>7723.40617742225</v>
      </c>
      <c r="G14" s="395">
        <f t="shared" si="5"/>
        <v>6530.3563561399988</v>
      </c>
      <c r="H14" s="395">
        <f t="shared" si="5"/>
        <v>2558.3203653383835</v>
      </c>
      <c r="I14" s="395">
        <f t="shared" si="5"/>
        <v>4989.9340739775589</v>
      </c>
      <c r="J14" s="395">
        <f t="shared" si="5"/>
        <v>4491.533244727344</v>
      </c>
      <c r="K14" s="395">
        <f t="shared" si="5"/>
        <v>2679.3873064215359</v>
      </c>
      <c r="L14" s="395">
        <f t="shared" si="5"/>
        <v>2751.5721471299103</v>
      </c>
      <c r="M14" s="395">
        <f t="shared" si="5"/>
        <v>2103.8068075606288</v>
      </c>
      <c r="N14" s="395">
        <f t="shared" si="5"/>
        <v>429.62187893131068</v>
      </c>
      <c r="O14" s="395">
        <f t="shared" si="5"/>
        <v>1272.7106023009192</v>
      </c>
      <c r="P14" s="395">
        <f t="shared" si="5"/>
        <v>2688.4187528409075</v>
      </c>
      <c r="Q14" s="395">
        <f t="shared" si="5"/>
        <v>1150.2239219103394</v>
      </c>
      <c r="R14" s="504">
        <f t="shared" si="5"/>
        <v>1150.2239219103394</v>
      </c>
      <c r="S14" s="529"/>
    </row>
    <row r="15" spans="1:19" s="246" customFormat="1" ht="24.75" hidden="1" customHeight="1">
      <c r="A15" s="40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532"/>
    </row>
    <row r="16" spans="1:19" s="246" customFormat="1" ht="24.75" hidden="1" customHeight="1" thickBot="1">
      <c r="A16" s="40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532"/>
    </row>
    <row r="17" spans="1:19" ht="24.75" hidden="1" customHeight="1" thickBot="1">
      <c r="B17" s="1410" t="s">
        <v>114</v>
      </c>
      <c r="C17" s="1411"/>
      <c r="D17" s="1411"/>
      <c r="E17" s="206"/>
      <c r="F17" s="248" t="s">
        <v>245</v>
      </c>
      <c r="G17" s="490" t="s">
        <v>246</v>
      </c>
      <c r="H17" s="490" t="s">
        <v>247</v>
      </c>
      <c r="I17" s="490" t="s">
        <v>248</v>
      </c>
      <c r="J17" s="207" t="s">
        <v>14</v>
      </c>
      <c r="K17" s="203"/>
      <c r="L17" s="203"/>
      <c r="M17" s="203"/>
      <c r="N17" s="203"/>
      <c r="O17" s="203"/>
      <c r="P17" s="203"/>
      <c r="Q17" s="203"/>
      <c r="R17" s="203"/>
      <c r="S17" s="533"/>
    </row>
    <row r="18" spans="1:19" s="208" customFormat="1" ht="24.75" hidden="1" customHeight="1">
      <c r="A18" s="406"/>
      <c r="B18" s="209" t="s">
        <v>231</v>
      </c>
      <c r="C18" s="210"/>
      <c r="D18" s="211"/>
      <c r="E18" s="212">
        <v>-1</v>
      </c>
      <c r="F18" s="213">
        <f>F3</f>
        <v>6206.6128912546392</v>
      </c>
      <c r="G18" s="213">
        <f>F29</f>
        <v>2558.3203653383844</v>
      </c>
      <c r="H18" s="213">
        <f t="shared" ref="H18:I18" si="6">G29</f>
        <v>2679.387306421535</v>
      </c>
      <c r="I18" s="213">
        <f t="shared" si="6"/>
        <v>429.62187893130431</v>
      </c>
      <c r="J18" s="214">
        <f>F18</f>
        <v>6206.6128912546392</v>
      </c>
      <c r="S18" s="534"/>
    </row>
    <row r="19" spans="1:19" ht="24.75" hidden="1" customHeight="1">
      <c r="B19" s="215" t="s">
        <v>232</v>
      </c>
      <c r="C19" s="216" t="s">
        <v>233</v>
      </c>
      <c r="F19" s="217">
        <f>F4+G4+H4</f>
        <v>16699.959490721762</v>
      </c>
      <c r="G19" s="217">
        <v>18010.011860931361</v>
      </c>
      <c r="H19" s="217">
        <v>18538.941940186713</v>
      </c>
      <c r="I19" s="217">
        <v>18874.569662681057</v>
      </c>
      <c r="J19" s="218">
        <f t="shared" ref="J19:J28" si="7">SUM(F19:I19)</f>
        <v>72123.482954520892</v>
      </c>
      <c r="K19" s="203"/>
      <c r="L19" s="203"/>
      <c r="M19" s="203"/>
      <c r="N19" s="203"/>
      <c r="O19" s="203"/>
      <c r="P19" s="203"/>
      <c r="Q19" s="203"/>
      <c r="R19" s="203"/>
      <c r="S19" s="533"/>
    </row>
    <row r="20" spans="1:19" ht="24.75" hidden="1" customHeight="1">
      <c r="B20" s="219"/>
      <c r="C20" s="216" t="s">
        <v>91</v>
      </c>
      <c r="F20" s="217">
        <f>F5+G5+H5</f>
        <v>3551.8707450000002</v>
      </c>
      <c r="G20" s="217">
        <v>8160.8739999999998</v>
      </c>
      <c r="H20" s="217">
        <v>3657.9369999999999</v>
      </c>
      <c r="I20" s="217">
        <v>2371.2849999999999</v>
      </c>
      <c r="J20" s="218">
        <f t="shared" si="7"/>
        <v>17741.966744999998</v>
      </c>
      <c r="K20" s="203"/>
      <c r="L20" s="203"/>
      <c r="M20" s="203"/>
      <c r="N20" s="203"/>
      <c r="O20" s="203"/>
      <c r="P20" s="203"/>
      <c r="Q20" s="203"/>
      <c r="R20" s="203"/>
      <c r="S20" s="533"/>
    </row>
    <row r="21" spans="1:19" ht="24.75" hidden="1" customHeight="1" thickBot="1">
      <c r="B21" s="220"/>
      <c r="C21" s="221" t="s">
        <v>234</v>
      </c>
      <c r="D21" s="222"/>
      <c r="E21" s="223">
        <v>-2</v>
      </c>
      <c r="F21" s="224">
        <f>SUM(F19:F20)</f>
        <v>20251.830235721762</v>
      </c>
      <c r="G21" s="224">
        <f t="shared" ref="G21:I21" si="8">SUM(G19:G20)</f>
        <v>26170.885860931361</v>
      </c>
      <c r="H21" s="224">
        <f t="shared" si="8"/>
        <v>22196.878940186711</v>
      </c>
      <c r="I21" s="224">
        <f t="shared" si="8"/>
        <v>21245.854662681057</v>
      </c>
      <c r="J21" s="225">
        <f t="shared" si="7"/>
        <v>89865.44969952089</v>
      </c>
      <c r="K21" s="203"/>
      <c r="L21" s="203"/>
      <c r="M21" s="203"/>
      <c r="N21" s="203"/>
      <c r="O21" s="203"/>
      <c r="P21" s="203"/>
      <c r="Q21" s="203"/>
      <c r="R21" s="203"/>
      <c r="S21" s="533"/>
    </row>
    <row r="22" spans="1:19" ht="24.75" hidden="1" customHeight="1" thickTop="1">
      <c r="B22" s="215" t="s">
        <v>235</v>
      </c>
      <c r="C22" s="226"/>
      <c r="D22" s="208" t="s">
        <v>236</v>
      </c>
      <c r="F22" s="217">
        <f t="shared" ref="F22:F26" si="9">F7+G7+H7</f>
        <v>-9573.7669805586793</v>
      </c>
      <c r="G22" s="217">
        <v>-8433.6272010375851</v>
      </c>
      <c r="H22" s="217">
        <v>-8706.8512828559378</v>
      </c>
      <c r="I22" s="217">
        <v>-8387.6337633817402</v>
      </c>
      <c r="J22" s="218">
        <f t="shared" si="7"/>
        <v>-35101.879227833939</v>
      </c>
      <c r="K22" s="203"/>
      <c r="L22" s="203"/>
      <c r="M22" s="203"/>
      <c r="N22" s="203"/>
      <c r="O22" s="203"/>
      <c r="P22" s="203"/>
      <c r="Q22" s="203"/>
      <c r="R22" s="203"/>
      <c r="S22" s="533"/>
    </row>
    <row r="23" spans="1:19" ht="24.75" hidden="1" customHeight="1">
      <c r="B23" s="215"/>
      <c r="D23" s="227" t="s">
        <v>237</v>
      </c>
      <c r="F23" s="217">
        <f t="shared" si="9"/>
        <v>-4842.5820412926223</v>
      </c>
      <c r="G23" s="217">
        <v>-6058.6805806599996</v>
      </c>
      <c r="H23" s="217">
        <v>-1272.0499886600001</v>
      </c>
      <c r="I23" s="217">
        <v>-539.56450000000007</v>
      </c>
      <c r="J23" s="218">
        <f t="shared" si="7"/>
        <v>-12712.877110612622</v>
      </c>
      <c r="K23" s="203"/>
      <c r="L23" s="203"/>
      <c r="M23" s="203"/>
      <c r="N23" s="203"/>
      <c r="O23" s="203"/>
      <c r="P23" s="203"/>
      <c r="Q23" s="203"/>
      <c r="R23" s="203"/>
      <c r="S23" s="533"/>
    </row>
    <row r="24" spans="1:19" ht="24.75" hidden="1" customHeight="1">
      <c r="B24" s="219"/>
      <c r="D24" s="227" t="s">
        <v>238</v>
      </c>
      <c r="E24" s="228"/>
      <c r="F24" s="250">
        <f t="shared" si="9"/>
        <v>-6282.5277660540196</v>
      </c>
      <c r="G24" s="250">
        <v>-6243.4572614336857</v>
      </c>
      <c r="H24" s="250">
        <v>-9204.9567274076871</v>
      </c>
      <c r="I24" s="250">
        <v>-7047.0684507073465</v>
      </c>
      <c r="J24" s="218">
        <f t="shared" si="7"/>
        <v>-28778.010205602739</v>
      </c>
      <c r="K24" s="203"/>
      <c r="L24" s="203"/>
      <c r="M24" s="203"/>
      <c r="N24" s="203"/>
      <c r="O24" s="203"/>
      <c r="P24" s="203"/>
      <c r="Q24" s="203"/>
      <c r="R24" s="203"/>
      <c r="S24" s="533"/>
    </row>
    <row r="25" spans="1:19" ht="24.75" hidden="1" customHeight="1">
      <c r="B25" s="219"/>
      <c r="D25" s="227" t="s">
        <v>239</v>
      </c>
      <c r="E25" s="228"/>
      <c r="F25" s="250">
        <f t="shared" si="9"/>
        <v>-391.70313600000003</v>
      </c>
      <c r="G25" s="250">
        <v>-200.38291020000003</v>
      </c>
      <c r="H25" s="250">
        <v>-273.85337100000004</v>
      </c>
      <c r="I25" s="250">
        <v>-212.82405760000003</v>
      </c>
      <c r="J25" s="218">
        <f t="shared" si="7"/>
        <v>-1078.7634748</v>
      </c>
      <c r="K25" s="203"/>
      <c r="L25" s="203"/>
      <c r="M25" s="203"/>
      <c r="N25" s="203"/>
      <c r="O25" s="203"/>
      <c r="P25" s="203"/>
      <c r="Q25" s="203"/>
      <c r="R25" s="203"/>
      <c r="S25" s="533"/>
    </row>
    <row r="26" spans="1:19" ht="24.75" hidden="1" customHeight="1">
      <c r="B26" s="219"/>
      <c r="D26" s="227" t="s">
        <v>386</v>
      </c>
      <c r="E26" s="228"/>
      <c r="F26" s="217">
        <f t="shared" si="9"/>
        <v>-2809.5428377326962</v>
      </c>
      <c r="G26" s="217">
        <v>-5113.6709665169356</v>
      </c>
      <c r="H26" s="217">
        <v>-4988.9329977533162</v>
      </c>
      <c r="I26" s="217">
        <v>-4338.1618480129409</v>
      </c>
      <c r="J26" s="218">
        <f t="shared" si="7"/>
        <v>-17250.30865001589</v>
      </c>
      <c r="K26" s="203"/>
      <c r="L26" s="203"/>
      <c r="M26" s="203"/>
      <c r="N26" s="203"/>
      <c r="O26" s="203"/>
      <c r="P26" s="203"/>
      <c r="Q26" s="203"/>
      <c r="R26" s="203"/>
      <c r="S26" s="533"/>
    </row>
    <row r="27" spans="1:19" ht="24.75" hidden="1" customHeight="1">
      <c r="B27" s="229"/>
      <c r="C27" s="230" t="s">
        <v>240</v>
      </c>
      <c r="D27" s="231"/>
      <c r="E27" s="232">
        <v>-3</v>
      </c>
      <c r="F27" s="233">
        <f>SUM(F22:F26)</f>
        <v>-23900.122761638017</v>
      </c>
      <c r="G27" s="233">
        <f t="shared" ref="G27:J27" si="10">SUM(G22:G26)</f>
        <v>-26049.81891984821</v>
      </c>
      <c r="H27" s="233">
        <f t="shared" si="10"/>
        <v>-24446.644367676941</v>
      </c>
      <c r="I27" s="233">
        <f t="shared" si="10"/>
        <v>-20525.252619702031</v>
      </c>
      <c r="J27" s="234">
        <f t="shared" si="10"/>
        <v>-94921.838668865181</v>
      </c>
      <c r="K27" s="203"/>
      <c r="L27" s="203"/>
      <c r="M27" s="203"/>
      <c r="N27" s="203"/>
      <c r="O27" s="203"/>
      <c r="P27" s="203"/>
      <c r="Q27" s="203"/>
      <c r="R27" s="203"/>
      <c r="S27" s="533"/>
    </row>
    <row r="28" spans="1:19" ht="24.75" hidden="1" customHeight="1" thickBot="1">
      <c r="B28" s="235"/>
      <c r="C28" s="236" t="s">
        <v>241</v>
      </c>
      <c r="D28" s="237"/>
      <c r="E28" s="238" t="s">
        <v>242</v>
      </c>
      <c r="F28" s="239">
        <f>F21+F27</f>
        <v>-3648.2925259162548</v>
      </c>
      <c r="G28" s="239">
        <f>G21+G27</f>
        <v>121.0669410831506</v>
      </c>
      <c r="H28" s="239">
        <f>H21+H27</f>
        <v>-2249.7654274902306</v>
      </c>
      <c r="I28" s="239">
        <f>I21+I27</f>
        <v>720.60204297902601</v>
      </c>
      <c r="J28" s="251">
        <f t="shared" si="7"/>
        <v>-5056.3889693443089</v>
      </c>
      <c r="K28" s="203"/>
      <c r="L28" s="203"/>
      <c r="M28" s="203"/>
      <c r="N28" s="203"/>
      <c r="O28" s="203"/>
      <c r="P28" s="203"/>
      <c r="Q28" s="203"/>
      <c r="R28" s="203"/>
      <c r="S28" s="533"/>
    </row>
    <row r="29" spans="1:19" s="208" customFormat="1" ht="24.75" hidden="1" customHeight="1" thickBot="1">
      <c r="A29" s="406"/>
      <c r="B29" s="240" t="s">
        <v>243</v>
      </c>
      <c r="C29" s="241"/>
      <c r="D29" s="242"/>
      <c r="E29" s="243" t="s">
        <v>244</v>
      </c>
      <c r="F29" s="244">
        <f>F18+F28</f>
        <v>2558.3203653383844</v>
      </c>
      <c r="G29" s="244">
        <f>G18+G28</f>
        <v>2679.387306421535</v>
      </c>
      <c r="H29" s="244">
        <f>H18+H28</f>
        <v>429.62187893130431</v>
      </c>
      <c r="I29" s="244">
        <f>I18+I28</f>
        <v>1150.2239219103303</v>
      </c>
      <c r="J29" s="245">
        <f>J18+J28</f>
        <v>1150.2239219103303</v>
      </c>
      <c r="S29" s="534"/>
    </row>
    <row r="30" spans="1:19" ht="24.75" hidden="1" customHeight="1"/>
    <row r="31" spans="1:19" ht="24.75" hidden="1" customHeight="1"/>
    <row r="32" spans="1:19" ht="24.75" hidden="1" customHeight="1" thickBot="1">
      <c r="B32" s="476" t="s">
        <v>389</v>
      </c>
      <c r="H32" s="525">
        <f>2000+2175</f>
        <v>4175</v>
      </c>
      <c r="I32" s="476" t="s">
        <v>46</v>
      </c>
    </row>
    <row r="33" spans="1:19" ht="24.75" hidden="1" customHeight="1" thickBot="1">
      <c r="B33" s="1410" t="s">
        <v>114</v>
      </c>
      <c r="C33" s="1411"/>
      <c r="D33" s="1411"/>
      <c r="E33" s="1412"/>
      <c r="F33" s="490" t="s">
        <v>249</v>
      </c>
      <c r="G33" s="490" t="s">
        <v>250</v>
      </c>
      <c r="H33" s="490" t="s">
        <v>251</v>
      </c>
      <c r="I33" s="490" t="s">
        <v>252</v>
      </c>
      <c r="J33" s="490" t="s">
        <v>253</v>
      </c>
      <c r="K33" s="490" t="s">
        <v>254</v>
      </c>
      <c r="L33" s="490" t="s">
        <v>255</v>
      </c>
      <c r="M33" s="490" t="s">
        <v>256</v>
      </c>
      <c r="N33" s="490" t="s">
        <v>257</v>
      </c>
      <c r="O33" s="490" t="s">
        <v>258</v>
      </c>
      <c r="P33" s="490" t="s">
        <v>259</v>
      </c>
      <c r="Q33" s="490" t="s">
        <v>260</v>
      </c>
      <c r="R33" s="207" t="s">
        <v>14</v>
      </c>
      <c r="S33" s="528"/>
    </row>
    <row r="34" spans="1:19" s="208" customFormat="1" ht="24.75" hidden="1" customHeight="1">
      <c r="A34" s="406"/>
      <c r="B34" s="505" t="s">
        <v>231</v>
      </c>
      <c r="C34" s="506"/>
      <c r="D34" s="507"/>
      <c r="E34" s="212">
        <v>-1</v>
      </c>
      <c r="F34" s="364">
        <f>F3</f>
        <v>6206.6128912546392</v>
      </c>
      <c r="G34" s="364">
        <f>F45</f>
        <v>7723.40617742225</v>
      </c>
      <c r="H34" s="364">
        <f t="shared" ref="H34" si="11">G45</f>
        <v>6530.3563561399988</v>
      </c>
      <c r="I34" s="364">
        <f t="shared" ref="I34" si="12">H45</f>
        <v>2558.3203653383835</v>
      </c>
      <c r="J34" s="364">
        <f t="shared" ref="J34" si="13">I45</f>
        <v>814.93407397755982</v>
      </c>
      <c r="K34" s="364">
        <f t="shared" ref="K34" si="14">J45</f>
        <v>316.53324472734494</v>
      </c>
      <c r="L34" s="364">
        <f t="shared" ref="L34" si="15">K45</f>
        <v>-1495.6126935784632</v>
      </c>
      <c r="M34" s="364">
        <f t="shared" ref="M34" si="16">L45</f>
        <v>-1423.4278528700888</v>
      </c>
      <c r="N34" s="364">
        <f t="shared" ref="N34" si="17">M45</f>
        <v>-2071.1931924393703</v>
      </c>
      <c r="O34" s="364">
        <f t="shared" ref="O34" si="18">N45</f>
        <v>-3745.3781210686884</v>
      </c>
      <c r="P34" s="364">
        <f t="shared" ref="P34" si="19">O45</f>
        <v>-2902.2893976990799</v>
      </c>
      <c r="Q34" s="364">
        <f t="shared" ref="Q34" si="20">P45</f>
        <v>-1486.5812471590916</v>
      </c>
      <c r="R34" s="365">
        <f>F34</f>
        <v>6206.6128912546392</v>
      </c>
      <c r="S34" s="529"/>
    </row>
    <row r="35" spans="1:19" ht="24.75" hidden="1" customHeight="1">
      <c r="A35" s="405">
        <v>1</v>
      </c>
      <c r="B35" s="508" t="s">
        <v>232</v>
      </c>
      <c r="C35" s="509" t="s">
        <v>233</v>
      </c>
      <c r="D35" s="510"/>
      <c r="F35" s="369">
        <f>F4</f>
        <v>5648.8809231360274</v>
      </c>
      <c r="G35" s="369">
        <f t="shared" ref="G35:Q35" si="21">G4</f>
        <v>5412.7790818329122</v>
      </c>
      <c r="H35" s="369">
        <f t="shared" si="21"/>
        <v>5638.299485752822</v>
      </c>
      <c r="I35" s="369">
        <f t="shared" si="21"/>
        <v>5966.5694484056285</v>
      </c>
      <c r="J35" s="369">
        <f t="shared" si="21"/>
        <v>6216.2498896393954</v>
      </c>
      <c r="K35" s="369">
        <f t="shared" si="21"/>
        <v>5827.1925228863374</v>
      </c>
      <c r="L35" s="369">
        <f t="shared" si="21"/>
        <v>6462.4098698353264</v>
      </c>
      <c r="M35" s="369">
        <f t="shared" si="21"/>
        <v>5942.3825394092128</v>
      </c>
      <c r="N35" s="369">
        <f t="shared" si="21"/>
        <v>6134.1495309421744</v>
      </c>
      <c r="O35" s="369">
        <f t="shared" si="21"/>
        <v>6247.9279682952165</v>
      </c>
      <c r="P35" s="369">
        <f t="shared" si="21"/>
        <v>6255.0525352941077</v>
      </c>
      <c r="Q35" s="369">
        <f t="shared" si="21"/>
        <v>6371.5891590917336</v>
      </c>
      <c r="R35" s="370">
        <f t="shared" ref="R35:R42" si="22">SUM(F35:Q35)</f>
        <v>72123.482954520892</v>
      </c>
      <c r="S35" s="530"/>
    </row>
    <row r="36" spans="1:19" ht="24.75" hidden="1" customHeight="1">
      <c r="A36" s="405">
        <v>2</v>
      </c>
      <c r="B36" s="511"/>
      <c r="C36" s="509" t="s">
        <v>91</v>
      </c>
      <c r="D36" s="510"/>
      <c r="F36" s="369">
        <f>F5</f>
        <v>1667.5999059633332</v>
      </c>
      <c r="G36" s="369">
        <f>G5</f>
        <v>1062.2705057033334</v>
      </c>
      <c r="H36" s="369">
        <f>H5</f>
        <v>822.00033333333329</v>
      </c>
      <c r="I36" s="503">
        <f>I5-H32</f>
        <v>1128.3333333333339</v>
      </c>
      <c r="J36" s="369">
        <f t="shared" ref="J36:Q36" si="23">J5</f>
        <v>1416.2703333333332</v>
      </c>
      <c r="K36" s="369">
        <f t="shared" si="23"/>
        <v>1441.2703333333332</v>
      </c>
      <c r="L36" s="369">
        <f t="shared" si="23"/>
        <v>1916.2703333333332</v>
      </c>
      <c r="M36" s="369">
        <f t="shared" si="23"/>
        <v>808.33333333333326</v>
      </c>
      <c r="N36" s="369">
        <f t="shared" si="23"/>
        <v>933.33333333333326</v>
      </c>
      <c r="O36" s="381">
        <f t="shared" si="23"/>
        <v>808.33333333333326</v>
      </c>
      <c r="P36" s="381">
        <f t="shared" si="23"/>
        <v>808.33333333333326</v>
      </c>
      <c r="Q36" s="369">
        <f t="shared" si="23"/>
        <v>754.61833333333323</v>
      </c>
      <c r="R36" s="370">
        <f t="shared" si="22"/>
        <v>13566.966745000003</v>
      </c>
      <c r="S36" s="530"/>
    </row>
    <row r="37" spans="1:19" ht="24.75" hidden="1" customHeight="1" thickBot="1">
      <c r="B37" s="512"/>
      <c r="C37" s="513" t="s">
        <v>234</v>
      </c>
      <c r="D37" s="514"/>
      <c r="E37" s="223">
        <v>-2</v>
      </c>
      <c r="F37" s="375">
        <f t="shared" ref="F37:Q37" si="24">SUM(F35:F36)</f>
        <v>7316.4808290993606</v>
      </c>
      <c r="G37" s="375">
        <f t="shared" si="24"/>
        <v>6475.0495875362458</v>
      </c>
      <c r="H37" s="375">
        <f t="shared" si="24"/>
        <v>6460.2998190861554</v>
      </c>
      <c r="I37" s="375">
        <f t="shared" si="24"/>
        <v>7094.9027817389624</v>
      </c>
      <c r="J37" s="375">
        <f t="shared" si="24"/>
        <v>7632.5202229727283</v>
      </c>
      <c r="K37" s="375">
        <f t="shared" si="24"/>
        <v>7268.4628562196704</v>
      </c>
      <c r="L37" s="375">
        <f t="shared" si="24"/>
        <v>8378.6802031686602</v>
      </c>
      <c r="M37" s="375">
        <f t="shared" si="24"/>
        <v>6750.7158727425458</v>
      </c>
      <c r="N37" s="375">
        <f t="shared" si="24"/>
        <v>7067.4828642755074</v>
      </c>
      <c r="O37" s="375">
        <f t="shared" si="24"/>
        <v>7056.2613016285495</v>
      </c>
      <c r="P37" s="375">
        <f t="shared" si="24"/>
        <v>7063.3858686274407</v>
      </c>
      <c r="Q37" s="375">
        <f t="shared" si="24"/>
        <v>7126.2074924250664</v>
      </c>
      <c r="R37" s="376">
        <f t="shared" si="22"/>
        <v>85690.449699520905</v>
      </c>
      <c r="S37" s="531"/>
    </row>
    <row r="38" spans="1:19" ht="24.75" hidden="1" customHeight="1" thickTop="1">
      <c r="A38" s="405">
        <v>3</v>
      </c>
      <c r="B38" s="508" t="s">
        <v>235</v>
      </c>
      <c r="C38" s="515"/>
      <c r="D38" s="516" t="s">
        <v>236</v>
      </c>
      <c r="E38" s="249"/>
      <c r="F38" s="369">
        <f t="shared" ref="F38:Q38" si="25">F7</f>
        <v>-3116.6418369190369</v>
      </c>
      <c r="G38" s="369">
        <f t="shared" si="25"/>
        <v>-3135.1838644660493</v>
      </c>
      <c r="H38" s="369">
        <f t="shared" si="25"/>
        <v>-3321.9412791735926</v>
      </c>
      <c r="I38" s="369">
        <f t="shared" si="25"/>
        <v>-3053.2216650864248</v>
      </c>
      <c r="J38" s="369">
        <f t="shared" si="25"/>
        <v>-2754.4550035175148</v>
      </c>
      <c r="K38" s="369">
        <f t="shared" si="25"/>
        <v>-2625.9505324336442</v>
      </c>
      <c r="L38" s="369">
        <f t="shared" si="25"/>
        <v>-2969.451566323356</v>
      </c>
      <c r="M38" s="369">
        <f t="shared" si="25"/>
        <v>-2937.9889509949876</v>
      </c>
      <c r="N38" s="369">
        <f t="shared" si="25"/>
        <v>-2799.4107655375942</v>
      </c>
      <c r="O38" s="369">
        <f t="shared" si="25"/>
        <v>-2779.4421413238251</v>
      </c>
      <c r="P38" s="369">
        <f t="shared" si="25"/>
        <v>-2766.40892507833</v>
      </c>
      <c r="Q38" s="369">
        <f t="shared" si="25"/>
        <v>-2841.7826969795856</v>
      </c>
      <c r="R38" s="379">
        <f t="shared" si="22"/>
        <v>-35101.879227833939</v>
      </c>
      <c r="S38" s="531"/>
    </row>
    <row r="39" spans="1:19" ht="24.75" hidden="1" customHeight="1">
      <c r="A39" s="405">
        <v>4</v>
      </c>
      <c r="B39" s="508"/>
      <c r="C39" s="510"/>
      <c r="D39" s="516" t="s">
        <v>237</v>
      </c>
      <c r="F39" s="369">
        <f t="shared" ref="F39:Q39" si="26">F8</f>
        <v>-1047.7750775046648</v>
      </c>
      <c r="G39" s="369">
        <f t="shared" si="26"/>
        <v>-1496.2622883679578</v>
      </c>
      <c r="H39" s="369">
        <f t="shared" si="26"/>
        <v>-2298.5446754200002</v>
      </c>
      <c r="I39" s="369">
        <f t="shared" si="26"/>
        <v>-1871.3440000000001</v>
      </c>
      <c r="J39" s="369">
        <f t="shared" si="26"/>
        <v>-2510.7284963299999</v>
      </c>
      <c r="K39" s="369">
        <f t="shared" si="26"/>
        <v>-1676.6080843300001</v>
      </c>
      <c r="L39" s="369">
        <f t="shared" si="26"/>
        <v>-748.26649233000001</v>
      </c>
      <c r="M39" s="369">
        <f t="shared" si="26"/>
        <v>-370.72149632999998</v>
      </c>
      <c r="N39" s="369">
        <f t="shared" si="26"/>
        <v>-153.06200000000001</v>
      </c>
      <c r="O39" s="369">
        <f t="shared" si="26"/>
        <v>-204.04849999999999</v>
      </c>
      <c r="P39" s="369">
        <f t="shared" si="26"/>
        <v>-165.68799999999999</v>
      </c>
      <c r="Q39" s="369">
        <f t="shared" si="26"/>
        <v>-169.828</v>
      </c>
      <c r="R39" s="370">
        <f t="shared" si="22"/>
        <v>-12712.877110612622</v>
      </c>
      <c r="S39" s="530"/>
    </row>
    <row r="40" spans="1:19" ht="24.75" hidden="1" customHeight="1">
      <c r="A40" s="405">
        <v>5</v>
      </c>
      <c r="B40" s="511"/>
      <c r="C40" s="510"/>
      <c r="D40" s="516" t="s">
        <v>238</v>
      </c>
      <c r="E40" s="228"/>
      <c r="F40" s="369">
        <f t="shared" ref="F40:Q40" si="27">F9</f>
        <v>-771.95894728834321</v>
      </c>
      <c r="G40" s="369">
        <f t="shared" si="27"/>
        <v>-2072.8494215572132</v>
      </c>
      <c r="H40" s="369">
        <f t="shared" si="27"/>
        <v>-3437.7193972084633</v>
      </c>
      <c r="I40" s="369">
        <f t="shared" si="27"/>
        <v>-2171.0334470389034</v>
      </c>
      <c r="J40" s="369">
        <f t="shared" si="27"/>
        <v>-2098.4509275640271</v>
      </c>
      <c r="K40" s="369">
        <f t="shared" si="27"/>
        <v>-1973.9728868307557</v>
      </c>
      <c r="L40" s="369">
        <f t="shared" si="27"/>
        <v>-3376.7139970527151</v>
      </c>
      <c r="M40" s="369">
        <f t="shared" si="27"/>
        <v>-3166.0450980351898</v>
      </c>
      <c r="N40" s="369">
        <f t="shared" si="27"/>
        <v>-2662.1976323197819</v>
      </c>
      <c r="O40" s="369">
        <f t="shared" si="27"/>
        <v>-2658.1152654406505</v>
      </c>
      <c r="P40" s="369">
        <f t="shared" si="27"/>
        <v>-2231.7793925279284</v>
      </c>
      <c r="Q40" s="369">
        <f t="shared" si="27"/>
        <v>-2157.1737927387671</v>
      </c>
      <c r="R40" s="370">
        <f t="shared" si="22"/>
        <v>-28778.010205602735</v>
      </c>
      <c r="S40" s="530"/>
    </row>
    <row r="41" spans="1:19" ht="24.75" hidden="1" customHeight="1">
      <c r="A41" s="405">
        <v>6</v>
      </c>
      <c r="B41" s="511"/>
      <c r="C41" s="510"/>
      <c r="D41" s="516" t="s">
        <v>239</v>
      </c>
      <c r="E41" s="228"/>
      <c r="F41" s="381">
        <f t="shared" ref="F41:Q41" si="28">F10</f>
        <v>-21.112300000000001</v>
      </c>
      <c r="G41" s="369">
        <f t="shared" si="28"/>
        <v>-111.54995720000001</v>
      </c>
      <c r="H41" s="369">
        <f t="shared" si="28"/>
        <v>-259.04087880000003</v>
      </c>
      <c r="I41" s="369">
        <f t="shared" si="28"/>
        <v>-35.632300000000001</v>
      </c>
      <c r="J41" s="369">
        <f t="shared" si="28"/>
        <v>-104.96120139999999</v>
      </c>
      <c r="K41" s="369">
        <f t="shared" si="28"/>
        <v>-59.789408800000004</v>
      </c>
      <c r="L41" s="381">
        <f t="shared" si="28"/>
        <v>-32.442300000000003</v>
      </c>
      <c r="M41" s="369">
        <f t="shared" si="28"/>
        <v>-201.84087880000004</v>
      </c>
      <c r="N41" s="369">
        <f t="shared" si="28"/>
        <v>-39.570192200000008</v>
      </c>
      <c r="O41" s="369">
        <f t="shared" si="28"/>
        <v>-50.812300000000008</v>
      </c>
      <c r="P41" s="369">
        <f t="shared" si="28"/>
        <v>-118.02087880000002</v>
      </c>
      <c r="Q41" s="369">
        <f t="shared" si="28"/>
        <v>-43.990878800000004</v>
      </c>
      <c r="R41" s="370">
        <f t="shared" si="22"/>
        <v>-1078.7634748000003</v>
      </c>
      <c r="S41" s="530"/>
    </row>
    <row r="42" spans="1:19" ht="24.75" hidden="1" customHeight="1">
      <c r="A42" s="405">
        <v>7</v>
      </c>
      <c r="B42" s="511"/>
      <c r="C42" s="510"/>
      <c r="D42" s="516" t="s">
        <v>386</v>
      </c>
      <c r="E42" s="228"/>
      <c r="F42" s="369">
        <f t="shared" ref="F42:Q42" si="29">F11</f>
        <v>-842.19938121970438</v>
      </c>
      <c r="G42" s="369">
        <f t="shared" si="29"/>
        <v>-852.25387722727612</v>
      </c>
      <c r="H42" s="369">
        <f t="shared" si="29"/>
        <v>-1115.0895792857157</v>
      </c>
      <c r="I42" s="369">
        <f t="shared" si="29"/>
        <v>-1707.0576609744567</v>
      </c>
      <c r="J42" s="369">
        <f t="shared" si="29"/>
        <v>-662.32542341140072</v>
      </c>
      <c r="K42" s="369">
        <f t="shared" si="29"/>
        <v>-2744.2878821310778</v>
      </c>
      <c r="L42" s="369">
        <f t="shared" si="29"/>
        <v>-1179.6210067542158</v>
      </c>
      <c r="M42" s="369">
        <f t="shared" si="29"/>
        <v>-721.8847881516507</v>
      </c>
      <c r="N42" s="369">
        <f t="shared" si="29"/>
        <v>-3087.4272028474493</v>
      </c>
      <c r="O42" s="369">
        <f t="shared" si="29"/>
        <v>-520.75437149446577</v>
      </c>
      <c r="P42" s="369">
        <f t="shared" si="29"/>
        <v>-365.78052168119422</v>
      </c>
      <c r="Q42" s="369">
        <f t="shared" si="29"/>
        <v>-3451.6269548372811</v>
      </c>
      <c r="R42" s="370">
        <f t="shared" si="22"/>
        <v>-17250.30865001589</v>
      </c>
      <c r="S42" s="530"/>
    </row>
    <row r="43" spans="1:19" ht="24.75" hidden="1" customHeight="1" thickBot="1">
      <c r="B43" s="517"/>
      <c r="C43" s="518" t="s">
        <v>240</v>
      </c>
      <c r="D43" s="519"/>
      <c r="E43" s="232">
        <v>-3</v>
      </c>
      <c r="F43" s="385">
        <f t="shared" ref="F43:R43" si="30">SUM(F38:F42)</f>
        <v>-5799.6875429317497</v>
      </c>
      <c r="G43" s="385">
        <f t="shared" si="30"/>
        <v>-7668.0994088184971</v>
      </c>
      <c r="H43" s="385">
        <f t="shared" si="30"/>
        <v>-10432.335809887771</v>
      </c>
      <c r="I43" s="385">
        <f t="shared" si="30"/>
        <v>-8838.289073099786</v>
      </c>
      <c r="J43" s="385">
        <f t="shared" si="30"/>
        <v>-8130.9210522229432</v>
      </c>
      <c r="K43" s="385">
        <f t="shared" si="30"/>
        <v>-9080.6087945254785</v>
      </c>
      <c r="L43" s="385">
        <f t="shared" si="30"/>
        <v>-8306.4953624602858</v>
      </c>
      <c r="M43" s="385">
        <f t="shared" si="30"/>
        <v>-7398.4812123118272</v>
      </c>
      <c r="N43" s="385">
        <f t="shared" si="30"/>
        <v>-8741.6677929048255</v>
      </c>
      <c r="O43" s="385">
        <f t="shared" si="30"/>
        <v>-6213.172578258941</v>
      </c>
      <c r="P43" s="385">
        <f t="shared" si="30"/>
        <v>-5647.6777180874524</v>
      </c>
      <c r="Q43" s="385">
        <f t="shared" si="30"/>
        <v>-8664.4023233556345</v>
      </c>
      <c r="R43" s="386">
        <f t="shared" si="30"/>
        <v>-94921.838668865181</v>
      </c>
      <c r="S43" s="531"/>
    </row>
    <row r="44" spans="1:19" ht="24.75" hidden="1" customHeight="1" thickBot="1">
      <c r="B44" s="520"/>
      <c r="C44" s="388" t="s">
        <v>241</v>
      </c>
      <c r="D44" s="521"/>
      <c r="E44" s="238" t="s">
        <v>242</v>
      </c>
      <c r="F44" s="390">
        <f t="shared" ref="F44:Q44" si="31">F37+F43</f>
        <v>1516.7932861676109</v>
      </c>
      <c r="G44" s="390">
        <f t="shared" si="31"/>
        <v>-1193.0498212822513</v>
      </c>
      <c r="H44" s="390">
        <f t="shared" si="31"/>
        <v>-3972.0359908016153</v>
      </c>
      <c r="I44" s="390">
        <f t="shared" si="31"/>
        <v>-1743.3862913608236</v>
      </c>
      <c r="J44" s="390">
        <f t="shared" si="31"/>
        <v>-498.40082925021488</v>
      </c>
      <c r="K44" s="390">
        <f t="shared" si="31"/>
        <v>-1812.1459383058082</v>
      </c>
      <c r="L44" s="390">
        <f t="shared" si="31"/>
        <v>72.184840708374395</v>
      </c>
      <c r="M44" s="390">
        <f t="shared" si="31"/>
        <v>-647.76533956928142</v>
      </c>
      <c r="N44" s="390">
        <f t="shared" si="31"/>
        <v>-1674.1849286293182</v>
      </c>
      <c r="O44" s="390">
        <f t="shared" si="31"/>
        <v>843.08872336960849</v>
      </c>
      <c r="P44" s="390">
        <f t="shared" si="31"/>
        <v>1415.7081505399883</v>
      </c>
      <c r="Q44" s="390">
        <f t="shared" si="31"/>
        <v>-1538.1948309305681</v>
      </c>
      <c r="R44" s="391">
        <f>SUM(F44:Q44)</f>
        <v>-9231.3889693442979</v>
      </c>
      <c r="S44" s="530"/>
    </row>
    <row r="45" spans="1:19" s="208" customFormat="1" ht="24.75" hidden="1" customHeight="1" thickBot="1">
      <c r="A45" s="406"/>
      <c r="B45" s="522" t="s">
        <v>243</v>
      </c>
      <c r="C45" s="523"/>
      <c r="D45" s="524"/>
      <c r="E45" s="243" t="s">
        <v>244</v>
      </c>
      <c r="F45" s="395">
        <f t="shared" ref="F45:R45" si="32">F34+F44</f>
        <v>7723.40617742225</v>
      </c>
      <c r="G45" s="395">
        <f t="shared" si="32"/>
        <v>6530.3563561399988</v>
      </c>
      <c r="H45" s="395">
        <f t="shared" si="32"/>
        <v>2558.3203653383835</v>
      </c>
      <c r="I45" s="395">
        <f t="shared" si="32"/>
        <v>814.93407397755982</v>
      </c>
      <c r="J45" s="395">
        <f t="shared" si="32"/>
        <v>316.53324472734494</v>
      </c>
      <c r="K45" s="395">
        <f t="shared" si="32"/>
        <v>-1495.6126935784632</v>
      </c>
      <c r="L45" s="395">
        <f t="shared" si="32"/>
        <v>-1423.4278528700888</v>
      </c>
      <c r="M45" s="395">
        <f t="shared" si="32"/>
        <v>-2071.1931924393703</v>
      </c>
      <c r="N45" s="395">
        <f t="shared" si="32"/>
        <v>-3745.3781210686884</v>
      </c>
      <c r="O45" s="395">
        <f t="shared" si="32"/>
        <v>-2902.2893976990799</v>
      </c>
      <c r="P45" s="395">
        <f t="shared" si="32"/>
        <v>-1486.5812471590916</v>
      </c>
      <c r="Q45" s="395">
        <f t="shared" si="32"/>
        <v>-3024.7760780896597</v>
      </c>
      <c r="R45" s="504">
        <f t="shared" si="32"/>
        <v>-3024.7760780896588</v>
      </c>
      <c r="S45" s="529"/>
    </row>
    <row r="46" spans="1:19" s="246" customFormat="1" ht="24.75" hidden="1" customHeight="1">
      <c r="A46" s="407"/>
      <c r="E46" s="247"/>
      <c r="F46" s="247"/>
      <c r="G46" s="247"/>
      <c r="H46" s="247"/>
      <c r="I46" s="247"/>
      <c r="J46" s="247"/>
      <c r="K46" s="247"/>
      <c r="L46" s="247"/>
      <c r="M46" s="247"/>
      <c r="N46" s="247"/>
      <c r="O46" s="247"/>
      <c r="P46" s="247"/>
      <c r="Q46" s="247"/>
      <c r="R46" s="247"/>
      <c r="S46" s="532"/>
    </row>
    <row r="47" spans="1:19" s="246" customFormat="1" ht="24.75" hidden="1" customHeight="1" thickBot="1">
      <c r="A47" s="407"/>
      <c r="E47" s="247"/>
      <c r="F47" s="247"/>
      <c r="G47" s="247"/>
      <c r="H47" s="247"/>
      <c r="I47" s="247"/>
      <c r="J47" s="247"/>
      <c r="K47" s="247"/>
      <c r="L47" s="247"/>
      <c r="M47" s="247"/>
      <c r="N47" s="247"/>
      <c r="O47" s="247"/>
      <c r="P47" s="247"/>
      <c r="Q47" s="247"/>
      <c r="R47" s="247"/>
      <c r="S47" s="532"/>
    </row>
    <row r="48" spans="1:19" ht="24.75" hidden="1" customHeight="1" thickBot="1">
      <c r="B48" s="1410" t="s">
        <v>114</v>
      </c>
      <c r="C48" s="1411"/>
      <c r="D48" s="1411"/>
      <c r="E48" s="206"/>
      <c r="F48" s="248" t="s">
        <v>245</v>
      </c>
      <c r="G48" s="490" t="s">
        <v>246</v>
      </c>
      <c r="H48" s="490" t="s">
        <v>247</v>
      </c>
      <c r="I48" s="490" t="s">
        <v>248</v>
      </c>
      <c r="J48" s="207" t="s">
        <v>14</v>
      </c>
      <c r="K48" s="203"/>
      <c r="L48" s="203"/>
      <c r="M48" s="203"/>
      <c r="N48" s="203"/>
      <c r="O48" s="203"/>
      <c r="P48" s="203"/>
      <c r="Q48" s="203"/>
      <c r="R48" s="203"/>
      <c r="S48" s="533"/>
    </row>
    <row r="49" spans="1:30" s="208" customFormat="1" ht="24.75" hidden="1" customHeight="1">
      <c r="A49" s="406"/>
      <c r="B49" s="209" t="s">
        <v>231</v>
      </c>
      <c r="C49" s="210"/>
      <c r="D49" s="211"/>
      <c r="E49" s="212">
        <v>-1</v>
      </c>
      <c r="F49" s="213">
        <f>F34</f>
        <v>6206.6128912546392</v>
      </c>
      <c r="G49" s="213">
        <f>F60</f>
        <v>2558.3203653383844</v>
      </c>
      <c r="H49" s="213">
        <f>G60</f>
        <v>2558.3203653383844</v>
      </c>
      <c r="I49" s="213">
        <f>H60</f>
        <v>2558.3203653383844</v>
      </c>
      <c r="J49" s="214">
        <f>F49</f>
        <v>6206.6128912546392</v>
      </c>
      <c r="S49" s="534"/>
    </row>
    <row r="50" spans="1:30" ht="24.75" hidden="1" customHeight="1">
      <c r="B50" s="215" t="s">
        <v>232</v>
      </c>
      <c r="C50" s="216" t="s">
        <v>233</v>
      </c>
      <c r="F50" s="217">
        <f>F35+G35+H35</f>
        <v>16699.959490721762</v>
      </c>
      <c r="G50" s="217">
        <v>0</v>
      </c>
      <c r="H50" s="217">
        <v>0</v>
      </c>
      <c r="I50" s="217">
        <v>0</v>
      </c>
      <c r="J50" s="218">
        <f t="shared" ref="J50:J57" si="33">SUM(F50:I50)</f>
        <v>16699.959490721762</v>
      </c>
      <c r="K50" s="203"/>
      <c r="L50" s="203"/>
      <c r="M50" s="203"/>
      <c r="N50" s="203"/>
      <c r="O50" s="203"/>
      <c r="P50" s="203"/>
      <c r="Q50" s="203"/>
      <c r="R50" s="203"/>
      <c r="S50" s="533"/>
    </row>
    <row r="51" spans="1:30" ht="24.75" hidden="1" customHeight="1">
      <c r="B51" s="219"/>
      <c r="C51" s="216" t="s">
        <v>91</v>
      </c>
      <c r="F51" s="217">
        <f>F36+G36+H36</f>
        <v>3551.8707450000002</v>
      </c>
      <c r="G51" s="217">
        <v>0</v>
      </c>
      <c r="H51" s="217">
        <v>0</v>
      </c>
      <c r="I51" s="217">
        <v>0</v>
      </c>
      <c r="J51" s="218">
        <f t="shared" si="33"/>
        <v>3551.8707450000002</v>
      </c>
      <c r="K51" s="203"/>
      <c r="L51" s="203"/>
      <c r="M51" s="203"/>
      <c r="N51" s="203"/>
      <c r="O51" s="203"/>
      <c r="P51" s="203"/>
      <c r="Q51" s="203"/>
      <c r="R51" s="203"/>
      <c r="S51" s="533"/>
    </row>
    <row r="52" spans="1:30" ht="24.75" hidden="1" customHeight="1" thickBot="1">
      <c r="B52" s="220"/>
      <c r="C52" s="221" t="s">
        <v>234</v>
      </c>
      <c r="D52" s="222"/>
      <c r="E52" s="223">
        <v>-2</v>
      </c>
      <c r="F52" s="224">
        <f>SUM(F50:F51)</f>
        <v>20251.830235721762</v>
      </c>
      <c r="G52" s="224">
        <f>SUM(G50:G51)</f>
        <v>0</v>
      </c>
      <c r="H52" s="224">
        <f>SUM(H50:H51)</f>
        <v>0</v>
      </c>
      <c r="I52" s="224">
        <f>SUM(I50:I51)</f>
        <v>0</v>
      </c>
      <c r="J52" s="225">
        <f t="shared" si="33"/>
        <v>20251.830235721762</v>
      </c>
      <c r="K52" s="203"/>
      <c r="L52" s="203"/>
      <c r="M52" s="203"/>
      <c r="N52" s="203"/>
      <c r="O52" s="203"/>
      <c r="P52" s="203"/>
      <c r="Q52" s="203"/>
      <c r="R52" s="203"/>
      <c r="S52" s="533"/>
    </row>
    <row r="53" spans="1:30" ht="24.75" hidden="1" customHeight="1" thickTop="1">
      <c r="B53" s="215" t="s">
        <v>235</v>
      </c>
      <c r="C53" s="226"/>
      <c r="D53" s="208" t="s">
        <v>236</v>
      </c>
      <c r="F53" s="217">
        <f>F38+G38+H38</f>
        <v>-9573.7669805586793</v>
      </c>
      <c r="G53" s="217">
        <v>0</v>
      </c>
      <c r="H53" s="217">
        <v>0</v>
      </c>
      <c r="I53" s="217">
        <v>0</v>
      </c>
      <c r="J53" s="218">
        <f t="shared" si="33"/>
        <v>-9573.7669805586793</v>
      </c>
      <c r="K53" s="203"/>
      <c r="L53" s="203"/>
      <c r="M53" s="203"/>
      <c r="N53" s="203"/>
      <c r="O53" s="203"/>
      <c r="P53" s="203"/>
      <c r="Q53" s="203"/>
      <c r="R53" s="203"/>
      <c r="S53" s="533"/>
    </row>
    <row r="54" spans="1:30" ht="24.75" hidden="1" customHeight="1">
      <c r="B54" s="215"/>
      <c r="D54" s="227" t="s">
        <v>237</v>
      </c>
      <c r="F54" s="217">
        <f>F39+G39+H39</f>
        <v>-4842.5820412926223</v>
      </c>
      <c r="G54" s="217">
        <v>0</v>
      </c>
      <c r="H54" s="217">
        <v>0</v>
      </c>
      <c r="I54" s="217">
        <v>0</v>
      </c>
      <c r="J54" s="218">
        <f t="shared" si="33"/>
        <v>-4842.5820412926223</v>
      </c>
      <c r="K54" s="203"/>
      <c r="L54" s="203"/>
      <c r="M54" s="203"/>
      <c r="N54" s="203"/>
      <c r="O54" s="203"/>
      <c r="P54" s="203"/>
      <c r="Q54" s="203"/>
      <c r="R54" s="203"/>
      <c r="S54" s="533"/>
    </row>
    <row r="55" spans="1:30" ht="24.75" hidden="1" customHeight="1">
      <c r="B55" s="219"/>
      <c r="D55" s="227" t="s">
        <v>238</v>
      </c>
      <c r="E55" s="228"/>
      <c r="F55" s="250">
        <f>F40+G40+H40</f>
        <v>-6282.5277660540196</v>
      </c>
      <c r="G55" s="250">
        <v>0</v>
      </c>
      <c r="H55" s="250">
        <v>0</v>
      </c>
      <c r="I55" s="250">
        <v>0</v>
      </c>
      <c r="J55" s="218">
        <f t="shared" si="33"/>
        <v>-6282.5277660540196</v>
      </c>
      <c r="K55" s="203"/>
      <c r="L55" s="203"/>
      <c r="M55" s="203"/>
      <c r="N55" s="203"/>
      <c r="O55" s="203"/>
      <c r="P55" s="203"/>
      <c r="Q55" s="203"/>
      <c r="R55" s="203"/>
      <c r="S55" s="533"/>
    </row>
    <row r="56" spans="1:30" ht="24.75" hidden="1" customHeight="1">
      <c r="B56" s="219"/>
      <c r="D56" s="227" t="s">
        <v>239</v>
      </c>
      <c r="E56" s="228"/>
      <c r="F56" s="250">
        <f>F41+G41+H41</f>
        <v>-391.70313600000003</v>
      </c>
      <c r="G56" s="250">
        <v>0</v>
      </c>
      <c r="H56" s="250">
        <v>0</v>
      </c>
      <c r="I56" s="250">
        <v>0</v>
      </c>
      <c r="J56" s="218">
        <f t="shared" si="33"/>
        <v>-391.70313600000003</v>
      </c>
      <c r="K56" s="203"/>
      <c r="L56" s="203"/>
      <c r="M56" s="203"/>
      <c r="N56" s="203"/>
      <c r="O56" s="203"/>
      <c r="P56" s="203"/>
      <c r="Q56" s="203"/>
      <c r="R56" s="203"/>
      <c r="S56" s="533"/>
    </row>
    <row r="57" spans="1:30" ht="24.75" hidden="1" customHeight="1">
      <c r="B57" s="219"/>
      <c r="D57" s="227" t="s">
        <v>386</v>
      </c>
      <c r="E57" s="228"/>
      <c r="F57" s="217">
        <f>F42+G42+H42</f>
        <v>-2809.5428377326962</v>
      </c>
      <c r="G57" s="217">
        <v>0</v>
      </c>
      <c r="H57" s="217">
        <v>0</v>
      </c>
      <c r="I57" s="217">
        <v>0</v>
      </c>
      <c r="J57" s="218">
        <f t="shared" si="33"/>
        <v>-2809.5428377326962</v>
      </c>
      <c r="K57" s="203"/>
      <c r="L57" s="203"/>
      <c r="M57" s="203"/>
      <c r="N57" s="203"/>
      <c r="O57" s="203"/>
      <c r="P57" s="203"/>
      <c r="Q57" s="203"/>
      <c r="R57" s="203"/>
      <c r="S57" s="533"/>
    </row>
    <row r="58" spans="1:30" ht="24.75" hidden="1" customHeight="1">
      <c r="B58" s="229"/>
      <c r="C58" s="230" t="s">
        <v>240</v>
      </c>
      <c r="D58" s="231"/>
      <c r="E58" s="232">
        <v>-3</v>
      </c>
      <c r="F58" s="233">
        <f>SUM(F53:F57)</f>
        <v>-23900.122761638017</v>
      </c>
      <c r="G58" s="233">
        <f>SUM(G53:G57)</f>
        <v>0</v>
      </c>
      <c r="H58" s="233">
        <f>SUM(H53:H57)</f>
        <v>0</v>
      </c>
      <c r="I58" s="233">
        <f>SUM(I53:I57)</f>
        <v>0</v>
      </c>
      <c r="J58" s="234">
        <f>SUM(J53:J57)</f>
        <v>-23900.122761638017</v>
      </c>
      <c r="K58" s="203"/>
      <c r="L58" s="203"/>
      <c r="M58" s="203"/>
      <c r="N58" s="203"/>
      <c r="O58" s="203"/>
      <c r="P58" s="203"/>
      <c r="Q58" s="203"/>
      <c r="R58" s="203"/>
      <c r="S58" s="533"/>
    </row>
    <row r="59" spans="1:30" ht="24.75" hidden="1" customHeight="1" thickBot="1">
      <c r="B59" s="235"/>
      <c r="C59" s="236" t="s">
        <v>241</v>
      </c>
      <c r="D59" s="237"/>
      <c r="E59" s="238" t="s">
        <v>242</v>
      </c>
      <c r="F59" s="239">
        <f>F52+F58</f>
        <v>-3648.2925259162548</v>
      </c>
      <c r="G59" s="239">
        <f>G52+G58</f>
        <v>0</v>
      </c>
      <c r="H59" s="239">
        <f>H52+H58</f>
        <v>0</v>
      </c>
      <c r="I59" s="239">
        <f>I52+I58</f>
        <v>0</v>
      </c>
      <c r="J59" s="251">
        <f>SUM(F59:I59)</f>
        <v>-3648.2925259162548</v>
      </c>
      <c r="K59" s="203"/>
      <c r="L59" s="203"/>
      <c r="M59" s="203"/>
      <c r="N59" s="203"/>
      <c r="O59" s="203"/>
      <c r="P59" s="203"/>
      <c r="Q59" s="203"/>
      <c r="R59" s="203"/>
      <c r="S59" s="533"/>
    </row>
    <row r="60" spans="1:30" s="208" customFormat="1" ht="24.75" hidden="1" customHeight="1" thickBot="1">
      <c r="A60" s="406"/>
      <c r="B60" s="240" t="s">
        <v>243</v>
      </c>
      <c r="C60" s="241"/>
      <c r="D60" s="242"/>
      <c r="E60" s="243" t="s">
        <v>244</v>
      </c>
      <c r="F60" s="244">
        <f>F49+F59</f>
        <v>2558.3203653383844</v>
      </c>
      <c r="G60" s="244">
        <f>G49+G59</f>
        <v>2558.3203653383844</v>
      </c>
      <c r="H60" s="244">
        <f>H49+H59</f>
        <v>2558.3203653383844</v>
      </c>
      <c r="I60" s="244">
        <f>I49+I59</f>
        <v>2558.3203653383844</v>
      </c>
      <c r="J60" s="245">
        <f>J49+J59</f>
        <v>2558.3203653383844</v>
      </c>
      <c r="S60" s="534"/>
    </row>
    <row r="61" spans="1:30" ht="24.75" hidden="1" customHeight="1">
      <c r="H61" s="494"/>
    </row>
    <row r="62" spans="1:30" ht="24.75" customHeight="1" thickBot="1">
      <c r="B62" s="476" t="s">
        <v>388</v>
      </c>
      <c r="H62" s="525" t="e">
        <f>H80</f>
        <v>#REF!</v>
      </c>
      <c r="I62" s="476" t="s">
        <v>46</v>
      </c>
    </row>
    <row r="63" spans="1:30" ht="24.75" customHeight="1" thickBot="1">
      <c r="B63" s="1413" t="s">
        <v>114</v>
      </c>
      <c r="C63" s="1414"/>
      <c r="D63" s="1414"/>
      <c r="E63" s="1415"/>
      <c r="F63" s="419" t="s">
        <v>249</v>
      </c>
      <c r="G63" s="419" t="s">
        <v>250</v>
      </c>
      <c r="H63" s="419" t="s">
        <v>251</v>
      </c>
      <c r="I63" s="419" t="s">
        <v>252</v>
      </c>
      <c r="J63" s="419" t="s">
        <v>253</v>
      </c>
      <c r="K63" s="419" t="s">
        <v>254</v>
      </c>
      <c r="L63" s="419" t="s">
        <v>255</v>
      </c>
      <c r="M63" s="419" t="s">
        <v>256</v>
      </c>
      <c r="N63" s="419" t="s">
        <v>257</v>
      </c>
      <c r="O63" s="419" t="s">
        <v>258</v>
      </c>
      <c r="P63" s="419" t="s">
        <v>259</v>
      </c>
      <c r="Q63" s="419" t="s">
        <v>260</v>
      </c>
      <c r="R63" s="360" t="s">
        <v>14</v>
      </c>
      <c r="S63" s="539"/>
      <c r="T63" s="1419" t="s">
        <v>393</v>
      </c>
      <c r="U63" s="1421" t="s">
        <v>385</v>
      </c>
      <c r="V63" s="1401" t="s">
        <v>21</v>
      </c>
      <c r="W63" s="1402"/>
      <c r="X63" s="1403"/>
      <c r="Y63" s="1383" t="s">
        <v>41</v>
      </c>
      <c r="Z63" s="1384"/>
      <c r="AA63" s="1385"/>
      <c r="AB63" s="1392" t="s">
        <v>102</v>
      </c>
      <c r="AC63" s="1393"/>
      <c r="AD63" s="1394"/>
    </row>
    <row r="64" spans="1:30" ht="24.75" customHeight="1" thickBot="1">
      <c r="B64" s="1416"/>
      <c r="C64" s="1417"/>
      <c r="D64" s="1417"/>
      <c r="E64" s="1418"/>
      <c r="F64" s="491" t="s">
        <v>378</v>
      </c>
      <c r="G64" s="491" t="str">
        <f>F64</f>
        <v>ACT</v>
      </c>
      <c r="H64" s="491" t="str">
        <f>G64</f>
        <v>ACT</v>
      </c>
      <c r="I64" s="491" t="str">
        <f>H64</f>
        <v>ACT</v>
      </c>
      <c r="J64" s="491" t="s">
        <v>379</v>
      </c>
      <c r="K64" s="491" t="str">
        <f t="shared" ref="K64:R64" si="34">J64</f>
        <v>EST</v>
      </c>
      <c r="L64" s="491" t="str">
        <f t="shared" si="34"/>
        <v>EST</v>
      </c>
      <c r="M64" s="491" t="str">
        <f t="shared" si="34"/>
        <v>EST</v>
      </c>
      <c r="N64" s="491" t="str">
        <f t="shared" si="34"/>
        <v>EST</v>
      </c>
      <c r="O64" s="491" t="str">
        <f t="shared" si="34"/>
        <v>EST</v>
      </c>
      <c r="P64" s="491" t="str">
        <f t="shared" si="34"/>
        <v>EST</v>
      </c>
      <c r="Q64" s="491" t="str">
        <f t="shared" si="34"/>
        <v>EST</v>
      </c>
      <c r="R64" s="491" t="str">
        <f t="shared" si="34"/>
        <v>EST</v>
      </c>
      <c r="S64" s="539"/>
      <c r="T64" s="1420"/>
      <c r="U64" s="1422"/>
      <c r="V64" s="1407"/>
      <c r="W64" s="1408"/>
      <c r="X64" s="1409"/>
      <c r="Y64" s="1389"/>
      <c r="Z64" s="1390"/>
      <c r="AA64" s="1391"/>
      <c r="AB64" s="1398"/>
      <c r="AC64" s="1399"/>
      <c r="AD64" s="1400"/>
    </row>
    <row r="65" spans="1:30" s="208" customFormat="1" ht="24.75" customHeight="1">
      <c r="A65" s="406"/>
      <c r="B65" s="361" t="s">
        <v>231</v>
      </c>
      <c r="C65" s="362"/>
      <c r="D65" s="363"/>
      <c r="E65" s="212">
        <v>-1</v>
      </c>
      <c r="F65" s="364" t="e">
        <f>+#REF!+#REF!+#REF!+#REF!</f>
        <v>#REF!</v>
      </c>
      <c r="G65" s="364" t="e">
        <f t="shared" ref="G65:Q65" si="35">F78</f>
        <v>#REF!</v>
      </c>
      <c r="H65" s="364" t="e">
        <f t="shared" si="35"/>
        <v>#REF!</v>
      </c>
      <c r="I65" s="364" t="e">
        <f t="shared" si="35"/>
        <v>#REF!</v>
      </c>
      <c r="J65" s="364" t="e">
        <f t="shared" si="35"/>
        <v>#REF!</v>
      </c>
      <c r="K65" s="364" t="e">
        <f t="shared" si="35"/>
        <v>#REF!</v>
      </c>
      <c r="L65" s="364" t="e">
        <f t="shared" si="35"/>
        <v>#REF!</v>
      </c>
      <c r="M65" s="364" t="e">
        <f t="shared" si="35"/>
        <v>#REF!</v>
      </c>
      <c r="N65" s="364" t="e">
        <f t="shared" si="35"/>
        <v>#REF!</v>
      </c>
      <c r="O65" s="364" t="e">
        <f t="shared" si="35"/>
        <v>#REF!</v>
      </c>
      <c r="P65" s="364" t="e">
        <f t="shared" si="35"/>
        <v>#REF!</v>
      </c>
      <c r="Q65" s="364" t="e">
        <f t="shared" si="35"/>
        <v>#REF!</v>
      </c>
      <c r="R65" s="365" t="e">
        <f>F65</f>
        <v>#REF!</v>
      </c>
      <c r="S65" s="540"/>
      <c r="T65" s="574">
        <f>R3</f>
        <v>6206.6128912546392</v>
      </c>
      <c r="U65" s="1423"/>
      <c r="V65" s="496" t="s">
        <v>391</v>
      </c>
      <c r="W65" s="496" t="s">
        <v>392</v>
      </c>
      <c r="X65" s="496" t="s">
        <v>385</v>
      </c>
      <c r="Y65" s="495" t="s">
        <v>391</v>
      </c>
      <c r="Z65" s="495" t="s">
        <v>392</v>
      </c>
      <c r="AA65" s="495" t="s">
        <v>385</v>
      </c>
      <c r="AB65" s="541" t="s">
        <v>391</v>
      </c>
      <c r="AC65" s="541" t="s">
        <v>392</v>
      </c>
      <c r="AD65" s="541" t="s">
        <v>385</v>
      </c>
    </row>
    <row r="66" spans="1:30" ht="24.75" customHeight="1">
      <c r="B66" s="366" t="s">
        <v>232</v>
      </c>
      <c r="C66" s="367" t="s">
        <v>233</v>
      </c>
      <c r="D66" s="368"/>
      <c r="F66" s="369" t="e">
        <f>+#REF!+#REF!+#REF!+#REF!</f>
        <v>#REF!</v>
      </c>
      <c r="G66" s="369" t="e">
        <f>+#REF!+#REF!+#REF!+#REF!</f>
        <v>#REF!</v>
      </c>
      <c r="H66" s="369" t="e">
        <f>+#REF!+#REF!+#REF!+#REF!</f>
        <v>#REF!</v>
      </c>
      <c r="I66" s="369" t="e">
        <f>+#REF!+#REF!+#REF!+#REF!</f>
        <v>#REF!</v>
      </c>
      <c r="J66" s="369" t="e">
        <f>+#REF!+#REF!+#REF!+#REF!</f>
        <v>#REF!</v>
      </c>
      <c r="K66" s="369" t="e">
        <f>+#REF!+#REF!+#REF!+#REF!</f>
        <v>#REF!</v>
      </c>
      <c r="L66" s="369" t="e">
        <f>+#REF!+#REF!+#REF!+#REF!</f>
        <v>#REF!</v>
      </c>
      <c r="M66" s="369" t="e">
        <f>+#REF!+#REF!+#REF!+#REF!</f>
        <v>#REF!</v>
      </c>
      <c r="N66" s="369" t="e">
        <f>+#REF!+#REF!+#REF!+#REF!</f>
        <v>#REF!</v>
      </c>
      <c r="O66" s="369" t="e">
        <f>+#REF!+#REF!+#REF!+#REF!</f>
        <v>#REF!</v>
      </c>
      <c r="P66" s="369" t="e">
        <f>+#REF!+#REF!+#REF!+#REF!</f>
        <v>#REF!</v>
      </c>
      <c r="Q66" s="369" t="e">
        <f>+#REF!+#REF!+#REF!+#REF!</f>
        <v>#REF!</v>
      </c>
      <c r="R66" s="370" t="e">
        <f>SUM(F66:Q66)</f>
        <v>#REF!</v>
      </c>
      <c r="S66" s="535"/>
      <c r="T66" s="497">
        <f>R4</f>
        <v>72123.482954520892</v>
      </c>
      <c r="U66" s="497" t="e">
        <f>R66-T66</f>
        <v>#REF!</v>
      </c>
      <c r="V66" s="542">
        <v>7321.8949136380943</v>
      </c>
      <c r="W66" s="542" t="e">
        <f>#REF!</f>
        <v>#REF!</v>
      </c>
      <c r="X66" s="542" t="e">
        <f>W66-V66</f>
        <v>#REF!</v>
      </c>
      <c r="Y66" s="542">
        <v>30740.470461328281</v>
      </c>
      <c r="Z66" s="542" t="e">
        <f>#REF!+#REF!</f>
        <v>#REF!</v>
      </c>
      <c r="AA66" s="545" t="e">
        <f>Z66-Y66</f>
        <v>#REF!</v>
      </c>
      <c r="AB66" s="542">
        <v>34061.117579554513</v>
      </c>
      <c r="AC66" s="542" t="e">
        <f>#REF!</f>
        <v>#REF!</v>
      </c>
      <c r="AD66" s="545" t="e">
        <f>AC66-AB66</f>
        <v>#REF!</v>
      </c>
    </row>
    <row r="67" spans="1:30" ht="24.75" customHeight="1">
      <c r="B67" s="371"/>
      <c r="C67" s="367" t="s">
        <v>360</v>
      </c>
      <c r="D67" s="368"/>
      <c r="F67" s="369" t="e">
        <f>+#REF!+#REF!+#REF!+#REF!</f>
        <v>#REF!</v>
      </c>
      <c r="G67" s="369" t="e">
        <f>+#REF!+#REF!+#REF!+#REF!</f>
        <v>#REF!</v>
      </c>
      <c r="H67" s="369" t="e">
        <f>+#REF!+#REF!+#REF!+#REF!</f>
        <v>#REF!</v>
      </c>
      <c r="I67" s="369" t="e">
        <f>+#REF!+#REF!+#REF!+#REF!</f>
        <v>#REF!</v>
      </c>
      <c r="J67" s="369" t="e">
        <f>+#REF!+#REF!+#REF!+#REF!</f>
        <v>#REF!</v>
      </c>
      <c r="K67" s="369" t="e">
        <f>+#REF!+#REF!+#REF!+#REF!</f>
        <v>#REF!</v>
      </c>
      <c r="L67" s="369" t="e">
        <f>+#REF!+#REF!+#REF!+#REF!</f>
        <v>#REF!</v>
      </c>
      <c r="M67" s="369" t="e">
        <f>+#REF!+#REF!+#REF!+#REF!</f>
        <v>#REF!</v>
      </c>
      <c r="N67" s="369" t="e">
        <f>+#REF!+#REF!+#REF!+#REF!</f>
        <v>#REF!</v>
      </c>
      <c r="O67" s="369" t="e">
        <f>+#REF!+#REF!+#REF!+#REF!</f>
        <v>#REF!</v>
      </c>
      <c r="P67" s="369" t="e">
        <f>+#REF!+#REF!+#REF!+#REF!</f>
        <v>#REF!</v>
      </c>
      <c r="Q67" s="369" t="e">
        <f>+#REF!+#REF!+#REF!+#REF!</f>
        <v>#REF!</v>
      </c>
      <c r="R67" s="370" t="e">
        <f>SUM(F67:Q67)</f>
        <v>#REF!</v>
      </c>
      <c r="S67" s="535"/>
      <c r="T67" s="497">
        <f>R5</f>
        <v>17741.966745000002</v>
      </c>
      <c r="U67" s="497" t="e">
        <f>R67+R68-T67</f>
        <v>#REF!</v>
      </c>
      <c r="V67" s="542">
        <v>2975</v>
      </c>
      <c r="W67" s="542" t="e">
        <f>#REF!+#REF!</f>
        <v>#REF!</v>
      </c>
      <c r="X67" s="545" t="e">
        <f>W67-V67</f>
        <v>#REF!</v>
      </c>
      <c r="Y67" s="542">
        <v>13600.367000000002</v>
      </c>
      <c r="Z67" s="542" t="e">
        <f>#REF!+#REF!+#REF!+#REF!</f>
        <v>#REF!</v>
      </c>
      <c r="AA67" s="542" t="e">
        <f>Z67-Y67</f>
        <v>#REF!</v>
      </c>
      <c r="AB67" s="542">
        <v>1166.599745</v>
      </c>
      <c r="AC67" s="542" t="e">
        <f>#REF!+#REF!</f>
        <v>#REF!</v>
      </c>
      <c r="AD67" s="542" t="e">
        <f>AC67-AB67</f>
        <v>#REF!</v>
      </c>
    </row>
    <row r="68" spans="1:30" ht="24.75" customHeight="1">
      <c r="B68" s="371"/>
      <c r="C68" s="367" t="s">
        <v>359</v>
      </c>
      <c r="D68" s="368"/>
      <c r="F68" s="369" t="e">
        <f>+#REF!+#REF!+#REF!+#REF!</f>
        <v>#REF!</v>
      </c>
      <c r="G68" s="369" t="e">
        <f>+#REF!+#REF!+#REF!+#REF!</f>
        <v>#REF!</v>
      </c>
      <c r="H68" s="369" t="e">
        <f>+#REF!+#REF!+#REF!+#REF!</f>
        <v>#REF!</v>
      </c>
      <c r="I68" s="503" t="e">
        <f>+#REF!+#REF!+#REF!+#REF!</f>
        <v>#REF!</v>
      </c>
      <c r="J68" s="369" t="e">
        <f>+#REF!+#REF!+#REF!+#REF!</f>
        <v>#REF!</v>
      </c>
      <c r="K68" s="369" t="e">
        <f>+#REF!+#REF!+#REF!+#REF!</f>
        <v>#REF!</v>
      </c>
      <c r="L68" s="369" t="e">
        <f>+#REF!+#REF!+#REF!+#REF!</f>
        <v>#REF!</v>
      </c>
      <c r="M68" s="369" t="e">
        <f>+#REF!+#REF!+#REF!+#REF!</f>
        <v>#REF!</v>
      </c>
      <c r="N68" s="369" t="e">
        <f>+#REF!+#REF!+#REF!+#REF!</f>
        <v>#REF!</v>
      </c>
      <c r="O68" s="369" t="e">
        <f>+#REF!+#REF!+#REF!+#REF!</f>
        <v>#REF!</v>
      </c>
      <c r="P68" s="369" t="e">
        <f>+#REF!+#REF!+#REF!+#REF!</f>
        <v>#REF!</v>
      </c>
      <c r="Q68" s="369" t="e">
        <f>+#REF!+#REF!+#REF!+#REF!</f>
        <v>#REF!</v>
      </c>
      <c r="R68" s="370" t="e">
        <f>SUM(F68:Q68)</f>
        <v>#REF!</v>
      </c>
      <c r="S68" s="535"/>
      <c r="T68" s="497"/>
      <c r="U68" s="497"/>
      <c r="V68" s="542"/>
      <c r="W68" s="542"/>
      <c r="X68" s="542"/>
      <c r="Y68" s="542"/>
      <c r="Z68" s="542"/>
      <c r="AA68" s="542"/>
      <c r="AB68" s="542"/>
      <c r="AC68" s="542"/>
      <c r="AD68" s="542"/>
    </row>
    <row r="69" spans="1:30" ht="24.75" customHeight="1" thickBot="1">
      <c r="B69" s="372"/>
      <c r="C69" s="373" t="s">
        <v>234</v>
      </c>
      <c r="D69" s="374"/>
      <c r="E69" s="223">
        <v>-2</v>
      </c>
      <c r="F69" s="375" t="e">
        <f t="shared" ref="F69:R69" si="36">SUM(F66:F68)</f>
        <v>#REF!</v>
      </c>
      <c r="G69" s="375" t="e">
        <f t="shared" si="36"/>
        <v>#REF!</v>
      </c>
      <c r="H69" s="375" t="e">
        <f t="shared" si="36"/>
        <v>#REF!</v>
      </c>
      <c r="I69" s="375" t="e">
        <f t="shared" si="36"/>
        <v>#REF!</v>
      </c>
      <c r="J69" s="375" t="e">
        <f t="shared" si="36"/>
        <v>#REF!</v>
      </c>
      <c r="K69" s="375" t="e">
        <f t="shared" si="36"/>
        <v>#REF!</v>
      </c>
      <c r="L69" s="375" t="e">
        <f t="shared" si="36"/>
        <v>#REF!</v>
      </c>
      <c r="M69" s="375" t="e">
        <f t="shared" si="36"/>
        <v>#REF!</v>
      </c>
      <c r="N69" s="375" t="e">
        <f t="shared" si="36"/>
        <v>#REF!</v>
      </c>
      <c r="O69" s="375" t="e">
        <f t="shared" si="36"/>
        <v>#REF!</v>
      </c>
      <c r="P69" s="375" t="e">
        <f t="shared" si="36"/>
        <v>#REF!</v>
      </c>
      <c r="Q69" s="375" t="e">
        <f t="shared" si="36"/>
        <v>#REF!</v>
      </c>
      <c r="R69" s="376" t="e">
        <f t="shared" si="36"/>
        <v>#REF!</v>
      </c>
      <c r="S69" s="536"/>
      <c r="T69" s="498">
        <f t="shared" ref="T69" si="37">SUM(T66:T68)</f>
        <v>89865.44969952089</v>
      </c>
      <c r="U69" s="498" t="e">
        <f>SUM(U66:U68)</f>
        <v>#REF!</v>
      </c>
      <c r="V69" s="546"/>
      <c r="W69" s="546"/>
      <c r="X69" s="546" t="e">
        <f>SUM(X66:X68)</f>
        <v>#REF!</v>
      </c>
      <c r="Y69" s="546"/>
      <c r="Z69" s="546"/>
      <c r="AA69" s="546" t="e">
        <f>SUM(AA66:AA68)</f>
        <v>#REF!</v>
      </c>
      <c r="AB69" s="546"/>
      <c r="AC69" s="546"/>
      <c r="AD69" s="546" t="e">
        <f>SUM(AD66:AD68)</f>
        <v>#REF!</v>
      </c>
    </row>
    <row r="70" spans="1:30" ht="24.75" customHeight="1" thickTop="1">
      <c r="B70" s="366" t="s">
        <v>235</v>
      </c>
      <c r="C70" s="377"/>
      <c r="D70" s="367" t="s">
        <v>236</v>
      </c>
      <c r="E70" s="249"/>
      <c r="F70" s="378" t="e">
        <f>+#REF!+#REF!+#REF!+#REF!</f>
        <v>#REF!</v>
      </c>
      <c r="G70" s="378" t="e">
        <f>+#REF!+#REF!+#REF!+#REF!</f>
        <v>#REF!</v>
      </c>
      <c r="H70" s="378" t="e">
        <f>+#REF!+#REF!+#REF!+#REF!</f>
        <v>#REF!</v>
      </c>
      <c r="I70" s="378" t="e">
        <f>+#REF!+#REF!+#REF!+#REF!</f>
        <v>#REF!</v>
      </c>
      <c r="J70" s="378" t="e">
        <f>+#REF!+#REF!+#REF!+#REF!</f>
        <v>#REF!</v>
      </c>
      <c r="K70" s="378" t="e">
        <f>+#REF!+#REF!+#REF!+#REF!</f>
        <v>#REF!</v>
      </c>
      <c r="L70" s="378" t="e">
        <f>+#REF!+#REF!+#REF!+#REF!</f>
        <v>#REF!</v>
      </c>
      <c r="M70" s="378" t="e">
        <f>+#REF!+#REF!+#REF!+#REF!</f>
        <v>#REF!</v>
      </c>
      <c r="N70" s="378" t="e">
        <f>+#REF!+#REF!+#REF!+#REF!</f>
        <v>#REF!</v>
      </c>
      <c r="O70" s="378" t="e">
        <f>+#REF!+#REF!+#REF!+#REF!</f>
        <v>#REF!</v>
      </c>
      <c r="P70" s="378" t="e">
        <f>+#REF!+#REF!+#REF!+#REF!</f>
        <v>#REF!</v>
      </c>
      <c r="Q70" s="378" t="e">
        <f>+#REF!+#REF!+#REF!+#REF!</f>
        <v>#REF!</v>
      </c>
      <c r="R70" s="379" t="e">
        <f t="shared" ref="R70:R75" si="38">SUM(F70:Q70)</f>
        <v>#REF!</v>
      </c>
      <c r="S70" s="536"/>
      <c r="T70" s="499">
        <f>R7</f>
        <v>-35101.879227833939</v>
      </c>
      <c r="U70" s="499" t="e">
        <f>R70-T70</f>
        <v>#REF!</v>
      </c>
      <c r="V70" s="542">
        <v>-5618.3282954366641</v>
      </c>
      <c r="W70" s="542" t="e">
        <f>#REF!</f>
        <v>#REF!</v>
      </c>
      <c r="X70" s="542" t="e">
        <f>W70-V70</f>
        <v>#REF!</v>
      </c>
      <c r="Y70" s="542">
        <v>-21626.470959677463</v>
      </c>
      <c r="Z70" s="542" t="e">
        <f>#REF!+#REF!</f>
        <v>#REF!</v>
      </c>
      <c r="AA70" s="542" t="e">
        <f>Z70-Y70</f>
        <v>#REF!</v>
      </c>
      <c r="AB70" s="542">
        <v>-7857.0799727198182</v>
      </c>
      <c r="AC70" s="542" t="e">
        <f>#REF!</f>
        <v>#REF!</v>
      </c>
      <c r="AD70" s="545" t="e">
        <f>AC70-AB70</f>
        <v>#REF!</v>
      </c>
    </row>
    <row r="71" spans="1:30" ht="24.75" customHeight="1">
      <c r="B71" s="366"/>
      <c r="C71" s="368"/>
      <c r="D71" s="367" t="s">
        <v>237</v>
      </c>
      <c r="F71" s="369" t="e">
        <f>+#REF!+#REF!+#REF!+#REF!</f>
        <v>#REF!</v>
      </c>
      <c r="G71" s="369" t="e">
        <f>+#REF!+#REF!+#REF!+#REF!</f>
        <v>#REF!</v>
      </c>
      <c r="H71" s="369" t="e">
        <f>+#REF!+#REF!+#REF!+#REF!</f>
        <v>#REF!</v>
      </c>
      <c r="I71" s="380" t="e">
        <f>+#REF!+#REF!+#REF!+#REF!</f>
        <v>#REF!</v>
      </c>
      <c r="J71" s="380" t="e">
        <f>+#REF!+#REF!+#REF!+#REF!</f>
        <v>#REF!</v>
      </c>
      <c r="K71" s="380" t="e">
        <f>+#REF!+#REF!+#REF!+#REF!</f>
        <v>#REF!</v>
      </c>
      <c r="L71" s="369" t="e">
        <f>+#REF!+#REF!+#REF!+#REF!</f>
        <v>#REF!</v>
      </c>
      <c r="M71" s="369" t="e">
        <f>+#REF!+#REF!+#REF!+#REF!</f>
        <v>#REF!</v>
      </c>
      <c r="N71" s="369" t="e">
        <f>+#REF!+#REF!+#REF!+#REF!</f>
        <v>#REF!</v>
      </c>
      <c r="O71" s="369" t="e">
        <f>+#REF!+#REF!+#REF!+#REF!</f>
        <v>#REF!</v>
      </c>
      <c r="P71" s="369" t="e">
        <f>+#REF!+#REF!+#REF!+#REF!</f>
        <v>#REF!</v>
      </c>
      <c r="Q71" s="369" t="e">
        <f>+#REF!+#REF!+#REF!+#REF!</f>
        <v>#REF!</v>
      </c>
      <c r="R71" s="370" t="e">
        <f t="shared" si="38"/>
        <v>#REF!</v>
      </c>
      <c r="S71" s="535"/>
      <c r="T71" s="497">
        <f>R8</f>
        <v>-12712.877110612622</v>
      </c>
      <c r="U71" s="497" t="e">
        <f>R71-T71</f>
        <v>#REF!</v>
      </c>
      <c r="V71" s="542">
        <v>-2323.6180111826234</v>
      </c>
      <c r="W71" s="542" t="e">
        <f>#REF!</f>
        <v>#REF!</v>
      </c>
      <c r="X71" s="542" t="e">
        <f t="shared" ref="X71:X74" si="39">W71-V71</f>
        <v>#REF!</v>
      </c>
      <c r="Y71" s="542">
        <v>-6281.3220000000001</v>
      </c>
      <c r="Z71" s="542" t="e">
        <f>#REF!+#REF!</f>
        <v>#REF!</v>
      </c>
      <c r="AA71" s="545" t="e">
        <f t="shared" ref="AA71:AA74" si="40">Z71-Y71</f>
        <v>#REF!</v>
      </c>
      <c r="AB71" s="542">
        <v>-4107.9370994299989</v>
      </c>
      <c r="AC71" s="542" t="e">
        <f>#REF!</f>
        <v>#REF!</v>
      </c>
      <c r="AD71" s="545" t="e">
        <f t="shared" ref="AD71:AD74" si="41">AC71-AB71</f>
        <v>#REF!</v>
      </c>
    </row>
    <row r="72" spans="1:30" ht="24.75" customHeight="1">
      <c r="B72" s="371"/>
      <c r="C72" s="368"/>
      <c r="D72" s="367" t="s">
        <v>238</v>
      </c>
      <c r="E72" s="228"/>
      <c r="F72" s="369" t="e">
        <f>+#REF!+#REF!+#REF!+#REF!</f>
        <v>#REF!</v>
      </c>
      <c r="G72" s="369" t="e">
        <f>+#REF!+#REF!+#REF!+#REF!</f>
        <v>#REF!</v>
      </c>
      <c r="H72" s="369" t="e">
        <f>+#REF!+#REF!+#REF!+#REF!</f>
        <v>#REF!</v>
      </c>
      <c r="I72" s="369" t="e">
        <f>+#REF!+#REF!+#REF!+#REF!</f>
        <v>#REF!</v>
      </c>
      <c r="J72" s="369" t="e">
        <f>+#REF!+#REF!+#REF!+#REF!</f>
        <v>#REF!</v>
      </c>
      <c r="K72" s="369" t="e">
        <f>+#REF!+#REF!+#REF!+#REF!</f>
        <v>#REF!</v>
      </c>
      <c r="L72" s="369" t="e">
        <f>+#REF!+#REF!+#REF!+#REF!</f>
        <v>#REF!</v>
      </c>
      <c r="M72" s="369" t="e">
        <f>+#REF!+#REF!+#REF!+#REF!</f>
        <v>#REF!</v>
      </c>
      <c r="N72" s="369" t="e">
        <f>+#REF!+#REF!+#REF!+#REF!</f>
        <v>#REF!</v>
      </c>
      <c r="O72" s="369" t="e">
        <f>+#REF!+#REF!+#REF!+#REF!</f>
        <v>#REF!</v>
      </c>
      <c r="P72" s="369" t="e">
        <f>+#REF!+#REF!+#REF!+#REF!</f>
        <v>#REF!</v>
      </c>
      <c r="Q72" s="369" t="e">
        <f>+#REF!+#REF!+#REF!+#REF!</f>
        <v>#REF!</v>
      </c>
      <c r="R72" s="370" t="e">
        <f t="shared" si="38"/>
        <v>#REF!</v>
      </c>
      <c r="S72" s="535"/>
      <c r="T72" s="497">
        <f>R9</f>
        <v>-28778.010205602735</v>
      </c>
      <c r="U72" s="497" t="e">
        <f>R72-T72</f>
        <v>#REF!</v>
      </c>
      <c r="V72" s="542">
        <v>-1714.2046283933996</v>
      </c>
      <c r="W72" s="542" t="e">
        <f>#REF!</f>
        <v>#REF!</v>
      </c>
      <c r="X72" s="542" t="e">
        <f t="shared" si="39"/>
        <v>#REF!</v>
      </c>
      <c r="Y72" s="542">
        <v>-3543.6032000000005</v>
      </c>
      <c r="Z72" s="542" t="e">
        <f>#REF!+#REF!</f>
        <v>#REF!</v>
      </c>
      <c r="AA72" s="545" t="e">
        <f t="shared" si="40"/>
        <v>#REF!</v>
      </c>
      <c r="AB72" s="542">
        <v>-23520.202377209342</v>
      </c>
      <c r="AC72" s="542" t="e">
        <f>#REF!</f>
        <v>#REF!</v>
      </c>
      <c r="AD72" s="545" t="e">
        <f t="shared" si="41"/>
        <v>#REF!</v>
      </c>
    </row>
    <row r="73" spans="1:30" ht="24.75" customHeight="1">
      <c r="B73" s="371"/>
      <c r="C73" s="368"/>
      <c r="D73" s="367" t="s">
        <v>239</v>
      </c>
      <c r="E73" s="228"/>
      <c r="F73" s="369" t="e">
        <f>+#REF!+#REF!+#REF!+#REF!</f>
        <v>#REF!</v>
      </c>
      <c r="G73" s="369" t="e">
        <f>+#REF!+#REF!+#REF!+#REF!</f>
        <v>#REF!</v>
      </c>
      <c r="H73" s="369" t="e">
        <f>+#REF!+#REF!+#REF!+#REF!</f>
        <v>#REF!</v>
      </c>
      <c r="I73" s="369" t="e">
        <f>+#REF!+#REF!+#REF!+#REF!</f>
        <v>#REF!</v>
      </c>
      <c r="J73" s="369" t="e">
        <f>+#REF!+#REF!+#REF!+#REF!</f>
        <v>#REF!</v>
      </c>
      <c r="K73" s="369" t="e">
        <f>+#REF!+#REF!+#REF!+#REF!</f>
        <v>#REF!</v>
      </c>
      <c r="L73" s="402" t="e">
        <f>+#REF!+#REF!+#REF!+#REF!</f>
        <v>#REF!</v>
      </c>
      <c r="M73" s="369" t="e">
        <f>+#REF!+#REF!+#REF!+#REF!</f>
        <v>#REF!</v>
      </c>
      <c r="N73" s="369" t="e">
        <f>+#REF!+#REF!+#REF!+#REF!</f>
        <v>#REF!</v>
      </c>
      <c r="O73" s="369" t="e">
        <f>+#REF!+#REF!+#REF!+#REF!</f>
        <v>#REF!</v>
      </c>
      <c r="P73" s="369" t="e">
        <f>+#REF!+#REF!+#REF!+#REF!</f>
        <v>#REF!</v>
      </c>
      <c r="Q73" s="369" t="e">
        <f>+#REF!+#REF!+#REF!+#REF!</f>
        <v>#REF!</v>
      </c>
      <c r="R73" s="370" t="e">
        <f t="shared" si="38"/>
        <v>#REF!</v>
      </c>
      <c r="S73" s="535"/>
      <c r="T73" s="497">
        <f>R10</f>
        <v>-1078.7634748000003</v>
      </c>
      <c r="U73" s="497" t="e">
        <f>R73-T73</f>
        <v>#REF!</v>
      </c>
      <c r="V73" s="542">
        <v>-154.52587480000003</v>
      </c>
      <c r="W73" s="542" t="e">
        <f>#REF!</f>
        <v>#REF!</v>
      </c>
      <c r="X73" s="542" t="e">
        <f t="shared" si="39"/>
        <v>#REF!</v>
      </c>
      <c r="Y73" s="542">
        <v>-924.23760000000016</v>
      </c>
      <c r="Z73" s="542" t="e">
        <f>#REF!+#REF!</f>
        <v>#REF!</v>
      </c>
      <c r="AA73" s="542" t="e">
        <f t="shared" si="40"/>
        <v>#REF!</v>
      </c>
      <c r="AB73" s="542">
        <v>0</v>
      </c>
      <c r="AC73" s="542" t="e">
        <f>#REF!</f>
        <v>#REF!</v>
      </c>
      <c r="AD73" s="542" t="e">
        <f t="shared" si="41"/>
        <v>#REF!</v>
      </c>
    </row>
    <row r="74" spans="1:30" ht="24.75" customHeight="1">
      <c r="B74" s="371"/>
      <c r="C74" s="368"/>
      <c r="D74" s="367" t="s">
        <v>361</v>
      </c>
      <c r="E74" s="228"/>
      <c r="F74" s="369" t="e">
        <f>+#REF!+#REF!+#REF!+#REF!</f>
        <v>#REF!</v>
      </c>
      <c r="G74" s="369" t="e">
        <f>+#REF!+#REF!+#REF!+#REF!</f>
        <v>#REF!</v>
      </c>
      <c r="H74" s="369" t="e">
        <f>+#REF!+#REF!+#REF!+#REF!</f>
        <v>#REF!</v>
      </c>
      <c r="I74" s="369" t="e">
        <f>+#REF!+#REF!+#REF!+#REF!</f>
        <v>#REF!</v>
      </c>
      <c r="J74" s="369" t="e">
        <f>+#REF!+#REF!+#REF!+#REF!</f>
        <v>#REF!</v>
      </c>
      <c r="K74" s="369" t="e">
        <f>+#REF!+#REF!+#REF!+#REF!</f>
        <v>#REF!</v>
      </c>
      <c r="L74" s="369" t="e">
        <f>+#REF!+#REF!+#REF!+#REF!</f>
        <v>#REF!</v>
      </c>
      <c r="M74" s="369" t="e">
        <f>+#REF!+#REF!+#REF!+#REF!</f>
        <v>#REF!</v>
      </c>
      <c r="N74" s="369" t="e">
        <f>+#REF!+#REF!+#REF!+#REF!</f>
        <v>#REF!</v>
      </c>
      <c r="O74" s="369" t="e">
        <f>+#REF!+#REF!+#REF!+#REF!</f>
        <v>#REF!</v>
      </c>
      <c r="P74" s="369" t="e">
        <f>+#REF!+#REF!+#REF!+#REF!</f>
        <v>#REF!</v>
      </c>
      <c r="Q74" s="369" t="e">
        <f>+#REF!+#REF!+#REF!+#REF!</f>
        <v>#REF!</v>
      </c>
      <c r="R74" s="370" t="e">
        <f t="shared" si="38"/>
        <v>#REF!</v>
      </c>
      <c r="S74" s="535"/>
      <c r="T74" s="497">
        <f>R11</f>
        <v>-17250.30865001589</v>
      </c>
      <c r="U74" s="497" t="e">
        <f>R74+R75-T74</f>
        <v>#REF!</v>
      </c>
      <c r="V74" s="542">
        <v>-1003.5000705784245</v>
      </c>
      <c r="W74" s="542" t="e">
        <f>#REF!+#REF!</f>
        <v>#REF!</v>
      </c>
      <c r="X74" s="542" t="e">
        <f t="shared" si="39"/>
        <v>#REF!</v>
      </c>
      <c r="Y74" s="542">
        <v>-13309.466322425706</v>
      </c>
      <c r="Z74" s="542" t="e">
        <f>#REF!+#REF!+#REF!</f>
        <v>#REF!</v>
      </c>
      <c r="AA74" s="542" t="e">
        <f t="shared" si="40"/>
        <v>#REF!</v>
      </c>
      <c r="AB74" s="542">
        <v>-2937.3422570117582</v>
      </c>
      <c r="AC74" s="542" t="e">
        <f>#REF!+#REF!</f>
        <v>#REF!</v>
      </c>
      <c r="AD74" s="542" t="e">
        <f t="shared" si="41"/>
        <v>#REF!</v>
      </c>
    </row>
    <row r="75" spans="1:30" ht="24.75" customHeight="1">
      <c r="B75" s="371"/>
      <c r="C75" s="368"/>
      <c r="D75" s="367" t="s">
        <v>362</v>
      </c>
      <c r="E75" s="228"/>
      <c r="F75" s="369" t="e">
        <f>+#REF!+#REF!+#REF!+#REF!</f>
        <v>#REF!</v>
      </c>
      <c r="G75" s="369" t="e">
        <f>+#REF!+#REF!+#REF!+#REF!</f>
        <v>#REF!</v>
      </c>
      <c r="H75" s="369" t="e">
        <f>+#REF!+#REF!+#REF!+#REF!</f>
        <v>#REF!</v>
      </c>
      <c r="I75" s="369" t="e">
        <f>+#REF!+#REF!+#REF!+#REF!</f>
        <v>#REF!</v>
      </c>
      <c r="J75" s="369" t="e">
        <f>+#REF!+#REF!+#REF!+#REF!</f>
        <v>#REF!</v>
      </c>
      <c r="K75" s="369" t="e">
        <f>+#REF!+#REF!+#REF!+#REF!</f>
        <v>#REF!</v>
      </c>
      <c r="L75" s="369" t="e">
        <f>+#REF!+#REF!+#REF!+#REF!</f>
        <v>#REF!</v>
      </c>
      <c r="M75" s="369" t="e">
        <f>+#REF!+#REF!+#REF!+#REF!</f>
        <v>#REF!</v>
      </c>
      <c r="N75" s="369" t="e">
        <f>+#REF!+#REF!+#REF!+#REF!</f>
        <v>#REF!</v>
      </c>
      <c r="O75" s="369" t="e">
        <f>+#REF!+#REF!+#REF!+#REF!</f>
        <v>#REF!</v>
      </c>
      <c r="P75" s="369" t="e">
        <f>+#REF!+#REF!+#REF!+#REF!</f>
        <v>#REF!</v>
      </c>
      <c r="Q75" s="369" t="e">
        <f>+#REF!+#REF!+#REF!+#REF!</f>
        <v>#REF!</v>
      </c>
      <c r="R75" s="370" t="e">
        <f t="shared" si="38"/>
        <v>#REF!</v>
      </c>
      <c r="S75" s="535"/>
      <c r="T75" s="497"/>
      <c r="U75" s="497"/>
      <c r="V75" s="542"/>
      <c r="W75" s="542"/>
      <c r="X75" s="542"/>
      <c r="Y75" s="542"/>
      <c r="Z75" s="542"/>
      <c r="AA75" s="542"/>
      <c r="AB75" s="542"/>
      <c r="AC75" s="542"/>
      <c r="AD75" s="542"/>
    </row>
    <row r="76" spans="1:30" ht="24.75" customHeight="1" thickBot="1">
      <c r="B76" s="382"/>
      <c r="C76" s="383" t="s">
        <v>240</v>
      </c>
      <c r="D76" s="384"/>
      <c r="E76" s="232">
        <v>-3</v>
      </c>
      <c r="F76" s="385" t="e">
        <f t="shared" ref="F76:R76" si="42">SUM(F70:F75)</f>
        <v>#REF!</v>
      </c>
      <c r="G76" s="385" t="e">
        <f t="shared" si="42"/>
        <v>#REF!</v>
      </c>
      <c r="H76" s="385" t="e">
        <f t="shared" si="42"/>
        <v>#REF!</v>
      </c>
      <c r="I76" s="385" t="e">
        <f t="shared" si="42"/>
        <v>#REF!</v>
      </c>
      <c r="J76" s="385" t="e">
        <f t="shared" si="42"/>
        <v>#REF!</v>
      </c>
      <c r="K76" s="385" t="e">
        <f t="shared" si="42"/>
        <v>#REF!</v>
      </c>
      <c r="L76" s="385" t="e">
        <f t="shared" si="42"/>
        <v>#REF!</v>
      </c>
      <c r="M76" s="385" t="e">
        <f t="shared" si="42"/>
        <v>#REF!</v>
      </c>
      <c r="N76" s="385" t="e">
        <f t="shared" si="42"/>
        <v>#REF!</v>
      </c>
      <c r="O76" s="385" t="e">
        <f t="shared" si="42"/>
        <v>#REF!</v>
      </c>
      <c r="P76" s="385" t="e">
        <f t="shared" si="42"/>
        <v>#REF!</v>
      </c>
      <c r="Q76" s="385" t="e">
        <f t="shared" si="42"/>
        <v>#REF!</v>
      </c>
      <c r="R76" s="386" t="e">
        <f t="shared" si="42"/>
        <v>#REF!</v>
      </c>
      <c r="S76" s="536"/>
      <c r="T76" s="500">
        <f t="shared" ref="T76" si="43">SUM(T70:T75)</f>
        <v>-94921.838668865181</v>
      </c>
      <c r="U76" s="500" t="e">
        <f>SUM(U70:U75)</f>
        <v>#REF!</v>
      </c>
      <c r="V76" s="547"/>
      <c r="W76" s="547"/>
      <c r="X76" s="547" t="e">
        <f>SUM(X70:X75)</f>
        <v>#REF!</v>
      </c>
      <c r="Y76" s="547"/>
      <c r="Z76" s="547"/>
      <c r="AA76" s="547" t="e">
        <f>SUM(AA70:AA75)</f>
        <v>#REF!</v>
      </c>
      <c r="AB76" s="547"/>
      <c r="AC76" s="547"/>
      <c r="AD76" s="547" t="e">
        <f>SUM(AD70:AD75)</f>
        <v>#REF!</v>
      </c>
    </row>
    <row r="77" spans="1:30" ht="24.75" customHeight="1" thickBot="1">
      <c r="B77" s="387"/>
      <c r="C77" s="388" t="s">
        <v>363</v>
      </c>
      <c r="D77" s="389"/>
      <c r="E77" s="238" t="s">
        <v>242</v>
      </c>
      <c r="F77" s="390" t="e">
        <f t="shared" ref="F77:Q77" si="44">F69+F76</f>
        <v>#REF!</v>
      </c>
      <c r="G77" s="390" t="e">
        <f t="shared" si="44"/>
        <v>#REF!</v>
      </c>
      <c r="H77" s="390" t="e">
        <f t="shared" si="44"/>
        <v>#REF!</v>
      </c>
      <c r="I77" s="390" t="e">
        <f t="shared" si="44"/>
        <v>#REF!</v>
      </c>
      <c r="J77" s="390" t="e">
        <f t="shared" si="44"/>
        <v>#REF!</v>
      </c>
      <c r="K77" s="390" t="e">
        <f t="shared" si="44"/>
        <v>#REF!</v>
      </c>
      <c r="L77" s="390" t="e">
        <f t="shared" si="44"/>
        <v>#REF!</v>
      </c>
      <c r="M77" s="390" t="e">
        <f t="shared" si="44"/>
        <v>#REF!</v>
      </c>
      <c r="N77" s="390" t="e">
        <f t="shared" si="44"/>
        <v>#REF!</v>
      </c>
      <c r="O77" s="390" t="e">
        <f t="shared" si="44"/>
        <v>#REF!</v>
      </c>
      <c r="P77" s="390" t="e">
        <f t="shared" si="44"/>
        <v>#REF!</v>
      </c>
      <c r="Q77" s="390" t="e">
        <f t="shared" si="44"/>
        <v>#REF!</v>
      </c>
      <c r="R77" s="391" t="e">
        <f>SUM(F77:Q77)</f>
        <v>#REF!</v>
      </c>
      <c r="S77" s="535"/>
      <c r="T77" s="501"/>
      <c r="U77" s="501"/>
      <c r="V77" s="543"/>
      <c r="W77" s="543"/>
      <c r="X77" s="543"/>
      <c r="Y77" s="543"/>
      <c r="Z77" s="543"/>
      <c r="AA77" s="543"/>
      <c r="AB77" s="543"/>
      <c r="AC77" s="543"/>
      <c r="AD77" s="543"/>
    </row>
    <row r="78" spans="1:30" s="208" customFormat="1" ht="24.75" customHeight="1" thickBot="1">
      <c r="A78" s="406"/>
      <c r="B78" s="392" t="s">
        <v>243</v>
      </c>
      <c r="C78" s="393"/>
      <c r="D78" s="394"/>
      <c r="E78" s="243" t="s">
        <v>244</v>
      </c>
      <c r="F78" s="395" t="e">
        <f t="shared" ref="F78:R78" si="45">F65+F77</f>
        <v>#REF!</v>
      </c>
      <c r="G78" s="395" t="e">
        <f t="shared" si="45"/>
        <v>#REF!</v>
      </c>
      <c r="H78" s="395" t="e">
        <f t="shared" si="45"/>
        <v>#REF!</v>
      </c>
      <c r="I78" s="395" t="e">
        <f t="shared" si="45"/>
        <v>#REF!</v>
      </c>
      <c r="J78" s="395" t="e">
        <f t="shared" si="45"/>
        <v>#REF!</v>
      </c>
      <c r="K78" s="395" t="e">
        <f t="shared" si="45"/>
        <v>#REF!</v>
      </c>
      <c r="L78" s="395" t="e">
        <f t="shared" si="45"/>
        <v>#REF!</v>
      </c>
      <c r="M78" s="395" t="e">
        <f t="shared" si="45"/>
        <v>#REF!</v>
      </c>
      <c r="N78" s="395" t="e">
        <f t="shared" si="45"/>
        <v>#REF!</v>
      </c>
      <c r="O78" s="395" t="e">
        <f t="shared" si="45"/>
        <v>#REF!</v>
      </c>
      <c r="P78" s="395" t="e">
        <f t="shared" si="45"/>
        <v>#REF!</v>
      </c>
      <c r="Q78" s="395" t="e">
        <f t="shared" si="45"/>
        <v>#REF!</v>
      </c>
      <c r="R78" s="396" t="e">
        <f t="shared" si="45"/>
        <v>#REF!</v>
      </c>
      <c r="S78" s="540"/>
      <c r="T78" s="502">
        <f>T69+T76+T65</f>
        <v>1150.2239219103485</v>
      </c>
      <c r="U78" s="502" t="e">
        <f t="shared" ref="U78" si="46">U69+U76</f>
        <v>#REF!</v>
      </c>
      <c r="V78" s="544">
        <v>73.11089705080235</v>
      </c>
      <c r="W78" s="544" t="e">
        <f>#REF!</f>
        <v>#REF!</v>
      </c>
      <c r="X78" s="544" t="e">
        <f>X69+X76</f>
        <v>#REF!</v>
      </c>
      <c r="Y78" s="544">
        <v>-359.21453099256405</v>
      </c>
      <c r="Z78" s="544" t="e">
        <f>#REF!+#REF!</f>
        <v>#REF!</v>
      </c>
      <c r="AA78" s="544" t="e">
        <f>AA69+AA76</f>
        <v>#REF!</v>
      </c>
      <c r="AB78" s="544">
        <v>1436.3275558521032</v>
      </c>
      <c r="AC78" s="544" t="e">
        <f>#REF!</f>
        <v>#REF!</v>
      </c>
      <c r="AD78" s="544" t="e">
        <f>AD69+AD76</f>
        <v>#REF!</v>
      </c>
    </row>
    <row r="79" spans="1:30" ht="24.75" hidden="1" customHeight="1"/>
    <row r="80" spans="1:30" ht="24.75" hidden="1" customHeight="1" thickBot="1">
      <c r="B80" s="476" t="s">
        <v>387</v>
      </c>
      <c r="H80" s="525" t="e">
        <f>#REF!+#REF!</f>
        <v>#REF!</v>
      </c>
      <c r="I80" s="476" t="s">
        <v>46</v>
      </c>
    </row>
    <row r="81" spans="1:28" ht="24.75" hidden="1" customHeight="1" thickBot="1">
      <c r="B81" s="1413" t="s">
        <v>114</v>
      </c>
      <c r="C81" s="1414"/>
      <c r="D81" s="1414"/>
      <c r="E81" s="1415"/>
      <c r="F81" s="419" t="s">
        <v>249</v>
      </c>
      <c r="G81" s="419" t="s">
        <v>250</v>
      </c>
      <c r="H81" s="419" t="s">
        <v>251</v>
      </c>
      <c r="I81" s="419" t="s">
        <v>252</v>
      </c>
      <c r="J81" s="419" t="s">
        <v>253</v>
      </c>
      <c r="K81" s="419" t="s">
        <v>254</v>
      </c>
      <c r="L81" s="419" t="s">
        <v>255</v>
      </c>
      <c r="M81" s="419" t="s">
        <v>256</v>
      </c>
      <c r="N81" s="419" t="s">
        <v>257</v>
      </c>
      <c r="O81" s="419" t="s">
        <v>258</v>
      </c>
      <c r="P81" s="419" t="s">
        <v>259</v>
      </c>
      <c r="Q81" s="419" t="s">
        <v>260</v>
      </c>
      <c r="R81" s="360" t="s">
        <v>14</v>
      </c>
      <c r="S81" s="537"/>
    </row>
    <row r="82" spans="1:28" ht="24.75" hidden="1" customHeight="1" thickBot="1">
      <c r="B82" s="1416"/>
      <c r="C82" s="1417"/>
      <c r="D82" s="1417"/>
      <c r="E82" s="1418"/>
      <c r="F82" s="491" t="s">
        <v>378</v>
      </c>
      <c r="G82" s="491" t="str">
        <f>F82</f>
        <v>ACT</v>
      </c>
      <c r="H82" s="491" t="str">
        <f>G82</f>
        <v>ACT</v>
      </c>
      <c r="I82" s="491" t="str">
        <f>H82</f>
        <v>ACT</v>
      </c>
      <c r="J82" s="491" t="s">
        <v>379</v>
      </c>
      <c r="K82" s="491" t="str">
        <f t="shared" ref="K82:R82" si="47">J82</f>
        <v>EST</v>
      </c>
      <c r="L82" s="491" t="str">
        <f t="shared" si="47"/>
        <v>EST</v>
      </c>
      <c r="M82" s="491" t="str">
        <f t="shared" si="47"/>
        <v>EST</v>
      </c>
      <c r="N82" s="491" t="str">
        <f t="shared" si="47"/>
        <v>EST</v>
      </c>
      <c r="O82" s="491" t="str">
        <f t="shared" si="47"/>
        <v>EST</v>
      </c>
      <c r="P82" s="491" t="str">
        <f t="shared" si="47"/>
        <v>EST</v>
      </c>
      <c r="Q82" s="491" t="str">
        <f t="shared" si="47"/>
        <v>EST</v>
      </c>
      <c r="R82" s="491" t="str">
        <f t="shared" si="47"/>
        <v>EST</v>
      </c>
      <c r="S82" s="537"/>
    </row>
    <row r="83" spans="1:28" s="208" customFormat="1" ht="24.75" hidden="1" customHeight="1">
      <c r="A83" s="406"/>
      <c r="B83" s="361" t="s">
        <v>231</v>
      </c>
      <c r="C83" s="362"/>
      <c r="D83" s="363"/>
      <c r="E83" s="212">
        <v>-1</v>
      </c>
      <c r="F83" s="364" t="e">
        <f>'Simulation RUSSIA22 '!F65</f>
        <v>#REF!</v>
      </c>
      <c r="G83" s="364" t="e">
        <f t="shared" ref="G83:Q83" si="48">F96</f>
        <v>#REF!</v>
      </c>
      <c r="H83" s="364" t="e">
        <f t="shared" si="48"/>
        <v>#REF!</v>
      </c>
      <c r="I83" s="364" t="e">
        <f t="shared" si="48"/>
        <v>#REF!</v>
      </c>
      <c r="J83" s="364" t="e">
        <f t="shared" si="48"/>
        <v>#REF!</v>
      </c>
      <c r="K83" s="364" t="e">
        <f t="shared" si="48"/>
        <v>#REF!</v>
      </c>
      <c r="L83" s="364" t="e">
        <f t="shared" si="48"/>
        <v>#REF!</v>
      </c>
      <c r="M83" s="364" t="e">
        <f t="shared" si="48"/>
        <v>#REF!</v>
      </c>
      <c r="N83" s="364" t="e">
        <f t="shared" si="48"/>
        <v>#REF!</v>
      </c>
      <c r="O83" s="364" t="e">
        <f t="shared" si="48"/>
        <v>#REF!</v>
      </c>
      <c r="P83" s="364" t="e">
        <f t="shared" si="48"/>
        <v>#REF!</v>
      </c>
      <c r="Q83" s="364" t="e">
        <f t="shared" si="48"/>
        <v>#REF!</v>
      </c>
      <c r="R83" s="365" t="e">
        <f>F83</f>
        <v>#REF!</v>
      </c>
      <c r="S83" s="529"/>
      <c r="T83" s="526"/>
    </row>
    <row r="84" spans="1:28" ht="24.75" hidden="1" customHeight="1">
      <c r="B84" s="366" t="s">
        <v>232</v>
      </c>
      <c r="C84" s="367" t="s">
        <v>233</v>
      </c>
      <c r="D84" s="368"/>
      <c r="F84" s="369" t="e">
        <f>'Simulation RUSSIA22 '!F66</f>
        <v>#REF!</v>
      </c>
      <c r="G84" s="369" t="e">
        <f>'Simulation RUSSIA22 '!G66</f>
        <v>#REF!</v>
      </c>
      <c r="H84" s="369" t="e">
        <f>'Simulation RUSSIA22 '!H66</f>
        <v>#REF!</v>
      </c>
      <c r="I84" s="369" t="e">
        <f>'Simulation RUSSIA22 '!I66</f>
        <v>#REF!</v>
      </c>
      <c r="J84" s="369" t="e">
        <f>'Simulation RUSSIA22 '!J66</f>
        <v>#REF!</v>
      </c>
      <c r="K84" s="369" t="e">
        <f>'Simulation RUSSIA22 '!K66</f>
        <v>#REF!</v>
      </c>
      <c r="L84" s="369" t="e">
        <f>'Simulation RUSSIA22 '!L66</f>
        <v>#REF!</v>
      </c>
      <c r="M84" s="369" t="e">
        <f>'Simulation RUSSIA22 '!M66</f>
        <v>#REF!</v>
      </c>
      <c r="N84" s="369" t="e">
        <f>'Simulation RUSSIA22 '!N66</f>
        <v>#REF!</v>
      </c>
      <c r="O84" s="369" t="e">
        <f>'Simulation RUSSIA22 '!O66</f>
        <v>#REF!</v>
      </c>
      <c r="P84" s="369" t="e">
        <f>'Simulation RUSSIA22 '!P66</f>
        <v>#REF!</v>
      </c>
      <c r="Q84" s="369" t="e">
        <f>'Simulation RUSSIA22 '!Q66</f>
        <v>#REF!</v>
      </c>
      <c r="R84" s="370" t="e">
        <f>SUM(F84:Q84)</f>
        <v>#REF!</v>
      </c>
      <c r="S84" s="530"/>
      <c r="T84" s="246"/>
    </row>
    <row r="85" spans="1:28" ht="24.75" hidden="1" customHeight="1">
      <c r="B85" s="371"/>
      <c r="C85" s="367" t="s">
        <v>360</v>
      </c>
      <c r="D85" s="368"/>
      <c r="F85" s="369" t="e">
        <f>'Simulation RUSSIA22 '!F67</f>
        <v>#REF!</v>
      </c>
      <c r="G85" s="369" t="e">
        <f>'Simulation RUSSIA22 '!G67</f>
        <v>#REF!</v>
      </c>
      <c r="H85" s="369" t="e">
        <f>'Simulation RUSSIA22 '!H67</f>
        <v>#REF!</v>
      </c>
      <c r="I85" s="369" t="e">
        <f>'Simulation RUSSIA22 '!I67</f>
        <v>#REF!</v>
      </c>
      <c r="J85" s="369" t="e">
        <f>'Simulation RUSSIA22 '!J67</f>
        <v>#REF!</v>
      </c>
      <c r="K85" s="369" t="e">
        <f>'Simulation RUSSIA22 '!K67</f>
        <v>#REF!</v>
      </c>
      <c r="L85" s="369" t="e">
        <f>'Simulation RUSSIA22 '!L67</f>
        <v>#REF!</v>
      </c>
      <c r="M85" s="369" t="e">
        <f>'Simulation RUSSIA22 '!M67</f>
        <v>#REF!</v>
      </c>
      <c r="N85" s="369" t="e">
        <f>'Simulation RUSSIA22 '!N67</f>
        <v>#REF!</v>
      </c>
      <c r="O85" s="369" t="e">
        <f>'Simulation RUSSIA22 '!O67</f>
        <v>#REF!</v>
      </c>
      <c r="P85" s="369" t="e">
        <f>'Simulation RUSSIA22 '!P67</f>
        <v>#REF!</v>
      </c>
      <c r="Q85" s="369" t="e">
        <f>'Simulation RUSSIA22 '!Q67</f>
        <v>#REF!</v>
      </c>
      <c r="R85" s="370" t="e">
        <f>SUM(F85:Q85)</f>
        <v>#REF!</v>
      </c>
      <c r="S85" s="530"/>
      <c r="T85" s="246"/>
    </row>
    <row r="86" spans="1:28" ht="24.75" hidden="1" customHeight="1">
      <c r="B86" s="371"/>
      <c r="C86" s="367" t="s">
        <v>359</v>
      </c>
      <c r="D86" s="368"/>
      <c r="F86" s="369" t="e">
        <f>'Simulation RUSSIA22 '!F68</f>
        <v>#REF!</v>
      </c>
      <c r="G86" s="369" t="e">
        <f>'Simulation RUSSIA22 '!G68</f>
        <v>#REF!</v>
      </c>
      <c r="H86" s="369" t="e">
        <f>'Simulation RUSSIA22 '!H68</f>
        <v>#REF!</v>
      </c>
      <c r="I86" s="503" t="e">
        <f>'Simulation RUSSIA22 '!I68-H80</f>
        <v>#REF!</v>
      </c>
      <c r="J86" s="369" t="e">
        <f>'Simulation RUSSIA22 '!J68</f>
        <v>#REF!</v>
      </c>
      <c r="K86" s="369" t="e">
        <f>'Simulation RUSSIA22 '!K68</f>
        <v>#REF!</v>
      </c>
      <c r="L86" s="369" t="e">
        <f>'Simulation RUSSIA22 '!L68</f>
        <v>#REF!</v>
      </c>
      <c r="M86" s="369" t="e">
        <f>'Simulation RUSSIA22 '!M68</f>
        <v>#REF!</v>
      </c>
      <c r="N86" s="369" t="e">
        <f>'Simulation RUSSIA22 '!N68</f>
        <v>#REF!</v>
      </c>
      <c r="O86" s="369" t="e">
        <f>'Simulation RUSSIA22 '!O68</f>
        <v>#REF!</v>
      </c>
      <c r="P86" s="369" t="e">
        <f>'Simulation RUSSIA22 '!P68</f>
        <v>#REF!</v>
      </c>
      <c r="Q86" s="369" t="e">
        <f>'Simulation RUSSIA22 '!Q68</f>
        <v>#REF!</v>
      </c>
      <c r="R86" s="370" t="e">
        <f>SUM(F86:Q86)</f>
        <v>#REF!</v>
      </c>
      <c r="S86" s="530"/>
      <c r="T86" s="246"/>
    </row>
    <row r="87" spans="1:28" ht="24.75" hidden="1" customHeight="1" thickBot="1">
      <c r="B87" s="372"/>
      <c r="C87" s="373" t="s">
        <v>234</v>
      </c>
      <c r="D87" s="374"/>
      <c r="E87" s="223">
        <v>-2</v>
      </c>
      <c r="F87" s="375" t="e">
        <f t="shared" ref="F87:R87" si="49">SUM(F84:F86)</f>
        <v>#REF!</v>
      </c>
      <c r="G87" s="375" t="e">
        <f t="shared" si="49"/>
        <v>#REF!</v>
      </c>
      <c r="H87" s="375" t="e">
        <f t="shared" si="49"/>
        <v>#REF!</v>
      </c>
      <c r="I87" s="375" t="e">
        <f t="shared" si="49"/>
        <v>#REF!</v>
      </c>
      <c r="J87" s="375" t="e">
        <f t="shared" si="49"/>
        <v>#REF!</v>
      </c>
      <c r="K87" s="375" t="e">
        <f t="shared" si="49"/>
        <v>#REF!</v>
      </c>
      <c r="L87" s="375" t="e">
        <f t="shared" si="49"/>
        <v>#REF!</v>
      </c>
      <c r="M87" s="375" t="e">
        <f t="shared" si="49"/>
        <v>#REF!</v>
      </c>
      <c r="N87" s="375" t="e">
        <f t="shared" si="49"/>
        <v>#REF!</v>
      </c>
      <c r="O87" s="375" t="e">
        <f t="shared" si="49"/>
        <v>#REF!</v>
      </c>
      <c r="P87" s="375" t="e">
        <f t="shared" si="49"/>
        <v>#REF!</v>
      </c>
      <c r="Q87" s="375" t="e">
        <f t="shared" si="49"/>
        <v>#REF!</v>
      </c>
      <c r="R87" s="376" t="e">
        <f t="shared" si="49"/>
        <v>#REF!</v>
      </c>
      <c r="S87" s="531"/>
      <c r="T87" s="246"/>
    </row>
    <row r="88" spans="1:28" ht="24.75" hidden="1" customHeight="1" thickTop="1">
      <c r="B88" s="366" t="s">
        <v>235</v>
      </c>
      <c r="C88" s="377"/>
      <c r="D88" s="367" t="s">
        <v>236</v>
      </c>
      <c r="E88" s="249"/>
      <c r="F88" s="378" t="e">
        <f>'Simulation RUSSIA22 '!F70</f>
        <v>#REF!</v>
      </c>
      <c r="G88" s="378" t="e">
        <f>'Simulation RUSSIA22 '!G70</f>
        <v>#REF!</v>
      </c>
      <c r="H88" s="378" t="e">
        <f>'Simulation RUSSIA22 '!H70</f>
        <v>#REF!</v>
      </c>
      <c r="I88" s="378" t="e">
        <f>'Simulation RUSSIA22 '!I70</f>
        <v>#REF!</v>
      </c>
      <c r="J88" s="378" t="e">
        <f>'Simulation RUSSIA22 '!J70</f>
        <v>#REF!</v>
      </c>
      <c r="K88" s="378" t="e">
        <f>'Simulation RUSSIA22 '!K70</f>
        <v>#REF!</v>
      </c>
      <c r="L88" s="378" t="e">
        <f>'Simulation RUSSIA22 '!L70</f>
        <v>#REF!</v>
      </c>
      <c r="M88" s="378" t="e">
        <f>'Simulation RUSSIA22 '!M70</f>
        <v>#REF!</v>
      </c>
      <c r="N88" s="378" t="e">
        <f>'Simulation RUSSIA22 '!N70</f>
        <v>#REF!</v>
      </c>
      <c r="O88" s="378" t="e">
        <f>'Simulation RUSSIA22 '!O70</f>
        <v>#REF!</v>
      </c>
      <c r="P88" s="378" t="e">
        <f>'Simulation RUSSIA22 '!P70</f>
        <v>#REF!</v>
      </c>
      <c r="Q88" s="378" t="e">
        <f>'Simulation RUSSIA22 '!Q70</f>
        <v>#REF!</v>
      </c>
      <c r="R88" s="379" t="e">
        <f t="shared" ref="R88:R93" si="50">SUM(F88:Q88)</f>
        <v>#REF!</v>
      </c>
      <c r="S88" s="531"/>
      <c r="T88" s="246"/>
    </row>
    <row r="89" spans="1:28" ht="24.75" hidden="1" customHeight="1">
      <c r="B89" s="366"/>
      <c r="C89" s="368"/>
      <c r="D89" s="367" t="s">
        <v>237</v>
      </c>
      <c r="F89" s="369" t="e">
        <f>'Simulation RUSSIA22 '!F71</f>
        <v>#REF!</v>
      </c>
      <c r="G89" s="369" t="e">
        <f>'Simulation RUSSIA22 '!G71</f>
        <v>#REF!</v>
      </c>
      <c r="H89" s="369" t="e">
        <f>'Simulation RUSSIA22 '!H71</f>
        <v>#REF!</v>
      </c>
      <c r="I89" s="380" t="e">
        <f>'Simulation RUSSIA22 '!I71</f>
        <v>#REF!</v>
      </c>
      <c r="J89" s="380" t="e">
        <f>'Simulation RUSSIA22 '!J71</f>
        <v>#REF!</v>
      </c>
      <c r="K89" s="380" t="e">
        <f>'Simulation RUSSIA22 '!K71</f>
        <v>#REF!</v>
      </c>
      <c r="L89" s="369" t="e">
        <f>'Simulation RUSSIA22 '!L71</f>
        <v>#REF!</v>
      </c>
      <c r="M89" s="369" t="e">
        <f>'Simulation RUSSIA22 '!M71</f>
        <v>#REF!</v>
      </c>
      <c r="N89" s="369" t="e">
        <f>'Simulation RUSSIA22 '!N71</f>
        <v>#REF!</v>
      </c>
      <c r="O89" s="369" t="e">
        <f>'Simulation RUSSIA22 '!O71</f>
        <v>#REF!</v>
      </c>
      <c r="P89" s="369" t="e">
        <f>'Simulation RUSSIA22 '!P71</f>
        <v>#REF!</v>
      </c>
      <c r="Q89" s="369" t="e">
        <f>'Simulation RUSSIA22 '!Q71</f>
        <v>#REF!</v>
      </c>
      <c r="R89" s="370" t="e">
        <f t="shared" si="50"/>
        <v>#REF!</v>
      </c>
      <c r="S89" s="530"/>
      <c r="T89" s="246"/>
    </row>
    <row r="90" spans="1:28" ht="24.75" hidden="1" customHeight="1">
      <c r="B90" s="371"/>
      <c r="C90" s="368"/>
      <c r="D90" s="367" t="s">
        <v>238</v>
      </c>
      <c r="E90" s="228"/>
      <c r="F90" s="369" t="e">
        <f>'Simulation RUSSIA22 '!F72</f>
        <v>#REF!</v>
      </c>
      <c r="G90" s="369" t="e">
        <f>'Simulation RUSSIA22 '!G72</f>
        <v>#REF!</v>
      </c>
      <c r="H90" s="369" t="e">
        <f>'Simulation RUSSIA22 '!H72</f>
        <v>#REF!</v>
      </c>
      <c r="I90" s="369" t="e">
        <f>'Simulation RUSSIA22 '!I72</f>
        <v>#REF!</v>
      </c>
      <c r="J90" s="369" t="e">
        <f>'Simulation RUSSIA22 '!J72</f>
        <v>#REF!</v>
      </c>
      <c r="K90" s="369" t="e">
        <f>'Simulation RUSSIA22 '!K72</f>
        <v>#REF!</v>
      </c>
      <c r="L90" s="369" t="e">
        <f>'Simulation RUSSIA22 '!L72</f>
        <v>#REF!</v>
      </c>
      <c r="M90" s="369" t="e">
        <f>'Simulation RUSSIA22 '!M72</f>
        <v>#REF!</v>
      </c>
      <c r="N90" s="369" t="e">
        <f>'Simulation RUSSIA22 '!N72</f>
        <v>#REF!</v>
      </c>
      <c r="O90" s="369" t="e">
        <f>'Simulation RUSSIA22 '!O72</f>
        <v>#REF!</v>
      </c>
      <c r="P90" s="369" t="e">
        <f>'Simulation RUSSIA22 '!P72</f>
        <v>#REF!</v>
      </c>
      <c r="Q90" s="369" t="e">
        <f>'Simulation RUSSIA22 '!Q72</f>
        <v>#REF!</v>
      </c>
      <c r="R90" s="370" t="e">
        <f t="shared" si="50"/>
        <v>#REF!</v>
      </c>
      <c r="S90" s="530"/>
      <c r="T90" s="246"/>
    </row>
    <row r="91" spans="1:28" ht="24.75" hidden="1" customHeight="1">
      <c r="B91" s="371"/>
      <c r="C91" s="368"/>
      <c r="D91" s="367" t="s">
        <v>239</v>
      </c>
      <c r="E91" s="228"/>
      <c r="F91" s="369" t="e">
        <f>'Simulation RUSSIA22 '!F73</f>
        <v>#REF!</v>
      </c>
      <c r="G91" s="369" t="e">
        <f>'Simulation RUSSIA22 '!G73</f>
        <v>#REF!</v>
      </c>
      <c r="H91" s="369" t="e">
        <f>'Simulation RUSSIA22 '!H73</f>
        <v>#REF!</v>
      </c>
      <c r="I91" s="369" t="e">
        <f>'Simulation RUSSIA22 '!I73</f>
        <v>#REF!</v>
      </c>
      <c r="J91" s="369" t="e">
        <f>'Simulation RUSSIA22 '!J73</f>
        <v>#REF!</v>
      </c>
      <c r="K91" s="369" t="e">
        <f>'Simulation RUSSIA22 '!K73</f>
        <v>#REF!</v>
      </c>
      <c r="L91" s="402" t="e">
        <f>'Simulation RUSSIA22 '!L73</f>
        <v>#REF!</v>
      </c>
      <c r="M91" s="369" t="e">
        <f>'Simulation RUSSIA22 '!M73</f>
        <v>#REF!</v>
      </c>
      <c r="N91" s="369" t="e">
        <f>'Simulation RUSSIA22 '!N73</f>
        <v>#REF!</v>
      </c>
      <c r="O91" s="369" t="e">
        <f>'Simulation RUSSIA22 '!O73</f>
        <v>#REF!</v>
      </c>
      <c r="P91" s="369" t="e">
        <f>'Simulation RUSSIA22 '!P73</f>
        <v>#REF!</v>
      </c>
      <c r="Q91" s="369" t="e">
        <f>'Simulation RUSSIA22 '!Q73</f>
        <v>#REF!</v>
      </c>
      <c r="R91" s="370" t="e">
        <f t="shared" si="50"/>
        <v>#REF!</v>
      </c>
      <c r="S91" s="530"/>
      <c r="T91" s="246"/>
      <c r="V91" s="401"/>
      <c r="Y91" s="401"/>
      <c r="AB91" s="401"/>
    </row>
    <row r="92" spans="1:28" ht="24.75" hidden="1" customHeight="1">
      <c r="B92" s="371"/>
      <c r="C92" s="368"/>
      <c r="D92" s="367" t="s">
        <v>361</v>
      </c>
      <c r="E92" s="228"/>
      <c r="F92" s="369" t="e">
        <f>'Simulation RUSSIA22 '!F74</f>
        <v>#REF!</v>
      </c>
      <c r="G92" s="369" t="e">
        <f>'Simulation RUSSIA22 '!G74</f>
        <v>#REF!</v>
      </c>
      <c r="H92" s="369" t="e">
        <f>'Simulation RUSSIA22 '!H74</f>
        <v>#REF!</v>
      </c>
      <c r="I92" s="369" t="e">
        <f>'Simulation RUSSIA22 '!I74</f>
        <v>#REF!</v>
      </c>
      <c r="J92" s="369" t="e">
        <f>'Simulation RUSSIA22 '!J74</f>
        <v>#REF!</v>
      </c>
      <c r="K92" s="369" t="e">
        <f>'Simulation RUSSIA22 '!K74</f>
        <v>#REF!</v>
      </c>
      <c r="L92" s="369" t="e">
        <f>'Simulation RUSSIA22 '!L74</f>
        <v>#REF!</v>
      </c>
      <c r="M92" s="369" t="e">
        <f>'Simulation RUSSIA22 '!M74</f>
        <v>#REF!</v>
      </c>
      <c r="N92" s="369" t="e">
        <f>'Simulation RUSSIA22 '!N74</f>
        <v>#REF!</v>
      </c>
      <c r="O92" s="369" t="e">
        <f>'Simulation RUSSIA22 '!O74</f>
        <v>#REF!</v>
      </c>
      <c r="P92" s="369" t="e">
        <f>'Simulation RUSSIA22 '!P74</f>
        <v>#REF!</v>
      </c>
      <c r="Q92" s="369" t="e">
        <f>'Simulation RUSSIA22 '!Q74</f>
        <v>#REF!</v>
      </c>
      <c r="R92" s="370" t="e">
        <f t="shared" si="50"/>
        <v>#REF!</v>
      </c>
      <c r="S92" s="530"/>
      <c r="T92" s="246"/>
      <c r="V92" s="401"/>
      <c r="Y92" s="401"/>
      <c r="AB92" s="401"/>
    </row>
    <row r="93" spans="1:28" ht="24.75" hidden="1" customHeight="1">
      <c r="B93" s="371"/>
      <c r="C93" s="368"/>
      <c r="D93" s="367" t="s">
        <v>362</v>
      </c>
      <c r="E93" s="228"/>
      <c r="F93" s="369" t="e">
        <f>'Simulation RUSSIA22 '!F75</f>
        <v>#REF!</v>
      </c>
      <c r="G93" s="369" t="e">
        <f>'Simulation RUSSIA22 '!G75</f>
        <v>#REF!</v>
      </c>
      <c r="H93" s="369" t="e">
        <f>'Simulation RUSSIA22 '!H75</f>
        <v>#REF!</v>
      </c>
      <c r="I93" s="369" t="e">
        <f>'Simulation RUSSIA22 '!I75</f>
        <v>#REF!</v>
      </c>
      <c r="J93" s="369" t="e">
        <f>'Simulation RUSSIA22 '!J75</f>
        <v>#REF!</v>
      </c>
      <c r="K93" s="369" t="e">
        <f>'Simulation RUSSIA22 '!K75</f>
        <v>#REF!</v>
      </c>
      <c r="L93" s="369" t="e">
        <f>'Simulation RUSSIA22 '!L75</f>
        <v>#REF!</v>
      </c>
      <c r="M93" s="369" t="e">
        <f>'Simulation RUSSIA22 '!M75</f>
        <v>#REF!</v>
      </c>
      <c r="N93" s="369" t="e">
        <f>'Simulation RUSSIA22 '!N75</f>
        <v>#REF!</v>
      </c>
      <c r="O93" s="369" t="e">
        <f>'Simulation RUSSIA22 '!O75</f>
        <v>#REF!</v>
      </c>
      <c r="P93" s="369" t="e">
        <f>'Simulation RUSSIA22 '!P75</f>
        <v>#REF!</v>
      </c>
      <c r="Q93" s="369" t="e">
        <f>'Simulation RUSSIA22 '!Q75</f>
        <v>#REF!</v>
      </c>
      <c r="R93" s="370" t="e">
        <f t="shared" si="50"/>
        <v>#REF!</v>
      </c>
      <c r="S93" s="530"/>
      <c r="T93" s="246"/>
      <c r="V93" s="403"/>
      <c r="Y93" s="403"/>
      <c r="AB93" s="403"/>
    </row>
    <row r="94" spans="1:28" ht="24.75" hidden="1" customHeight="1" thickBot="1">
      <c r="B94" s="382"/>
      <c r="C94" s="383" t="s">
        <v>240</v>
      </c>
      <c r="D94" s="384"/>
      <c r="E94" s="232">
        <v>-3</v>
      </c>
      <c r="F94" s="385" t="e">
        <f t="shared" ref="F94:R94" si="51">SUM(F88:F93)</f>
        <v>#REF!</v>
      </c>
      <c r="G94" s="385" t="e">
        <f t="shared" si="51"/>
        <v>#REF!</v>
      </c>
      <c r="H94" s="385" t="e">
        <f t="shared" si="51"/>
        <v>#REF!</v>
      </c>
      <c r="I94" s="385" t="e">
        <f t="shared" si="51"/>
        <v>#REF!</v>
      </c>
      <c r="J94" s="385" t="e">
        <f t="shared" si="51"/>
        <v>#REF!</v>
      </c>
      <c r="K94" s="385" t="e">
        <f t="shared" si="51"/>
        <v>#REF!</v>
      </c>
      <c r="L94" s="385" t="e">
        <f t="shared" si="51"/>
        <v>#REF!</v>
      </c>
      <c r="M94" s="385" t="e">
        <f t="shared" si="51"/>
        <v>#REF!</v>
      </c>
      <c r="N94" s="385" t="e">
        <f t="shared" si="51"/>
        <v>#REF!</v>
      </c>
      <c r="O94" s="385" t="e">
        <f t="shared" si="51"/>
        <v>#REF!</v>
      </c>
      <c r="P94" s="385" t="e">
        <f t="shared" si="51"/>
        <v>#REF!</v>
      </c>
      <c r="Q94" s="385" t="e">
        <f t="shared" si="51"/>
        <v>#REF!</v>
      </c>
      <c r="R94" s="386" t="e">
        <f t="shared" si="51"/>
        <v>#REF!</v>
      </c>
      <c r="S94" s="531"/>
      <c r="T94" s="246"/>
      <c r="V94" s="401"/>
      <c r="Y94" s="401"/>
      <c r="AB94" s="401"/>
    </row>
    <row r="95" spans="1:28" ht="24.75" hidden="1" customHeight="1" thickBot="1">
      <c r="B95" s="387"/>
      <c r="C95" s="388" t="s">
        <v>363</v>
      </c>
      <c r="D95" s="389"/>
      <c r="E95" s="238" t="s">
        <v>242</v>
      </c>
      <c r="F95" s="390" t="e">
        <f t="shared" ref="F95:Q95" si="52">F87+F94</f>
        <v>#REF!</v>
      </c>
      <c r="G95" s="390" t="e">
        <f t="shared" si="52"/>
        <v>#REF!</v>
      </c>
      <c r="H95" s="390" t="e">
        <f t="shared" si="52"/>
        <v>#REF!</v>
      </c>
      <c r="I95" s="390" t="e">
        <f t="shared" si="52"/>
        <v>#REF!</v>
      </c>
      <c r="J95" s="390" t="e">
        <f t="shared" si="52"/>
        <v>#REF!</v>
      </c>
      <c r="K95" s="390" t="e">
        <f t="shared" si="52"/>
        <v>#REF!</v>
      </c>
      <c r="L95" s="390" t="e">
        <f t="shared" si="52"/>
        <v>#REF!</v>
      </c>
      <c r="M95" s="390" t="e">
        <f t="shared" si="52"/>
        <v>#REF!</v>
      </c>
      <c r="N95" s="390" t="e">
        <f t="shared" si="52"/>
        <v>#REF!</v>
      </c>
      <c r="O95" s="390" t="e">
        <f t="shared" si="52"/>
        <v>#REF!</v>
      </c>
      <c r="P95" s="390" t="e">
        <f t="shared" si="52"/>
        <v>#REF!</v>
      </c>
      <c r="Q95" s="390" t="e">
        <f t="shared" si="52"/>
        <v>#REF!</v>
      </c>
      <c r="R95" s="391" t="e">
        <f>SUM(F95:Q95)</f>
        <v>#REF!</v>
      </c>
      <c r="S95" s="530"/>
      <c r="T95" s="246"/>
      <c r="V95" s="404"/>
      <c r="Y95" s="404"/>
      <c r="AB95" s="404"/>
    </row>
    <row r="96" spans="1:28" s="208" customFormat="1" ht="24.75" hidden="1" customHeight="1" thickBot="1">
      <c r="A96" s="406"/>
      <c r="B96" s="392" t="s">
        <v>243</v>
      </c>
      <c r="C96" s="393"/>
      <c r="D96" s="394"/>
      <c r="E96" s="243" t="s">
        <v>244</v>
      </c>
      <c r="F96" s="395" t="e">
        <f t="shared" ref="F96:R96" si="53">F83+F95</f>
        <v>#REF!</v>
      </c>
      <c r="G96" s="395" t="e">
        <f t="shared" si="53"/>
        <v>#REF!</v>
      </c>
      <c r="H96" s="395" t="e">
        <f t="shared" si="53"/>
        <v>#REF!</v>
      </c>
      <c r="I96" s="395" t="e">
        <f t="shared" si="53"/>
        <v>#REF!</v>
      </c>
      <c r="J96" s="395" t="e">
        <f t="shared" si="53"/>
        <v>#REF!</v>
      </c>
      <c r="K96" s="395" t="e">
        <f t="shared" si="53"/>
        <v>#REF!</v>
      </c>
      <c r="L96" s="395" t="e">
        <f t="shared" si="53"/>
        <v>#REF!</v>
      </c>
      <c r="M96" s="395" t="e">
        <f t="shared" si="53"/>
        <v>#REF!</v>
      </c>
      <c r="N96" s="395" t="e">
        <f t="shared" si="53"/>
        <v>#REF!</v>
      </c>
      <c r="O96" s="395" t="e">
        <f t="shared" si="53"/>
        <v>#REF!</v>
      </c>
      <c r="P96" s="395" t="e">
        <f t="shared" si="53"/>
        <v>#REF!</v>
      </c>
      <c r="Q96" s="395" t="e">
        <f t="shared" si="53"/>
        <v>#REF!</v>
      </c>
      <c r="R96" s="396" t="e">
        <f t="shared" si="53"/>
        <v>#REF!</v>
      </c>
      <c r="S96" s="529"/>
      <c r="T96" s="526"/>
    </row>
    <row r="97" spans="1:30" s="246" customFormat="1" ht="24.75" customHeight="1" thickBot="1">
      <c r="A97" s="407"/>
      <c r="E97" s="247"/>
      <c r="F97" s="247"/>
      <c r="G97" s="247"/>
      <c r="H97" s="494"/>
      <c r="J97" s="247"/>
      <c r="K97" s="247"/>
      <c r="L97" s="247"/>
      <c r="M97" s="247"/>
      <c r="N97" s="247"/>
      <c r="O97" s="247"/>
      <c r="P97" s="247"/>
      <c r="Q97" s="493"/>
      <c r="R97" s="492"/>
      <c r="S97" s="538"/>
    </row>
    <row r="98" spans="1:30" ht="24.75" customHeight="1">
      <c r="V98" s="1401" t="s">
        <v>21</v>
      </c>
      <c r="W98" s="1402"/>
      <c r="X98" s="1403"/>
      <c r="Y98" s="1383" t="s">
        <v>41</v>
      </c>
      <c r="Z98" s="1384"/>
      <c r="AA98" s="1385"/>
      <c r="AB98" s="1392" t="s">
        <v>43</v>
      </c>
      <c r="AC98" s="1393"/>
      <c r="AD98" s="1394"/>
    </row>
    <row r="99" spans="1:30" ht="24.75" customHeight="1">
      <c r="V99" s="1404"/>
      <c r="W99" s="1405"/>
      <c r="X99" s="1406"/>
      <c r="Y99" s="1386"/>
      <c r="Z99" s="1387"/>
      <c r="AA99" s="1388"/>
      <c r="AB99" s="1395"/>
      <c r="AC99" s="1396"/>
      <c r="AD99" s="1397"/>
    </row>
    <row r="100" spans="1:30" ht="24.75" customHeight="1" thickBot="1">
      <c r="V100" s="1407"/>
      <c r="W100" s="1408"/>
      <c r="X100" s="1409"/>
      <c r="Y100" s="1389"/>
      <c r="Z100" s="1390"/>
      <c r="AA100" s="1391"/>
      <c r="AB100" s="1398"/>
      <c r="AC100" s="1399"/>
      <c r="AD100" s="1400"/>
    </row>
    <row r="101" spans="1:30" ht="24.75" customHeight="1">
      <c r="V101" s="560" t="s">
        <v>398</v>
      </c>
      <c r="W101" s="561"/>
      <c r="X101" s="562"/>
      <c r="Y101" s="560" t="s">
        <v>394</v>
      </c>
      <c r="Z101" s="561"/>
      <c r="AA101" s="562"/>
      <c r="AB101" s="560" t="s">
        <v>396</v>
      </c>
      <c r="AC101" s="561"/>
      <c r="AD101" s="562"/>
    </row>
    <row r="102" spans="1:30" ht="24.75" customHeight="1">
      <c r="V102" s="551" t="s">
        <v>402</v>
      </c>
      <c r="W102" s="552"/>
      <c r="X102" s="553"/>
      <c r="Y102" s="551" t="s">
        <v>400</v>
      </c>
      <c r="Z102" s="552"/>
      <c r="AA102" s="553"/>
      <c r="AB102" s="551" t="s">
        <v>405</v>
      </c>
      <c r="AC102" s="552"/>
      <c r="AD102" s="553"/>
    </row>
    <row r="103" spans="1:30" ht="24.75" customHeight="1">
      <c r="V103" s="551" t="s">
        <v>401</v>
      </c>
      <c r="W103" s="552"/>
      <c r="X103" s="553"/>
      <c r="Y103" s="551" t="s">
        <v>395</v>
      </c>
      <c r="Z103" s="552"/>
      <c r="AA103" s="553"/>
      <c r="AB103" s="570" t="s">
        <v>406</v>
      </c>
      <c r="AD103" s="548"/>
    </row>
    <row r="104" spans="1:30" ht="24.75" customHeight="1">
      <c r="V104" s="556"/>
      <c r="W104" s="554"/>
      <c r="X104" s="555"/>
      <c r="Y104" s="568" t="s">
        <v>399</v>
      </c>
      <c r="Z104" s="564"/>
      <c r="AA104" s="565"/>
      <c r="AB104" s="551" t="s">
        <v>397</v>
      </c>
      <c r="AC104" s="552"/>
      <c r="AD104" s="553"/>
    </row>
    <row r="105" spans="1:30" ht="24.75" customHeight="1">
      <c r="V105" s="556"/>
      <c r="W105" s="554"/>
      <c r="X105" s="555"/>
      <c r="Y105" s="568" t="s">
        <v>404</v>
      </c>
      <c r="Z105" s="564"/>
      <c r="AA105" s="565"/>
      <c r="AB105" s="568" t="s">
        <v>407</v>
      </c>
      <c r="AC105" s="564"/>
      <c r="AD105" s="565"/>
    </row>
    <row r="106" spans="1:30" ht="24.75" customHeight="1">
      <c r="V106" s="369"/>
      <c r="X106" s="548"/>
      <c r="Y106" s="568" t="s">
        <v>409</v>
      </c>
      <c r="Z106" s="572"/>
      <c r="AA106" s="573"/>
      <c r="AB106" s="571" t="s">
        <v>408</v>
      </c>
      <c r="AD106" s="548"/>
    </row>
    <row r="107" spans="1:30" ht="24.75" customHeight="1">
      <c r="V107" s="369"/>
      <c r="X107" s="548"/>
      <c r="Y107" s="568"/>
      <c r="Z107" s="554"/>
      <c r="AA107" s="555"/>
      <c r="AB107" s="568" t="s">
        <v>403</v>
      </c>
      <c r="AC107" s="564"/>
      <c r="AD107" s="565"/>
    </row>
    <row r="108" spans="1:30" ht="24.75" customHeight="1" thickBot="1">
      <c r="V108" s="563"/>
      <c r="W108" s="549"/>
      <c r="X108" s="550"/>
      <c r="Y108" s="557"/>
      <c r="Z108" s="558"/>
      <c r="AA108" s="559"/>
      <c r="AB108" s="569" t="s">
        <v>409</v>
      </c>
      <c r="AC108" s="566"/>
      <c r="AD108" s="567"/>
    </row>
  </sheetData>
  <mergeCells count="14">
    <mergeCell ref="B2:E2"/>
    <mergeCell ref="B33:E33"/>
    <mergeCell ref="B81:E82"/>
    <mergeCell ref="T63:T64"/>
    <mergeCell ref="U63:U65"/>
    <mergeCell ref="B63:E64"/>
    <mergeCell ref="B17:D17"/>
    <mergeCell ref="B48:D48"/>
    <mergeCell ref="Y98:AA100"/>
    <mergeCell ref="AB98:AD100"/>
    <mergeCell ref="V98:X100"/>
    <mergeCell ref="AB63:AD64"/>
    <mergeCell ref="Y63:AA64"/>
    <mergeCell ref="V63:X64"/>
  </mergeCells>
  <pageMargins left="0.7" right="0.7" top="0.75" bottom="0.75" header="0.3" footer="0.3"/>
  <pageSetup paperSize="9" orientation="portrait" r:id="rId1"/>
  <ignoredErrors>
    <ignoredError sqref="AB65:AD65 V65:X65 Y65:AA65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79998168889431442"/>
    <pageSetUpPr fitToPage="1"/>
  </sheetPr>
  <dimension ref="A1:W48"/>
  <sheetViews>
    <sheetView showGridLines="0" zoomScale="70" zoomScaleNormal="70" zoomScaleSheetLayoutView="90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9.21875" defaultRowHeight="14.4"/>
  <cols>
    <col min="1" max="1" width="5.21875" style="466" customWidth="1"/>
    <col min="2" max="2" width="42.21875" style="253" customWidth="1"/>
    <col min="3" max="3" width="1.21875" style="253" customWidth="1"/>
    <col min="4" max="4" width="13.21875" style="471" customWidth="1"/>
    <col min="5" max="5" width="14.21875" style="471" bestFit="1" customWidth="1"/>
    <col min="6" max="6" width="12" style="471" customWidth="1"/>
    <col min="7" max="7" width="13.77734375" style="471" customWidth="1"/>
    <col min="8" max="9" width="12" style="471" customWidth="1"/>
    <col min="10" max="10" width="12.21875" style="471" bestFit="1" customWidth="1"/>
    <col min="11" max="11" width="13.21875" style="471" customWidth="1"/>
    <col min="12" max="12" width="12.21875" style="471" customWidth="1"/>
    <col min="13" max="13" width="13" style="471" customWidth="1"/>
    <col min="14" max="15" width="12.21875" style="471" customWidth="1"/>
    <col min="16" max="16" width="15" style="471" customWidth="1"/>
    <col min="17" max="17" width="15.21875" style="253" bestFit="1" customWidth="1"/>
    <col min="18" max="18" width="12.21875" style="253" bestFit="1" customWidth="1"/>
    <col min="19" max="19" width="12.77734375" style="253" bestFit="1" customWidth="1"/>
    <col min="20" max="20" width="22.21875" style="253" customWidth="1"/>
    <col min="21" max="22" width="11.21875" style="253" bestFit="1" customWidth="1"/>
    <col min="23" max="23" width="17.21875" style="253" bestFit="1" customWidth="1"/>
    <col min="24" max="29" width="11.21875" style="253" bestFit="1" customWidth="1"/>
    <col min="30" max="30" width="12.21875" style="253" customWidth="1"/>
    <col min="31" max="16384" width="9.21875" style="253"/>
  </cols>
  <sheetData>
    <row r="1" spans="1:22" ht="18">
      <c r="A1" s="420"/>
      <c r="B1" s="421" t="s">
        <v>367</v>
      </c>
      <c r="C1" s="252"/>
      <c r="D1" s="252"/>
      <c r="E1" s="422"/>
      <c r="F1" s="423"/>
      <c r="G1" s="423"/>
      <c r="H1" s="423"/>
      <c r="I1" s="423"/>
      <c r="J1" s="423"/>
      <c r="K1" s="423"/>
      <c r="L1" s="423"/>
      <c r="M1" s="424"/>
      <c r="N1" s="424"/>
      <c r="O1" s="424"/>
      <c r="P1" s="252"/>
      <c r="Q1" s="252"/>
      <c r="R1" s="252"/>
      <c r="S1" s="252"/>
      <c r="T1" s="252"/>
      <c r="U1" s="252"/>
      <c r="V1" s="252"/>
    </row>
    <row r="2" spans="1:22">
      <c r="A2" s="420"/>
      <c r="B2" s="253" t="s">
        <v>261</v>
      </c>
      <c r="C2" s="252"/>
      <c r="D2" s="422"/>
      <c r="E2" s="422"/>
      <c r="F2" s="422"/>
      <c r="G2" s="422"/>
      <c r="H2" s="422"/>
      <c r="I2" s="422"/>
      <c r="J2" s="422"/>
      <c r="K2" s="42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</row>
    <row r="3" spans="1:22">
      <c r="A3" s="420"/>
      <c r="B3" s="252"/>
      <c r="C3" s="252"/>
      <c r="D3" s="425"/>
      <c r="E3" s="425"/>
      <c r="F3" s="252"/>
      <c r="G3" s="252"/>
      <c r="H3" s="252"/>
      <c r="I3" s="426"/>
      <c r="J3" s="252"/>
      <c r="K3" s="252"/>
      <c r="L3" s="252"/>
      <c r="M3" s="252"/>
      <c r="N3" s="252"/>
      <c r="O3" s="252"/>
      <c r="P3" s="252"/>
      <c r="Q3" s="427"/>
      <c r="R3" s="428"/>
      <c r="S3" s="252"/>
      <c r="T3" s="252"/>
      <c r="U3" s="252"/>
      <c r="V3" s="252"/>
    </row>
    <row r="4" spans="1:22" ht="15" thickBot="1">
      <c r="A4" s="420"/>
      <c r="B4" s="252"/>
      <c r="C4" s="252"/>
      <c r="D4" s="252"/>
      <c r="E4" s="252"/>
      <c r="F4" s="252"/>
      <c r="G4" s="252"/>
      <c r="H4" s="252"/>
      <c r="I4" s="252"/>
      <c r="J4" s="252"/>
      <c r="K4" s="252"/>
      <c r="L4" s="252"/>
      <c r="M4" s="252"/>
      <c r="N4" s="252"/>
      <c r="O4" s="429"/>
      <c r="P4" s="429" t="s">
        <v>262</v>
      </c>
      <c r="Q4" s="252"/>
      <c r="R4" s="252"/>
      <c r="S4" s="252"/>
      <c r="T4" s="252"/>
      <c r="U4" s="252"/>
      <c r="V4" s="252"/>
    </row>
    <row r="5" spans="1:22">
      <c r="A5" s="420"/>
      <c r="B5" s="430" t="s">
        <v>263</v>
      </c>
      <c r="C5" s="431"/>
      <c r="D5" s="432" t="s">
        <v>249</v>
      </c>
      <c r="E5" s="433" t="s">
        <v>250</v>
      </c>
      <c r="F5" s="433" t="s">
        <v>251</v>
      </c>
      <c r="G5" s="433" t="s">
        <v>252</v>
      </c>
      <c r="H5" s="433" t="s">
        <v>264</v>
      </c>
      <c r="I5" s="433" t="s">
        <v>254</v>
      </c>
      <c r="J5" s="433" t="s">
        <v>255</v>
      </c>
      <c r="K5" s="433" t="s">
        <v>256</v>
      </c>
      <c r="L5" s="433" t="s">
        <v>257</v>
      </c>
      <c r="M5" s="433" t="s">
        <v>258</v>
      </c>
      <c r="N5" s="433" t="s">
        <v>259</v>
      </c>
      <c r="O5" s="433" t="s">
        <v>260</v>
      </c>
      <c r="P5" s="434" t="s">
        <v>14</v>
      </c>
      <c r="Q5" s="252"/>
      <c r="R5" s="252"/>
      <c r="S5" s="252"/>
      <c r="T5" s="252"/>
      <c r="U5" s="252"/>
      <c r="V5" s="252"/>
    </row>
    <row r="6" spans="1:22">
      <c r="A6" s="420"/>
      <c r="B6" s="435" t="s">
        <v>265</v>
      </c>
      <c r="C6" s="427"/>
      <c r="D6" s="436"/>
      <c r="E6" s="436"/>
      <c r="F6" s="436"/>
      <c r="G6" s="436"/>
      <c r="H6" s="436"/>
      <c r="I6" s="436"/>
      <c r="J6" s="436"/>
      <c r="K6" s="436"/>
      <c r="L6" s="436"/>
      <c r="M6" s="436"/>
      <c r="N6" s="436"/>
      <c r="O6" s="436"/>
      <c r="P6" s="254"/>
      <c r="Q6" s="252"/>
      <c r="R6" s="252"/>
      <c r="S6" s="252"/>
      <c r="T6" s="252"/>
      <c r="U6" s="252"/>
      <c r="V6" s="252"/>
    </row>
    <row r="7" spans="1:22">
      <c r="A7" s="420">
        <v>1</v>
      </c>
      <c r="B7" s="437" t="s">
        <v>266</v>
      </c>
      <c r="C7" s="252"/>
      <c r="D7" s="438">
        <v>349527.35927404871</v>
      </c>
      <c r="E7" s="438">
        <v>374192.29326403694</v>
      </c>
      <c r="F7" s="438">
        <v>387676.71712037502</v>
      </c>
      <c r="G7" s="438">
        <v>432171.69139000005</v>
      </c>
      <c r="H7" s="438">
        <v>363030.80000000005</v>
      </c>
      <c r="I7" s="438">
        <v>580795</v>
      </c>
      <c r="J7" s="438">
        <v>655725.29207490617</v>
      </c>
      <c r="K7" s="438">
        <v>661955.38998740632</v>
      </c>
      <c r="L7" s="438">
        <v>668185.48789990623</v>
      </c>
      <c r="M7" s="438">
        <v>667845.08789990633</v>
      </c>
      <c r="N7" s="438">
        <v>692020.50148323958</v>
      </c>
      <c r="O7" s="438">
        <v>691290.32040073955</v>
      </c>
      <c r="P7" s="254">
        <f>SUM(D7:O7)</f>
        <v>6524415.9407945648</v>
      </c>
      <c r="Q7" s="252">
        <v>6906111.6045800857</v>
      </c>
      <c r="R7" s="425"/>
      <c r="S7" s="252"/>
      <c r="T7" s="252"/>
      <c r="U7" s="252"/>
      <c r="V7" s="252"/>
    </row>
    <row r="8" spans="1:22">
      <c r="A8" s="420">
        <v>1</v>
      </c>
      <c r="B8" s="437" t="s">
        <v>267</v>
      </c>
      <c r="C8" s="252"/>
      <c r="D8" s="438">
        <v>0</v>
      </c>
      <c r="E8" s="438">
        <v>0</v>
      </c>
      <c r="F8" s="438">
        <v>0</v>
      </c>
      <c r="G8" s="438">
        <v>0</v>
      </c>
      <c r="H8" s="438">
        <v>0</v>
      </c>
      <c r="I8" s="438">
        <v>0</v>
      </c>
      <c r="J8" s="438">
        <v>0</v>
      </c>
      <c r="K8" s="438">
        <v>0</v>
      </c>
      <c r="L8" s="438">
        <v>0</v>
      </c>
      <c r="M8" s="438">
        <v>0</v>
      </c>
      <c r="N8" s="438">
        <v>0</v>
      </c>
      <c r="O8" s="438">
        <v>0</v>
      </c>
      <c r="P8" s="254">
        <f t="shared" ref="P8:P15" si="0">SUM(D8:O8)</f>
        <v>0</v>
      </c>
      <c r="Q8" s="439">
        <v>0</v>
      </c>
      <c r="R8" s="440"/>
      <c r="S8" s="252"/>
      <c r="T8" s="252"/>
      <c r="U8" s="252"/>
      <c r="V8" s="252"/>
    </row>
    <row r="9" spans="1:22">
      <c r="A9" s="420">
        <v>3</v>
      </c>
      <c r="B9" s="437" t="s">
        <v>268</v>
      </c>
      <c r="C9" s="252"/>
      <c r="D9" s="438">
        <v>-276487.51201998378</v>
      </c>
      <c r="E9" s="438">
        <v>-355095.70655701577</v>
      </c>
      <c r="F9" s="438">
        <v>-355095.70655701577</v>
      </c>
      <c r="G9" s="438">
        <f>-381510.96388-102837</f>
        <v>-484347.96388</v>
      </c>
      <c r="H9" s="438">
        <v>-346957</v>
      </c>
      <c r="I9" s="438">
        <v>-468974.48446000001</v>
      </c>
      <c r="J9" s="438">
        <v>-553627.23715144303</v>
      </c>
      <c r="K9" s="438">
        <v>-533672.26277182437</v>
      </c>
      <c r="L9" s="438">
        <v>-547905.4811293399</v>
      </c>
      <c r="M9" s="438">
        <v>-521659.95377618662</v>
      </c>
      <c r="N9" s="438">
        <v>-498591.75070473884</v>
      </c>
      <c r="O9" s="438">
        <v>-519315.25102582085</v>
      </c>
      <c r="P9" s="254">
        <f t="shared" si="0"/>
        <v>-5461730.3100333698</v>
      </c>
      <c r="Q9" s="439">
        <v>-5662807.57357552</v>
      </c>
      <c r="R9" s="440"/>
      <c r="S9" s="252"/>
      <c r="T9" s="252"/>
      <c r="U9" s="252"/>
      <c r="V9" s="252"/>
    </row>
    <row r="10" spans="1:22">
      <c r="A10" s="420">
        <v>5</v>
      </c>
      <c r="B10" s="437" t="s">
        <v>269</v>
      </c>
      <c r="C10" s="252"/>
      <c r="D10" s="438">
        <v>-110769.57128834314</v>
      </c>
      <c r="E10" s="438">
        <v>-100049.93535721317</v>
      </c>
      <c r="F10" s="438">
        <v>-356837.92174784298</v>
      </c>
      <c r="G10" s="438">
        <v>-29519.308000000001</v>
      </c>
      <c r="H10" s="438">
        <v>-61131.008000000016</v>
      </c>
      <c r="I10" s="438">
        <v>-4275</v>
      </c>
      <c r="J10" s="438">
        <v>-55215.103999999992</v>
      </c>
      <c r="K10" s="438">
        <v>-61131.008000000016</v>
      </c>
      <c r="L10" s="438">
        <v>-314907</v>
      </c>
      <c r="M10" s="438">
        <v>-209938</v>
      </c>
      <c r="N10" s="438">
        <v>-209938</v>
      </c>
      <c r="O10" s="438">
        <v>-104969</v>
      </c>
      <c r="P10" s="254">
        <f t="shared" si="0"/>
        <v>-1618680.8563933992</v>
      </c>
      <c r="Q10" s="439">
        <v>-1673564.8963933992</v>
      </c>
      <c r="R10" s="252"/>
      <c r="S10" s="425"/>
      <c r="T10" s="252"/>
      <c r="U10" s="252"/>
      <c r="V10" s="252"/>
    </row>
    <row r="11" spans="1:22">
      <c r="A11" s="420">
        <v>1</v>
      </c>
      <c r="B11" s="437" t="s">
        <v>270</v>
      </c>
      <c r="C11" s="252"/>
      <c r="D11" s="438">
        <v>0</v>
      </c>
      <c r="E11" s="438">
        <v>0</v>
      </c>
      <c r="F11" s="438">
        <v>0</v>
      </c>
      <c r="G11" s="438"/>
      <c r="H11" s="438">
        <v>0</v>
      </c>
      <c r="I11" s="438">
        <v>0</v>
      </c>
      <c r="J11" s="438">
        <v>123053.63434214165</v>
      </c>
      <c r="K11" s="438">
        <v>0</v>
      </c>
      <c r="L11" s="438">
        <v>0</v>
      </c>
      <c r="M11" s="438">
        <v>194035.89013769233</v>
      </c>
      <c r="N11" s="438">
        <v>0</v>
      </c>
      <c r="O11" s="438">
        <v>0</v>
      </c>
      <c r="P11" s="254">
        <v>389324.22453041753</v>
      </c>
      <c r="Q11" s="439">
        <v>389324.22453041753</v>
      </c>
      <c r="R11" s="252"/>
      <c r="S11" s="252"/>
      <c r="T11" s="252"/>
      <c r="U11" s="252"/>
      <c r="V11" s="252"/>
    </row>
    <row r="12" spans="1:22">
      <c r="A12" s="420">
        <v>6</v>
      </c>
      <c r="B12" s="437" t="s">
        <v>271</v>
      </c>
      <c r="C12" s="252"/>
      <c r="D12" s="438">
        <v>0</v>
      </c>
      <c r="E12" s="438">
        <v>-29607.657200000001</v>
      </c>
      <c r="F12" s="438">
        <v>-5168.5788000000002</v>
      </c>
      <c r="G12" s="438">
        <v>-750</v>
      </c>
      <c r="H12" s="438">
        <v>-19168.901400000002</v>
      </c>
      <c r="I12" s="438">
        <v>-2277.1088</v>
      </c>
      <c r="J12" s="438">
        <v>0</v>
      </c>
      <c r="K12" s="438">
        <v>-31348.578800000003</v>
      </c>
      <c r="L12" s="438">
        <v>-6357.8922000000002</v>
      </c>
      <c r="M12" s="438">
        <v>-13200.000000000002</v>
      </c>
      <c r="N12" s="438">
        <v>-13198.578800000001</v>
      </c>
      <c r="O12" s="438">
        <v>-22878.578800000003</v>
      </c>
      <c r="P12" s="254">
        <f t="shared" si="0"/>
        <v>-143955.87480000002</v>
      </c>
      <c r="Q12" s="439">
        <v>-122607.29600000002</v>
      </c>
      <c r="R12" s="425"/>
      <c r="S12" s="252"/>
      <c r="T12" s="252"/>
      <c r="U12" s="252"/>
      <c r="V12" s="252"/>
    </row>
    <row r="13" spans="1:22">
      <c r="A13" s="420">
        <v>1</v>
      </c>
      <c r="B13" s="437" t="s">
        <v>270</v>
      </c>
      <c r="C13" s="252"/>
      <c r="D13" s="438">
        <v>0</v>
      </c>
      <c r="E13" s="438">
        <v>2691.6052000000004</v>
      </c>
      <c r="F13" s="438">
        <v>469.87080000000003</v>
      </c>
      <c r="G13" s="438"/>
      <c r="H13" s="438">
        <v>1742.6274000000003</v>
      </c>
      <c r="I13" s="438"/>
      <c r="J13" s="438">
        <v>0</v>
      </c>
      <c r="K13" s="438">
        <v>2849.8708000000006</v>
      </c>
      <c r="L13" s="438">
        <v>577.99019999999996</v>
      </c>
      <c r="M13" s="438">
        <v>1200.0000000000002</v>
      </c>
      <c r="N13" s="438">
        <v>1199.8708000000001</v>
      </c>
      <c r="O13" s="438">
        <v>2079.8708000000006</v>
      </c>
      <c r="P13" s="254">
        <f t="shared" si="0"/>
        <v>12811.706000000002</v>
      </c>
      <c r="Q13" s="427">
        <v>13927.806800000002</v>
      </c>
      <c r="R13" s="427"/>
      <c r="S13" s="252"/>
      <c r="T13" s="252"/>
      <c r="U13" s="252"/>
      <c r="V13" s="252"/>
    </row>
    <row r="14" spans="1:22">
      <c r="A14" s="420"/>
      <c r="B14" s="437" t="s">
        <v>272</v>
      </c>
      <c r="C14" s="252"/>
      <c r="D14" s="438"/>
      <c r="E14" s="438"/>
      <c r="F14" s="438"/>
      <c r="G14" s="438"/>
      <c r="H14" s="438"/>
      <c r="I14" s="438"/>
      <c r="J14" s="438"/>
      <c r="K14" s="438"/>
      <c r="L14" s="438"/>
      <c r="M14" s="438"/>
      <c r="N14" s="438"/>
      <c r="O14" s="438"/>
      <c r="P14" s="254">
        <f t="shared" si="0"/>
        <v>0</v>
      </c>
      <c r="Q14" s="427">
        <v>0</v>
      </c>
      <c r="R14" s="427"/>
      <c r="S14" s="252"/>
      <c r="T14" s="252"/>
      <c r="U14" s="252"/>
      <c r="V14" s="252"/>
    </row>
    <row r="15" spans="1:22">
      <c r="A15" s="420"/>
      <c r="B15" s="437" t="s">
        <v>273</v>
      </c>
      <c r="C15" s="252"/>
      <c r="D15" s="438">
        <v>0</v>
      </c>
      <c r="E15" s="438">
        <v>0</v>
      </c>
      <c r="F15" s="438">
        <v>0</v>
      </c>
      <c r="G15" s="438">
        <v>0</v>
      </c>
      <c r="H15" s="438">
        <v>0</v>
      </c>
      <c r="I15" s="438">
        <v>0</v>
      </c>
      <c r="J15" s="438">
        <v>0</v>
      </c>
      <c r="K15" s="438">
        <v>0</v>
      </c>
      <c r="L15" s="438">
        <v>0</v>
      </c>
      <c r="M15" s="438">
        <v>0</v>
      </c>
      <c r="N15" s="438">
        <v>0</v>
      </c>
      <c r="O15" s="438">
        <v>0</v>
      </c>
      <c r="P15" s="254">
        <f t="shared" si="0"/>
        <v>0</v>
      </c>
      <c r="Q15" s="441">
        <v>0</v>
      </c>
      <c r="R15" s="441"/>
      <c r="S15" s="252"/>
      <c r="T15" s="252"/>
      <c r="U15" s="252"/>
      <c r="V15" s="252"/>
    </row>
    <row r="16" spans="1:22">
      <c r="A16" s="420"/>
      <c r="B16" s="435" t="s">
        <v>274</v>
      </c>
      <c r="C16" s="427"/>
      <c r="D16" s="442">
        <f>SUM(D7:D15)</f>
        <v>-37729.724034278217</v>
      </c>
      <c r="E16" s="442">
        <f t="shared" ref="E16:P16" si="1">SUM(E7:E15)</f>
        <v>-107869.40065019199</v>
      </c>
      <c r="F16" s="442">
        <f t="shared" si="1"/>
        <v>-328955.61918448377</v>
      </c>
      <c r="G16" s="442">
        <f t="shared" si="1"/>
        <v>-82445.580489999949</v>
      </c>
      <c r="H16" s="442">
        <f t="shared" si="1"/>
        <v>-62483.481999999975</v>
      </c>
      <c r="I16" s="442">
        <f t="shared" si="1"/>
        <v>105268.40673999999</v>
      </c>
      <c r="J16" s="442">
        <f t="shared" si="1"/>
        <v>169936.58526560481</v>
      </c>
      <c r="K16" s="442">
        <f t="shared" si="1"/>
        <v>38653.411215581931</v>
      </c>
      <c r="L16" s="442">
        <f t="shared" si="1"/>
        <v>-200406.89522943366</v>
      </c>
      <c r="M16" s="442">
        <f t="shared" si="1"/>
        <v>118283.02426141204</v>
      </c>
      <c r="N16" s="442">
        <f t="shared" si="1"/>
        <v>-28507.957221499255</v>
      </c>
      <c r="O16" s="442">
        <f t="shared" si="1"/>
        <v>46207.361374918706</v>
      </c>
      <c r="P16" s="443">
        <f t="shared" si="1"/>
        <v>-297815.16990178672</v>
      </c>
      <c r="Q16" s="252">
        <v>-149616.13005841596</v>
      </c>
      <c r="R16" s="252"/>
      <c r="S16" s="252"/>
      <c r="T16" s="425"/>
      <c r="U16" s="252"/>
      <c r="V16" s="252"/>
    </row>
    <row r="17" spans="1:23">
      <c r="A17" s="420"/>
      <c r="B17" s="444"/>
      <c r="C17" s="255"/>
      <c r="D17" s="445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254">
        <v>0</v>
      </c>
      <c r="Q17" s="252">
        <v>0</v>
      </c>
      <c r="R17" s="252"/>
      <c r="S17" s="252"/>
      <c r="T17" s="252"/>
      <c r="U17" s="252"/>
      <c r="V17" s="252"/>
    </row>
    <row r="18" spans="1:23">
      <c r="A18" s="420"/>
      <c r="B18" s="435" t="s">
        <v>275</v>
      </c>
      <c r="C18" s="427"/>
      <c r="D18" s="446"/>
      <c r="E18" s="446"/>
      <c r="F18" s="446"/>
      <c r="G18" s="446"/>
      <c r="H18" s="446"/>
      <c r="I18" s="446"/>
      <c r="J18" s="446"/>
      <c r="K18" s="446"/>
      <c r="L18" s="446"/>
      <c r="M18" s="446"/>
      <c r="N18" s="446"/>
      <c r="O18" s="446"/>
      <c r="P18" s="254">
        <v>0</v>
      </c>
      <c r="Q18" s="252">
        <v>0</v>
      </c>
      <c r="R18" s="429"/>
      <c r="S18" s="252"/>
      <c r="T18" s="252"/>
      <c r="U18" s="252"/>
      <c r="V18" s="252"/>
    </row>
    <row r="19" spans="1:23">
      <c r="A19" s="420">
        <v>4</v>
      </c>
      <c r="B19" s="447" t="s">
        <v>368</v>
      </c>
      <c r="C19" s="427"/>
      <c r="D19" s="438"/>
      <c r="E19" s="438"/>
      <c r="F19" s="438"/>
      <c r="G19" s="438">
        <v>-175581</v>
      </c>
      <c r="H19" s="438"/>
      <c r="I19" s="438"/>
      <c r="J19" s="438">
        <v>-150000</v>
      </c>
      <c r="K19" s="438">
        <v>-120000</v>
      </c>
      <c r="L19" s="438"/>
      <c r="M19" s="438"/>
      <c r="N19" s="438"/>
      <c r="O19" s="438"/>
      <c r="P19" s="254">
        <f t="shared" ref="P19:P20" si="2">SUM(D19:O19)</f>
        <v>-445581</v>
      </c>
      <c r="Q19" s="252">
        <v>-603069.53065999993</v>
      </c>
      <c r="R19" s="429"/>
      <c r="S19" s="252"/>
      <c r="T19" s="252"/>
      <c r="U19" s="252"/>
      <c r="V19" s="252"/>
    </row>
    <row r="20" spans="1:23">
      <c r="A20" s="420">
        <v>4</v>
      </c>
      <c r="B20" s="448" t="s">
        <v>276</v>
      </c>
      <c r="C20" s="427"/>
      <c r="D20" s="438">
        <v>-58998.533677958643</v>
      </c>
      <c r="E20" s="438">
        <v>-55452.933677958645</v>
      </c>
      <c r="F20" s="438"/>
      <c r="G20" s="438">
        <f>-210980-158012+47506.213+15001.05565+175581</f>
        <v>-130903.73135000002</v>
      </c>
      <c r="H20" s="438">
        <v>-167265</v>
      </c>
      <c r="I20" s="438">
        <v>-36805.464043876003</v>
      </c>
      <c r="J20" s="438">
        <v>-355000</v>
      </c>
      <c r="K20" s="438">
        <v>-355000</v>
      </c>
      <c r="L20" s="438">
        <v>-50000</v>
      </c>
      <c r="M20" s="438"/>
      <c r="N20" s="438"/>
      <c r="O20" s="438"/>
      <c r="P20" s="254">
        <f t="shared" si="2"/>
        <v>-1209425.6627497934</v>
      </c>
      <c r="Q20" s="252">
        <v>-1224451.4673559172</v>
      </c>
      <c r="R20" s="449"/>
      <c r="S20" s="252"/>
      <c r="T20" s="252"/>
      <c r="U20" s="252"/>
      <c r="V20" s="252"/>
    </row>
    <row r="21" spans="1:23">
      <c r="A21" s="420"/>
      <c r="B21" s="448"/>
      <c r="C21" s="255"/>
      <c r="D21" s="438"/>
      <c r="E21" s="438"/>
      <c r="F21" s="438"/>
      <c r="G21" s="438"/>
      <c r="H21" s="438"/>
      <c r="I21" s="438"/>
      <c r="J21" s="438"/>
      <c r="K21" s="438"/>
      <c r="L21" s="438"/>
      <c r="M21" s="438"/>
      <c r="N21" s="438"/>
      <c r="O21" s="438"/>
      <c r="P21" s="254">
        <v>0</v>
      </c>
      <c r="Q21" s="252">
        <v>0</v>
      </c>
      <c r="R21" s="255"/>
      <c r="S21" s="252"/>
      <c r="T21" s="252"/>
      <c r="U21" s="252"/>
      <c r="V21" s="252"/>
    </row>
    <row r="22" spans="1:23">
      <c r="A22" s="420"/>
      <c r="B22" s="435" t="s">
        <v>277</v>
      </c>
      <c r="C22" s="427"/>
      <c r="D22" s="442">
        <f>SUM(D19:D21)</f>
        <v>-58998.533677958643</v>
      </c>
      <c r="E22" s="442">
        <f t="shared" ref="E22:P22" si="3">SUM(E19:E21)</f>
        <v>-55452.933677958645</v>
      </c>
      <c r="F22" s="442">
        <f t="shared" si="3"/>
        <v>0</v>
      </c>
      <c r="G22" s="442">
        <f t="shared" si="3"/>
        <v>-306484.73135000002</v>
      </c>
      <c r="H22" s="442">
        <f t="shared" si="3"/>
        <v>-167265</v>
      </c>
      <c r="I22" s="442">
        <f t="shared" si="3"/>
        <v>-36805.464043876003</v>
      </c>
      <c r="J22" s="442">
        <f t="shared" si="3"/>
        <v>-505000</v>
      </c>
      <c r="K22" s="442">
        <f t="shared" si="3"/>
        <v>-475000</v>
      </c>
      <c r="L22" s="442">
        <f t="shared" si="3"/>
        <v>-50000</v>
      </c>
      <c r="M22" s="442">
        <f t="shared" si="3"/>
        <v>0</v>
      </c>
      <c r="N22" s="442">
        <f t="shared" si="3"/>
        <v>0</v>
      </c>
      <c r="O22" s="442">
        <f t="shared" si="3"/>
        <v>0</v>
      </c>
      <c r="P22" s="443">
        <f t="shared" si="3"/>
        <v>-1655006.6627497934</v>
      </c>
      <c r="Q22" s="252">
        <v>-1827520.9980159171</v>
      </c>
      <c r="R22" s="449"/>
      <c r="S22" s="449"/>
      <c r="T22" s="252"/>
      <c r="U22" s="252"/>
      <c r="V22" s="252"/>
    </row>
    <row r="23" spans="1:23">
      <c r="A23" s="420"/>
      <c r="B23" s="450"/>
      <c r="C23" s="431"/>
      <c r="D23" s="446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254">
        <v>0</v>
      </c>
      <c r="Q23" s="252">
        <v>0</v>
      </c>
      <c r="R23" s="255"/>
      <c r="S23" s="449"/>
      <c r="T23" s="252"/>
      <c r="U23" s="252"/>
      <c r="V23" s="252"/>
    </row>
    <row r="24" spans="1:23">
      <c r="A24" s="420"/>
      <c r="B24" s="435" t="s">
        <v>278</v>
      </c>
      <c r="C24" s="427"/>
      <c r="D24" s="442"/>
      <c r="E24" s="442"/>
      <c r="F24" s="442"/>
      <c r="G24" s="442"/>
      <c r="H24" s="442"/>
      <c r="I24" s="442"/>
      <c r="J24" s="442"/>
      <c r="K24" s="442"/>
      <c r="L24" s="442"/>
      <c r="M24" s="442"/>
      <c r="N24" s="442"/>
      <c r="O24" s="442"/>
      <c r="P24" s="254">
        <v>0</v>
      </c>
      <c r="Q24" s="252">
        <v>0</v>
      </c>
      <c r="R24" s="255"/>
      <c r="S24" s="449"/>
      <c r="T24" s="252"/>
      <c r="U24" s="252"/>
      <c r="V24" s="252"/>
    </row>
    <row r="25" spans="1:23">
      <c r="A25" s="420">
        <v>8</v>
      </c>
      <c r="B25" s="451" t="s">
        <v>369</v>
      </c>
      <c r="C25" s="255"/>
      <c r="D25" s="438">
        <v>400000</v>
      </c>
      <c r="E25" s="438">
        <v>200000</v>
      </c>
      <c r="F25" s="438">
        <v>125000</v>
      </c>
      <c r="G25" s="452">
        <f>B47/1000</f>
        <v>1209815.6328586002</v>
      </c>
      <c r="H25" s="438">
        <v>0</v>
      </c>
      <c r="I25" s="438"/>
      <c r="J25" s="438">
        <v>0</v>
      </c>
      <c r="K25" s="438">
        <v>0</v>
      </c>
      <c r="L25" s="438">
        <v>0</v>
      </c>
      <c r="M25" s="438">
        <v>0</v>
      </c>
      <c r="N25" s="438">
        <v>0</v>
      </c>
      <c r="O25" s="438">
        <v>0</v>
      </c>
      <c r="P25" s="254">
        <f t="shared" ref="P25:P36" si="4">SUM(D25:O25)</f>
        <v>1934815.6328586002</v>
      </c>
      <c r="Q25" s="252">
        <v>1988484.73</v>
      </c>
      <c r="R25" s="255"/>
      <c r="S25" s="449"/>
      <c r="T25" s="252"/>
      <c r="U25" s="252"/>
      <c r="V25" s="252"/>
    </row>
    <row r="26" spans="1:23">
      <c r="A26" s="420">
        <v>2</v>
      </c>
      <c r="B26" s="451" t="s">
        <v>370</v>
      </c>
      <c r="C26" s="255"/>
      <c r="D26" s="438">
        <v>0</v>
      </c>
      <c r="E26" s="438"/>
      <c r="F26" s="438"/>
      <c r="G26" s="438">
        <f>63907</f>
        <v>63907</v>
      </c>
      <c r="H26" s="438">
        <v>2951.48</v>
      </c>
      <c r="I26" s="438">
        <v>233141.52</v>
      </c>
      <c r="J26" s="438"/>
      <c r="K26" s="438"/>
      <c r="L26" s="438">
        <v>150000</v>
      </c>
      <c r="M26" s="438"/>
      <c r="N26" s="438"/>
      <c r="O26" s="438">
        <v>150000</v>
      </c>
      <c r="P26" s="254">
        <f t="shared" si="4"/>
        <v>600000</v>
      </c>
      <c r="Q26" s="252">
        <v>600000</v>
      </c>
      <c r="R26" s="255"/>
      <c r="S26" s="449"/>
      <c r="T26" s="252"/>
      <c r="U26" s="252"/>
      <c r="V26" s="252"/>
    </row>
    <row r="27" spans="1:23">
      <c r="A27" s="420">
        <v>7</v>
      </c>
      <c r="B27" s="451" t="s">
        <v>371</v>
      </c>
      <c r="C27" s="255"/>
      <c r="D27" s="438">
        <v>0</v>
      </c>
      <c r="E27" s="438">
        <v>0</v>
      </c>
      <c r="F27" s="438">
        <v>-127500</v>
      </c>
      <c r="G27" s="438"/>
      <c r="H27" s="438">
        <v>0</v>
      </c>
      <c r="I27" s="438">
        <v>-128515</v>
      </c>
      <c r="J27" s="438">
        <v>0</v>
      </c>
      <c r="K27" s="438">
        <v>0</v>
      </c>
      <c r="L27" s="438">
        <v>-128515</v>
      </c>
      <c r="M27" s="438">
        <v>0</v>
      </c>
      <c r="N27" s="438">
        <v>0</v>
      </c>
      <c r="O27" s="438">
        <v>-128515</v>
      </c>
      <c r="P27" s="254">
        <f t="shared" si="4"/>
        <v>-513045</v>
      </c>
      <c r="Q27" s="252">
        <v>-510000</v>
      </c>
      <c r="R27" s="255"/>
      <c r="S27" s="252"/>
      <c r="T27" s="252"/>
      <c r="U27" s="252"/>
      <c r="V27" s="252"/>
    </row>
    <row r="28" spans="1:23">
      <c r="A28" s="420">
        <v>7</v>
      </c>
      <c r="B28" s="437" t="s">
        <v>279</v>
      </c>
      <c r="C28" s="255"/>
      <c r="D28" s="438">
        <v>-150000</v>
      </c>
      <c r="E28" s="438">
        <v>-50000</v>
      </c>
      <c r="F28" s="438">
        <v>0</v>
      </c>
      <c r="G28" s="438">
        <v>0</v>
      </c>
      <c r="H28" s="438">
        <v>0</v>
      </c>
      <c r="I28" s="438">
        <v>0</v>
      </c>
      <c r="J28" s="438">
        <v>0</v>
      </c>
      <c r="K28" s="438">
        <v>0</v>
      </c>
      <c r="L28" s="438">
        <v>0</v>
      </c>
      <c r="M28" s="438">
        <v>0</v>
      </c>
      <c r="N28" s="438">
        <v>0</v>
      </c>
      <c r="O28" s="438">
        <v>0</v>
      </c>
      <c r="P28" s="254">
        <f>SUM(D28:O28)</f>
        <v>-200000</v>
      </c>
      <c r="Q28" s="252">
        <v>-200000</v>
      </c>
      <c r="R28" s="255"/>
      <c r="S28" s="252"/>
      <c r="T28" s="252"/>
      <c r="U28" s="252"/>
      <c r="V28" s="252"/>
    </row>
    <row r="29" spans="1:23">
      <c r="A29" s="420"/>
      <c r="B29" s="437" t="s">
        <v>280</v>
      </c>
      <c r="C29" s="453"/>
      <c r="D29" s="454"/>
      <c r="E29" s="454"/>
      <c r="F29" s="454"/>
      <c r="G29" s="454"/>
      <c r="H29" s="454"/>
      <c r="I29" s="454"/>
      <c r="J29" s="454"/>
      <c r="K29" s="454"/>
      <c r="L29" s="454"/>
      <c r="M29" s="454"/>
      <c r="N29" s="454"/>
      <c r="O29" s="454"/>
      <c r="P29" s="455">
        <f t="shared" si="4"/>
        <v>0</v>
      </c>
      <c r="Q29" s="252">
        <v>0</v>
      </c>
      <c r="R29" s="252"/>
      <c r="S29" s="456"/>
      <c r="T29" s="252"/>
      <c r="U29" s="252"/>
      <c r="V29" s="252"/>
      <c r="W29" s="256"/>
    </row>
    <row r="30" spans="1:23">
      <c r="A30" s="420"/>
      <c r="B30" s="437" t="s">
        <v>281</v>
      </c>
      <c r="C30" s="453"/>
      <c r="D30" s="454"/>
      <c r="E30" s="454"/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5">
        <f t="shared" si="4"/>
        <v>0</v>
      </c>
      <c r="Q30" s="252">
        <v>0</v>
      </c>
      <c r="R30" s="252"/>
      <c r="S30" s="456"/>
      <c r="T30" s="252"/>
      <c r="U30" s="252"/>
      <c r="V30" s="252"/>
      <c r="W30" s="256"/>
    </row>
    <row r="31" spans="1:23" s="256" customFormat="1">
      <c r="A31" s="420">
        <v>7</v>
      </c>
      <c r="B31" s="359" t="s">
        <v>372</v>
      </c>
      <c r="C31" s="252"/>
      <c r="D31" s="438">
        <v>-2896.5853600000046</v>
      </c>
      <c r="E31" s="438">
        <v>-3356.8593326027476</v>
      </c>
      <c r="F31" s="438">
        <v>-3915.7634421917828</v>
      </c>
      <c r="G31" s="438">
        <v>-9067.8940300000013</v>
      </c>
      <c r="H31" s="438">
        <v>-9770.4713499999998</v>
      </c>
      <c r="I31" s="438">
        <v>-10793.777665342464</v>
      </c>
      <c r="J31" s="438">
        <v>-10995.162080671233</v>
      </c>
      <c r="K31" s="438">
        <v>-11027.503587520549</v>
      </c>
      <c r="L31" s="438">
        <v>-10304.996843424657</v>
      </c>
      <c r="M31" s="438">
        <v>-10648.49673820548</v>
      </c>
      <c r="N31" s="438">
        <v>-10304.996843424657</v>
      </c>
      <c r="O31" s="438">
        <v>-10269.48988889041</v>
      </c>
      <c r="P31" s="254">
        <f t="shared" si="4"/>
        <v>-103351.99716227398</v>
      </c>
      <c r="Q31" s="252">
        <v>-105109.0362491096</v>
      </c>
      <c r="R31" s="255"/>
      <c r="S31" s="253"/>
      <c r="T31" s="252"/>
      <c r="U31" s="252"/>
      <c r="V31" s="252"/>
      <c r="W31" s="253"/>
    </row>
    <row r="32" spans="1:23" s="256" customFormat="1">
      <c r="A32" s="420">
        <v>9</v>
      </c>
      <c r="B32" s="359" t="s">
        <v>358</v>
      </c>
      <c r="C32" s="252"/>
      <c r="D32" s="438">
        <f>-48091.8583995753-D31</f>
        <v>-45195.273039575295</v>
      </c>
      <c r="E32" s="438">
        <f>-45283.8695371507-E31</f>
        <v>-41927.010204547951</v>
      </c>
      <c r="F32" s="438">
        <f>-52906.2899064247-F31</f>
        <v>-48990.52646423292</v>
      </c>
      <c r="G32" s="438">
        <v>-194338.33645</v>
      </c>
      <c r="H32" s="438">
        <v>-46653.304830000001</v>
      </c>
      <c r="I32" s="438">
        <v>-43831.023936578378</v>
      </c>
      <c r="J32" s="438">
        <v>-7509.7006843821428</v>
      </c>
      <c r="K32" s="438">
        <v>-7509.7006843821428</v>
      </c>
      <c r="L32" s="438">
        <v>-7267.452275208525</v>
      </c>
      <c r="M32" s="438">
        <v>-7509.7006843821428</v>
      </c>
      <c r="N32" s="438">
        <v>-7267.452275208525</v>
      </c>
      <c r="O32" s="438">
        <v>-7509.7006843821428</v>
      </c>
      <c r="P32" s="254">
        <f t="shared" si="4"/>
        <v>-465509.18221288006</v>
      </c>
      <c r="Q32" s="252">
        <v>-463055.13603000192</v>
      </c>
      <c r="R32" s="255"/>
      <c r="S32" s="253"/>
      <c r="T32" s="252"/>
      <c r="U32" s="252"/>
      <c r="V32" s="252"/>
      <c r="W32" s="253"/>
    </row>
    <row r="33" spans="1:23">
      <c r="A33" s="420"/>
      <c r="B33" s="457" t="s">
        <v>283</v>
      </c>
      <c r="C33" s="252"/>
      <c r="D33" s="438">
        <v>0</v>
      </c>
      <c r="E33" s="438">
        <v>0</v>
      </c>
      <c r="F33" s="438">
        <v>0</v>
      </c>
      <c r="G33" s="438">
        <v>0</v>
      </c>
      <c r="H33" s="438">
        <v>0</v>
      </c>
      <c r="I33" s="438">
        <v>0</v>
      </c>
      <c r="J33" s="438">
        <v>0</v>
      </c>
      <c r="K33" s="438">
        <v>0</v>
      </c>
      <c r="L33" s="438">
        <v>0</v>
      </c>
      <c r="M33" s="438">
        <v>0</v>
      </c>
      <c r="N33" s="438">
        <v>0</v>
      </c>
      <c r="O33" s="438">
        <v>0</v>
      </c>
      <c r="P33" s="254">
        <f t="shared" si="4"/>
        <v>0</v>
      </c>
      <c r="Q33" s="253">
        <v>0</v>
      </c>
      <c r="R33" s="252"/>
      <c r="S33" s="458"/>
      <c r="T33" s="252"/>
      <c r="U33" s="252"/>
      <c r="V33" s="252"/>
    </row>
    <row r="34" spans="1:23">
      <c r="A34" s="420"/>
      <c r="B34" s="459"/>
      <c r="C34" s="453"/>
      <c r="D34" s="454"/>
      <c r="E34" s="454"/>
      <c r="F34" s="454"/>
      <c r="G34" s="454"/>
      <c r="H34" s="454"/>
      <c r="I34" s="454"/>
      <c r="J34" s="454"/>
      <c r="K34" s="454"/>
      <c r="L34" s="454"/>
      <c r="M34" s="454"/>
      <c r="N34" s="454"/>
      <c r="O34" s="454"/>
      <c r="P34" s="455">
        <f t="shared" si="4"/>
        <v>0</v>
      </c>
      <c r="Q34" s="253">
        <v>0</v>
      </c>
      <c r="R34" s="255"/>
      <c r="S34" s="458"/>
      <c r="T34" s="252"/>
      <c r="U34" s="252"/>
      <c r="V34" s="252"/>
    </row>
    <row r="35" spans="1:23">
      <c r="A35" s="420"/>
      <c r="B35" s="457" t="s">
        <v>284</v>
      </c>
      <c r="C35" s="460"/>
      <c r="D35" s="438">
        <v>0</v>
      </c>
      <c r="E35" s="438">
        <v>0</v>
      </c>
      <c r="F35" s="438">
        <v>0</v>
      </c>
      <c r="G35" s="438">
        <v>0</v>
      </c>
      <c r="H35" s="438">
        <v>0</v>
      </c>
      <c r="I35" s="438">
        <v>0</v>
      </c>
      <c r="J35" s="438">
        <v>0</v>
      </c>
      <c r="K35" s="438">
        <v>0</v>
      </c>
      <c r="L35" s="438">
        <v>0</v>
      </c>
      <c r="M35" s="438">
        <v>0</v>
      </c>
      <c r="N35" s="438">
        <v>0</v>
      </c>
      <c r="O35" s="438">
        <v>0</v>
      </c>
      <c r="P35" s="461">
        <f t="shared" si="4"/>
        <v>0</v>
      </c>
      <c r="Q35" s="252">
        <v>0</v>
      </c>
      <c r="R35" s="255"/>
      <c r="S35" s="252"/>
      <c r="T35" s="252"/>
      <c r="U35" s="252"/>
      <c r="V35" s="252"/>
    </row>
    <row r="36" spans="1:23">
      <c r="A36" s="420"/>
      <c r="B36" s="457" t="s">
        <v>285</v>
      </c>
      <c r="C36" s="460"/>
      <c r="D36" s="438">
        <v>0</v>
      </c>
      <c r="E36" s="438">
        <v>0</v>
      </c>
      <c r="F36" s="438">
        <v>0</v>
      </c>
      <c r="G36" s="438">
        <v>0</v>
      </c>
      <c r="H36" s="438">
        <v>0</v>
      </c>
      <c r="I36" s="438">
        <v>0</v>
      </c>
      <c r="J36" s="438">
        <v>0</v>
      </c>
      <c r="K36" s="438">
        <v>0</v>
      </c>
      <c r="L36" s="438">
        <v>0</v>
      </c>
      <c r="M36" s="438">
        <v>0</v>
      </c>
      <c r="N36" s="438">
        <v>0</v>
      </c>
      <c r="O36" s="438">
        <v>0</v>
      </c>
      <c r="P36" s="461">
        <f t="shared" si="4"/>
        <v>0</v>
      </c>
      <c r="Q36" s="252">
        <v>0</v>
      </c>
      <c r="R36" s="255"/>
      <c r="S36" s="252"/>
      <c r="T36" s="252"/>
      <c r="U36" s="252"/>
      <c r="V36" s="252"/>
    </row>
    <row r="37" spans="1:23">
      <c r="A37" s="420"/>
      <c r="B37" s="435" t="s">
        <v>286</v>
      </c>
      <c r="C37" s="427"/>
      <c r="D37" s="442">
        <f>SUM(D25:D36)</f>
        <v>201908.14160042471</v>
      </c>
      <c r="E37" s="442">
        <f t="shared" ref="E37:P37" si="5">SUM(E25:E36)</f>
        <v>104716.13046284928</v>
      </c>
      <c r="F37" s="442">
        <f t="shared" si="5"/>
        <v>-55406.289906424703</v>
      </c>
      <c r="G37" s="442">
        <f>SUM(G25:G36)</f>
        <v>1070316.4023786001</v>
      </c>
      <c r="H37" s="442">
        <f t="shared" si="5"/>
        <v>-53472.296180000005</v>
      </c>
      <c r="I37" s="442">
        <f t="shared" si="5"/>
        <v>50001.718398079145</v>
      </c>
      <c r="J37" s="442">
        <f t="shared" si="5"/>
        <v>-18504.862765053374</v>
      </c>
      <c r="K37" s="442">
        <f t="shared" si="5"/>
        <v>-18537.20427190269</v>
      </c>
      <c r="L37" s="442">
        <f t="shared" si="5"/>
        <v>3912.5508813668184</v>
      </c>
      <c r="M37" s="442">
        <f t="shared" si="5"/>
        <v>-18158.197422587622</v>
      </c>
      <c r="N37" s="442">
        <f t="shared" si="5"/>
        <v>-17572.44911863318</v>
      </c>
      <c r="O37" s="442">
        <f t="shared" si="5"/>
        <v>3705.8094267274473</v>
      </c>
      <c r="P37" s="442">
        <f t="shared" si="5"/>
        <v>1252909.4534834463</v>
      </c>
      <c r="Q37" s="252">
        <v>1773375.6937508904</v>
      </c>
      <c r="R37" s="255"/>
      <c r="S37" s="252"/>
      <c r="T37" s="252"/>
      <c r="U37" s="252"/>
      <c r="V37" s="252"/>
      <c r="W37" s="256"/>
    </row>
    <row r="38" spans="1:23" s="256" customFormat="1">
      <c r="A38" s="420"/>
      <c r="B38" s="462" t="s">
        <v>373</v>
      </c>
      <c r="C38" s="431"/>
      <c r="D38" s="438"/>
      <c r="E38" s="438"/>
      <c r="F38" s="438"/>
      <c r="G38" s="438"/>
      <c r="H38" s="438"/>
      <c r="I38" s="438"/>
      <c r="J38" s="438"/>
      <c r="K38" s="438"/>
      <c r="L38" s="438"/>
      <c r="M38" s="438"/>
      <c r="N38" s="438"/>
      <c r="O38" s="438"/>
      <c r="P38" s="463">
        <v>0</v>
      </c>
      <c r="Q38" s="252">
        <v>0</v>
      </c>
      <c r="R38" s="438"/>
      <c r="S38" s="464">
        <v>2431</v>
      </c>
      <c r="T38" s="252" t="s">
        <v>364</v>
      </c>
      <c r="U38" s="252"/>
      <c r="V38" s="252"/>
      <c r="W38" s="253"/>
    </row>
    <row r="39" spans="1:23">
      <c r="A39" s="420"/>
      <c r="B39" s="435" t="s">
        <v>287</v>
      </c>
      <c r="C39" s="427"/>
      <c r="D39" s="442">
        <f>D16+D22+D37</f>
        <v>105179.88388818785</v>
      </c>
      <c r="E39" s="442">
        <f t="shared" ref="E39:P39" si="6">E16+E22+E37</f>
        <v>-58606.203865301359</v>
      </c>
      <c r="F39" s="442">
        <f t="shared" si="6"/>
        <v>-384361.90909090848</v>
      </c>
      <c r="G39" s="442">
        <f t="shared" si="6"/>
        <v>681386.09053860011</v>
      </c>
      <c r="H39" s="442">
        <f t="shared" si="6"/>
        <v>-283220.77817999996</v>
      </c>
      <c r="I39" s="442">
        <f t="shared" si="6"/>
        <v>118464.66109420314</v>
      </c>
      <c r="J39" s="442">
        <f t="shared" si="6"/>
        <v>-353568.27749944862</v>
      </c>
      <c r="K39" s="442">
        <f t="shared" si="6"/>
        <v>-454883.79305632075</v>
      </c>
      <c r="L39" s="442">
        <f t="shared" si="6"/>
        <v>-246494.34434806684</v>
      </c>
      <c r="M39" s="442">
        <f t="shared" si="6"/>
        <v>100124.82683882442</v>
      </c>
      <c r="N39" s="442">
        <f t="shared" si="6"/>
        <v>-46080.406340132438</v>
      </c>
      <c r="O39" s="442">
        <f t="shared" si="6"/>
        <v>49913.170801646156</v>
      </c>
      <c r="P39" s="443">
        <f t="shared" si="6"/>
        <v>-699912.37916813395</v>
      </c>
      <c r="Q39" s="252">
        <v>-203761.43432344263</v>
      </c>
      <c r="R39" s="431"/>
      <c r="S39" s="252"/>
      <c r="T39" s="252"/>
      <c r="U39" s="252"/>
      <c r="V39" s="252"/>
    </row>
    <row r="40" spans="1:23">
      <c r="A40" s="420"/>
      <c r="B40" s="437"/>
      <c r="C40" s="252"/>
      <c r="D40" s="445"/>
      <c r="E40" s="445"/>
      <c r="F40" s="446"/>
      <c r="G40" s="446"/>
      <c r="H40" s="446"/>
      <c r="I40" s="446"/>
      <c r="J40" s="446"/>
      <c r="K40" s="446"/>
      <c r="L40" s="446"/>
      <c r="M40" s="446"/>
      <c r="N40" s="446"/>
      <c r="O40" s="446"/>
      <c r="P40" s="254"/>
      <c r="Q40" s="252" t="s">
        <v>288</v>
      </c>
      <c r="R40" s="255"/>
      <c r="S40" s="252"/>
      <c r="T40" s="252"/>
      <c r="U40" s="252"/>
      <c r="V40" s="252"/>
    </row>
    <row r="41" spans="1:23">
      <c r="A41" s="420"/>
      <c r="B41" s="437" t="s">
        <v>289</v>
      </c>
      <c r="C41" s="252"/>
      <c r="D41" s="465">
        <v>590392.86380381894</v>
      </c>
      <c r="E41" s="446">
        <f>D42</f>
        <v>695572.74769200676</v>
      </c>
      <c r="F41" s="446">
        <f t="shared" ref="F41:O41" si="7">E42</f>
        <v>636966.54382670543</v>
      </c>
      <c r="G41" s="446">
        <f t="shared" si="7"/>
        <v>252604.63473579695</v>
      </c>
      <c r="H41" s="446">
        <f t="shared" si="7"/>
        <v>933990.72527439706</v>
      </c>
      <c r="I41" s="446">
        <f t="shared" si="7"/>
        <v>650769.94709439715</v>
      </c>
      <c r="J41" s="446">
        <f t="shared" si="7"/>
        <v>769234.60818860028</v>
      </c>
      <c r="K41" s="446">
        <f t="shared" si="7"/>
        <v>415666.33068915165</v>
      </c>
      <c r="L41" s="446">
        <f t="shared" si="7"/>
        <v>-39217.462367169093</v>
      </c>
      <c r="M41" s="446">
        <f t="shared" si="7"/>
        <v>-285711.80671523593</v>
      </c>
      <c r="N41" s="446">
        <f t="shared" si="7"/>
        <v>-185586.9798764115</v>
      </c>
      <c r="O41" s="446">
        <f t="shared" si="7"/>
        <v>-231667.38621654394</v>
      </c>
      <c r="P41" s="254"/>
      <c r="Q41" s="257" t="s">
        <v>290</v>
      </c>
      <c r="R41" s="255"/>
      <c r="S41" s="427"/>
      <c r="T41" s="427"/>
      <c r="U41" s="427"/>
      <c r="V41" s="427"/>
    </row>
    <row r="42" spans="1:23" ht="15" thickBot="1">
      <c r="B42" s="467" t="s">
        <v>291</v>
      </c>
      <c r="C42" s="427"/>
      <c r="D42" s="468">
        <f>D41+D39</f>
        <v>695572.74769200676</v>
      </c>
      <c r="E42" s="468">
        <f>E41+E39</f>
        <v>636966.54382670543</v>
      </c>
      <c r="F42" s="468">
        <f t="shared" ref="F42:O42" si="8">F41+F39</f>
        <v>252604.63473579695</v>
      </c>
      <c r="G42" s="468">
        <f t="shared" si="8"/>
        <v>933990.72527439706</v>
      </c>
      <c r="H42" s="468">
        <f t="shared" si="8"/>
        <v>650769.94709439715</v>
      </c>
      <c r="I42" s="468">
        <f t="shared" si="8"/>
        <v>769234.60818860028</v>
      </c>
      <c r="J42" s="468">
        <f t="shared" si="8"/>
        <v>415666.33068915165</v>
      </c>
      <c r="K42" s="468">
        <f t="shared" si="8"/>
        <v>-39217.462367169093</v>
      </c>
      <c r="L42" s="468">
        <f t="shared" si="8"/>
        <v>-285711.80671523593</v>
      </c>
      <c r="M42" s="468">
        <f t="shared" si="8"/>
        <v>-185586.9798764115</v>
      </c>
      <c r="N42" s="468">
        <f t="shared" si="8"/>
        <v>-231667.38621654394</v>
      </c>
      <c r="O42" s="468">
        <f t="shared" si="8"/>
        <v>-181754.21541489777</v>
      </c>
      <c r="P42" s="469"/>
      <c r="Q42" s="468">
        <v>-148658.40660020956</v>
      </c>
      <c r="R42" s="255"/>
      <c r="S42" s="252"/>
      <c r="T42" s="252"/>
      <c r="U42" s="252"/>
      <c r="V42" s="252"/>
    </row>
    <row r="43" spans="1:23"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5"/>
      <c r="S43" s="252"/>
      <c r="T43" s="252"/>
      <c r="U43" s="252"/>
      <c r="V43" s="252"/>
    </row>
    <row r="44" spans="1:23">
      <c r="B44" s="252"/>
      <c r="C44" s="252"/>
      <c r="D44" s="252"/>
      <c r="E44" s="252"/>
      <c r="F44" s="252"/>
      <c r="G44" s="252"/>
      <c r="H44" s="252"/>
      <c r="I44" s="252"/>
      <c r="J44" s="252">
        <v>31</v>
      </c>
      <c r="K44" s="252">
        <v>31</v>
      </c>
      <c r="L44" s="252">
        <v>30</v>
      </c>
      <c r="M44" s="252">
        <v>31</v>
      </c>
      <c r="N44" s="252">
        <v>30</v>
      </c>
      <c r="O44" s="252">
        <v>31</v>
      </c>
      <c r="P44" s="252"/>
    </row>
    <row r="45" spans="1:23">
      <c r="B45" s="470" t="s">
        <v>374</v>
      </c>
      <c r="J45" s="471">
        <v>6420.821917808219</v>
      </c>
      <c r="K45" s="471">
        <v>6420.821917808219</v>
      </c>
      <c r="L45" s="471">
        <v>5868.4931506849316</v>
      </c>
      <c r="M45" s="471">
        <v>6064.1095890410961</v>
      </c>
      <c r="N45" s="471">
        <v>5868.4931506849316</v>
      </c>
      <c r="O45" s="471">
        <v>5707.3972602739723</v>
      </c>
    </row>
    <row r="46" spans="1:23">
      <c r="B46" s="470" t="s">
        <v>375</v>
      </c>
      <c r="J46" s="471">
        <f>+($B$47*$B$48)*J44/365/1000</f>
        <v>6011.6388451165867</v>
      </c>
      <c r="K46" s="471">
        <f t="shared" ref="K46:O46" si="9">+($B$47*$B$48)*K44/365/1000</f>
        <v>6011.6388451165867</v>
      </c>
      <c r="L46" s="471">
        <f>+($B$47*$B$48)*L44/365/1000</f>
        <v>5817.7150114031483</v>
      </c>
      <c r="M46" s="471">
        <f t="shared" si="9"/>
        <v>6011.6388451165867</v>
      </c>
      <c r="N46" s="471">
        <f t="shared" si="9"/>
        <v>5817.7150114031483</v>
      </c>
      <c r="O46" s="471">
        <f t="shared" si="9"/>
        <v>6011.6388451165867</v>
      </c>
    </row>
    <row r="47" spans="1:23" ht="15" thickBot="1">
      <c r="B47" s="472">
        <f>'Loan CPFI CF'!D9*1000000</f>
        <v>1209815632.8586001</v>
      </c>
      <c r="D47" s="473"/>
      <c r="E47" s="473"/>
      <c r="F47" s="473"/>
      <c r="G47" s="473"/>
      <c r="H47" s="473"/>
      <c r="I47" s="473"/>
      <c r="J47" s="473">
        <f t="shared" ref="J47:N47" si="10">SUM(J45:J46)</f>
        <v>12432.460762924806</v>
      </c>
      <c r="K47" s="473">
        <f t="shared" si="10"/>
        <v>12432.460762924806</v>
      </c>
      <c r="L47" s="473">
        <f t="shared" si="10"/>
        <v>11686.20816208808</v>
      </c>
      <c r="M47" s="473">
        <f t="shared" si="10"/>
        <v>12075.748434157682</v>
      </c>
      <c r="N47" s="473">
        <f t="shared" si="10"/>
        <v>11686.20816208808</v>
      </c>
      <c r="O47" s="473">
        <f>SUM(O45:O46)</f>
        <v>11719.036105390558</v>
      </c>
      <c r="P47" s="473"/>
    </row>
    <row r="48" spans="1:23" ht="15" thickTop="1">
      <c r="B48" s="474">
        <v>5.8506599999999999E-2</v>
      </c>
    </row>
  </sheetData>
  <pageMargins left="0.23622047244094491" right="0.23622047244094491" top="0.74803149606299213" bottom="0.74803149606299213" header="0.31496062992125984" footer="0.31496062992125984"/>
  <pageSetup paperSize="9" scale="48" orientation="landscape" r:id="rId1"/>
  <rowBreaks count="1" manualBreakCount="1">
    <brk id="12" max="28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79998168889431442"/>
  </sheetPr>
  <dimension ref="A1:AD50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activeCell="F25" sqref="F25"/>
    </sheetView>
  </sheetViews>
  <sheetFormatPr defaultColWidth="7.21875" defaultRowHeight="14.4"/>
  <cols>
    <col min="1" max="1" width="4.21875" style="478" customWidth="1"/>
    <col min="2" max="2" width="38.21875" style="262" customWidth="1"/>
    <col min="3" max="15" width="12.77734375" style="313" customWidth="1"/>
    <col min="16" max="16" width="15.21875" style="260" hidden="1" customWidth="1"/>
    <col min="17" max="17" width="16.21875" style="265" customWidth="1"/>
    <col min="18" max="19" width="16.21875" style="262" customWidth="1"/>
    <col min="20" max="27" width="16.21875" style="263" customWidth="1"/>
    <col min="28" max="28" width="17.21875" style="262" customWidth="1"/>
    <col min="29" max="29" width="14" style="262" customWidth="1"/>
    <col min="30" max="16384" width="7.21875" style="262"/>
  </cols>
  <sheetData>
    <row r="1" spans="1:30" ht="18">
      <c r="B1" s="258" t="s">
        <v>292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Q1" s="261"/>
    </row>
    <row r="2" spans="1:30"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30" s="269" customFormat="1">
      <c r="A3" s="478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65"/>
      <c r="T3" s="270"/>
      <c r="U3" s="270"/>
      <c r="V3" s="270"/>
      <c r="W3" s="270"/>
      <c r="X3" s="270"/>
      <c r="Y3" s="270"/>
      <c r="Z3" s="270"/>
      <c r="AA3" s="270"/>
    </row>
    <row r="4" spans="1:30" ht="16.2" thickBot="1">
      <c r="B4" s="271"/>
      <c r="C4" s="259">
        <v>31</v>
      </c>
      <c r="D4" s="259">
        <v>28</v>
      </c>
      <c r="E4" s="259">
        <v>31</v>
      </c>
      <c r="F4" s="259">
        <v>30</v>
      </c>
      <c r="G4" s="259">
        <v>31</v>
      </c>
      <c r="H4" s="259">
        <v>30</v>
      </c>
      <c r="I4" s="259">
        <v>31</v>
      </c>
      <c r="J4" s="259">
        <v>31</v>
      </c>
      <c r="K4" s="259">
        <v>30</v>
      </c>
      <c r="L4" s="259">
        <v>31</v>
      </c>
      <c r="M4" s="259">
        <v>30</v>
      </c>
      <c r="N4" s="259">
        <v>31</v>
      </c>
      <c r="O4" s="272" t="s">
        <v>262</v>
      </c>
    </row>
    <row r="5" spans="1:30">
      <c r="B5" s="273" t="s">
        <v>263</v>
      </c>
      <c r="C5" s="274" t="s">
        <v>249</v>
      </c>
      <c r="D5" s="274" t="s">
        <v>250</v>
      </c>
      <c r="E5" s="274" t="s">
        <v>251</v>
      </c>
      <c r="F5" s="274" t="s">
        <v>252</v>
      </c>
      <c r="G5" s="274" t="s">
        <v>264</v>
      </c>
      <c r="H5" s="274" t="s">
        <v>254</v>
      </c>
      <c r="I5" s="274" t="s">
        <v>255</v>
      </c>
      <c r="J5" s="274" t="s">
        <v>256</v>
      </c>
      <c r="K5" s="274" t="s">
        <v>257</v>
      </c>
      <c r="L5" s="274" t="s">
        <v>258</v>
      </c>
      <c r="M5" s="274" t="s">
        <v>259</v>
      </c>
      <c r="N5" s="274" t="s">
        <v>260</v>
      </c>
      <c r="O5" s="275" t="s">
        <v>293</v>
      </c>
    </row>
    <row r="6" spans="1:30">
      <c r="B6" s="276" t="s">
        <v>265</v>
      </c>
      <c r="C6" s="277"/>
      <c r="D6" s="277"/>
      <c r="E6" s="277"/>
      <c r="F6" s="277"/>
      <c r="G6" s="277"/>
      <c r="H6" s="277"/>
      <c r="I6" s="277"/>
      <c r="J6" s="277"/>
      <c r="K6" s="277"/>
      <c r="L6" s="277"/>
      <c r="M6" s="277"/>
      <c r="N6" s="277"/>
      <c r="O6" s="278"/>
    </row>
    <row r="7" spans="1:30">
      <c r="A7" s="478">
        <v>1</v>
      </c>
      <c r="B7" s="279" t="s">
        <v>266</v>
      </c>
      <c r="C7" s="277">
        <v>1578997.4703039788</v>
      </c>
      <c r="D7" s="277">
        <v>1430852.573816014</v>
      </c>
      <c r="E7" s="277">
        <v>1357659.2182595856</v>
      </c>
      <c r="F7" s="277">
        <v>1117376.605</v>
      </c>
      <c r="G7" s="277">
        <v>1099899.7154699999</v>
      </c>
      <c r="H7" s="277">
        <v>1125675.6585821437</v>
      </c>
      <c r="I7" s="277">
        <v>1158727.7942125807</v>
      </c>
      <c r="J7" s="277">
        <v>1175233.9542125808</v>
      </c>
      <c r="K7" s="277">
        <v>1439041.1835819285</v>
      </c>
      <c r="L7" s="277">
        <v>1221776.6020125807</v>
      </c>
      <c r="M7" s="277">
        <v>1412993.8772838318</v>
      </c>
      <c r="N7" s="277">
        <v>1535042.7380214145</v>
      </c>
      <c r="O7" s="278">
        <f>SUM(C7:N7)</f>
        <v>15653277.390756639</v>
      </c>
      <c r="P7" s="280">
        <v>15852955.043402327</v>
      </c>
      <c r="Q7" s="261"/>
    </row>
    <row r="8" spans="1:30">
      <c r="A8" s="478">
        <v>1</v>
      </c>
      <c r="B8" s="279" t="s">
        <v>267</v>
      </c>
      <c r="C8" s="277">
        <v>373023</v>
      </c>
      <c r="D8" s="277">
        <v>0</v>
      </c>
      <c r="E8" s="277">
        <v>0</v>
      </c>
      <c r="F8" s="277">
        <v>0</v>
      </c>
      <c r="G8" s="277">
        <v>0</v>
      </c>
      <c r="H8" s="277">
        <v>0</v>
      </c>
      <c r="I8" s="277">
        <v>0</v>
      </c>
      <c r="J8" s="277">
        <v>0</v>
      </c>
      <c r="K8" s="277">
        <v>0</v>
      </c>
      <c r="L8" s="277">
        <v>0</v>
      </c>
      <c r="M8" s="277">
        <v>0</v>
      </c>
      <c r="N8" s="277">
        <v>0</v>
      </c>
      <c r="O8" s="278">
        <f t="shared" ref="O8:O39" si="0">SUM(C8:N8)</f>
        <v>373023</v>
      </c>
      <c r="P8" s="280">
        <v>373023</v>
      </c>
      <c r="Q8" s="261"/>
    </row>
    <row r="9" spans="1:30">
      <c r="A9" s="478">
        <v>3</v>
      </c>
      <c r="B9" s="279" t="s">
        <v>268</v>
      </c>
      <c r="C9" s="277">
        <v>-1518422.1250183866</v>
      </c>
      <c r="D9" s="277">
        <v>-1178353.6918299692</v>
      </c>
      <c r="E9" s="277">
        <v>-1115154.5557399101</v>
      </c>
      <c r="F9" s="277">
        <v>-1033362.95</v>
      </c>
      <c r="G9" s="277">
        <v>-824012.4551599999</v>
      </c>
      <c r="H9" s="277">
        <v>-814190.8976983747</v>
      </c>
      <c r="I9" s="277">
        <v>-948657.54755809251</v>
      </c>
      <c r="J9" s="277">
        <v>-1061244.010427366</v>
      </c>
      <c r="K9" s="277">
        <v>-912285.6806124571</v>
      </c>
      <c r="L9" s="277">
        <v>-943442.67607567273</v>
      </c>
      <c r="M9" s="277">
        <v>-914702.80057779362</v>
      </c>
      <c r="N9" s="277">
        <v>-922470.06243672129</v>
      </c>
      <c r="O9" s="278">
        <f t="shared" si="0"/>
        <v>-12186299.453134745</v>
      </c>
      <c r="P9" s="280">
        <v>-12274519.452633783</v>
      </c>
      <c r="Q9" s="261"/>
      <c r="R9" s="281"/>
      <c r="S9" s="281"/>
      <c r="T9" s="282"/>
      <c r="U9" s="282"/>
      <c r="V9" s="282"/>
      <c r="W9" s="282"/>
      <c r="X9" s="282"/>
      <c r="Y9" s="282"/>
      <c r="Z9" s="282"/>
      <c r="AA9" s="282"/>
      <c r="AB9" s="281"/>
      <c r="AD9" s="281"/>
    </row>
    <row r="10" spans="1:30" s="289" customFormat="1">
      <c r="A10" s="478">
        <v>5</v>
      </c>
      <c r="B10" s="283" t="s">
        <v>269</v>
      </c>
      <c r="C10" s="284">
        <v>0</v>
      </c>
      <c r="D10" s="284">
        <v>0</v>
      </c>
      <c r="E10" s="284"/>
      <c r="F10" s="284">
        <v>-112092.804</v>
      </c>
      <c r="G10" s="284">
        <v>-17733.69241</v>
      </c>
      <c r="H10" s="284">
        <v>0</v>
      </c>
      <c r="I10" s="284">
        <v>-441799.60000000003</v>
      </c>
      <c r="J10" s="284">
        <v>-677800.8</v>
      </c>
      <c r="K10" s="284"/>
      <c r="L10" s="284"/>
      <c r="M10" s="284"/>
      <c r="N10" s="284"/>
      <c r="O10" s="285">
        <f t="shared" si="0"/>
        <v>-1249426.89641</v>
      </c>
      <c r="P10" s="286">
        <v>-1231693.2040000001</v>
      </c>
      <c r="Q10" s="261"/>
      <c r="R10" s="287"/>
      <c r="S10" s="287"/>
      <c r="T10" s="288"/>
      <c r="U10" s="288"/>
      <c r="V10" s="288"/>
      <c r="W10" s="288"/>
      <c r="X10" s="288"/>
      <c r="Y10" s="288"/>
      <c r="Z10" s="288"/>
      <c r="AA10" s="288"/>
      <c r="AB10" s="287"/>
      <c r="AD10" s="287"/>
    </row>
    <row r="11" spans="1:30">
      <c r="A11" s="478">
        <v>3</v>
      </c>
      <c r="B11" s="283" t="s">
        <v>270</v>
      </c>
      <c r="C11" s="284">
        <v>218</v>
      </c>
      <c r="D11" s="284">
        <v>0</v>
      </c>
      <c r="E11" s="284">
        <v>0</v>
      </c>
      <c r="F11" s="284">
        <v>0</v>
      </c>
      <c r="G11" s="284">
        <v>0</v>
      </c>
      <c r="H11" s="284">
        <v>0</v>
      </c>
      <c r="I11" s="284">
        <v>-126017.92381802324</v>
      </c>
      <c r="J11" s="284">
        <v>0</v>
      </c>
      <c r="K11" s="284">
        <v>0</v>
      </c>
      <c r="L11" s="284">
        <v>18325.042323830912</v>
      </c>
      <c r="M11" s="284">
        <v>0</v>
      </c>
      <c r="N11" s="284">
        <v>0</v>
      </c>
      <c r="O11" s="285">
        <f t="shared" si="0"/>
        <v>-107474.88149419232</v>
      </c>
      <c r="P11" s="280">
        <v>18543.042323830912</v>
      </c>
      <c r="Q11" s="261"/>
      <c r="R11" s="281"/>
      <c r="S11" s="281"/>
      <c r="T11" s="282"/>
      <c r="U11" s="282"/>
      <c r="V11" s="282"/>
      <c r="W11" s="282"/>
      <c r="X11" s="282"/>
      <c r="Y11" s="282"/>
      <c r="Z11" s="282"/>
      <c r="AA11" s="282"/>
      <c r="AB11" s="281"/>
      <c r="AD11" s="281"/>
    </row>
    <row r="12" spans="1:30">
      <c r="A12" s="478">
        <v>6</v>
      </c>
      <c r="B12" s="283" t="s">
        <v>294</v>
      </c>
      <c r="C12" s="284">
        <v>-21112.300000000003</v>
      </c>
      <c r="D12" s="284">
        <v>-38492.300000000003</v>
      </c>
      <c r="E12" s="284">
        <v>-106872.3</v>
      </c>
      <c r="F12" s="284">
        <v>-196.548</v>
      </c>
      <c r="G12" s="284">
        <v>-13472.61420922121</v>
      </c>
      <c r="H12" s="284">
        <v>-22368</v>
      </c>
      <c r="I12" s="284">
        <v>-362368</v>
      </c>
      <c r="J12" s="284">
        <v>-127042.30000000002</v>
      </c>
      <c r="K12" s="284">
        <v>-33212.300000000003</v>
      </c>
      <c r="L12" s="284">
        <v>-37612.300000000003</v>
      </c>
      <c r="M12" s="284">
        <v>-86122.300000000017</v>
      </c>
      <c r="N12" s="284">
        <v>-21112.300000000003</v>
      </c>
      <c r="O12" s="285">
        <f t="shared" si="0"/>
        <v>-869983.56220922153</v>
      </c>
      <c r="P12" s="280">
        <v>-933677.5480000003</v>
      </c>
      <c r="Q12" s="261"/>
    </row>
    <row r="13" spans="1:30" s="289" customFormat="1">
      <c r="A13" s="478">
        <v>3</v>
      </c>
      <c r="B13" s="283" t="s">
        <v>270</v>
      </c>
      <c r="C13" s="284">
        <v>0</v>
      </c>
      <c r="D13" s="284">
        <v>1580</v>
      </c>
      <c r="E13" s="284">
        <v>21160.000000000004</v>
      </c>
      <c r="F13" s="284">
        <v>0</v>
      </c>
      <c r="G13" s="284">
        <v>0</v>
      </c>
      <c r="H13" s="284">
        <v>2400.0000000000005</v>
      </c>
      <c r="I13" s="284">
        <v>6787.9000000000015</v>
      </c>
      <c r="J13" s="284">
        <v>9630</v>
      </c>
      <c r="K13" s="284">
        <v>1100.0000000000002</v>
      </c>
      <c r="L13" s="284">
        <v>7257.9000000000015</v>
      </c>
      <c r="M13" s="284">
        <v>5910.0000000000009</v>
      </c>
      <c r="N13" s="284">
        <v>0</v>
      </c>
      <c r="O13" s="285">
        <f t="shared" si="0"/>
        <v>55825.80000000001</v>
      </c>
      <c r="P13" s="286">
        <v>60005.80000000001</v>
      </c>
      <c r="Q13" s="261"/>
      <c r="T13" s="290"/>
      <c r="U13" s="290"/>
      <c r="V13" s="290"/>
      <c r="W13" s="290"/>
      <c r="X13" s="290"/>
      <c r="Y13" s="290"/>
      <c r="Z13" s="290"/>
      <c r="AA13" s="290"/>
    </row>
    <row r="14" spans="1:30">
      <c r="B14" s="283" t="s">
        <v>272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5">
        <f t="shared" si="0"/>
        <v>0</v>
      </c>
      <c r="P14" s="280">
        <v>0</v>
      </c>
      <c r="Q14" s="261"/>
    </row>
    <row r="15" spans="1:30">
      <c r="A15" s="478">
        <v>3</v>
      </c>
      <c r="B15" s="283" t="s">
        <v>273</v>
      </c>
      <c r="C15" s="284">
        <v>5826</v>
      </c>
      <c r="D15" s="284">
        <v>-67</v>
      </c>
      <c r="E15" s="284">
        <v>-278</v>
      </c>
      <c r="F15" s="284"/>
      <c r="G15" s="284"/>
      <c r="H15" s="284">
        <v>-863</v>
      </c>
      <c r="I15" s="284">
        <v>-7272</v>
      </c>
      <c r="J15" s="284">
        <v>60</v>
      </c>
      <c r="K15" s="284">
        <v>-871</v>
      </c>
      <c r="L15" s="284">
        <v>105</v>
      </c>
      <c r="M15" s="284">
        <v>-684</v>
      </c>
      <c r="N15" s="284">
        <v>-842</v>
      </c>
      <c r="O15" s="285">
        <f t="shared" si="0"/>
        <v>-4886</v>
      </c>
      <c r="P15" s="280">
        <v>-2557</v>
      </c>
      <c r="Q15" s="261"/>
    </row>
    <row r="16" spans="1:30" s="298" customFormat="1">
      <c r="A16" s="478"/>
      <c r="B16" s="291" t="s">
        <v>274</v>
      </c>
      <c r="C16" s="292">
        <f>SUM(C7:C15)</f>
        <v>418530.04528559215</v>
      </c>
      <c r="D16" s="292">
        <f t="shared" ref="D16:N16" si="1">SUM(D7:D15)</f>
        <v>215519.58198604482</v>
      </c>
      <c r="E16" s="292">
        <f t="shared" si="1"/>
        <v>156514.36251967546</v>
      </c>
      <c r="F16" s="292">
        <f t="shared" si="1"/>
        <v>-28275.696999999975</v>
      </c>
      <c r="G16" s="292">
        <f t="shared" si="1"/>
        <v>244680.95369077884</v>
      </c>
      <c r="H16" s="292">
        <f t="shared" si="1"/>
        <v>290653.76088376902</v>
      </c>
      <c r="I16" s="292">
        <f t="shared" si="1"/>
        <v>-720599.3771635351</v>
      </c>
      <c r="J16" s="292">
        <f t="shared" si="1"/>
        <v>-681163.1562147853</v>
      </c>
      <c r="K16" s="292">
        <f t="shared" si="1"/>
        <v>493772.2029694714</v>
      </c>
      <c r="L16" s="292">
        <f t="shared" si="1"/>
        <v>266409.56826073892</v>
      </c>
      <c r="M16" s="292">
        <f t="shared" si="1"/>
        <v>417394.77670603816</v>
      </c>
      <c r="N16" s="292">
        <f t="shared" si="1"/>
        <v>590618.37558469316</v>
      </c>
      <c r="O16" s="293">
        <f t="shared" si="0"/>
        <v>1664055.3975084818</v>
      </c>
      <c r="P16" s="294">
        <v>1862079.6810923782</v>
      </c>
      <c r="Q16" s="261"/>
      <c r="R16" s="295"/>
      <c r="S16" s="295"/>
      <c r="T16" s="296"/>
      <c r="U16" s="297"/>
      <c r="V16" s="297"/>
      <c r="W16" s="297"/>
      <c r="X16" s="297"/>
      <c r="Y16" s="297"/>
      <c r="Z16" s="297"/>
      <c r="AA16" s="297"/>
    </row>
    <row r="17" spans="1:27">
      <c r="B17" s="279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>
        <f t="shared" si="0"/>
        <v>0</v>
      </c>
      <c r="P17" s="280">
        <v>0</v>
      </c>
      <c r="Q17" s="261"/>
    </row>
    <row r="18" spans="1:27">
      <c r="B18" s="276" t="s">
        <v>275</v>
      </c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>
        <f t="shared" si="0"/>
        <v>0</v>
      </c>
      <c r="P18" s="260">
        <v>0</v>
      </c>
      <c r="Q18" s="261"/>
    </row>
    <row r="19" spans="1:27">
      <c r="B19" s="279" t="s">
        <v>295</v>
      </c>
      <c r="C19" s="277">
        <v>-253231.93967417101</v>
      </c>
      <c r="D19" s="277">
        <v>-351910.55988999602</v>
      </c>
      <c r="E19" s="277">
        <v>-223823.095949993</v>
      </c>
      <c r="F19" s="277">
        <v>-318182.603</v>
      </c>
      <c r="G19" s="277">
        <v>-369127.41042000003</v>
      </c>
      <c r="H19" s="277">
        <v>-319004.97645188798</v>
      </c>
      <c r="I19" s="277">
        <v>-588788.25</v>
      </c>
      <c r="J19" s="277">
        <v>-865908</v>
      </c>
      <c r="K19" s="277">
        <v>-593062</v>
      </c>
      <c r="L19" s="277">
        <v>-684048.5</v>
      </c>
      <c r="M19" s="277">
        <v>-681604</v>
      </c>
      <c r="N19" s="277">
        <v>-614608</v>
      </c>
      <c r="O19" s="278">
        <f t="shared" si="0"/>
        <v>-5863299.3353860481</v>
      </c>
      <c r="P19" s="260">
        <v>-6016394.1985141598</v>
      </c>
      <c r="Q19" s="261"/>
    </row>
    <row r="20" spans="1:27">
      <c r="B20" s="279" t="s">
        <v>276</v>
      </c>
      <c r="C20" s="277"/>
      <c r="D20" s="277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>
        <f t="shared" si="0"/>
        <v>0</v>
      </c>
      <c r="P20" s="260">
        <v>0</v>
      </c>
      <c r="Q20" s="261"/>
    </row>
    <row r="21" spans="1:27" s="298" customFormat="1">
      <c r="A21" s="478">
        <v>4</v>
      </c>
      <c r="B21" s="291" t="s">
        <v>277</v>
      </c>
      <c r="C21" s="292">
        <f>SUM(C19:C20)</f>
        <v>-253231.93967417101</v>
      </c>
      <c r="D21" s="292">
        <f t="shared" ref="D21:N21" si="2">SUM(D19:D20)</f>
        <v>-351910.55988999602</v>
      </c>
      <c r="E21" s="292">
        <f t="shared" si="2"/>
        <v>-223823.095949993</v>
      </c>
      <c r="F21" s="292">
        <f t="shared" si="2"/>
        <v>-318182.603</v>
      </c>
      <c r="G21" s="292">
        <f t="shared" si="2"/>
        <v>-369127.41042000003</v>
      </c>
      <c r="H21" s="292">
        <f t="shared" si="2"/>
        <v>-319004.97645188798</v>
      </c>
      <c r="I21" s="292">
        <f t="shared" si="2"/>
        <v>-588788.25</v>
      </c>
      <c r="J21" s="292">
        <f t="shared" si="2"/>
        <v>-865908</v>
      </c>
      <c r="K21" s="292">
        <f t="shared" si="2"/>
        <v>-593062</v>
      </c>
      <c r="L21" s="292">
        <f t="shared" si="2"/>
        <v>-684048.5</v>
      </c>
      <c r="M21" s="292">
        <f t="shared" si="2"/>
        <v>-681604</v>
      </c>
      <c r="N21" s="292">
        <f t="shared" si="2"/>
        <v>-614608</v>
      </c>
      <c r="O21" s="293">
        <f t="shared" si="0"/>
        <v>-5863299.3353860481</v>
      </c>
      <c r="P21" s="260">
        <v>-6016394.1985141598</v>
      </c>
      <c r="Q21" s="261"/>
      <c r="T21" s="297"/>
      <c r="U21" s="297"/>
      <c r="V21" s="297"/>
      <c r="W21" s="297"/>
      <c r="X21" s="297"/>
      <c r="Y21" s="297"/>
      <c r="Z21" s="297"/>
      <c r="AA21" s="297"/>
    </row>
    <row r="22" spans="1:27">
      <c r="B22" s="279"/>
      <c r="C22" s="277"/>
      <c r="D22" s="277"/>
      <c r="E22" s="277"/>
      <c r="F22" s="277"/>
      <c r="G22" s="277"/>
      <c r="H22" s="277"/>
      <c r="I22" s="277"/>
      <c r="J22" s="277"/>
      <c r="K22" s="277"/>
      <c r="L22" s="277"/>
      <c r="M22" s="277"/>
      <c r="N22" s="277"/>
      <c r="O22" s="278">
        <f t="shared" si="0"/>
        <v>0</v>
      </c>
      <c r="P22" s="260">
        <v>0</v>
      </c>
      <c r="Q22" s="261"/>
    </row>
    <row r="23" spans="1:27">
      <c r="B23" s="276" t="s">
        <v>278</v>
      </c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8">
        <f t="shared" si="0"/>
        <v>0</v>
      </c>
      <c r="P23" s="260">
        <v>0</v>
      </c>
      <c r="Q23" s="261"/>
    </row>
    <row r="24" spans="1:27">
      <c r="A24" s="478">
        <v>2</v>
      </c>
      <c r="B24" s="279" t="s">
        <v>370</v>
      </c>
      <c r="C24" s="277">
        <v>301160</v>
      </c>
      <c r="D24" s="277">
        <v>52395</v>
      </c>
      <c r="E24" s="277">
        <v>48000</v>
      </c>
      <c r="F24" s="277">
        <v>3417.9</v>
      </c>
      <c r="G24" s="284">
        <v>34710</v>
      </c>
      <c r="H24" s="284">
        <v>507937</v>
      </c>
      <c r="I24" s="284">
        <v>507937</v>
      </c>
      <c r="J24" s="284">
        <v>507937</v>
      </c>
      <c r="K24" s="284">
        <v>5290</v>
      </c>
      <c r="L24" s="284">
        <v>0</v>
      </c>
      <c r="M24" s="284">
        <v>0</v>
      </c>
      <c r="N24" s="284">
        <v>0</v>
      </c>
      <c r="O24" s="285">
        <f t="shared" si="0"/>
        <v>1968783.9</v>
      </c>
      <c r="P24" s="299">
        <v>1968783.9</v>
      </c>
      <c r="Q24" s="261"/>
    </row>
    <row r="25" spans="1:27">
      <c r="A25" s="478">
        <v>8</v>
      </c>
      <c r="B25" s="279" t="s">
        <v>376</v>
      </c>
      <c r="C25" s="277"/>
      <c r="D25" s="277"/>
      <c r="E25" s="277"/>
      <c r="F25" s="277">
        <f>'Loan CPFI CF'!D14*1000</f>
        <v>1540350</v>
      </c>
      <c r="G25" s="284">
        <v>0</v>
      </c>
      <c r="H25" s="284"/>
      <c r="I25" s="284"/>
      <c r="J25" s="284"/>
      <c r="K25" s="284"/>
      <c r="L25" s="284"/>
      <c r="M25" s="284"/>
      <c r="N25" s="284"/>
      <c r="O25" s="285">
        <f t="shared" si="0"/>
        <v>1540350</v>
      </c>
      <c r="P25" s="299">
        <v>1584595.409147898</v>
      </c>
      <c r="Q25" s="261"/>
    </row>
    <row r="26" spans="1:27">
      <c r="A26" s="478">
        <v>2</v>
      </c>
      <c r="B26" s="279" t="s">
        <v>296</v>
      </c>
      <c r="C26" s="277">
        <v>453046</v>
      </c>
      <c r="D26" s="277">
        <v>400670</v>
      </c>
      <c r="E26" s="277">
        <v>300000</v>
      </c>
      <c r="F26" s="277">
        <v>400051.38806053111</v>
      </c>
      <c r="G26" s="284">
        <v>260020.44500000001</v>
      </c>
      <c r="H26" s="284">
        <v>500000</v>
      </c>
      <c r="I26" s="284">
        <v>500000</v>
      </c>
      <c r="J26" s="284">
        <v>1000000</v>
      </c>
      <c r="K26" s="284">
        <v>500000</v>
      </c>
      <c r="L26" s="284">
        <v>500000</v>
      </c>
      <c r="M26" s="284">
        <v>500000</v>
      </c>
      <c r="N26" s="284">
        <v>741795</v>
      </c>
      <c r="O26" s="285">
        <f t="shared" si="0"/>
        <v>6055582.8330605309</v>
      </c>
      <c r="P26" s="299">
        <v>6381562.3880605306</v>
      </c>
      <c r="Q26" s="261"/>
    </row>
    <row r="27" spans="1:27">
      <c r="A27" s="478">
        <v>7</v>
      </c>
      <c r="B27" s="279" t="s">
        <v>297</v>
      </c>
      <c r="C27" s="277">
        <v>-113175</v>
      </c>
      <c r="D27" s="277">
        <v>-113175</v>
      </c>
      <c r="E27" s="277">
        <v>-357823</v>
      </c>
      <c r="F27" s="277">
        <v>-144904.48000000001</v>
      </c>
      <c r="G27" s="284">
        <v>-112130</v>
      </c>
      <c r="H27" s="284">
        <v>-126795</v>
      </c>
      <c r="I27" s="284">
        <v>-112912</v>
      </c>
      <c r="J27" s="284">
        <v>-112912</v>
      </c>
      <c r="K27" s="284">
        <v>-126751</v>
      </c>
      <c r="L27" s="284">
        <v>-109374</v>
      </c>
      <c r="M27" s="284">
        <v>-107647</v>
      </c>
      <c r="N27" s="284">
        <v>-118886</v>
      </c>
      <c r="O27" s="285">
        <f t="shared" si="0"/>
        <v>-1656484.48</v>
      </c>
      <c r="P27" s="299">
        <v>-1657529.48</v>
      </c>
      <c r="Q27" s="261"/>
    </row>
    <row r="28" spans="1:27">
      <c r="A28" s="478">
        <v>7</v>
      </c>
      <c r="B28" s="279" t="s">
        <v>298</v>
      </c>
      <c r="C28" s="277">
        <v>-265731</v>
      </c>
      <c r="D28" s="277">
        <v>-290365</v>
      </c>
      <c r="E28" s="277">
        <v>-157365</v>
      </c>
      <c r="F28" s="277">
        <v>-422412</v>
      </c>
      <c r="G28" s="277">
        <v>-238996.16600999999</v>
      </c>
      <c r="H28" s="277">
        <v>-291467</v>
      </c>
      <c r="I28" s="277">
        <v>-252467</v>
      </c>
      <c r="J28" s="277">
        <v>-402467</v>
      </c>
      <c r="K28" s="277">
        <v>-172000</v>
      </c>
      <c r="L28" s="277">
        <v>-219878</v>
      </c>
      <c r="M28" s="277">
        <v>-80000</v>
      </c>
      <c r="N28" s="277">
        <v>-565217</v>
      </c>
      <c r="O28" s="278">
        <f t="shared" si="0"/>
        <v>-3358365.1660099998</v>
      </c>
      <c r="P28" s="260">
        <v>-3858365</v>
      </c>
      <c r="Q28" s="261"/>
    </row>
    <row r="29" spans="1:27">
      <c r="B29" s="279" t="s">
        <v>280</v>
      </c>
      <c r="C29" s="277">
        <v>0</v>
      </c>
      <c r="D29" s="277">
        <v>0</v>
      </c>
      <c r="E29" s="277">
        <v>0</v>
      </c>
      <c r="F29" s="277">
        <v>0</v>
      </c>
      <c r="G29" s="277">
        <v>0</v>
      </c>
      <c r="H29" s="277">
        <v>0</v>
      </c>
      <c r="I29" s="277">
        <v>0</v>
      </c>
      <c r="J29" s="277">
        <v>0</v>
      </c>
      <c r="K29" s="277">
        <v>0</v>
      </c>
      <c r="L29" s="277">
        <v>0</v>
      </c>
      <c r="M29" s="277">
        <v>0</v>
      </c>
      <c r="N29" s="277">
        <v>0</v>
      </c>
      <c r="O29" s="278">
        <f t="shared" si="0"/>
        <v>0</v>
      </c>
      <c r="P29" s="260">
        <v>0</v>
      </c>
      <c r="Q29" s="261"/>
    </row>
    <row r="30" spans="1:27">
      <c r="B30" s="279" t="s">
        <v>299</v>
      </c>
      <c r="C30" s="277">
        <v>0</v>
      </c>
      <c r="D30" s="277">
        <v>0</v>
      </c>
      <c r="E30" s="277">
        <v>0</v>
      </c>
      <c r="F30" s="277">
        <v>0</v>
      </c>
      <c r="G30" s="277">
        <v>0</v>
      </c>
      <c r="H30" s="277">
        <v>0</v>
      </c>
      <c r="I30" s="277">
        <v>0</v>
      </c>
      <c r="J30" s="277">
        <v>0</v>
      </c>
      <c r="K30" s="277">
        <v>0</v>
      </c>
      <c r="L30" s="277">
        <v>0</v>
      </c>
      <c r="M30" s="277">
        <v>0</v>
      </c>
      <c r="N30" s="277">
        <v>0</v>
      </c>
      <c r="O30" s="278">
        <f t="shared" si="0"/>
        <v>0</v>
      </c>
      <c r="P30" s="260">
        <v>0</v>
      </c>
      <c r="Q30" s="261"/>
    </row>
    <row r="31" spans="1:27">
      <c r="A31" s="478">
        <v>8</v>
      </c>
      <c r="B31" s="279" t="s">
        <v>384</v>
      </c>
      <c r="C31" s="277">
        <v>0</v>
      </c>
      <c r="D31" s="277">
        <v>0</v>
      </c>
      <c r="E31" s="277">
        <v>0</v>
      </c>
      <c r="F31" s="277"/>
      <c r="G31" s="277">
        <v>0</v>
      </c>
      <c r="H31" s="277">
        <v>0</v>
      </c>
      <c r="I31" s="277">
        <v>0</v>
      </c>
      <c r="J31" s="277">
        <v>0</v>
      </c>
      <c r="K31" s="277">
        <v>0</v>
      </c>
      <c r="L31" s="277">
        <v>0</v>
      </c>
      <c r="M31" s="277">
        <v>0</v>
      </c>
      <c r="N31" s="277">
        <v>0</v>
      </c>
      <c r="O31" s="278">
        <f t="shared" si="0"/>
        <v>0</v>
      </c>
      <c r="P31" s="260">
        <v>0</v>
      </c>
      <c r="Q31" s="261"/>
    </row>
    <row r="32" spans="1:27">
      <c r="A32" s="478">
        <v>7</v>
      </c>
      <c r="B32" s="279" t="s">
        <v>282</v>
      </c>
      <c r="C32" s="277">
        <f>-80291-C33</f>
        <v>-59423.328767123283</v>
      </c>
      <c r="D32" s="277">
        <f>-77366-D33</f>
        <v>-58517.780821917811</v>
      </c>
      <c r="E32" s="277">
        <f>-98257-E33</f>
        <v>-77389.328767123283</v>
      </c>
      <c r="F32" s="277">
        <v>-101186.375</v>
      </c>
      <c r="G32" s="277">
        <v>-100016.79965</v>
      </c>
      <c r="H32" s="277">
        <v>-120684.12052177342</v>
      </c>
      <c r="I32" s="277">
        <v>-89737.452054794514</v>
      </c>
      <c r="J32" s="277">
        <v>-84737.452054794514</v>
      </c>
      <c r="K32" s="277">
        <v>-80415.534246575349</v>
      </c>
      <c r="L32" s="277">
        <v>-79737.452054794514</v>
      </c>
      <c r="M32" s="277">
        <v>-80415.534246575349</v>
      </c>
      <c r="N32" s="277">
        <v>-59730.602739726026</v>
      </c>
      <c r="O32" s="278">
        <f t="shared" si="0"/>
        <v>-991991.76092519809</v>
      </c>
      <c r="P32" s="260">
        <v>-808430.51766848634</v>
      </c>
      <c r="Q32" s="261"/>
    </row>
    <row r="33" spans="1:27" s="256" customFormat="1">
      <c r="A33" s="483">
        <v>9</v>
      </c>
      <c r="B33" s="359" t="s">
        <v>358</v>
      </c>
      <c r="C33" s="252">
        <f>-C47</f>
        <v>-20867.671232876713</v>
      </c>
      <c r="D33" s="252">
        <f t="shared" ref="D33:E33" si="3">-D47</f>
        <v>-18848.219178082192</v>
      </c>
      <c r="E33" s="252">
        <f t="shared" si="3"/>
        <v>-20867.671232876713</v>
      </c>
      <c r="F33" s="252">
        <v>-21260.273980000002</v>
      </c>
      <c r="G33" s="252">
        <f>-G47-G49</f>
        <v>-28521.753097561646</v>
      </c>
      <c r="H33" s="252">
        <f>-H47-H49</f>
        <v>-27601.696546027397</v>
      </c>
      <c r="I33" s="252">
        <f t="shared" ref="I33:N33" si="4">-I47-I49</f>
        <v>-28521.753097561646</v>
      </c>
      <c r="J33" s="252">
        <f t="shared" si="4"/>
        <v>-28521.753097561646</v>
      </c>
      <c r="K33" s="252">
        <f t="shared" si="4"/>
        <v>-27601.696546027397</v>
      </c>
      <c r="L33" s="252">
        <f t="shared" si="4"/>
        <v>-28521.753097561646</v>
      </c>
      <c r="M33" s="252">
        <f t="shared" si="4"/>
        <v>-27601.696546027397</v>
      </c>
      <c r="N33" s="252">
        <f t="shared" si="4"/>
        <v>-28521.753097561646</v>
      </c>
      <c r="O33" s="278">
        <f t="shared" si="0"/>
        <v>-307257.69074972608</v>
      </c>
      <c r="P33" s="254">
        <v>-523223.65457833232</v>
      </c>
      <c r="Q33" s="261"/>
      <c r="R33" s="255"/>
      <c r="S33" s="253"/>
      <c r="T33" s="252"/>
      <c r="U33" s="252"/>
      <c r="V33" s="252"/>
      <c r="W33" s="253"/>
    </row>
    <row r="34" spans="1:27">
      <c r="A34" s="478">
        <v>3</v>
      </c>
      <c r="B34" s="279" t="s">
        <v>283</v>
      </c>
      <c r="C34" s="277">
        <v>4271</v>
      </c>
      <c r="D34" s="277">
        <v>2285</v>
      </c>
      <c r="E34" s="277">
        <v>3033</v>
      </c>
      <c r="F34" s="277">
        <v>3372.9859999999999</v>
      </c>
      <c r="G34" s="277">
        <v>11716.84411</v>
      </c>
      <c r="H34" s="277">
        <v>144361</v>
      </c>
      <c r="I34" s="277">
        <v>5026</v>
      </c>
      <c r="J34" s="277">
        <v>7910</v>
      </c>
      <c r="K34" s="277">
        <v>9652</v>
      </c>
      <c r="L34" s="277">
        <v>6486</v>
      </c>
      <c r="M34" s="277">
        <v>5405</v>
      </c>
      <c r="N34" s="277">
        <v>6314</v>
      </c>
      <c r="O34" s="278">
        <f t="shared" si="0"/>
        <v>209832.83011000001</v>
      </c>
      <c r="P34" s="260">
        <v>202348.986</v>
      </c>
      <c r="Q34" s="261"/>
    </row>
    <row r="35" spans="1:27">
      <c r="B35" s="279" t="s">
        <v>300</v>
      </c>
      <c r="C35" s="277">
        <v>0</v>
      </c>
      <c r="D35" s="277">
        <v>0</v>
      </c>
      <c r="E35" s="277">
        <v>0</v>
      </c>
      <c r="F35" s="277">
        <v>0</v>
      </c>
      <c r="G35" s="277">
        <v>0</v>
      </c>
      <c r="H35" s="277">
        <v>0</v>
      </c>
      <c r="I35" s="277">
        <v>0</v>
      </c>
      <c r="J35" s="277">
        <v>0</v>
      </c>
      <c r="K35" s="277">
        <v>0</v>
      </c>
      <c r="L35" s="277">
        <v>0</v>
      </c>
      <c r="M35" s="277">
        <v>0</v>
      </c>
      <c r="N35" s="277">
        <v>0</v>
      </c>
      <c r="O35" s="278">
        <f t="shared" si="0"/>
        <v>0</v>
      </c>
      <c r="P35" s="260">
        <v>0</v>
      </c>
      <c r="Q35" s="261"/>
    </row>
    <row r="36" spans="1:27">
      <c r="B36" s="279" t="s">
        <v>285</v>
      </c>
      <c r="C36" s="277">
        <v>0</v>
      </c>
      <c r="D36" s="277">
        <v>0</v>
      </c>
      <c r="E36" s="277">
        <v>0</v>
      </c>
      <c r="F36" s="277">
        <v>0</v>
      </c>
      <c r="G36" s="277">
        <v>0</v>
      </c>
      <c r="H36" s="277">
        <v>0</v>
      </c>
      <c r="I36" s="277">
        <v>0</v>
      </c>
      <c r="J36" s="277">
        <v>0</v>
      </c>
      <c r="K36" s="277">
        <v>0</v>
      </c>
      <c r="L36" s="277">
        <v>0</v>
      </c>
      <c r="M36" s="277">
        <v>0</v>
      </c>
      <c r="N36" s="277">
        <v>0</v>
      </c>
      <c r="O36" s="278">
        <f t="shared" si="0"/>
        <v>0</v>
      </c>
      <c r="P36" s="260">
        <v>0</v>
      </c>
      <c r="Q36" s="261"/>
    </row>
    <row r="37" spans="1:27" s="298" customFormat="1">
      <c r="A37" s="478"/>
      <c r="B37" s="291" t="s">
        <v>286</v>
      </c>
      <c r="C37" s="292">
        <f>SUM(C24:C36)</f>
        <v>299280</v>
      </c>
      <c r="D37" s="292">
        <f t="shared" ref="D37:N37" si="5">SUM(D24:D36)</f>
        <v>-25556.000000000004</v>
      </c>
      <c r="E37" s="292">
        <f t="shared" si="5"/>
        <v>-262412</v>
      </c>
      <c r="F37" s="292">
        <f>SUM(F24:F36)</f>
        <v>1257429.145080531</v>
      </c>
      <c r="G37" s="292">
        <f t="shared" si="5"/>
        <v>-173217.42964756163</v>
      </c>
      <c r="H37" s="292">
        <f t="shared" si="5"/>
        <v>585750.18293219921</v>
      </c>
      <c r="I37" s="292">
        <f t="shared" si="5"/>
        <v>529324.79484764382</v>
      </c>
      <c r="J37" s="292">
        <f t="shared" si="5"/>
        <v>887208.79484764382</v>
      </c>
      <c r="K37" s="292">
        <f t="shared" si="5"/>
        <v>108173.76920739726</v>
      </c>
      <c r="L37" s="292">
        <f t="shared" si="5"/>
        <v>68974.794847643847</v>
      </c>
      <c r="M37" s="292">
        <f t="shared" si="5"/>
        <v>209740.76920739724</v>
      </c>
      <c r="N37" s="292">
        <f t="shared" si="5"/>
        <v>-24246.355837287672</v>
      </c>
      <c r="O37" s="293">
        <f t="shared" si="0"/>
        <v>3460450.4654856068</v>
      </c>
      <c r="P37" s="300">
        <v>3289742.0309616104</v>
      </c>
      <c r="Q37" s="261"/>
      <c r="T37" s="297"/>
      <c r="U37" s="297"/>
      <c r="V37" s="297"/>
      <c r="W37" s="297"/>
      <c r="X37" s="297"/>
      <c r="Y37" s="297"/>
      <c r="Z37" s="297"/>
      <c r="AA37" s="297"/>
    </row>
    <row r="38" spans="1:27">
      <c r="B38" s="279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8">
        <f t="shared" si="0"/>
        <v>0</v>
      </c>
      <c r="P38" s="260">
        <v>0</v>
      </c>
      <c r="Q38" s="261"/>
    </row>
    <row r="39" spans="1:27" s="298" customFormat="1">
      <c r="A39" s="478"/>
      <c r="B39" s="291" t="s">
        <v>287</v>
      </c>
      <c r="C39" s="292">
        <f>C16+C21+C37</f>
        <v>464578.10561142117</v>
      </c>
      <c r="D39" s="292">
        <f t="shared" ref="D39:N39" si="6">D16+D21+D37</f>
        <v>-161946.97790395119</v>
      </c>
      <c r="E39" s="292">
        <f t="shared" si="6"/>
        <v>-329720.73343031754</v>
      </c>
      <c r="F39" s="292">
        <f t="shared" si="6"/>
        <v>910970.84508053097</v>
      </c>
      <c r="G39" s="292">
        <f t="shared" si="6"/>
        <v>-297663.88637678279</v>
      </c>
      <c r="H39" s="292">
        <f t="shared" si="6"/>
        <v>557398.96736408025</v>
      </c>
      <c r="I39" s="292">
        <f t="shared" si="6"/>
        <v>-780062.83231589117</v>
      </c>
      <c r="J39" s="292">
        <f t="shared" si="6"/>
        <v>-659862.36136714148</v>
      </c>
      <c r="K39" s="292">
        <f t="shared" si="6"/>
        <v>8883.9721768686577</v>
      </c>
      <c r="L39" s="292">
        <f t="shared" si="6"/>
        <v>-348664.13689161721</v>
      </c>
      <c r="M39" s="292">
        <f t="shared" si="6"/>
        <v>-54468.454086564598</v>
      </c>
      <c r="N39" s="292">
        <f t="shared" si="6"/>
        <v>-48235.980252594512</v>
      </c>
      <c r="O39" s="293">
        <f t="shared" si="0"/>
        <v>-738793.47239195951</v>
      </c>
      <c r="P39" s="294">
        <v>-864572.48646017141</v>
      </c>
      <c r="Q39" s="261"/>
      <c r="T39" s="297"/>
      <c r="U39" s="297"/>
      <c r="V39" s="297"/>
      <c r="W39" s="297"/>
      <c r="X39" s="297"/>
      <c r="Y39" s="297"/>
      <c r="Z39" s="297"/>
      <c r="AA39" s="297"/>
    </row>
    <row r="40" spans="1:27">
      <c r="B40" s="279"/>
      <c r="C40" s="277"/>
      <c r="D40" s="277"/>
      <c r="E40" s="277"/>
      <c r="F40" s="277"/>
      <c r="G40" s="277"/>
      <c r="H40" s="277"/>
      <c r="I40" s="277"/>
      <c r="J40" s="277"/>
      <c r="K40" s="277"/>
      <c r="L40" s="277"/>
      <c r="M40" s="277"/>
      <c r="N40" s="277"/>
      <c r="O40" s="278"/>
      <c r="Q40" s="261"/>
    </row>
    <row r="41" spans="1:27">
      <c r="B41" s="279" t="s">
        <v>289</v>
      </c>
      <c r="C41" s="277">
        <v>485048.0897823167</v>
      </c>
      <c r="D41" s="277">
        <f>C42</f>
        <v>949626.19539373787</v>
      </c>
      <c r="E41" s="277">
        <f t="shared" ref="E41:N41" si="7">D42</f>
        <v>787679.21748978668</v>
      </c>
      <c r="F41" s="277">
        <f t="shared" si="7"/>
        <v>457958.48405946913</v>
      </c>
      <c r="G41" s="277">
        <f t="shared" si="7"/>
        <v>1368929.32914</v>
      </c>
      <c r="H41" s="277">
        <f t="shared" si="7"/>
        <v>1071265.4427632173</v>
      </c>
      <c r="I41" s="277">
        <f t="shared" si="7"/>
        <v>1628664.4101272975</v>
      </c>
      <c r="J41" s="277">
        <f t="shared" si="7"/>
        <v>848601.57781140634</v>
      </c>
      <c r="K41" s="277">
        <f t="shared" si="7"/>
        <v>188739.21644426486</v>
      </c>
      <c r="L41" s="277">
        <f t="shared" si="7"/>
        <v>197623.18862113351</v>
      </c>
      <c r="M41" s="277">
        <f t="shared" si="7"/>
        <v>-151040.9482704837</v>
      </c>
      <c r="N41" s="277">
        <f t="shared" si="7"/>
        <v>-205509.4023570483</v>
      </c>
      <c r="O41" s="278"/>
      <c r="P41" s="257"/>
      <c r="Q41" s="261"/>
    </row>
    <row r="42" spans="1:27" s="305" customFormat="1" ht="15" thickBot="1">
      <c r="A42" s="478"/>
      <c r="B42" s="301" t="s">
        <v>301</v>
      </c>
      <c r="C42" s="302">
        <f>C39+C41</f>
        <v>949626.19539373787</v>
      </c>
      <c r="D42" s="302">
        <f>D41+D39</f>
        <v>787679.21748978668</v>
      </c>
      <c r="E42" s="302">
        <f t="shared" ref="E42:N42" si="8">E41+E39</f>
        <v>457958.48405946913</v>
      </c>
      <c r="F42" s="302">
        <f t="shared" si="8"/>
        <v>1368929.32914</v>
      </c>
      <c r="G42" s="302">
        <f t="shared" si="8"/>
        <v>1071265.4427632173</v>
      </c>
      <c r="H42" s="302">
        <f t="shared" si="8"/>
        <v>1628664.4101272975</v>
      </c>
      <c r="I42" s="302">
        <f t="shared" si="8"/>
        <v>848601.57781140634</v>
      </c>
      <c r="J42" s="302">
        <f t="shared" si="8"/>
        <v>188739.21644426486</v>
      </c>
      <c r="K42" s="302">
        <f t="shared" si="8"/>
        <v>197623.18862113351</v>
      </c>
      <c r="L42" s="302">
        <f t="shared" si="8"/>
        <v>-151040.9482704837</v>
      </c>
      <c r="M42" s="302">
        <f t="shared" si="8"/>
        <v>-205509.4023570483</v>
      </c>
      <c r="N42" s="302">
        <f t="shared" si="8"/>
        <v>-253745.38260964281</v>
      </c>
      <c r="O42" s="303"/>
      <c r="P42" s="304">
        <v>-379524</v>
      </c>
      <c r="Q42" s="261"/>
      <c r="T42" s="306"/>
      <c r="U42" s="306"/>
      <c r="V42" s="306"/>
      <c r="W42" s="306"/>
      <c r="X42" s="306"/>
      <c r="Y42" s="306"/>
      <c r="Z42" s="306"/>
      <c r="AA42" s="306"/>
    </row>
    <row r="43" spans="1:27">
      <c r="B43" s="307"/>
      <c r="C43" s="308">
        <v>-230670.04320337952</v>
      </c>
      <c r="D43" s="308">
        <v>-228685.77662325124</v>
      </c>
      <c r="E43" s="308">
        <v>-400925.32375786052</v>
      </c>
      <c r="F43" s="308">
        <v>107627.91024598802</v>
      </c>
      <c r="G43" s="308">
        <v>349913.13502313674</v>
      </c>
      <c r="H43" s="308">
        <v>435378.66104736901</v>
      </c>
      <c r="I43" s="308">
        <v>-7028.8129165232021</v>
      </c>
      <c r="J43" s="308">
        <v>-762562.71763132163</v>
      </c>
      <c r="K43" s="308">
        <v>-588396.16123173421</v>
      </c>
      <c r="L43" s="308">
        <v>-238486.79698268816</v>
      </c>
      <c r="M43" s="308">
        <v>198186.97549275903</v>
      </c>
      <c r="N43" s="308">
        <v>839191.84995241102</v>
      </c>
      <c r="O43" s="309"/>
      <c r="P43" s="310"/>
      <c r="Q43" s="311"/>
      <c r="T43" s="312"/>
    </row>
    <row r="45" spans="1:27">
      <c r="C45" s="313">
        <v>985048.0897823167</v>
      </c>
    </row>
    <row r="46" spans="1:27">
      <c r="B46" s="397"/>
    </row>
    <row r="47" spans="1:27">
      <c r="B47" s="398">
        <v>2730000</v>
      </c>
      <c r="C47" s="313">
        <f>+($B$47*$B$48)*C4/365</f>
        <v>20867.671232876713</v>
      </c>
      <c r="D47" s="313">
        <f t="shared" ref="D47:N47" si="9">+($B$47*$B$48)*D4/365</f>
        <v>18848.219178082192</v>
      </c>
      <c r="E47" s="313">
        <f t="shared" si="9"/>
        <v>20867.671232876713</v>
      </c>
      <c r="F47" s="313">
        <f t="shared" si="9"/>
        <v>20194.520547945205</v>
      </c>
      <c r="G47" s="313">
        <f t="shared" si="9"/>
        <v>20867.671232876713</v>
      </c>
      <c r="H47" s="313">
        <f t="shared" si="9"/>
        <v>20194.520547945205</v>
      </c>
      <c r="I47" s="313">
        <f t="shared" si="9"/>
        <v>20867.671232876713</v>
      </c>
      <c r="J47" s="313">
        <f t="shared" si="9"/>
        <v>20867.671232876713</v>
      </c>
      <c r="K47" s="313">
        <f t="shared" si="9"/>
        <v>20194.520547945205</v>
      </c>
      <c r="L47" s="313">
        <f t="shared" si="9"/>
        <v>20867.671232876713</v>
      </c>
      <c r="M47" s="313">
        <f t="shared" si="9"/>
        <v>20194.520547945205</v>
      </c>
      <c r="N47" s="313">
        <f t="shared" si="9"/>
        <v>20867.671232876713</v>
      </c>
    </row>
    <row r="48" spans="1:27">
      <c r="B48" s="399">
        <v>0.09</v>
      </c>
    </row>
    <row r="49" spans="1:30">
      <c r="B49" s="259">
        <f>F25</f>
        <v>1540350</v>
      </c>
      <c r="F49" s="313">
        <f>($B$49*$B$50)*(30-13)/365</f>
        <v>4197.3997322465748</v>
      </c>
      <c r="G49" s="313">
        <f t="shared" ref="G49:N49" si="10">($B$49*$B$50)*G4/365</f>
        <v>7654.0818646849311</v>
      </c>
      <c r="H49" s="313">
        <f t="shared" si="10"/>
        <v>7407.1759980821907</v>
      </c>
      <c r="I49" s="313">
        <f t="shared" si="10"/>
        <v>7654.0818646849311</v>
      </c>
      <c r="J49" s="313">
        <f t="shared" si="10"/>
        <v>7654.0818646849311</v>
      </c>
      <c r="K49" s="313">
        <f t="shared" si="10"/>
        <v>7407.1759980821907</v>
      </c>
      <c r="L49" s="313">
        <f t="shared" si="10"/>
        <v>7654.0818646849311</v>
      </c>
      <c r="M49" s="313">
        <f t="shared" si="10"/>
        <v>7407.1759980821907</v>
      </c>
      <c r="N49" s="313">
        <f t="shared" si="10"/>
        <v>7654.0818646849311</v>
      </c>
    </row>
    <row r="50" spans="1:30" s="313" customFormat="1">
      <c r="A50" s="478"/>
      <c r="B50" s="400">
        <v>5.8506599999999999E-2</v>
      </c>
      <c r="P50" s="260"/>
      <c r="Q50" s="265"/>
      <c r="R50" s="262"/>
      <c r="S50" s="262"/>
      <c r="T50" s="263"/>
      <c r="U50" s="263"/>
      <c r="V50" s="263"/>
      <c r="W50" s="263"/>
      <c r="X50" s="263"/>
      <c r="Y50" s="263"/>
      <c r="Z50" s="263"/>
      <c r="AA50" s="263"/>
      <c r="AB50" s="262"/>
      <c r="AC50" s="262"/>
      <c r="AD50" s="262"/>
    </row>
  </sheetData>
  <pageMargins left="0.23622047244094491" right="0.23622047244094491" top="0.59055118110236227" bottom="0" header="0.31496062992125984" footer="0.31496062992125984"/>
  <pageSetup paperSize="9" scale="6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 tint="0.79998168889431442"/>
    <pageSetUpPr fitToPage="1"/>
  </sheetPr>
  <dimension ref="A1:V235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7.21875" defaultRowHeight="14.4"/>
  <cols>
    <col min="1" max="1" width="5.21875" style="265" customWidth="1"/>
    <col min="2" max="2" width="32.21875" style="319" customWidth="1"/>
    <col min="3" max="14" width="13.21875" style="358" bestFit="1" customWidth="1"/>
    <col min="15" max="15" width="12.21875" style="358" customWidth="1"/>
    <col min="16" max="16" width="14.21875" style="319" hidden="1" customWidth="1"/>
    <col min="17" max="16384" width="7.21875" style="319"/>
  </cols>
  <sheetData>
    <row r="1" spans="1:22" s="262" customFormat="1" ht="18">
      <c r="A1" s="477"/>
      <c r="B1" s="258" t="s">
        <v>302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60"/>
      <c r="Q1" s="263"/>
      <c r="R1" s="263"/>
      <c r="S1" s="263"/>
      <c r="T1" s="263"/>
      <c r="U1" s="263"/>
      <c r="V1" s="263"/>
    </row>
    <row r="2" spans="1:22" s="262" customFormat="1">
      <c r="A2" s="477"/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60"/>
      <c r="Q2" s="263"/>
      <c r="R2" s="263"/>
      <c r="S2" s="263"/>
      <c r="T2" s="263"/>
      <c r="U2" s="263"/>
      <c r="V2" s="263"/>
    </row>
    <row r="3" spans="1:22" s="269" customFormat="1">
      <c r="A3" s="477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70"/>
      <c r="R3" s="270"/>
      <c r="S3" s="270"/>
      <c r="T3" s="270"/>
      <c r="U3" s="270"/>
      <c r="V3" s="270"/>
    </row>
    <row r="4" spans="1:22" s="262" customFormat="1" ht="16.2" thickBot="1">
      <c r="A4" s="477"/>
      <c r="B4" s="271"/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  <c r="O4" s="272" t="s">
        <v>262</v>
      </c>
      <c r="P4" s="260"/>
      <c r="Q4" s="263"/>
      <c r="R4" s="263"/>
      <c r="S4" s="263"/>
      <c r="T4" s="263"/>
      <c r="U4" s="263"/>
      <c r="V4" s="263"/>
    </row>
    <row r="5" spans="1:22">
      <c r="A5" s="478"/>
      <c r="B5" s="314" t="s">
        <v>263</v>
      </c>
      <c r="C5" s="315" t="s">
        <v>249</v>
      </c>
      <c r="D5" s="316" t="s">
        <v>250</v>
      </c>
      <c r="E5" s="316" t="s">
        <v>251</v>
      </c>
      <c r="F5" s="316" t="s">
        <v>252</v>
      </c>
      <c r="G5" s="316" t="s">
        <v>264</v>
      </c>
      <c r="H5" s="316" t="s">
        <v>254</v>
      </c>
      <c r="I5" s="316" t="s">
        <v>255</v>
      </c>
      <c r="J5" s="316" t="s">
        <v>256</v>
      </c>
      <c r="K5" s="316" t="s">
        <v>257</v>
      </c>
      <c r="L5" s="316" t="s">
        <v>258</v>
      </c>
      <c r="M5" s="316" t="s">
        <v>259</v>
      </c>
      <c r="N5" s="316" t="s">
        <v>260</v>
      </c>
      <c r="O5" s="317" t="s">
        <v>14</v>
      </c>
      <c r="P5" s="318"/>
    </row>
    <row r="6" spans="1:22">
      <c r="A6" s="478"/>
      <c r="B6" s="291"/>
      <c r="C6" s="320"/>
      <c r="D6" s="32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318"/>
    </row>
    <row r="7" spans="1:22">
      <c r="A7" s="478"/>
      <c r="B7" s="291" t="s">
        <v>265</v>
      </c>
      <c r="C7" s="320"/>
      <c r="D7" s="320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1"/>
      <c r="P7" s="318"/>
    </row>
    <row r="8" spans="1:22">
      <c r="A8" s="478">
        <v>1</v>
      </c>
      <c r="B8" s="322" t="s">
        <v>303</v>
      </c>
      <c r="C8" s="320">
        <v>992316.45974999957</v>
      </c>
      <c r="D8" s="320">
        <v>1119540.8097499998</v>
      </c>
      <c r="E8" s="320">
        <v>1205615.5732500001</v>
      </c>
      <c r="F8" s="320">
        <v>1233036.0919999999</v>
      </c>
      <c r="G8" s="320">
        <v>916486</v>
      </c>
      <c r="H8" s="320">
        <v>955068</v>
      </c>
      <c r="I8" s="320">
        <v>1017542</v>
      </c>
      <c r="J8" s="320">
        <v>1094838</v>
      </c>
      <c r="K8" s="320">
        <v>1962404</v>
      </c>
      <c r="L8" s="320">
        <v>1738369</v>
      </c>
      <c r="M8" s="320">
        <v>1285096</v>
      </c>
      <c r="N8" s="320">
        <v>1088572</v>
      </c>
      <c r="O8" s="321">
        <f>SUM(C8:N8)</f>
        <v>14608883.93475</v>
      </c>
      <c r="P8" s="318">
        <v>14934370.93475</v>
      </c>
    </row>
    <row r="9" spans="1:22">
      <c r="A9" s="478">
        <v>1</v>
      </c>
      <c r="B9" s="322" t="s">
        <v>304</v>
      </c>
      <c r="C9" s="320"/>
      <c r="D9" s="320"/>
      <c r="E9" s="320"/>
      <c r="F9" s="320">
        <v>-2680.0108500000001</v>
      </c>
      <c r="G9" s="320">
        <v>9</v>
      </c>
      <c r="H9" s="320"/>
      <c r="I9" s="320"/>
      <c r="J9" s="320"/>
      <c r="K9" s="320"/>
      <c r="L9" s="320"/>
      <c r="M9" s="320"/>
      <c r="N9" s="320"/>
      <c r="O9" s="321">
        <f t="shared" ref="O9:O43" si="0">SUM(C9:N9)</f>
        <v>-2671.0108500000001</v>
      </c>
      <c r="P9" s="318">
        <v>-2680.0108500000001</v>
      </c>
    </row>
    <row r="10" spans="1:22">
      <c r="A10" s="478">
        <v>1</v>
      </c>
      <c r="B10" s="322" t="s">
        <v>383</v>
      </c>
      <c r="C10" s="320"/>
      <c r="D10" s="320"/>
      <c r="E10" s="320"/>
      <c r="F10" s="320">
        <v>2626.0881400000003</v>
      </c>
      <c r="G10" s="320">
        <v>40307</v>
      </c>
      <c r="H10" s="320"/>
      <c r="I10" s="320"/>
      <c r="J10" s="320"/>
      <c r="K10" s="320"/>
      <c r="L10" s="320"/>
      <c r="M10" s="320"/>
      <c r="N10" s="320"/>
      <c r="O10" s="321"/>
      <c r="P10" s="318"/>
    </row>
    <row r="11" spans="1:22">
      <c r="A11" s="478">
        <v>1</v>
      </c>
      <c r="B11" s="322" t="s">
        <v>267</v>
      </c>
      <c r="C11" s="320">
        <v>0</v>
      </c>
      <c r="D11" s="320">
        <v>0</v>
      </c>
      <c r="E11" s="320">
        <v>0</v>
      </c>
      <c r="F11" s="320">
        <v>6875.9517900000001</v>
      </c>
      <c r="G11" s="320">
        <v>3732</v>
      </c>
      <c r="H11" s="320"/>
      <c r="I11" s="320"/>
      <c r="J11" s="320"/>
      <c r="K11" s="320"/>
      <c r="L11" s="320"/>
      <c r="M11" s="320"/>
      <c r="N11" s="320">
        <v>6038</v>
      </c>
      <c r="O11" s="321">
        <f t="shared" si="0"/>
        <v>16645.951789999999</v>
      </c>
      <c r="P11" s="318">
        <v>12913.951789999999</v>
      </c>
    </row>
    <row r="12" spans="1:22">
      <c r="A12" s="478">
        <v>3</v>
      </c>
      <c r="B12" s="322" t="s">
        <v>268</v>
      </c>
      <c r="C12" s="320">
        <v>-587282.66666666663</v>
      </c>
      <c r="D12" s="320">
        <v>-757192.66666666663</v>
      </c>
      <c r="E12" s="320">
        <v>-927102.66666666663</v>
      </c>
      <c r="F12" s="320">
        <v>-916760.48603000003</v>
      </c>
      <c r="G12" s="320">
        <v>-750346</v>
      </c>
      <c r="H12" s="320">
        <v>-764642.00743000198</v>
      </c>
      <c r="I12" s="320">
        <v>-765710</v>
      </c>
      <c r="J12" s="320">
        <v>-794932</v>
      </c>
      <c r="K12" s="320">
        <v>-729851</v>
      </c>
      <c r="L12" s="320">
        <v>-796928</v>
      </c>
      <c r="M12" s="320">
        <v>-765758</v>
      </c>
      <c r="N12" s="320">
        <v>-752181</v>
      </c>
      <c r="O12" s="321">
        <f t="shared" si="0"/>
        <v>-9308686.4934600033</v>
      </c>
      <c r="P12" s="318">
        <v>-9226845.4860300012</v>
      </c>
    </row>
    <row r="13" spans="1:22">
      <c r="A13" s="478"/>
      <c r="B13" s="322" t="s">
        <v>305</v>
      </c>
      <c r="C13" s="320">
        <v>0</v>
      </c>
      <c r="D13" s="320">
        <v>0</v>
      </c>
      <c r="E13" s="320">
        <v>0</v>
      </c>
      <c r="F13" s="320">
        <v>0</v>
      </c>
      <c r="G13" s="320"/>
      <c r="H13" s="320"/>
      <c r="I13" s="320"/>
      <c r="J13" s="320"/>
      <c r="K13" s="320"/>
      <c r="L13" s="320"/>
      <c r="M13" s="320"/>
      <c r="N13" s="320"/>
      <c r="O13" s="321">
        <f t="shared" si="0"/>
        <v>0</v>
      </c>
      <c r="P13" s="318">
        <v>0</v>
      </c>
    </row>
    <row r="14" spans="1:22">
      <c r="A14" s="478">
        <v>5</v>
      </c>
      <c r="B14" s="322" t="s">
        <v>269</v>
      </c>
      <c r="C14" s="320">
        <v>-33466</v>
      </c>
      <c r="D14" s="320">
        <v>-18903.3</v>
      </c>
      <c r="E14" s="320">
        <v>-241080.3</v>
      </c>
      <c r="F14" s="320">
        <v>0</v>
      </c>
      <c r="G14" s="320">
        <v>0</v>
      </c>
      <c r="H14" s="320"/>
      <c r="I14" s="320"/>
      <c r="J14" s="320">
        <v>-309375</v>
      </c>
      <c r="K14" s="320">
        <v>-247500</v>
      </c>
      <c r="L14" s="320">
        <v>1650</v>
      </c>
      <c r="M14" s="320">
        <v>-135850</v>
      </c>
      <c r="N14" s="320">
        <v>-424600</v>
      </c>
      <c r="O14" s="321">
        <f t="shared" si="0"/>
        <v>-1409124.6</v>
      </c>
      <c r="P14" s="318">
        <v>-1409124.6</v>
      </c>
    </row>
    <row r="15" spans="1:22">
      <c r="A15" s="478">
        <v>3</v>
      </c>
      <c r="B15" s="322" t="s">
        <v>270</v>
      </c>
      <c r="C15" s="284">
        <v>0</v>
      </c>
      <c r="D15" s="277"/>
      <c r="E15" s="277"/>
      <c r="F15" s="284"/>
      <c r="G15" s="277"/>
      <c r="H15" s="277">
        <v>2652</v>
      </c>
      <c r="I15" s="284"/>
      <c r="J15" s="277"/>
      <c r="K15" s="277"/>
      <c r="L15" s="284">
        <v>2583</v>
      </c>
      <c r="M15" s="277"/>
      <c r="N15" s="277"/>
      <c r="O15" s="321">
        <f t="shared" si="0"/>
        <v>5235</v>
      </c>
      <c r="P15" s="318">
        <v>5235</v>
      </c>
    </row>
    <row r="16" spans="1:22">
      <c r="A16" s="478">
        <v>6</v>
      </c>
      <c r="B16" s="322" t="s">
        <v>271</v>
      </c>
      <c r="C16" s="324">
        <v>0</v>
      </c>
      <c r="D16" s="324">
        <v>-43450</v>
      </c>
      <c r="E16" s="324">
        <v>0</v>
      </c>
      <c r="F16" s="324">
        <v>-6284.8722199999993</v>
      </c>
      <c r="G16" s="324">
        <v>-9769</v>
      </c>
      <c r="H16" s="324"/>
      <c r="I16" s="324">
        <v>-19899</v>
      </c>
      <c r="J16" s="324">
        <v>-5498</v>
      </c>
      <c r="K16" s="324">
        <v>-3019</v>
      </c>
      <c r="L16" s="324">
        <v>-23672</v>
      </c>
      <c r="M16" s="324">
        <v>-2480</v>
      </c>
      <c r="N16" s="324"/>
      <c r="O16" s="321">
        <f t="shared" si="0"/>
        <v>-114071.87221999999</v>
      </c>
      <c r="P16" s="318">
        <v>-127187.87221999999</v>
      </c>
    </row>
    <row r="17" spans="1:16">
      <c r="A17" s="478">
        <v>3</v>
      </c>
      <c r="B17" s="322" t="s">
        <v>270</v>
      </c>
      <c r="C17" s="324">
        <v>0</v>
      </c>
      <c r="D17" s="324">
        <v>3950</v>
      </c>
      <c r="E17" s="324">
        <v>0</v>
      </c>
      <c r="F17" s="324">
        <v>20119.523570000001</v>
      </c>
      <c r="G17" s="324">
        <v>-4490</v>
      </c>
      <c r="H17" s="324">
        <v>-7270</v>
      </c>
      <c r="I17" s="324">
        <v>-7618</v>
      </c>
      <c r="J17" s="324">
        <v>-4966</v>
      </c>
      <c r="K17" s="324">
        <v>-4966</v>
      </c>
      <c r="L17" s="324">
        <v>-9552</v>
      </c>
      <c r="M17" s="324">
        <v>-21969</v>
      </c>
      <c r="N17" s="324">
        <v>-21969</v>
      </c>
      <c r="O17" s="321">
        <f t="shared" si="0"/>
        <v>-58730.476429999995</v>
      </c>
      <c r="P17" s="319">
        <v>-68079.476429999995</v>
      </c>
    </row>
    <row r="18" spans="1:16">
      <c r="A18" s="478">
        <v>3</v>
      </c>
      <c r="B18" s="322" t="s">
        <v>306</v>
      </c>
      <c r="C18" s="324"/>
      <c r="D18" s="324"/>
      <c r="E18" s="324"/>
      <c r="F18" s="324">
        <v>-94534.001000000004</v>
      </c>
      <c r="G18" s="324"/>
      <c r="H18" s="324">
        <v>-1478</v>
      </c>
      <c r="I18" s="324">
        <v>-1541</v>
      </c>
      <c r="J18" s="324">
        <v>-2488</v>
      </c>
      <c r="K18" s="324">
        <v>-2488</v>
      </c>
      <c r="L18" s="324">
        <v>-11625</v>
      </c>
      <c r="M18" s="324">
        <v>-2054</v>
      </c>
      <c r="N18" s="324">
        <v>-2251</v>
      </c>
      <c r="O18" s="321">
        <f t="shared" si="0"/>
        <v>-118459.001</v>
      </c>
      <c r="P18" s="319">
        <v>-119937.001</v>
      </c>
    </row>
    <row r="19" spans="1:16" s="329" customFormat="1">
      <c r="A19" s="478"/>
      <c r="B19" s="291" t="s">
        <v>274</v>
      </c>
      <c r="C19" s="325">
        <f>SUM(C8:C18)</f>
        <v>371567.79308333294</v>
      </c>
      <c r="D19" s="325">
        <f t="shared" ref="D19:N19" si="1">SUM(D8:D18)</f>
        <v>303944.84308333317</v>
      </c>
      <c r="E19" s="325">
        <f t="shared" si="1"/>
        <v>37432.606583333516</v>
      </c>
      <c r="F19" s="325">
        <f>SUM(F8:F18)</f>
        <v>242398.28539999994</v>
      </c>
      <c r="G19" s="325">
        <f t="shared" si="1"/>
        <v>195929</v>
      </c>
      <c r="H19" s="325">
        <f t="shared" si="1"/>
        <v>184329.99256999802</v>
      </c>
      <c r="I19" s="325">
        <f t="shared" si="1"/>
        <v>222774</v>
      </c>
      <c r="J19" s="325">
        <f t="shared" si="1"/>
        <v>-22421</v>
      </c>
      <c r="K19" s="325">
        <f t="shared" si="1"/>
        <v>974580</v>
      </c>
      <c r="L19" s="325">
        <f t="shared" si="1"/>
        <v>900825</v>
      </c>
      <c r="M19" s="325">
        <f t="shared" si="1"/>
        <v>356985</v>
      </c>
      <c r="N19" s="325">
        <f t="shared" si="1"/>
        <v>-106391</v>
      </c>
      <c r="O19" s="326">
        <f t="shared" si="0"/>
        <v>3661954.5207199976</v>
      </c>
      <c r="P19" s="327">
        <v>4001291.5281499997</v>
      </c>
    </row>
    <row r="20" spans="1:16">
      <c r="A20" s="478"/>
      <c r="B20" s="330"/>
      <c r="C20" s="331"/>
      <c r="D20" s="331"/>
      <c r="E20" s="331"/>
      <c r="F20" s="331"/>
      <c r="G20" s="331"/>
      <c r="H20" s="331"/>
      <c r="I20" s="331"/>
      <c r="J20" s="331"/>
      <c r="K20" s="331"/>
      <c r="L20" s="331"/>
      <c r="M20" s="331"/>
      <c r="N20" s="331"/>
      <c r="O20" s="321">
        <f t="shared" si="0"/>
        <v>0</v>
      </c>
      <c r="P20" s="318">
        <v>0</v>
      </c>
    </row>
    <row r="21" spans="1:16">
      <c r="A21" s="478"/>
      <c r="B21" s="291" t="s">
        <v>275</v>
      </c>
      <c r="C21" s="331"/>
      <c r="D21" s="331"/>
      <c r="E21" s="331"/>
      <c r="F21" s="331"/>
      <c r="G21" s="331"/>
      <c r="H21" s="331"/>
      <c r="I21" s="331"/>
      <c r="J21" s="331"/>
      <c r="K21" s="331"/>
      <c r="L21" s="331"/>
      <c r="M21" s="331"/>
      <c r="N21" s="331"/>
      <c r="O21" s="321">
        <f t="shared" si="0"/>
        <v>0</v>
      </c>
      <c r="P21" s="318">
        <v>0</v>
      </c>
    </row>
    <row r="22" spans="1:16">
      <c r="A22" s="408"/>
      <c r="B22" s="291" t="s">
        <v>266</v>
      </c>
      <c r="C22" s="331"/>
      <c r="D22" s="331"/>
      <c r="E22" s="331"/>
      <c r="F22" s="331">
        <v>755</v>
      </c>
      <c r="G22" s="331">
        <v>550</v>
      </c>
      <c r="H22" s="331">
        <v>2750</v>
      </c>
      <c r="I22" s="331">
        <v>2200</v>
      </c>
      <c r="J22" s="331">
        <v>6350</v>
      </c>
      <c r="K22" s="331">
        <v>2150</v>
      </c>
      <c r="L22" s="331">
        <v>600</v>
      </c>
      <c r="M22" s="331"/>
      <c r="N22" s="331"/>
      <c r="O22" s="321">
        <f t="shared" si="0"/>
        <v>15355</v>
      </c>
      <c r="P22" s="318">
        <v>22000</v>
      </c>
    </row>
    <row r="23" spans="1:16">
      <c r="A23" s="478"/>
      <c r="B23" s="322" t="s">
        <v>295</v>
      </c>
      <c r="C23" s="331">
        <v>-94591</v>
      </c>
      <c r="D23" s="331">
        <v>0</v>
      </c>
      <c r="E23" s="331">
        <v>0</v>
      </c>
      <c r="F23" s="331">
        <v>-54429.928310000003</v>
      </c>
      <c r="G23" s="331">
        <v>-323016</v>
      </c>
      <c r="H23" s="331">
        <v>-866628</v>
      </c>
      <c r="I23" s="331">
        <v>-70267</v>
      </c>
      <c r="J23" s="331">
        <v>-81463</v>
      </c>
      <c r="K23" s="331">
        <v>-52972</v>
      </c>
      <c r="L23" s="331">
        <v>-46610</v>
      </c>
      <c r="M23" s="331">
        <v>-27737</v>
      </c>
      <c r="N23" s="331">
        <v>-26296</v>
      </c>
      <c r="O23" s="321">
        <f t="shared" si="0"/>
        <v>-1644009.9283099999</v>
      </c>
      <c r="P23" s="318">
        <v>-1853920.9283099999</v>
      </c>
    </row>
    <row r="24" spans="1:16">
      <c r="A24" s="478"/>
      <c r="B24" s="330" t="s">
        <v>270</v>
      </c>
      <c r="C24" s="332">
        <v>0</v>
      </c>
      <c r="D24" s="333"/>
      <c r="E24" s="333"/>
      <c r="F24" s="334"/>
      <c r="G24" s="333"/>
      <c r="H24" s="333">
        <v>19038</v>
      </c>
      <c r="I24" s="334">
        <v>0</v>
      </c>
      <c r="J24" s="333"/>
      <c r="K24" s="333">
        <v>54818</v>
      </c>
      <c r="L24" s="334">
        <v>0</v>
      </c>
      <c r="M24" s="333"/>
      <c r="N24" s="333">
        <v>33207</v>
      </c>
      <c r="O24" s="321">
        <f t="shared" si="0"/>
        <v>107063</v>
      </c>
      <c r="P24" s="318">
        <v>107063</v>
      </c>
    </row>
    <row r="25" spans="1:16">
      <c r="A25" s="478">
        <v>4</v>
      </c>
      <c r="B25" s="291" t="s">
        <v>277</v>
      </c>
      <c r="C25" s="325">
        <v>-94591</v>
      </c>
      <c r="D25" s="325">
        <f t="shared" ref="D25:F25" si="2">SUM(D22:D24)</f>
        <v>0</v>
      </c>
      <c r="E25" s="325">
        <f t="shared" si="2"/>
        <v>0</v>
      </c>
      <c r="F25" s="325">
        <f t="shared" si="2"/>
        <v>-53674.928310000003</v>
      </c>
      <c r="G25" s="325">
        <f>SUM(G22:G24)</f>
        <v>-322466</v>
      </c>
      <c r="H25" s="325">
        <f t="shared" ref="H25:N25" si="3">SUM(H22:H24)</f>
        <v>-844840</v>
      </c>
      <c r="I25" s="325">
        <f t="shared" si="3"/>
        <v>-68067</v>
      </c>
      <c r="J25" s="325">
        <f t="shared" si="3"/>
        <v>-75113</v>
      </c>
      <c r="K25" s="325">
        <f t="shared" si="3"/>
        <v>3996</v>
      </c>
      <c r="L25" s="325">
        <f t="shared" si="3"/>
        <v>-46010</v>
      </c>
      <c r="M25" s="325">
        <f t="shared" si="3"/>
        <v>-27737</v>
      </c>
      <c r="N25" s="325">
        <f t="shared" si="3"/>
        <v>6911</v>
      </c>
      <c r="O25" s="335">
        <f t="shared" si="0"/>
        <v>-1521591.9283099999</v>
      </c>
      <c r="P25" s="318">
        <v>-1724857.9283099999</v>
      </c>
    </row>
    <row r="26" spans="1:16">
      <c r="A26" s="478"/>
      <c r="B26" s="336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21">
        <f t="shared" si="0"/>
        <v>0</v>
      </c>
      <c r="P26" s="318">
        <v>0</v>
      </c>
    </row>
    <row r="27" spans="1:16" s="329" customFormat="1">
      <c r="A27" s="478"/>
      <c r="B27" s="291" t="s">
        <v>278</v>
      </c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1">
        <f t="shared" si="0"/>
        <v>0</v>
      </c>
      <c r="P27" s="328">
        <v>0</v>
      </c>
    </row>
    <row r="28" spans="1:16">
      <c r="A28" s="478">
        <v>2</v>
      </c>
      <c r="B28" s="330" t="s">
        <v>307</v>
      </c>
      <c r="C28" s="337"/>
      <c r="D28" s="337"/>
      <c r="E28" s="337"/>
      <c r="F28" s="337"/>
      <c r="G28" s="337">
        <v>300000</v>
      </c>
      <c r="H28" s="337"/>
      <c r="I28" s="337"/>
      <c r="J28" s="337"/>
      <c r="K28" s="337"/>
      <c r="L28" s="337"/>
      <c r="M28" s="337"/>
      <c r="N28" s="337"/>
      <c r="O28" s="321">
        <f t="shared" si="0"/>
        <v>300000</v>
      </c>
      <c r="P28" s="318">
        <v>0</v>
      </c>
    </row>
    <row r="29" spans="1:16" ht="28.8">
      <c r="A29" s="478">
        <v>2</v>
      </c>
      <c r="B29" s="330" t="s">
        <v>308</v>
      </c>
      <c r="C29" s="337">
        <v>267666.33333333331</v>
      </c>
      <c r="D29" s="337">
        <v>308333.33333333331</v>
      </c>
      <c r="E29" s="337">
        <v>349000.33333333331</v>
      </c>
      <c r="F29" s="337">
        <f>1347026.55670658-437000</f>
        <v>910026.5567065801</v>
      </c>
      <c r="G29" s="337">
        <v>445032</v>
      </c>
      <c r="H29" s="337">
        <v>208417</v>
      </c>
      <c r="I29" s="337">
        <v>262388</v>
      </c>
      <c r="J29" s="337">
        <v>300000</v>
      </c>
      <c r="K29" s="337">
        <v>300000</v>
      </c>
      <c r="L29" s="337">
        <v>200000</v>
      </c>
      <c r="M29" s="337">
        <v>200000</v>
      </c>
      <c r="N29" s="337">
        <v>200000</v>
      </c>
      <c r="O29" s="321">
        <f t="shared" si="0"/>
        <v>3950863.5567065803</v>
      </c>
      <c r="P29" s="318">
        <v>2801736.5567065803</v>
      </c>
    </row>
    <row r="30" spans="1:16" ht="28.8">
      <c r="A30" s="478"/>
      <c r="B30" s="330" t="s">
        <v>309</v>
      </c>
      <c r="C30" s="320">
        <v>0</v>
      </c>
      <c r="D30" s="320">
        <v>0</v>
      </c>
      <c r="E30" s="320">
        <v>0</v>
      </c>
      <c r="F30" s="320">
        <v>0</v>
      </c>
      <c r="G30" s="320"/>
      <c r="H30" s="320"/>
      <c r="I30" s="320"/>
      <c r="J30" s="320"/>
      <c r="K30" s="320"/>
      <c r="L30" s="320"/>
      <c r="M30" s="320"/>
      <c r="N30" s="320"/>
      <c r="O30" s="321">
        <f t="shared" si="0"/>
        <v>0</v>
      </c>
      <c r="P30" s="318">
        <v>0</v>
      </c>
    </row>
    <row r="31" spans="1:16">
      <c r="A31" s="478">
        <v>7</v>
      </c>
      <c r="B31" s="330" t="s">
        <v>310</v>
      </c>
      <c r="C31" s="338">
        <v>-83633</v>
      </c>
      <c r="D31" s="338">
        <v>-63633</v>
      </c>
      <c r="E31" s="338">
        <v>-63633</v>
      </c>
      <c r="F31" s="338">
        <v>-65916.66</v>
      </c>
      <c r="G31" s="338">
        <v>-62917</v>
      </c>
      <c r="H31" s="338">
        <v>-1146873</v>
      </c>
      <c r="I31" s="338">
        <v>-15000</v>
      </c>
      <c r="J31" s="338">
        <v>-15000</v>
      </c>
      <c r="K31" s="338">
        <v>-1130000</v>
      </c>
      <c r="L31" s="338">
        <v>-15000</v>
      </c>
      <c r="M31" s="338">
        <v>-15000</v>
      </c>
      <c r="N31" s="338">
        <v>-2245000</v>
      </c>
      <c r="O31" s="321">
        <f t="shared" si="0"/>
        <v>-4921605.66</v>
      </c>
      <c r="P31" s="318">
        <v>-4921605.66</v>
      </c>
    </row>
    <row r="32" spans="1:16">
      <c r="A32" s="478">
        <v>2</v>
      </c>
      <c r="B32" s="322" t="s">
        <v>279</v>
      </c>
      <c r="C32" s="338">
        <v>0</v>
      </c>
      <c r="D32" s="337">
        <v>-100000</v>
      </c>
      <c r="E32" s="337">
        <v>0</v>
      </c>
      <c r="F32" s="337">
        <v>0</v>
      </c>
      <c r="G32" s="337"/>
      <c r="H32" s="337"/>
      <c r="I32" s="337"/>
      <c r="J32" s="337"/>
      <c r="K32" s="337"/>
      <c r="L32" s="337"/>
      <c r="M32" s="337"/>
      <c r="N32" s="337"/>
      <c r="O32" s="321">
        <f t="shared" si="0"/>
        <v>-100000</v>
      </c>
      <c r="P32" s="318">
        <v>1200000</v>
      </c>
    </row>
    <row r="33" spans="1:16">
      <c r="A33" s="478"/>
      <c r="B33" s="322" t="s">
        <v>311</v>
      </c>
      <c r="C33" s="323"/>
      <c r="D33" s="323"/>
      <c r="E33" s="323"/>
      <c r="F33" s="323"/>
      <c r="G33" s="323"/>
      <c r="H33" s="323"/>
      <c r="I33" s="323"/>
      <c r="J33" s="323"/>
      <c r="K33" s="323"/>
      <c r="L33" s="323"/>
      <c r="M33" s="323"/>
      <c r="N33" s="323"/>
      <c r="O33" s="321">
        <f t="shared" si="0"/>
        <v>0</v>
      </c>
      <c r="P33" s="318">
        <v>0</v>
      </c>
    </row>
    <row r="34" spans="1:16">
      <c r="A34" s="478">
        <v>7</v>
      </c>
      <c r="B34" s="322" t="s">
        <v>282</v>
      </c>
      <c r="C34" s="323">
        <v>-95368.342790129012</v>
      </c>
      <c r="D34" s="323">
        <v>-107287.3209571575</v>
      </c>
      <c r="E34" s="323">
        <v>-127196.43932929114</v>
      </c>
      <c r="F34" s="323">
        <v>-220161</v>
      </c>
      <c r="G34" s="323">
        <v>-213306</v>
      </c>
      <c r="H34" s="323">
        <v>-233367</v>
      </c>
      <c r="I34" s="323">
        <v>-211849</v>
      </c>
      <c r="J34" s="323">
        <v>-218447</v>
      </c>
      <c r="K34" s="323">
        <v>-227573</v>
      </c>
      <c r="L34" s="323">
        <v>-203255</v>
      </c>
      <c r="M34" s="323">
        <v>-207890</v>
      </c>
      <c r="N34" s="323">
        <v>-267950</v>
      </c>
      <c r="O34" s="321">
        <f t="shared" si="0"/>
        <v>-2333650.1030765777</v>
      </c>
      <c r="P34" s="318">
        <v>-2283046.1030765777</v>
      </c>
    </row>
    <row r="35" spans="1:16">
      <c r="A35" s="478">
        <v>7</v>
      </c>
      <c r="B35" s="279" t="s">
        <v>283</v>
      </c>
      <c r="C35" s="324">
        <v>0</v>
      </c>
      <c r="D35" s="324">
        <v>0</v>
      </c>
      <c r="E35" s="324">
        <v>0</v>
      </c>
      <c r="F35" s="324">
        <v>3982.57845</v>
      </c>
      <c r="G35" s="324">
        <v>1292</v>
      </c>
      <c r="H35" s="324">
        <v>1550</v>
      </c>
      <c r="I35" s="324">
        <v>1422</v>
      </c>
      <c r="J35" s="324">
        <v>1389</v>
      </c>
      <c r="K35" s="324">
        <v>1309</v>
      </c>
      <c r="L35" s="324">
        <v>1189</v>
      </c>
      <c r="M35" s="324">
        <v>1148</v>
      </c>
      <c r="N35" s="324">
        <v>1033</v>
      </c>
      <c r="O35" s="321">
        <f t="shared" si="0"/>
        <v>14314.578450000001</v>
      </c>
      <c r="P35" s="318">
        <v>17603.578450000001</v>
      </c>
    </row>
    <row r="36" spans="1:16">
      <c r="A36" s="478"/>
      <c r="B36" s="279" t="s">
        <v>312</v>
      </c>
      <c r="C36" s="323">
        <v>0</v>
      </c>
      <c r="D36" s="323">
        <v>0</v>
      </c>
      <c r="E36" s="323">
        <v>0</v>
      </c>
      <c r="F36" s="323">
        <v>0</v>
      </c>
      <c r="G36" s="323">
        <v>0</v>
      </c>
      <c r="H36" s="323">
        <v>0</v>
      </c>
      <c r="I36" s="323">
        <v>0</v>
      </c>
      <c r="J36" s="323">
        <v>0</v>
      </c>
      <c r="K36" s="323">
        <v>0</v>
      </c>
      <c r="L36" s="323">
        <v>0</v>
      </c>
      <c r="M36" s="323">
        <v>0</v>
      </c>
      <c r="N36" s="323">
        <v>0</v>
      </c>
      <c r="O36" s="321">
        <f t="shared" si="0"/>
        <v>0</v>
      </c>
      <c r="P36" s="318">
        <v>0</v>
      </c>
    </row>
    <row r="37" spans="1:16" s="262" customFormat="1">
      <c r="A37" s="479"/>
      <c r="B37" s="279" t="s">
        <v>313</v>
      </c>
      <c r="C37" s="277"/>
      <c r="D37" s="277"/>
      <c r="E37" s="277"/>
      <c r="F37" s="277"/>
      <c r="G37" s="277"/>
      <c r="H37" s="339">
        <v>0</v>
      </c>
      <c r="I37" s="277"/>
      <c r="J37" s="339"/>
      <c r="K37" s="277"/>
      <c r="L37" s="277"/>
      <c r="M37" s="277"/>
      <c r="N37" s="277"/>
      <c r="O37" s="278">
        <f t="shared" si="0"/>
        <v>0</v>
      </c>
      <c r="P37" s="259">
        <v>0</v>
      </c>
    </row>
    <row r="38" spans="1:16" s="262" customFormat="1">
      <c r="A38" s="479"/>
      <c r="B38" s="279" t="s">
        <v>314</v>
      </c>
      <c r="C38" s="277"/>
      <c r="D38" s="277"/>
      <c r="E38" s="277"/>
      <c r="F38" s="277"/>
      <c r="G38" s="277"/>
      <c r="H38" s="339">
        <v>0</v>
      </c>
      <c r="I38" s="277"/>
      <c r="J38" s="339"/>
      <c r="K38" s="277"/>
      <c r="L38" s="277"/>
      <c r="M38" s="277"/>
      <c r="N38" s="277"/>
      <c r="O38" s="278">
        <f t="shared" si="0"/>
        <v>0</v>
      </c>
      <c r="P38" s="259">
        <v>0</v>
      </c>
    </row>
    <row r="39" spans="1:16" s="262" customFormat="1">
      <c r="A39" s="479"/>
      <c r="B39" s="279" t="s">
        <v>284</v>
      </c>
      <c r="C39" s="277"/>
      <c r="D39" s="277"/>
      <c r="E39" s="277"/>
      <c r="F39" s="277"/>
      <c r="G39" s="277"/>
      <c r="H39" s="339">
        <v>0</v>
      </c>
      <c r="I39" s="277"/>
      <c r="J39" s="339"/>
      <c r="K39" s="277"/>
      <c r="L39" s="277"/>
      <c r="M39" s="277"/>
      <c r="N39" s="277"/>
      <c r="O39" s="278">
        <f t="shared" si="0"/>
        <v>0</v>
      </c>
      <c r="P39" s="259">
        <v>0</v>
      </c>
    </row>
    <row r="40" spans="1:16" s="262" customFormat="1">
      <c r="A40" s="479">
        <v>7</v>
      </c>
      <c r="B40" s="279" t="s">
        <v>315</v>
      </c>
      <c r="C40" s="277"/>
      <c r="D40" s="277"/>
      <c r="E40" s="277"/>
      <c r="F40" s="277">
        <v>21543.167109999999</v>
      </c>
      <c r="G40" s="277">
        <v>27663</v>
      </c>
      <c r="H40" s="277">
        <v>20000</v>
      </c>
      <c r="I40" s="277">
        <v>20000</v>
      </c>
      <c r="J40" s="277">
        <v>20000</v>
      </c>
      <c r="K40" s="277">
        <v>10000</v>
      </c>
      <c r="L40" s="277">
        <v>10000</v>
      </c>
      <c r="M40" s="277">
        <v>10000</v>
      </c>
      <c r="N40" s="277">
        <v>10000</v>
      </c>
      <c r="O40" s="278">
        <f t="shared" si="0"/>
        <v>149206.16710999998</v>
      </c>
      <c r="P40" s="259">
        <v>55155.167109999995</v>
      </c>
    </row>
    <row r="41" spans="1:16" s="329" customFormat="1">
      <c r="A41" s="478"/>
      <c r="B41" s="291" t="s">
        <v>286</v>
      </c>
      <c r="C41" s="325">
        <f>SUM(C29:C40)</f>
        <v>88664.990543204302</v>
      </c>
      <c r="D41" s="325">
        <f t="shared" ref="D41:N41" si="4">SUM(D29:D40)</f>
        <v>37413.012376175815</v>
      </c>
      <c r="E41" s="325">
        <f t="shared" si="4"/>
        <v>158170.89400404217</v>
      </c>
      <c r="F41" s="325">
        <f>SUM(F28:F40)</f>
        <v>649474.64226658014</v>
      </c>
      <c r="G41" s="325">
        <f>SUM(G28:G40)</f>
        <v>497764</v>
      </c>
      <c r="H41" s="325">
        <f>SUM(H29:H40)</f>
        <v>-1150273</v>
      </c>
      <c r="I41" s="325">
        <f t="shared" si="4"/>
        <v>56961</v>
      </c>
      <c r="J41" s="325">
        <f t="shared" si="4"/>
        <v>87942</v>
      </c>
      <c r="K41" s="325">
        <f t="shared" si="4"/>
        <v>-1046264</v>
      </c>
      <c r="L41" s="325">
        <f t="shared" si="4"/>
        <v>-7066</v>
      </c>
      <c r="M41" s="325">
        <f t="shared" si="4"/>
        <v>-11742</v>
      </c>
      <c r="N41" s="325">
        <f t="shared" si="4"/>
        <v>-2301917</v>
      </c>
      <c r="O41" s="335">
        <f t="shared" si="0"/>
        <v>-2940871.4608099973</v>
      </c>
      <c r="P41" s="328">
        <v>-3130156.4608099973</v>
      </c>
    </row>
    <row r="42" spans="1:16">
      <c r="A42" s="478"/>
      <c r="B42" s="336"/>
      <c r="C42" s="331"/>
      <c r="D42" s="331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21">
        <f t="shared" si="0"/>
        <v>0</v>
      </c>
      <c r="P42" s="318">
        <v>0</v>
      </c>
    </row>
    <row r="43" spans="1:16">
      <c r="A43" s="478"/>
      <c r="B43" s="291" t="s">
        <v>287</v>
      </c>
      <c r="C43" s="325">
        <f>C19+C25+C41</f>
        <v>365641.78362653725</v>
      </c>
      <c r="D43" s="325">
        <f t="shared" ref="D43:N43" si="5">D19+D25+D41</f>
        <v>341357.85545950895</v>
      </c>
      <c r="E43" s="325">
        <f t="shared" si="5"/>
        <v>195603.50058737569</v>
      </c>
      <c r="F43" s="325">
        <f>F19+F25+F41</f>
        <v>838197.99935658008</v>
      </c>
      <c r="G43" s="325">
        <f t="shared" si="5"/>
        <v>371227</v>
      </c>
      <c r="H43" s="325">
        <f t="shared" si="5"/>
        <v>-1810783.0074300021</v>
      </c>
      <c r="I43" s="325">
        <f t="shared" si="5"/>
        <v>211668</v>
      </c>
      <c r="J43" s="325">
        <f t="shared" si="5"/>
        <v>-9592</v>
      </c>
      <c r="K43" s="325">
        <f t="shared" si="5"/>
        <v>-67688</v>
      </c>
      <c r="L43" s="325">
        <f t="shared" si="5"/>
        <v>847749</v>
      </c>
      <c r="M43" s="325">
        <f t="shared" si="5"/>
        <v>317506</v>
      </c>
      <c r="N43" s="325">
        <f t="shared" si="5"/>
        <v>-2401397</v>
      </c>
      <c r="O43" s="335">
        <f t="shared" si="0"/>
        <v>-800508.86840000004</v>
      </c>
      <c r="P43" s="318">
        <v>-853722.86096999794</v>
      </c>
    </row>
    <row r="44" spans="1:16">
      <c r="A44" s="478"/>
      <c r="B44" s="322"/>
      <c r="C44" s="331"/>
      <c r="D44" s="331"/>
      <c r="E44" s="331"/>
      <c r="F44" s="331"/>
      <c r="G44" s="331"/>
      <c r="H44" s="331"/>
      <c r="I44" s="331"/>
      <c r="J44" s="331"/>
      <c r="K44" s="331"/>
      <c r="L44" s="331"/>
      <c r="M44" s="331"/>
      <c r="N44" s="331"/>
      <c r="O44" s="321"/>
      <c r="P44" s="318"/>
    </row>
    <row r="45" spans="1:16">
      <c r="A45" s="478"/>
      <c r="B45" s="322" t="s">
        <v>289</v>
      </c>
      <c r="C45" s="324">
        <v>500000</v>
      </c>
      <c r="D45" s="331">
        <f>C46</f>
        <v>865641.7836265373</v>
      </c>
      <c r="E45" s="331">
        <f t="shared" ref="E45:N45" si="6">D46</f>
        <v>1206999.6390860463</v>
      </c>
      <c r="F45" s="331">
        <f t="shared" si="6"/>
        <v>1402603.1396734219</v>
      </c>
      <c r="G45" s="331">
        <f t="shared" si="6"/>
        <v>2240801.1390300021</v>
      </c>
      <c r="H45" s="331">
        <f t="shared" si="6"/>
        <v>2612028.1390300021</v>
      </c>
      <c r="I45" s="331">
        <f t="shared" si="6"/>
        <v>801245.13159999996</v>
      </c>
      <c r="J45" s="331">
        <f t="shared" si="6"/>
        <v>1012913.1316</v>
      </c>
      <c r="K45" s="331">
        <f t="shared" si="6"/>
        <v>1003321.1316</v>
      </c>
      <c r="L45" s="331">
        <f t="shared" si="6"/>
        <v>935633.13159999996</v>
      </c>
      <c r="M45" s="331">
        <f t="shared" si="6"/>
        <v>1783382.1316</v>
      </c>
      <c r="N45" s="331">
        <f t="shared" si="6"/>
        <v>2100888.1316</v>
      </c>
      <c r="O45" s="321"/>
      <c r="P45" s="318"/>
    </row>
    <row r="46" spans="1:16" ht="15" thickBot="1">
      <c r="A46" s="478"/>
      <c r="B46" s="340" t="s">
        <v>291</v>
      </c>
      <c r="C46" s="341">
        <f>C43+C45</f>
        <v>865641.7836265373</v>
      </c>
      <c r="D46" s="341">
        <f>D43+D45</f>
        <v>1206999.6390860463</v>
      </c>
      <c r="E46" s="341">
        <f t="shared" ref="E46:N46" si="7">E43+E45</f>
        <v>1402603.1396734219</v>
      </c>
      <c r="F46" s="341">
        <f t="shared" si="7"/>
        <v>2240801.1390300021</v>
      </c>
      <c r="G46" s="341">
        <f t="shared" si="7"/>
        <v>2612028.1390300021</v>
      </c>
      <c r="H46" s="341">
        <f t="shared" si="7"/>
        <v>801245.13159999996</v>
      </c>
      <c r="I46" s="341">
        <f t="shared" si="7"/>
        <v>1012913.1316</v>
      </c>
      <c r="J46" s="341">
        <f t="shared" si="7"/>
        <v>1003321.1316</v>
      </c>
      <c r="K46" s="341">
        <f t="shared" si="7"/>
        <v>935633.13159999996</v>
      </c>
      <c r="L46" s="341">
        <f t="shared" si="7"/>
        <v>1783382.1316</v>
      </c>
      <c r="M46" s="341">
        <f t="shared" si="7"/>
        <v>2100888.1316</v>
      </c>
      <c r="N46" s="341">
        <f t="shared" si="7"/>
        <v>-300508.86840000004</v>
      </c>
      <c r="O46" s="342"/>
      <c r="P46" s="318">
        <v>-353722.86096999794</v>
      </c>
    </row>
    <row r="47" spans="1:16">
      <c r="A47" s="478"/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</row>
    <row r="48" spans="1:16" ht="16.2" hidden="1">
      <c r="A48" s="480"/>
      <c r="B48" s="343"/>
      <c r="C48" s="344">
        <v>0</v>
      </c>
      <c r="D48" s="344">
        <v>0</v>
      </c>
      <c r="E48" s="344">
        <v>0</v>
      </c>
      <c r="F48" s="344">
        <v>0</v>
      </c>
      <c r="G48" s="344">
        <v>0</v>
      </c>
      <c r="H48" s="344">
        <v>0</v>
      </c>
      <c r="I48" s="344">
        <v>0</v>
      </c>
      <c r="J48" s="344">
        <v>0</v>
      </c>
      <c r="K48" s="344">
        <v>0</v>
      </c>
      <c r="L48" s="344">
        <v>0</v>
      </c>
      <c r="M48" s="344">
        <v>0</v>
      </c>
      <c r="N48" s="344">
        <v>0</v>
      </c>
      <c r="O48" s="344"/>
      <c r="P48" s="318"/>
    </row>
    <row r="49" spans="1:16" hidden="1">
      <c r="A49" s="480"/>
      <c r="B49" s="345"/>
      <c r="C49" s="346">
        <v>0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>
        <v>0</v>
      </c>
      <c r="J49" s="346">
        <v>0</v>
      </c>
      <c r="K49" s="346">
        <v>0</v>
      </c>
      <c r="L49" s="346">
        <v>0</v>
      </c>
      <c r="M49" s="346">
        <v>0</v>
      </c>
      <c r="N49" s="346">
        <v>0</v>
      </c>
      <c r="O49" s="347">
        <v>0</v>
      </c>
      <c r="P49" s="318"/>
    </row>
    <row r="50" spans="1:16" ht="16.2" hidden="1">
      <c r="A50" s="480"/>
      <c r="B50" s="343"/>
      <c r="C50" s="344">
        <v>0</v>
      </c>
      <c r="D50" s="344">
        <v>0</v>
      </c>
      <c r="E50" s="344">
        <v>0</v>
      </c>
      <c r="F50" s="344">
        <v>0</v>
      </c>
      <c r="G50" s="344">
        <v>0</v>
      </c>
      <c r="H50" s="344">
        <v>0</v>
      </c>
      <c r="I50" s="344">
        <v>0</v>
      </c>
      <c r="J50" s="344">
        <v>0</v>
      </c>
      <c r="K50" s="344">
        <v>0</v>
      </c>
      <c r="L50" s="344">
        <v>0</v>
      </c>
      <c r="M50" s="344">
        <v>0</v>
      </c>
      <c r="N50" s="344">
        <v>0</v>
      </c>
      <c r="O50" s="344"/>
      <c r="P50" s="318"/>
    </row>
    <row r="51" spans="1:16" hidden="1">
      <c r="A51" s="480"/>
      <c r="B51" s="345"/>
      <c r="C51" s="346"/>
      <c r="D51" s="346">
        <v>0</v>
      </c>
      <c r="E51" s="346">
        <v>0</v>
      </c>
      <c r="F51" s="346">
        <v>0</v>
      </c>
      <c r="G51" s="346">
        <v>0</v>
      </c>
      <c r="H51" s="346">
        <v>0</v>
      </c>
      <c r="I51" s="346">
        <v>0</v>
      </c>
      <c r="J51" s="346">
        <v>0</v>
      </c>
      <c r="K51" s="346">
        <v>0</v>
      </c>
      <c r="L51" s="346">
        <v>0</v>
      </c>
      <c r="M51" s="346">
        <v>0</v>
      </c>
      <c r="N51" s="346">
        <v>0</v>
      </c>
      <c r="O51" s="347">
        <v>0</v>
      </c>
      <c r="P51" s="318"/>
    </row>
    <row r="52" spans="1:16" ht="16.2" hidden="1">
      <c r="A52" s="480"/>
      <c r="B52" s="343"/>
      <c r="C52" s="344">
        <v>0</v>
      </c>
      <c r="D52" s="344">
        <v>0</v>
      </c>
      <c r="E52" s="344">
        <v>0</v>
      </c>
      <c r="F52" s="344">
        <v>0</v>
      </c>
      <c r="G52" s="344">
        <v>0</v>
      </c>
      <c r="H52" s="344">
        <v>0</v>
      </c>
      <c r="I52" s="344">
        <v>0</v>
      </c>
      <c r="J52" s="344">
        <v>0</v>
      </c>
      <c r="K52" s="344">
        <v>0</v>
      </c>
      <c r="L52" s="344">
        <v>0</v>
      </c>
      <c r="M52" s="344">
        <v>0</v>
      </c>
      <c r="N52" s="344">
        <v>0</v>
      </c>
      <c r="O52" s="347"/>
      <c r="P52" s="318"/>
    </row>
    <row r="53" spans="1:16" hidden="1">
      <c r="A53" s="480"/>
      <c r="B53" s="345"/>
      <c r="C53" s="346">
        <v>0</v>
      </c>
      <c r="D53" s="346">
        <v>0</v>
      </c>
      <c r="E53" s="346">
        <v>0</v>
      </c>
      <c r="F53" s="346">
        <v>0</v>
      </c>
      <c r="G53" s="346">
        <v>0</v>
      </c>
      <c r="H53" s="346">
        <v>0</v>
      </c>
      <c r="I53" s="346">
        <v>0</v>
      </c>
      <c r="J53" s="346">
        <v>0</v>
      </c>
      <c r="K53" s="346">
        <v>0</v>
      </c>
      <c r="L53" s="346">
        <v>0</v>
      </c>
      <c r="M53" s="346">
        <v>0</v>
      </c>
      <c r="N53" s="346">
        <v>0</v>
      </c>
      <c r="O53" s="347">
        <v>0</v>
      </c>
      <c r="P53" s="318"/>
    </row>
    <row r="54" spans="1:16" ht="16.2" hidden="1">
      <c r="A54" s="480"/>
      <c r="B54" s="343"/>
      <c r="C54" s="344">
        <v>0</v>
      </c>
      <c r="D54" s="344">
        <v>0</v>
      </c>
      <c r="E54" s="344">
        <v>0</v>
      </c>
      <c r="F54" s="344">
        <v>0</v>
      </c>
      <c r="G54" s="344">
        <v>0</v>
      </c>
      <c r="H54" s="344">
        <v>0</v>
      </c>
      <c r="I54" s="344">
        <v>0</v>
      </c>
      <c r="J54" s="344">
        <v>0</v>
      </c>
      <c r="K54" s="344">
        <v>0</v>
      </c>
      <c r="L54" s="344">
        <v>0</v>
      </c>
      <c r="M54" s="344">
        <v>0</v>
      </c>
      <c r="N54" s="344">
        <v>0</v>
      </c>
      <c r="O54" s="347"/>
      <c r="P54" s="318"/>
    </row>
    <row r="55" spans="1:16" hidden="1">
      <c r="A55" s="480"/>
      <c r="B55" s="345"/>
      <c r="C55" s="346">
        <v>0</v>
      </c>
      <c r="D55" s="346">
        <v>0</v>
      </c>
      <c r="E55" s="346">
        <v>0</v>
      </c>
      <c r="F55" s="346">
        <v>0</v>
      </c>
      <c r="G55" s="346">
        <v>0</v>
      </c>
      <c r="H55" s="346">
        <v>0</v>
      </c>
      <c r="I55" s="346">
        <v>0</v>
      </c>
      <c r="J55" s="346">
        <v>0</v>
      </c>
      <c r="K55" s="346">
        <v>0</v>
      </c>
      <c r="L55" s="346">
        <v>0</v>
      </c>
      <c r="M55" s="346">
        <v>0</v>
      </c>
      <c r="N55" s="346">
        <v>0</v>
      </c>
      <c r="O55" s="347">
        <v>0</v>
      </c>
      <c r="P55" s="318"/>
    </row>
    <row r="56" spans="1:16" ht="16.2" hidden="1">
      <c r="A56" s="480"/>
      <c r="B56" s="343"/>
      <c r="C56" s="344">
        <v>0</v>
      </c>
      <c r="D56" s="344">
        <v>0</v>
      </c>
      <c r="E56" s="344">
        <v>0</v>
      </c>
      <c r="F56" s="344">
        <v>0</v>
      </c>
      <c r="G56" s="344">
        <v>0</v>
      </c>
      <c r="H56" s="344">
        <v>0</v>
      </c>
      <c r="I56" s="344">
        <v>0</v>
      </c>
      <c r="J56" s="344">
        <v>0</v>
      </c>
      <c r="K56" s="344">
        <v>0</v>
      </c>
      <c r="L56" s="344">
        <v>0</v>
      </c>
      <c r="M56" s="344">
        <v>0</v>
      </c>
      <c r="N56" s="344">
        <v>0</v>
      </c>
      <c r="O56" s="347"/>
      <c r="P56" s="318"/>
    </row>
    <row r="57" spans="1:16" hidden="1">
      <c r="A57" s="480"/>
      <c r="B57" s="345"/>
      <c r="C57" s="346">
        <v>0</v>
      </c>
      <c r="D57" s="346">
        <v>0</v>
      </c>
      <c r="E57" s="346">
        <v>0</v>
      </c>
      <c r="F57" s="346">
        <v>0</v>
      </c>
      <c r="G57" s="346">
        <v>0</v>
      </c>
      <c r="H57" s="346">
        <v>0</v>
      </c>
      <c r="I57" s="346">
        <v>0</v>
      </c>
      <c r="J57" s="346">
        <v>0</v>
      </c>
      <c r="K57" s="346">
        <v>0</v>
      </c>
      <c r="L57" s="346">
        <v>0</v>
      </c>
      <c r="M57" s="346">
        <v>0</v>
      </c>
      <c r="N57" s="346">
        <v>0</v>
      </c>
      <c r="O57" s="347">
        <v>0</v>
      </c>
      <c r="P57" s="318"/>
    </row>
    <row r="58" spans="1:16" ht="16.2" hidden="1">
      <c r="A58" s="480"/>
      <c r="B58" s="343"/>
      <c r="C58" s="344">
        <v>0</v>
      </c>
      <c r="D58" s="344">
        <v>0</v>
      </c>
      <c r="E58" s="344">
        <v>0</v>
      </c>
      <c r="F58" s="344">
        <v>0</v>
      </c>
      <c r="G58" s="344">
        <v>0</v>
      </c>
      <c r="H58" s="344">
        <v>0</v>
      </c>
      <c r="I58" s="344">
        <v>0</v>
      </c>
      <c r="J58" s="344">
        <v>0</v>
      </c>
      <c r="K58" s="344">
        <v>0</v>
      </c>
      <c r="L58" s="344">
        <v>0</v>
      </c>
      <c r="M58" s="344">
        <v>0</v>
      </c>
      <c r="N58" s="344">
        <v>0</v>
      </c>
      <c r="O58" s="347"/>
      <c r="P58" s="318"/>
    </row>
    <row r="59" spans="1:16" hidden="1">
      <c r="A59" s="480"/>
      <c r="B59" s="345"/>
      <c r="C59" s="346">
        <v>0</v>
      </c>
      <c r="D59" s="346">
        <v>0</v>
      </c>
      <c r="E59" s="346">
        <v>0</v>
      </c>
      <c r="F59" s="346">
        <v>0</v>
      </c>
      <c r="G59" s="346">
        <v>0</v>
      </c>
      <c r="H59" s="346">
        <v>0</v>
      </c>
      <c r="I59" s="346">
        <v>0</v>
      </c>
      <c r="J59" s="346">
        <v>0</v>
      </c>
      <c r="K59" s="346">
        <v>0</v>
      </c>
      <c r="L59" s="346">
        <v>0</v>
      </c>
      <c r="M59" s="346">
        <v>0</v>
      </c>
      <c r="N59" s="346">
        <v>0</v>
      </c>
      <c r="O59" s="347">
        <v>0</v>
      </c>
      <c r="P59" s="318"/>
    </row>
    <row r="60" spans="1:16" ht="16.2" hidden="1">
      <c r="A60" s="480"/>
      <c r="B60" s="343"/>
      <c r="C60" s="344">
        <v>0</v>
      </c>
      <c r="D60" s="344">
        <v>0</v>
      </c>
      <c r="E60" s="344">
        <v>0</v>
      </c>
      <c r="F60" s="344">
        <v>0</v>
      </c>
      <c r="G60" s="344">
        <v>0</v>
      </c>
      <c r="H60" s="344">
        <v>0</v>
      </c>
      <c r="I60" s="344">
        <v>0</v>
      </c>
      <c r="J60" s="344">
        <v>0</v>
      </c>
      <c r="K60" s="344">
        <v>0</v>
      </c>
      <c r="L60" s="344">
        <v>0</v>
      </c>
      <c r="M60" s="344">
        <v>0</v>
      </c>
      <c r="N60" s="344">
        <v>0</v>
      </c>
      <c r="O60" s="347"/>
      <c r="P60" s="318"/>
    </row>
    <row r="61" spans="1:16" hidden="1">
      <c r="A61" s="480"/>
      <c r="B61" s="345"/>
      <c r="C61" s="346">
        <v>0</v>
      </c>
      <c r="D61" s="346">
        <v>0</v>
      </c>
      <c r="E61" s="346">
        <v>0</v>
      </c>
      <c r="F61" s="346">
        <v>0</v>
      </c>
      <c r="G61" s="346">
        <v>0</v>
      </c>
      <c r="H61" s="346">
        <v>0</v>
      </c>
      <c r="I61" s="346">
        <v>0</v>
      </c>
      <c r="J61" s="346">
        <v>0</v>
      </c>
      <c r="K61" s="346">
        <v>0</v>
      </c>
      <c r="L61" s="346">
        <v>0</v>
      </c>
      <c r="M61" s="346">
        <v>0</v>
      </c>
      <c r="N61" s="346">
        <v>0</v>
      </c>
      <c r="O61" s="347">
        <v>0</v>
      </c>
      <c r="P61" s="318"/>
    </row>
    <row r="62" spans="1:16" ht="16.2" hidden="1">
      <c r="A62" s="480"/>
      <c r="B62" s="343"/>
      <c r="C62" s="344">
        <v>0</v>
      </c>
      <c r="D62" s="344">
        <v>0</v>
      </c>
      <c r="E62" s="344">
        <v>0</v>
      </c>
      <c r="F62" s="344">
        <v>0</v>
      </c>
      <c r="G62" s="344">
        <v>0</v>
      </c>
      <c r="H62" s="344">
        <v>0</v>
      </c>
      <c r="I62" s="344">
        <v>0</v>
      </c>
      <c r="J62" s="344">
        <v>0</v>
      </c>
      <c r="K62" s="344">
        <v>0</v>
      </c>
      <c r="L62" s="344">
        <v>0</v>
      </c>
      <c r="M62" s="344">
        <v>0</v>
      </c>
      <c r="N62" s="344">
        <v>0</v>
      </c>
      <c r="O62" s="344"/>
      <c r="P62" s="318"/>
    </row>
    <row r="63" spans="1:16" hidden="1">
      <c r="A63" s="480"/>
      <c r="B63" s="345"/>
      <c r="C63" s="346">
        <v>0</v>
      </c>
      <c r="D63" s="346">
        <v>0</v>
      </c>
      <c r="E63" s="346">
        <v>0</v>
      </c>
      <c r="F63" s="346">
        <v>0</v>
      </c>
      <c r="G63" s="346">
        <v>0</v>
      </c>
      <c r="H63" s="346">
        <v>0</v>
      </c>
      <c r="I63" s="346">
        <v>0</v>
      </c>
      <c r="J63" s="346">
        <v>0</v>
      </c>
      <c r="K63" s="346">
        <v>0</v>
      </c>
      <c r="L63" s="346">
        <v>0</v>
      </c>
      <c r="M63" s="346">
        <v>0</v>
      </c>
      <c r="N63" s="346">
        <v>0</v>
      </c>
      <c r="O63" s="347">
        <v>0</v>
      </c>
      <c r="P63" s="318"/>
    </row>
    <row r="64" spans="1:16" ht="16.2" hidden="1">
      <c r="A64" s="480"/>
      <c r="B64" s="343"/>
      <c r="C64" s="344">
        <v>0</v>
      </c>
      <c r="D64" s="344">
        <v>0</v>
      </c>
      <c r="E64" s="344">
        <v>0</v>
      </c>
      <c r="F64" s="344">
        <v>0</v>
      </c>
      <c r="G64" s="344">
        <v>0</v>
      </c>
      <c r="H64" s="344">
        <v>0</v>
      </c>
      <c r="I64" s="344">
        <v>0</v>
      </c>
      <c r="J64" s="344">
        <v>0</v>
      </c>
      <c r="K64" s="344">
        <v>0</v>
      </c>
      <c r="L64" s="344">
        <v>0</v>
      </c>
      <c r="M64" s="344">
        <v>0</v>
      </c>
      <c r="N64" s="344">
        <v>0</v>
      </c>
      <c r="O64" s="344"/>
      <c r="P64" s="318"/>
    </row>
    <row r="65" spans="1:16" hidden="1">
      <c r="A65" s="480"/>
      <c r="B65" s="345"/>
      <c r="C65" s="346">
        <v>0</v>
      </c>
      <c r="D65" s="346">
        <v>0</v>
      </c>
      <c r="E65" s="346">
        <v>0</v>
      </c>
      <c r="F65" s="346">
        <v>0</v>
      </c>
      <c r="G65" s="346">
        <v>0</v>
      </c>
      <c r="H65" s="346">
        <v>0</v>
      </c>
      <c r="I65" s="346">
        <v>0</v>
      </c>
      <c r="J65" s="346">
        <v>0</v>
      </c>
      <c r="K65" s="346">
        <v>0</v>
      </c>
      <c r="L65" s="346">
        <v>0</v>
      </c>
      <c r="M65" s="346">
        <v>0</v>
      </c>
      <c r="N65" s="346">
        <v>0</v>
      </c>
      <c r="O65" s="347">
        <v>0</v>
      </c>
      <c r="P65" s="318"/>
    </row>
    <row r="66" spans="1:16" ht="16.2" hidden="1">
      <c r="A66" s="480"/>
      <c r="B66" s="343"/>
      <c r="C66" s="344">
        <v>0</v>
      </c>
      <c r="D66" s="344">
        <v>0</v>
      </c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/>
      <c r="P66" s="318"/>
    </row>
    <row r="67" spans="1:16" hidden="1">
      <c r="A67" s="480"/>
      <c r="B67" s="345"/>
      <c r="C67" s="346">
        <v>0</v>
      </c>
      <c r="D67" s="346">
        <v>0</v>
      </c>
      <c r="E67" s="346">
        <v>0</v>
      </c>
      <c r="F67" s="346">
        <v>0</v>
      </c>
      <c r="G67" s="346">
        <v>0</v>
      </c>
      <c r="H67" s="346">
        <v>0</v>
      </c>
      <c r="I67" s="346">
        <v>0</v>
      </c>
      <c r="J67" s="346">
        <v>0</v>
      </c>
      <c r="K67" s="346">
        <v>0</v>
      </c>
      <c r="L67" s="346">
        <v>0</v>
      </c>
      <c r="M67" s="346">
        <v>0</v>
      </c>
      <c r="N67" s="346">
        <v>0</v>
      </c>
      <c r="O67" s="347">
        <v>0</v>
      </c>
      <c r="P67" s="318"/>
    </row>
    <row r="68" spans="1:16" ht="16.2" hidden="1">
      <c r="A68" s="480"/>
      <c r="B68" s="343"/>
      <c r="C68" s="344">
        <v>0</v>
      </c>
      <c r="D68" s="344">
        <v>0</v>
      </c>
      <c r="E68" s="344">
        <v>0</v>
      </c>
      <c r="F68" s="344">
        <v>0</v>
      </c>
      <c r="G68" s="344">
        <v>0</v>
      </c>
      <c r="H68" s="344">
        <v>0</v>
      </c>
      <c r="I68" s="344">
        <v>0</v>
      </c>
      <c r="J68" s="344">
        <v>0</v>
      </c>
      <c r="K68" s="344">
        <v>0</v>
      </c>
      <c r="L68" s="344">
        <v>0</v>
      </c>
      <c r="M68" s="344">
        <v>0</v>
      </c>
      <c r="N68" s="344">
        <v>0</v>
      </c>
      <c r="O68" s="344"/>
      <c r="P68" s="318"/>
    </row>
    <row r="69" spans="1:16" hidden="1">
      <c r="A69" s="480"/>
      <c r="B69" s="345"/>
      <c r="C69" s="346">
        <v>0</v>
      </c>
      <c r="D69" s="346">
        <v>0</v>
      </c>
      <c r="E69" s="346">
        <v>0</v>
      </c>
      <c r="F69" s="346">
        <v>0</v>
      </c>
      <c r="G69" s="346">
        <v>0</v>
      </c>
      <c r="H69" s="346">
        <v>0</v>
      </c>
      <c r="I69" s="346">
        <v>0</v>
      </c>
      <c r="J69" s="346">
        <v>0</v>
      </c>
      <c r="K69" s="346">
        <v>0</v>
      </c>
      <c r="L69" s="346">
        <v>0</v>
      </c>
      <c r="M69" s="346">
        <v>0</v>
      </c>
      <c r="N69" s="346">
        <v>0</v>
      </c>
      <c r="O69" s="347">
        <v>0</v>
      </c>
      <c r="P69" s="318"/>
    </row>
    <row r="70" spans="1:16" ht="16.2" hidden="1">
      <c r="A70" s="480"/>
      <c r="B70" s="343"/>
      <c r="C70" s="344">
        <v>0</v>
      </c>
      <c r="D70" s="344">
        <v>0</v>
      </c>
      <c r="E70" s="344">
        <v>0</v>
      </c>
      <c r="F70" s="344">
        <v>0</v>
      </c>
      <c r="G70" s="344">
        <v>0</v>
      </c>
      <c r="H70" s="344">
        <v>0</v>
      </c>
      <c r="I70" s="344">
        <v>0</v>
      </c>
      <c r="J70" s="344">
        <v>0</v>
      </c>
      <c r="K70" s="344">
        <v>0</v>
      </c>
      <c r="L70" s="344">
        <v>0</v>
      </c>
      <c r="M70" s="344">
        <v>0</v>
      </c>
      <c r="N70" s="344">
        <v>0</v>
      </c>
      <c r="O70" s="344"/>
      <c r="P70" s="318"/>
    </row>
    <row r="71" spans="1:16" hidden="1">
      <c r="A71" s="480"/>
      <c r="B71" s="345"/>
      <c r="C71" s="346"/>
      <c r="D71" s="346">
        <v>0</v>
      </c>
      <c r="E71" s="346">
        <v>0</v>
      </c>
      <c r="F71" s="346">
        <v>0</v>
      </c>
      <c r="G71" s="346">
        <v>0</v>
      </c>
      <c r="H71" s="346">
        <v>0</v>
      </c>
      <c r="I71" s="346">
        <v>0</v>
      </c>
      <c r="J71" s="346">
        <v>0</v>
      </c>
      <c r="K71" s="346">
        <v>0</v>
      </c>
      <c r="L71" s="346">
        <v>0</v>
      </c>
      <c r="M71" s="346">
        <v>0</v>
      </c>
      <c r="N71" s="346">
        <v>0</v>
      </c>
      <c r="O71" s="347">
        <v>0</v>
      </c>
      <c r="P71" s="318"/>
    </row>
    <row r="72" spans="1:16">
      <c r="A72" s="480"/>
      <c r="B72" s="345"/>
      <c r="C72" s="348"/>
      <c r="D72" s="348"/>
      <c r="E72" s="348"/>
      <c r="F72" s="348"/>
      <c r="G72" s="348"/>
      <c r="H72" s="586"/>
      <c r="I72" s="348"/>
      <c r="J72" s="348"/>
      <c r="K72" s="348"/>
      <c r="L72" s="348"/>
      <c r="M72" s="348"/>
      <c r="N72" s="348"/>
      <c r="O72" s="348"/>
      <c r="P72" s="318"/>
    </row>
    <row r="73" spans="1:16">
      <c r="A73" s="480"/>
      <c r="B73" s="349"/>
      <c r="C73" s="346">
        <v>0</v>
      </c>
      <c r="D73" s="346">
        <v>0</v>
      </c>
      <c r="E73" s="346">
        <v>0</v>
      </c>
      <c r="F73" s="346"/>
      <c r="G73" s="346">
        <v>0</v>
      </c>
      <c r="H73" s="346">
        <v>0</v>
      </c>
      <c r="I73" s="346">
        <v>0</v>
      </c>
      <c r="J73" s="346">
        <v>0</v>
      </c>
      <c r="K73" s="346">
        <v>0</v>
      </c>
      <c r="L73" s="346">
        <v>0</v>
      </c>
      <c r="M73" s="346">
        <v>0</v>
      </c>
      <c r="N73" s="346">
        <v>0</v>
      </c>
      <c r="O73" s="347">
        <v>0</v>
      </c>
      <c r="P73" s="318"/>
    </row>
    <row r="74" spans="1:16" hidden="1">
      <c r="A74" s="480"/>
      <c r="B74" s="343" t="s">
        <v>316</v>
      </c>
      <c r="C74" s="346">
        <v>0</v>
      </c>
      <c r="D74" s="346">
        <v>0</v>
      </c>
      <c r="E74" s="346">
        <v>0</v>
      </c>
      <c r="F74" s="346">
        <v>0</v>
      </c>
      <c r="G74" s="346">
        <v>0</v>
      </c>
      <c r="H74" s="346">
        <v>0</v>
      </c>
      <c r="I74" s="346">
        <v>0</v>
      </c>
      <c r="J74" s="346">
        <v>0</v>
      </c>
      <c r="K74" s="346">
        <v>0</v>
      </c>
      <c r="L74" s="346">
        <v>0</v>
      </c>
      <c r="M74" s="346">
        <v>0</v>
      </c>
      <c r="N74" s="346">
        <v>0</v>
      </c>
      <c r="O74" s="346"/>
      <c r="P74" s="318"/>
    </row>
    <row r="75" spans="1:16" hidden="1">
      <c r="A75" s="480"/>
      <c r="B75" s="345" t="s">
        <v>317</v>
      </c>
      <c r="C75" s="346">
        <v>0</v>
      </c>
      <c r="D75" s="346">
        <v>0</v>
      </c>
      <c r="E75" s="346">
        <v>0</v>
      </c>
      <c r="F75" s="346">
        <v>0</v>
      </c>
      <c r="G75" s="346">
        <v>0</v>
      </c>
      <c r="H75" s="346">
        <v>0</v>
      </c>
      <c r="I75" s="346">
        <v>0</v>
      </c>
      <c r="J75" s="346">
        <v>0</v>
      </c>
      <c r="K75" s="346">
        <v>0</v>
      </c>
      <c r="L75" s="346">
        <v>0</v>
      </c>
      <c r="M75" s="346">
        <v>0</v>
      </c>
      <c r="N75" s="346">
        <v>0</v>
      </c>
      <c r="O75" s="346">
        <v>0</v>
      </c>
      <c r="P75" s="318"/>
    </row>
    <row r="76" spans="1:16" ht="16.2" hidden="1">
      <c r="A76" s="481"/>
      <c r="B76" s="350" t="s">
        <v>318</v>
      </c>
      <c r="C76" s="344">
        <v>0</v>
      </c>
      <c r="D76" s="344">
        <v>0</v>
      </c>
      <c r="E76" s="344">
        <v>0</v>
      </c>
      <c r="F76" s="344">
        <v>0</v>
      </c>
      <c r="G76" s="344">
        <v>0</v>
      </c>
      <c r="H76" s="344">
        <v>0</v>
      </c>
      <c r="I76" s="344">
        <v>0</v>
      </c>
      <c r="J76" s="344">
        <v>0</v>
      </c>
      <c r="K76" s="344">
        <v>0</v>
      </c>
      <c r="L76" s="344">
        <v>0</v>
      </c>
      <c r="M76" s="344">
        <v>0</v>
      </c>
      <c r="N76" s="344">
        <v>0</v>
      </c>
      <c r="O76" s="344"/>
      <c r="P76" s="318"/>
    </row>
    <row r="77" spans="1:16" hidden="1">
      <c r="A77" s="480"/>
      <c r="B77" s="345" t="s">
        <v>319</v>
      </c>
      <c r="C77" s="346">
        <v>0</v>
      </c>
      <c r="D77" s="346">
        <v>0</v>
      </c>
      <c r="E77" s="346">
        <v>0</v>
      </c>
      <c r="F77" s="346">
        <v>0</v>
      </c>
      <c r="G77" s="346">
        <v>0</v>
      </c>
      <c r="H77" s="346">
        <v>0</v>
      </c>
      <c r="I77" s="346">
        <v>0</v>
      </c>
      <c r="J77" s="346">
        <v>0</v>
      </c>
      <c r="K77" s="346">
        <v>0</v>
      </c>
      <c r="L77" s="346">
        <v>0</v>
      </c>
      <c r="M77" s="346">
        <v>0</v>
      </c>
      <c r="N77" s="346">
        <v>0</v>
      </c>
      <c r="O77" s="346">
        <v>0</v>
      </c>
      <c r="P77" s="318"/>
    </row>
    <row r="78" spans="1:16" ht="16.2" hidden="1">
      <c r="A78" s="481"/>
      <c r="B78" s="350" t="s">
        <v>320</v>
      </c>
      <c r="C78" s="344">
        <v>308333.33333333331</v>
      </c>
      <c r="D78" s="344">
        <v>616666.66666666663</v>
      </c>
      <c r="E78" s="344">
        <v>925000</v>
      </c>
      <c r="F78" s="344">
        <v>1233333.3333333333</v>
      </c>
      <c r="G78" s="344">
        <v>1541666.6666666665</v>
      </c>
      <c r="H78" s="344">
        <v>1849999.9999999998</v>
      </c>
      <c r="I78" s="344">
        <v>2158333.333333333</v>
      </c>
      <c r="J78" s="344">
        <v>2466666.6666666665</v>
      </c>
      <c r="K78" s="344">
        <v>2775000</v>
      </c>
      <c r="L78" s="344">
        <v>3083333.3333333335</v>
      </c>
      <c r="M78" s="344">
        <v>3391666.666666667</v>
      </c>
      <c r="N78" s="344">
        <v>3700000.0000000005</v>
      </c>
      <c r="O78" s="344"/>
      <c r="P78" s="318"/>
    </row>
    <row r="79" spans="1:16" hidden="1">
      <c r="A79" s="480"/>
      <c r="B79" s="345" t="s">
        <v>321</v>
      </c>
      <c r="C79" s="346">
        <v>0</v>
      </c>
      <c r="D79" s="346">
        <v>0</v>
      </c>
      <c r="E79" s="346">
        <v>0</v>
      </c>
      <c r="F79" s="346">
        <v>0</v>
      </c>
      <c r="G79" s="346">
        <v>0</v>
      </c>
      <c r="H79" s="346">
        <v>0</v>
      </c>
      <c r="I79" s="346">
        <v>0</v>
      </c>
      <c r="J79" s="346">
        <v>0</v>
      </c>
      <c r="K79" s="346">
        <v>0</v>
      </c>
      <c r="L79" s="346">
        <v>0</v>
      </c>
      <c r="M79" s="346">
        <v>0</v>
      </c>
      <c r="N79" s="346">
        <v>0</v>
      </c>
      <c r="O79" s="346">
        <v>0</v>
      </c>
      <c r="P79" s="318"/>
    </row>
    <row r="80" spans="1:16" ht="16.2" hidden="1">
      <c r="A80" s="481"/>
      <c r="B80" s="350" t="s">
        <v>322</v>
      </c>
      <c r="C80" s="344">
        <v>0</v>
      </c>
      <c r="D80" s="344">
        <v>0</v>
      </c>
      <c r="E80" s="344">
        <v>0</v>
      </c>
      <c r="F80" s="344">
        <v>0</v>
      </c>
      <c r="G80" s="344">
        <v>0</v>
      </c>
      <c r="H80" s="344">
        <v>0</v>
      </c>
      <c r="I80" s="344">
        <v>0</v>
      </c>
      <c r="J80" s="344">
        <v>0</v>
      </c>
      <c r="K80" s="344">
        <v>0</v>
      </c>
      <c r="L80" s="344">
        <v>0</v>
      </c>
      <c r="M80" s="344">
        <v>0</v>
      </c>
      <c r="N80" s="344">
        <v>0</v>
      </c>
      <c r="O80" s="344"/>
      <c r="P80" s="318"/>
    </row>
    <row r="81" spans="1:16" hidden="1">
      <c r="A81" s="480"/>
      <c r="B81" s="345" t="s">
        <v>323</v>
      </c>
      <c r="C81" s="346">
        <v>0</v>
      </c>
      <c r="D81" s="346">
        <v>0</v>
      </c>
      <c r="E81" s="346">
        <v>0</v>
      </c>
      <c r="F81" s="346">
        <v>0</v>
      </c>
      <c r="G81" s="346">
        <v>0</v>
      </c>
      <c r="H81" s="346">
        <v>0</v>
      </c>
      <c r="I81" s="346">
        <v>0</v>
      </c>
      <c r="J81" s="346">
        <v>0</v>
      </c>
      <c r="K81" s="346">
        <v>0</v>
      </c>
      <c r="L81" s="346">
        <v>0</v>
      </c>
      <c r="M81" s="346">
        <v>0</v>
      </c>
      <c r="N81" s="346">
        <v>0</v>
      </c>
      <c r="O81" s="346">
        <v>0</v>
      </c>
      <c r="P81" s="318"/>
    </row>
    <row r="82" spans="1:16" ht="16.2" hidden="1">
      <c r="A82" s="481"/>
      <c r="B82" s="350" t="s">
        <v>324</v>
      </c>
      <c r="C82" s="344">
        <v>0</v>
      </c>
      <c r="D82" s="344">
        <v>0</v>
      </c>
      <c r="E82" s="344">
        <v>0</v>
      </c>
      <c r="F82" s="344">
        <v>0</v>
      </c>
      <c r="G82" s="344">
        <v>0</v>
      </c>
      <c r="H82" s="344">
        <v>0</v>
      </c>
      <c r="I82" s="344">
        <v>0</v>
      </c>
      <c r="J82" s="344">
        <v>0</v>
      </c>
      <c r="K82" s="344">
        <v>0</v>
      </c>
      <c r="L82" s="344">
        <v>0</v>
      </c>
      <c r="M82" s="344">
        <v>0</v>
      </c>
      <c r="N82" s="344">
        <v>0</v>
      </c>
      <c r="O82" s="344"/>
      <c r="P82" s="318"/>
    </row>
    <row r="83" spans="1:16" hidden="1">
      <c r="A83" s="480"/>
      <c r="B83" s="345" t="s">
        <v>325</v>
      </c>
      <c r="C83" s="346">
        <v>0</v>
      </c>
      <c r="D83" s="346">
        <v>0</v>
      </c>
      <c r="E83" s="346">
        <v>0</v>
      </c>
      <c r="F83" s="346">
        <v>0</v>
      </c>
      <c r="G83" s="346">
        <v>0</v>
      </c>
      <c r="H83" s="346">
        <v>0</v>
      </c>
      <c r="I83" s="346">
        <v>0</v>
      </c>
      <c r="J83" s="346">
        <v>0</v>
      </c>
      <c r="K83" s="346">
        <v>0</v>
      </c>
      <c r="L83" s="346">
        <v>0</v>
      </c>
      <c r="M83" s="346">
        <v>0</v>
      </c>
      <c r="N83" s="346">
        <v>0</v>
      </c>
      <c r="O83" s="346">
        <v>0</v>
      </c>
      <c r="P83" s="318"/>
    </row>
    <row r="84" spans="1:16" ht="16.2" hidden="1">
      <c r="A84" s="481"/>
      <c r="B84" s="350" t="s">
        <v>326</v>
      </c>
      <c r="C84" s="344">
        <v>0</v>
      </c>
      <c r="D84" s="344">
        <v>0</v>
      </c>
      <c r="E84" s="344">
        <v>0</v>
      </c>
      <c r="F84" s="344">
        <v>0</v>
      </c>
      <c r="G84" s="344">
        <v>0</v>
      </c>
      <c r="H84" s="344">
        <v>0</v>
      </c>
      <c r="I84" s="344">
        <v>0</v>
      </c>
      <c r="J84" s="344">
        <v>0</v>
      </c>
      <c r="K84" s="344">
        <v>0</v>
      </c>
      <c r="L84" s="344">
        <v>0</v>
      </c>
      <c r="M84" s="344">
        <v>0</v>
      </c>
      <c r="N84" s="344">
        <v>0</v>
      </c>
      <c r="O84" s="344"/>
      <c r="P84" s="318"/>
    </row>
    <row r="85" spans="1:16" hidden="1">
      <c r="A85" s="480"/>
      <c r="B85" s="345" t="s">
        <v>327</v>
      </c>
      <c r="C85" s="346">
        <v>0</v>
      </c>
      <c r="D85" s="346">
        <v>0</v>
      </c>
      <c r="E85" s="346">
        <v>0</v>
      </c>
      <c r="F85" s="346">
        <v>0</v>
      </c>
      <c r="G85" s="346">
        <v>0</v>
      </c>
      <c r="H85" s="346">
        <v>0</v>
      </c>
      <c r="I85" s="346">
        <v>0</v>
      </c>
      <c r="J85" s="346">
        <v>0</v>
      </c>
      <c r="K85" s="346">
        <v>0</v>
      </c>
      <c r="L85" s="346">
        <v>0</v>
      </c>
      <c r="M85" s="346">
        <v>0</v>
      </c>
      <c r="N85" s="346">
        <v>0</v>
      </c>
      <c r="O85" s="346">
        <v>0</v>
      </c>
      <c r="P85" s="318"/>
    </row>
    <row r="86" spans="1:16" ht="16.2" hidden="1">
      <c r="A86" s="481"/>
      <c r="B86" s="350" t="s">
        <v>328</v>
      </c>
      <c r="C86" s="344">
        <v>0</v>
      </c>
      <c r="D86" s="344">
        <v>0</v>
      </c>
      <c r="E86" s="344">
        <v>0</v>
      </c>
      <c r="F86" s="344">
        <v>0</v>
      </c>
      <c r="G86" s="344">
        <v>0</v>
      </c>
      <c r="H86" s="344">
        <v>0</v>
      </c>
      <c r="I86" s="344">
        <v>0</v>
      </c>
      <c r="J86" s="344">
        <v>0</v>
      </c>
      <c r="K86" s="344">
        <v>0</v>
      </c>
      <c r="L86" s="344">
        <v>0</v>
      </c>
      <c r="M86" s="344">
        <v>0</v>
      </c>
      <c r="N86" s="344">
        <v>0</v>
      </c>
      <c r="O86" s="344"/>
      <c r="P86" s="318"/>
    </row>
    <row r="87" spans="1:16" hidden="1">
      <c r="A87" s="480"/>
      <c r="B87" s="345" t="s">
        <v>329</v>
      </c>
      <c r="C87" s="346">
        <v>0</v>
      </c>
      <c r="D87" s="346">
        <v>0</v>
      </c>
      <c r="E87" s="346">
        <v>0</v>
      </c>
      <c r="F87" s="346">
        <v>0</v>
      </c>
      <c r="G87" s="346">
        <v>0</v>
      </c>
      <c r="H87" s="346">
        <v>0</v>
      </c>
      <c r="I87" s="346">
        <v>0</v>
      </c>
      <c r="J87" s="346">
        <v>0</v>
      </c>
      <c r="K87" s="346">
        <v>0</v>
      </c>
      <c r="L87" s="346">
        <v>0</v>
      </c>
      <c r="M87" s="346">
        <v>0</v>
      </c>
      <c r="N87" s="346">
        <v>0</v>
      </c>
      <c r="O87" s="346">
        <v>0</v>
      </c>
      <c r="P87" s="318"/>
    </row>
    <row r="88" spans="1:16" ht="16.2" hidden="1">
      <c r="A88" s="481"/>
      <c r="B88" s="350" t="s">
        <v>330</v>
      </c>
      <c r="C88" s="344">
        <v>0</v>
      </c>
      <c r="D88" s="344">
        <v>0</v>
      </c>
      <c r="E88" s="344">
        <v>0</v>
      </c>
      <c r="F88" s="344">
        <v>0</v>
      </c>
      <c r="G88" s="344">
        <v>0</v>
      </c>
      <c r="H88" s="344">
        <v>0</v>
      </c>
      <c r="I88" s="344">
        <v>0</v>
      </c>
      <c r="J88" s="344">
        <v>0</v>
      </c>
      <c r="K88" s="344">
        <v>0</v>
      </c>
      <c r="L88" s="344">
        <v>0</v>
      </c>
      <c r="M88" s="344">
        <v>0</v>
      </c>
      <c r="N88" s="344">
        <v>0</v>
      </c>
      <c r="O88" s="344"/>
      <c r="P88" s="318"/>
    </row>
    <row r="89" spans="1:16" hidden="1">
      <c r="A89" s="480"/>
      <c r="B89" s="345" t="s">
        <v>331</v>
      </c>
      <c r="C89" s="346">
        <v>0</v>
      </c>
      <c r="D89" s="346">
        <v>0</v>
      </c>
      <c r="E89" s="346">
        <v>0</v>
      </c>
      <c r="F89" s="346">
        <v>0</v>
      </c>
      <c r="G89" s="346">
        <v>0</v>
      </c>
      <c r="H89" s="346">
        <v>0</v>
      </c>
      <c r="I89" s="346">
        <v>0</v>
      </c>
      <c r="J89" s="346">
        <v>0</v>
      </c>
      <c r="K89" s="346">
        <v>0</v>
      </c>
      <c r="L89" s="346">
        <v>0</v>
      </c>
      <c r="M89" s="346">
        <v>0</v>
      </c>
      <c r="N89" s="346">
        <v>0</v>
      </c>
      <c r="O89" s="346">
        <v>0</v>
      </c>
      <c r="P89" s="318"/>
    </row>
    <row r="90" spans="1:16" ht="16.2" hidden="1">
      <c r="A90" s="481"/>
      <c r="B90" s="350" t="s">
        <v>332</v>
      </c>
      <c r="C90" s="344">
        <v>0</v>
      </c>
      <c r="D90" s="344">
        <v>0</v>
      </c>
      <c r="E90" s="344">
        <v>0</v>
      </c>
      <c r="F90" s="344">
        <v>0</v>
      </c>
      <c r="G90" s="344">
        <v>0</v>
      </c>
      <c r="H90" s="344">
        <v>0</v>
      </c>
      <c r="I90" s="344">
        <v>0</v>
      </c>
      <c r="J90" s="344">
        <v>0</v>
      </c>
      <c r="K90" s="344">
        <v>0</v>
      </c>
      <c r="L90" s="344">
        <v>0</v>
      </c>
      <c r="M90" s="344">
        <v>0</v>
      </c>
      <c r="N90" s="344">
        <v>0</v>
      </c>
      <c r="O90" s="344"/>
      <c r="P90" s="318"/>
    </row>
    <row r="91" spans="1:16" hidden="1">
      <c r="A91" s="480"/>
      <c r="B91" s="345" t="s">
        <v>333</v>
      </c>
      <c r="C91" s="346">
        <v>0</v>
      </c>
      <c r="D91" s="346">
        <v>0</v>
      </c>
      <c r="E91" s="346">
        <v>0</v>
      </c>
      <c r="F91" s="346">
        <v>0</v>
      </c>
      <c r="G91" s="346">
        <v>0</v>
      </c>
      <c r="H91" s="346">
        <v>0</v>
      </c>
      <c r="I91" s="346">
        <v>0</v>
      </c>
      <c r="J91" s="346">
        <v>0</v>
      </c>
      <c r="K91" s="346">
        <v>0</v>
      </c>
      <c r="L91" s="346">
        <v>0</v>
      </c>
      <c r="M91" s="346">
        <v>0</v>
      </c>
      <c r="N91" s="346">
        <v>0</v>
      </c>
      <c r="O91" s="346">
        <v>0</v>
      </c>
      <c r="P91" s="318"/>
    </row>
    <row r="92" spans="1:16" ht="16.2" hidden="1">
      <c r="A92" s="481"/>
      <c r="B92" s="350" t="s">
        <v>334</v>
      </c>
      <c r="C92" s="344">
        <v>0</v>
      </c>
      <c r="D92" s="344">
        <v>0</v>
      </c>
      <c r="E92" s="344">
        <v>0</v>
      </c>
      <c r="F92" s="344">
        <v>0</v>
      </c>
      <c r="G92" s="344">
        <v>0</v>
      </c>
      <c r="H92" s="344">
        <v>0</v>
      </c>
      <c r="I92" s="344">
        <v>0</v>
      </c>
      <c r="J92" s="344">
        <v>0</v>
      </c>
      <c r="K92" s="344">
        <v>0</v>
      </c>
      <c r="L92" s="344">
        <v>0</v>
      </c>
      <c r="M92" s="344">
        <v>0</v>
      </c>
      <c r="N92" s="344">
        <v>0</v>
      </c>
      <c r="O92" s="344"/>
      <c r="P92" s="318"/>
    </row>
    <row r="93" spans="1:16" hidden="1">
      <c r="A93" s="480"/>
      <c r="B93" s="345" t="s">
        <v>335</v>
      </c>
      <c r="C93" s="346">
        <v>0</v>
      </c>
      <c r="D93" s="346">
        <v>0</v>
      </c>
      <c r="E93" s="346">
        <v>0</v>
      </c>
      <c r="F93" s="346">
        <v>0</v>
      </c>
      <c r="G93" s="346">
        <v>0</v>
      </c>
      <c r="H93" s="346">
        <v>0</v>
      </c>
      <c r="I93" s="346">
        <v>0</v>
      </c>
      <c r="J93" s="346">
        <v>0</v>
      </c>
      <c r="K93" s="346">
        <v>0</v>
      </c>
      <c r="L93" s="346">
        <v>0</v>
      </c>
      <c r="M93" s="346">
        <v>0</v>
      </c>
      <c r="N93" s="346">
        <v>0</v>
      </c>
      <c r="O93" s="346">
        <v>0</v>
      </c>
      <c r="P93" s="318"/>
    </row>
    <row r="94" spans="1:16" ht="16.2" hidden="1">
      <c r="A94" s="481"/>
      <c r="B94" s="350" t="s">
        <v>336</v>
      </c>
      <c r="C94" s="344">
        <v>0</v>
      </c>
      <c r="D94" s="344">
        <v>0</v>
      </c>
      <c r="E94" s="344">
        <v>0</v>
      </c>
      <c r="F94" s="344">
        <v>0</v>
      </c>
      <c r="G94" s="344">
        <v>0</v>
      </c>
      <c r="H94" s="344">
        <v>0</v>
      </c>
      <c r="I94" s="344">
        <v>0</v>
      </c>
      <c r="J94" s="344">
        <v>0</v>
      </c>
      <c r="K94" s="344">
        <v>0</v>
      </c>
      <c r="L94" s="344">
        <v>0</v>
      </c>
      <c r="M94" s="344">
        <v>0</v>
      </c>
      <c r="N94" s="344">
        <v>0</v>
      </c>
      <c r="O94" s="344"/>
      <c r="P94" s="318"/>
    </row>
    <row r="95" spans="1:16" hidden="1">
      <c r="A95" s="480"/>
      <c r="B95" s="345" t="s">
        <v>337</v>
      </c>
      <c r="C95" s="346">
        <v>0</v>
      </c>
      <c r="D95" s="346">
        <v>0</v>
      </c>
      <c r="E95" s="346">
        <v>0</v>
      </c>
      <c r="F95" s="346">
        <v>0</v>
      </c>
      <c r="G95" s="346">
        <v>0</v>
      </c>
      <c r="H95" s="346">
        <v>0</v>
      </c>
      <c r="I95" s="346">
        <v>0</v>
      </c>
      <c r="J95" s="346">
        <v>0</v>
      </c>
      <c r="K95" s="346">
        <v>0</v>
      </c>
      <c r="L95" s="346">
        <v>0</v>
      </c>
      <c r="M95" s="346">
        <v>0</v>
      </c>
      <c r="N95" s="346">
        <v>0</v>
      </c>
      <c r="O95" s="346">
        <v>0</v>
      </c>
      <c r="P95" s="318"/>
    </row>
    <row r="96" spans="1:16" ht="16.2" hidden="1">
      <c r="A96" s="481"/>
      <c r="B96" s="350" t="s">
        <v>338</v>
      </c>
      <c r="C96" s="344">
        <v>0</v>
      </c>
      <c r="D96" s="344">
        <v>0</v>
      </c>
      <c r="E96" s="344">
        <v>0</v>
      </c>
      <c r="F96" s="344">
        <v>0</v>
      </c>
      <c r="G96" s="344">
        <v>0</v>
      </c>
      <c r="H96" s="344">
        <v>0</v>
      </c>
      <c r="I96" s="344">
        <v>0</v>
      </c>
      <c r="J96" s="344">
        <v>0</v>
      </c>
      <c r="K96" s="344">
        <v>0</v>
      </c>
      <c r="L96" s="344">
        <v>0</v>
      </c>
      <c r="M96" s="344">
        <v>0</v>
      </c>
      <c r="N96" s="344">
        <v>0</v>
      </c>
      <c r="O96" s="344"/>
      <c r="P96" s="318"/>
    </row>
    <row r="97" spans="1:16" hidden="1">
      <c r="A97" s="480"/>
      <c r="B97" s="345" t="s">
        <v>339</v>
      </c>
      <c r="C97" s="346">
        <v>0</v>
      </c>
      <c r="D97" s="346">
        <v>0</v>
      </c>
      <c r="E97" s="346">
        <v>0</v>
      </c>
      <c r="F97" s="346">
        <v>0</v>
      </c>
      <c r="G97" s="346">
        <v>0</v>
      </c>
      <c r="H97" s="346">
        <v>0</v>
      </c>
      <c r="I97" s="346">
        <v>0</v>
      </c>
      <c r="J97" s="346">
        <v>0</v>
      </c>
      <c r="K97" s="346">
        <v>0</v>
      </c>
      <c r="L97" s="346">
        <v>0</v>
      </c>
      <c r="M97" s="346">
        <v>0</v>
      </c>
      <c r="N97" s="346">
        <v>0</v>
      </c>
      <c r="O97" s="346">
        <v>0</v>
      </c>
      <c r="P97" s="318"/>
    </row>
    <row r="98" spans="1:16" ht="16.2" hidden="1">
      <c r="A98" s="481"/>
      <c r="B98" s="350" t="s">
        <v>340</v>
      </c>
      <c r="C98" s="344">
        <v>0</v>
      </c>
      <c r="D98" s="344">
        <v>0</v>
      </c>
      <c r="E98" s="344">
        <v>0</v>
      </c>
      <c r="F98" s="344">
        <v>0</v>
      </c>
      <c r="G98" s="344">
        <v>0</v>
      </c>
      <c r="H98" s="344">
        <v>0</v>
      </c>
      <c r="I98" s="344">
        <v>0</v>
      </c>
      <c r="J98" s="344">
        <v>0</v>
      </c>
      <c r="K98" s="344">
        <v>0</v>
      </c>
      <c r="L98" s="344">
        <v>0</v>
      </c>
      <c r="M98" s="344">
        <v>0</v>
      </c>
      <c r="N98" s="344">
        <v>0</v>
      </c>
      <c r="O98" s="344"/>
      <c r="P98" s="318"/>
    </row>
    <row r="99" spans="1:16" hidden="1">
      <c r="A99" s="480"/>
      <c r="B99" s="345" t="s">
        <v>341</v>
      </c>
      <c r="C99" s="346">
        <v>0</v>
      </c>
      <c r="D99" s="346">
        <v>0</v>
      </c>
      <c r="E99" s="346">
        <v>0</v>
      </c>
      <c r="F99" s="346">
        <v>0</v>
      </c>
      <c r="G99" s="346">
        <v>0</v>
      </c>
      <c r="H99" s="346">
        <v>0</v>
      </c>
      <c r="I99" s="346">
        <v>0</v>
      </c>
      <c r="J99" s="346">
        <v>0</v>
      </c>
      <c r="K99" s="346">
        <v>0</v>
      </c>
      <c r="L99" s="346">
        <v>0</v>
      </c>
      <c r="M99" s="346">
        <v>0</v>
      </c>
      <c r="N99" s="346">
        <v>0</v>
      </c>
      <c r="O99" s="346">
        <v>0</v>
      </c>
      <c r="P99" s="318"/>
    </row>
    <row r="100" spans="1:16" ht="16.2" hidden="1">
      <c r="A100" s="481"/>
      <c r="B100" s="350" t="s">
        <v>342</v>
      </c>
      <c r="C100" s="344">
        <v>0</v>
      </c>
      <c r="D100" s="344">
        <v>0</v>
      </c>
      <c r="E100" s="344">
        <v>0</v>
      </c>
      <c r="F100" s="344">
        <v>0</v>
      </c>
      <c r="G100" s="344">
        <v>0</v>
      </c>
      <c r="H100" s="344">
        <v>0</v>
      </c>
      <c r="I100" s="344">
        <v>0</v>
      </c>
      <c r="J100" s="344">
        <v>0</v>
      </c>
      <c r="K100" s="344">
        <v>0</v>
      </c>
      <c r="L100" s="344">
        <v>0</v>
      </c>
      <c r="M100" s="344">
        <v>0</v>
      </c>
      <c r="N100" s="344">
        <v>0</v>
      </c>
      <c r="O100" s="344"/>
      <c r="P100" s="318"/>
    </row>
    <row r="101" spans="1:16" hidden="1">
      <c r="A101" s="480"/>
      <c r="B101" s="345" t="s">
        <v>343</v>
      </c>
      <c r="C101" s="346">
        <v>0</v>
      </c>
      <c r="D101" s="346">
        <v>0</v>
      </c>
      <c r="E101" s="346">
        <v>0</v>
      </c>
      <c r="F101" s="346">
        <v>0</v>
      </c>
      <c r="G101" s="346">
        <v>0</v>
      </c>
      <c r="H101" s="346">
        <v>0</v>
      </c>
      <c r="I101" s="346">
        <v>0</v>
      </c>
      <c r="J101" s="346">
        <v>0</v>
      </c>
      <c r="K101" s="346">
        <v>0</v>
      </c>
      <c r="L101" s="346">
        <v>0</v>
      </c>
      <c r="M101" s="346">
        <v>0</v>
      </c>
      <c r="N101" s="346">
        <v>0</v>
      </c>
      <c r="O101" s="346">
        <v>0</v>
      </c>
      <c r="P101" s="318"/>
    </row>
    <row r="102" spans="1:16" ht="16.2" hidden="1">
      <c r="A102" s="481"/>
      <c r="B102" s="350" t="s">
        <v>344</v>
      </c>
      <c r="C102" s="344">
        <v>0</v>
      </c>
      <c r="D102" s="344">
        <v>0</v>
      </c>
      <c r="E102" s="344">
        <v>0</v>
      </c>
      <c r="F102" s="344">
        <v>0</v>
      </c>
      <c r="G102" s="344">
        <v>0</v>
      </c>
      <c r="H102" s="344">
        <v>0</v>
      </c>
      <c r="I102" s="344">
        <v>0</v>
      </c>
      <c r="J102" s="344">
        <v>0</v>
      </c>
      <c r="K102" s="344">
        <v>0</v>
      </c>
      <c r="L102" s="344">
        <v>0</v>
      </c>
      <c r="M102" s="344">
        <v>0</v>
      </c>
      <c r="N102" s="344">
        <v>0</v>
      </c>
      <c r="O102" s="344"/>
      <c r="P102" s="318"/>
    </row>
    <row r="103" spans="1:16" hidden="1">
      <c r="A103" s="480"/>
      <c r="B103" s="345" t="s">
        <v>345</v>
      </c>
      <c r="C103" s="346">
        <v>0</v>
      </c>
      <c r="D103" s="346">
        <v>0</v>
      </c>
      <c r="E103" s="346">
        <v>0</v>
      </c>
      <c r="F103" s="346">
        <v>0</v>
      </c>
      <c r="G103" s="346">
        <v>0</v>
      </c>
      <c r="H103" s="346">
        <v>0</v>
      </c>
      <c r="I103" s="346">
        <v>0</v>
      </c>
      <c r="J103" s="346">
        <v>0</v>
      </c>
      <c r="K103" s="346">
        <v>0</v>
      </c>
      <c r="L103" s="346">
        <v>0</v>
      </c>
      <c r="M103" s="346">
        <v>0</v>
      </c>
      <c r="N103" s="346">
        <v>0</v>
      </c>
      <c r="O103" s="346">
        <v>0</v>
      </c>
      <c r="P103" s="318"/>
    </row>
    <row r="104" spans="1:16" ht="16.2" hidden="1">
      <c r="A104" s="481"/>
      <c r="B104" s="350" t="s">
        <v>346</v>
      </c>
      <c r="C104" s="344">
        <v>0</v>
      </c>
      <c r="D104" s="344">
        <v>0</v>
      </c>
      <c r="E104" s="344">
        <v>0</v>
      </c>
      <c r="F104" s="344">
        <v>0</v>
      </c>
      <c r="G104" s="344">
        <v>0</v>
      </c>
      <c r="H104" s="344">
        <v>0</v>
      </c>
      <c r="I104" s="344">
        <v>0</v>
      </c>
      <c r="J104" s="344">
        <v>0</v>
      </c>
      <c r="K104" s="344">
        <v>0</v>
      </c>
      <c r="L104" s="344">
        <v>0</v>
      </c>
      <c r="M104" s="344">
        <v>0</v>
      </c>
      <c r="N104" s="344">
        <v>0</v>
      </c>
      <c r="O104" s="344"/>
      <c r="P104" s="318"/>
    </row>
    <row r="105" spans="1:16" hidden="1">
      <c r="A105" s="480"/>
      <c r="B105" s="345" t="s">
        <v>347</v>
      </c>
      <c r="C105" s="346">
        <v>0</v>
      </c>
      <c r="D105" s="346">
        <v>0</v>
      </c>
      <c r="E105" s="346">
        <v>0</v>
      </c>
      <c r="F105" s="346">
        <v>0</v>
      </c>
      <c r="G105" s="346">
        <v>0</v>
      </c>
      <c r="H105" s="346">
        <v>0</v>
      </c>
      <c r="I105" s="346">
        <v>0</v>
      </c>
      <c r="J105" s="346">
        <v>0</v>
      </c>
      <c r="K105" s="346">
        <v>0</v>
      </c>
      <c r="L105" s="346">
        <v>0</v>
      </c>
      <c r="M105" s="346">
        <v>0</v>
      </c>
      <c r="N105" s="346">
        <v>0</v>
      </c>
      <c r="O105" s="346">
        <v>0</v>
      </c>
      <c r="P105" s="318"/>
    </row>
    <row r="106" spans="1:16" ht="16.2" hidden="1">
      <c r="A106" s="481"/>
      <c r="B106" s="350" t="s">
        <v>348</v>
      </c>
      <c r="C106" s="344">
        <v>0</v>
      </c>
      <c r="D106" s="344">
        <v>0</v>
      </c>
      <c r="E106" s="344">
        <v>0</v>
      </c>
      <c r="F106" s="344">
        <v>0</v>
      </c>
      <c r="G106" s="344">
        <v>0</v>
      </c>
      <c r="H106" s="344">
        <v>0</v>
      </c>
      <c r="I106" s="344">
        <v>0</v>
      </c>
      <c r="J106" s="344">
        <v>0</v>
      </c>
      <c r="K106" s="344">
        <v>0</v>
      </c>
      <c r="L106" s="344">
        <v>0</v>
      </c>
      <c r="M106" s="344">
        <v>0</v>
      </c>
      <c r="N106" s="344">
        <v>0</v>
      </c>
      <c r="O106" s="344"/>
      <c r="P106" s="318"/>
    </row>
    <row r="107" spans="1:16" hidden="1">
      <c r="A107" s="480"/>
      <c r="B107" s="345" t="s">
        <v>349</v>
      </c>
      <c r="C107" s="346">
        <v>0</v>
      </c>
      <c r="D107" s="346">
        <v>0</v>
      </c>
      <c r="E107" s="346">
        <v>0</v>
      </c>
      <c r="F107" s="346">
        <v>0</v>
      </c>
      <c r="G107" s="346">
        <v>0</v>
      </c>
      <c r="H107" s="346">
        <v>0</v>
      </c>
      <c r="I107" s="346">
        <v>0</v>
      </c>
      <c r="J107" s="346">
        <v>0</v>
      </c>
      <c r="K107" s="346">
        <v>0</v>
      </c>
      <c r="L107" s="346">
        <v>0</v>
      </c>
      <c r="M107" s="346">
        <v>0</v>
      </c>
      <c r="N107" s="346">
        <v>0</v>
      </c>
      <c r="O107" s="346">
        <v>0</v>
      </c>
      <c r="P107" s="318"/>
    </row>
    <row r="108" spans="1:16" ht="16.2" hidden="1">
      <c r="A108" s="481"/>
      <c r="B108" s="350" t="s">
        <v>350</v>
      </c>
      <c r="C108" s="344">
        <v>0</v>
      </c>
      <c r="D108" s="344">
        <v>0</v>
      </c>
      <c r="E108" s="344">
        <v>0</v>
      </c>
      <c r="F108" s="344">
        <v>0</v>
      </c>
      <c r="G108" s="344">
        <v>0</v>
      </c>
      <c r="H108" s="344">
        <v>0</v>
      </c>
      <c r="I108" s="344">
        <v>0</v>
      </c>
      <c r="J108" s="344">
        <v>0</v>
      </c>
      <c r="K108" s="344">
        <v>0</v>
      </c>
      <c r="L108" s="344">
        <v>0</v>
      </c>
      <c r="M108" s="344">
        <v>0</v>
      </c>
      <c r="N108" s="344">
        <v>0</v>
      </c>
      <c r="O108" s="344"/>
      <c r="P108" s="318"/>
    </row>
    <row r="109" spans="1:16" hidden="1">
      <c r="A109" s="480"/>
      <c r="B109" s="345" t="s">
        <v>351</v>
      </c>
      <c r="C109" s="346">
        <v>0</v>
      </c>
      <c r="D109" s="346">
        <v>0</v>
      </c>
      <c r="E109" s="346">
        <v>0</v>
      </c>
      <c r="F109" s="346">
        <v>0</v>
      </c>
      <c r="G109" s="346">
        <v>0</v>
      </c>
      <c r="H109" s="346">
        <v>0</v>
      </c>
      <c r="I109" s="346">
        <v>0</v>
      </c>
      <c r="J109" s="346">
        <v>0</v>
      </c>
      <c r="K109" s="346">
        <v>0</v>
      </c>
      <c r="L109" s="346">
        <v>0</v>
      </c>
      <c r="M109" s="346">
        <v>0</v>
      </c>
      <c r="N109" s="346">
        <v>0</v>
      </c>
      <c r="O109" s="346">
        <v>0</v>
      </c>
      <c r="P109" s="318"/>
    </row>
    <row r="110" spans="1:16" hidden="1">
      <c r="A110" s="480"/>
      <c r="B110" s="351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46"/>
      <c r="P110" s="318"/>
    </row>
    <row r="111" spans="1:16" hidden="1">
      <c r="A111" s="480"/>
      <c r="B111" s="351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46"/>
      <c r="P111" s="318"/>
    </row>
    <row r="112" spans="1:16" hidden="1">
      <c r="A112" s="480"/>
      <c r="B112" s="351"/>
      <c r="C112" s="352"/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46"/>
      <c r="P112" s="318"/>
    </row>
    <row r="113" spans="1:16" hidden="1">
      <c r="A113" s="480"/>
      <c r="B113" s="351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46"/>
      <c r="P113" s="318"/>
    </row>
    <row r="114" spans="1:16" hidden="1">
      <c r="A114" s="480"/>
      <c r="B114" s="353" t="s">
        <v>267</v>
      </c>
      <c r="C114" s="347">
        <v>0</v>
      </c>
      <c r="D114" s="347">
        <v>0</v>
      </c>
      <c r="E114" s="347">
        <v>0</v>
      </c>
      <c r="F114" s="347">
        <v>0</v>
      </c>
      <c r="G114" s="347">
        <v>0</v>
      </c>
      <c r="H114" s="347">
        <v>0</v>
      </c>
      <c r="I114" s="347">
        <v>0</v>
      </c>
      <c r="J114" s="347">
        <v>0</v>
      </c>
      <c r="K114" s="347">
        <v>0</v>
      </c>
      <c r="L114" s="347">
        <v>0</v>
      </c>
      <c r="M114" s="347">
        <v>0</v>
      </c>
      <c r="N114" s="347">
        <v>0</v>
      </c>
      <c r="O114" s="347">
        <v>0</v>
      </c>
      <c r="P114" s="318"/>
    </row>
    <row r="115" spans="1:16" hidden="1">
      <c r="A115" s="480"/>
      <c r="B115" s="351" t="s">
        <v>352</v>
      </c>
      <c r="C115" s="346">
        <v>0</v>
      </c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>
        <v>0</v>
      </c>
      <c r="P115" s="318"/>
    </row>
    <row r="116" spans="1:16" hidden="1">
      <c r="A116" s="480"/>
      <c r="B116" s="351">
        <v>0</v>
      </c>
      <c r="C116" s="346">
        <v>0</v>
      </c>
      <c r="D116" s="346">
        <v>0</v>
      </c>
      <c r="E116" s="346">
        <v>0</v>
      </c>
      <c r="F116" s="346">
        <v>0</v>
      </c>
      <c r="G116" s="346">
        <v>0</v>
      </c>
      <c r="H116" s="346">
        <v>0</v>
      </c>
      <c r="I116" s="346">
        <v>0</v>
      </c>
      <c r="J116" s="346">
        <v>0</v>
      </c>
      <c r="K116" s="346">
        <v>0</v>
      </c>
      <c r="L116" s="346">
        <v>0</v>
      </c>
      <c r="M116" s="346">
        <v>0</v>
      </c>
      <c r="N116" s="346">
        <v>0</v>
      </c>
      <c r="O116" s="346">
        <v>0</v>
      </c>
      <c r="P116" s="318"/>
    </row>
    <row r="117" spans="1:16" hidden="1">
      <c r="A117" s="480"/>
      <c r="B117" s="351">
        <v>0</v>
      </c>
      <c r="C117" s="346">
        <v>0</v>
      </c>
      <c r="D117" s="346">
        <v>0</v>
      </c>
      <c r="E117" s="346">
        <v>0</v>
      </c>
      <c r="F117" s="346">
        <v>0</v>
      </c>
      <c r="G117" s="346">
        <v>0</v>
      </c>
      <c r="H117" s="346">
        <v>0</v>
      </c>
      <c r="I117" s="346">
        <v>0</v>
      </c>
      <c r="J117" s="346">
        <v>0</v>
      </c>
      <c r="K117" s="346">
        <v>0</v>
      </c>
      <c r="L117" s="346">
        <v>0</v>
      </c>
      <c r="M117" s="346">
        <v>0</v>
      </c>
      <c r="N117" s="346">
        <v>0</v>
      </c>
      <c r="O117" s="346">
        <v>0</v>
      </c>
      <c r="P117" s="318"/>
    </row>
    <row r="118" spans="1:16" hidden="1">
      <c r="A118" s="480"/>
      <c r="B118" s="351">
        <v>0</v>
      </c>
      <c r="C118" s="346">
        <v>0</v>
      </c>
      <c r="D118" s="346">
        <v>0</v>
      </c>
      <c r="E118" s="346">
        <v>0</v>
      </c>
      <c r="F118" s="346">
        <v>0</v>
      </c>
      <c r="G118" s="346">
        <v>0</v>
      </c>
      <c r="H118" s="346">
        <v>0</v>
      </c>
      <c r="I118" s="346">
        <v>0</v>
      </c>
      <c r="J118" s="346">
        <v>0</v>
      </c>
      <c r="K118" s="346">
        <v>0</v>
      </c>
      <c r="L118" s="346">
        <v>0</v>
      </c>
      <c r="M118" s="346">
        <v>0</v>
      </c>
      <c r="N118" s="346">
        <v>0</v>
      </c>
      <c r="O118" s="346">
        <v>0</v>
      </c>
      <c r="P118" s="318"/>
    </row>
    <row r="119" spans="1:16" hidden="1">
      <c r="A119" s="480"/>
      <c r="B119" s="351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18"/>
    </row>
    <row r="120" spans="1:16" hidden="1">
      <c r="A120" s="480"/>
      <c r="B120" s="351"/>
      <c r="C120" s="352"/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46"/>
      <c r="P120" s="318"/>
    </row>
    <row r="121" spans="1:16" hidden="1">
      <c r="A121" s="480"/>
      <c r="B121" s="351"/>
      <c r="C121" s="352"/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46"/>
      <c r="P121" s="318"/>
    </row>
    <row r="122" spans="1:16" hidden="1">
      <c r="A122" s="480"/>
      <c r="B122" s="351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18"/>
    </row>
    <row r="123" spans="1:16" hidden="1">
      <c r="A123" s="480"/>
      <c r="B123" s="351" t="s">
        <v>353</v>
      </c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18"/>
    </row>
    <row r="124" spans="1:16" hidden="1">
      <c r="A124" s="480"/>
      <c r="B124" s="351"/>
      <c r="C124" s="352"/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18"/>
    </row>
    <row r="125" spans="1:16" hidden="1">
      <c r="A125" s="482"/>
      <c r="B125" s="354" t="s">
        <v>354</v>
      </c>
      <c r="C125" s="355">
        <v>31</v>
      </c>
      <c r="D125" s="355">
        <v>28</v>
      </c>
      <c r="E125" s="355">
        <v>31</v>
      </c>
      <c r="F125" s="355">
        <v>30</v>
      </c>
      <c r="G125" s="355">
        <v>31</v>
      </c>
      <c r="H125" s="355">
        <v>30</v>
      </c>
      <c r="I125" s="355">
        <v>31</v>
      </c>
      <c r="J125" s="355">
        <v>31</v>
      </c>
      <c r="K125" s="355">
        <v>30</v>
      </c>
      <c r="L125" s="355">
        <v>31</v>
      </c>
      <c r="M125" s="355">
        <v>30</v>
      </c>
      <c r="N125" s="355">
        <v>31</v>
      </c>
      <c r="O125" s="356">
        <v>0</v>
      </c>
      <c r="P125" s="318"/>
    </row>
    <row r="126" spans="1:16" hidden="1">
      <c r="A126" s="480"/>
      <c r="B126" s="351"/>
      <c r="C126" s="352"/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18"/>
    </row>
    <row r="127" spans="1:16" hidden="1">
      <c r="A127" s="480"/>
      <c r="B127" s="345" t="s">
        <v>352</v>
      </c>
      <c r="C127" s="352">
        <v>0</v>
      </c>
      <c r="D127" s="352">
        <v>0</v>
      </c>
      <c r="E127" s="352">
        <v>0</v>
      </c>
      <c r="F127" s="352">
        <v>0</v>
      </c>
      <c r="G127" s="352">
        <v>0</v>
      </c>
      <c r="H127" s="352">
        <v>0</v>
      </c>
      <c r="I127" s="352">
        <v>0</v>
      </c>
      <c r="J127" s="352">
        <v>0</v>
      </c>
      <c r="K127" s="352">
        <v>0</v>
      </c>
      <c r="L127" s="352">
        <v>0</v>
      </c>
      <c r="M127" s="352">
        <v>0</v>
      </c>
      <c r="N127" s="352">
        <v>0</v>
      </c>
      <c r="O127" s="352">
        <v>0</v>
      </c>
      <c r="P127" s="318"/>
    </row>
    <row r="128" spans="1:16" hidden="1">
      <c r="A128" s="480"/>
      <c r="B128" s="345">
        <v>0</v>
      </c>
      <c r="C128" s="352">
        <v>0</v>
      </c>
      <c r="D128" s="352">
        <v>0</v>
      </c>
      <c r="E128" s="352">
        <v>0</v>
      </c>
      <c r="F128" s="352">
        <v>0</v>
      </c>
      <c r="G128" s="352">
        <v>0</v>
      </c>
      <c r="H128" s="352">
        <v>0</v>
      </c>
      <c r="I128" s="352">
        <v>0</v>
      </c>
      <c r="J128" s="352">
        <v>0</v>
      </c>
      <c r="K128" s="352">
        <v>0</v>
      </c>
      <c r="L128" s="352">
        <v>0</v>
      </c>
      <c r="M128" s="352">
        <v>0</v>
      </c>
      <c r="N128" s="352">
        <v>0</v>
      </c>
      <c r="O128" s="352">
        <v>0</v>
      </c>
      <c r="P128" s="318"/>
    </row>
    <row r="129" spans="1:16" hidden="1">
      <c r="A129" s="480"/>
      <c r="B129" s="345">
        <v>0</v>
      </c>
      <c r="C129" s="352"/>
      <c r="D129" s="352"/>
      <c r="E129" s="352"/>
      <c r="F129" s="352"/>
      <c r="G129" s="352"/>
      <c r="H129" s="352"/>
      <c r="I129" s="352"/>
      <c r="J129" s="352"/>
      <c r="K129" s="352"/>
      <c r="L129" s="352"/>
      <c r="M129" s="352"/>
      <c r="N129" s="352">
        <v>0</v>
      </c>
      <c r="O129" s="352">
        <v>0</v>
      </c>
      <c r="P129" s="318"/>
    </row>
    <row r="130" spans="1:16" hidden="1">
      <c r="A130" s="480"/>
      <c r="B130" s="345">
        <v>0</v>
      </c>
      <c r="C130" s="352">
        <v>0</v>
      </c>
      <c r="D130" s="352">
        <v>0</v>
      </c>
      <c r="E130" s="352">
        <v>0</v>
      </c>
      <c r="F130" s="352">
        <v>0</v>
      </c>
      <c r="G130" s="352">
        <v>0</v>
      </c>
      <c r="H130" s="352">
        <v>0</v>
      </c>
      <c r="I130" s="352">
        <v>0</v>
      </c>
      <c r="J130" s="352">
        <v>0</v>
      </c>
      <c r="K130" s="352">
        <v>0</v>
      </c>
      <c r="L130" s="352">
        <v>0</v>
      </c>
      <c r="M130" s="352">
        <v>0</v>
      </c>
      <c r="N130" s="352">
        <v>0</v>
      </c>
      <c r="O130" s="352">
        <v>0</v>
      </c>
      <c r="P130" s="318"/>
    </row>
    <row r="131" spans="1:16" hidden="1">
      <c r="A131" s="480"/>
      <c r="B131" s="345"/>
      <c r="C131" s="352"/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>
        <v>0</v>
      </c>
      <c r="P131" s="318"/>
    </row>
    <row r="132" spans="1:16" hidden="1">
      <c r="A132" s="480"/>
      <c r="B132" s="345"/>
      <c r="C132" s="352"/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>
        <v>0</v>
      </c>
      <c r="P132" s="318"/>
    </row>
    <row r="133" spans="1:16" hidden="1">
      <c r="A133" s="480"/>
      <c r="B133" s="357" t="s">
        <v>355</v>
      </c>
      <c r="C133" s="352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>
        <v>0</v>
      </c>
      <c r="P133" s="318"/>
    </row>
    <row r="134" spans="1:16" hidden="1">
      <c r="A134" s="480"/>
      <c r="B134" s="345">
        <v>0</v>
      </c>
      <c r="C134" s="352">
        <v>0</v>
      </c>
      <c r="D134" s="352">
        <v>0</v>
      </c>
      <c r="E134" s="352">
        <v>0</v>
      </c>
      <c r="F134" s="352">
        <v>0</v>
      </c>
      <c r="G134" s="352">
        <v>0</v>
      </c>
      <c r="H134" s="352">
        <v>0</v>
      </c>
      <c r="I134" s="352">
        <v>0</v>
      </c>
      <c r="J134" s="352">
        <v>0</v>
      </c>
      <c r="K134" s="352">
        <v>0</v>
      </c>
      <c r="L134" s="352">
        <v>0</v>
      </c>
      <c r="M134" s="352">
        <v>0</v>
      </c>
      <c r="N134" s="352">
        <v>0</v>
      </c>
      <c r="O134" s="352">
        <v>0</v>
      </c>
      <c r="P134" s="318"/>
    </row>
    <row r="135" spans="1:16" hidden="1">
      <c r="A135" s="480"/>
      <c r="B135" s="345">
        <v>0</v>
      </c>
      <c r="C135" s="352">
        <v>0</v>
      </c>
      <c r="D135" s="352">
        <v>0</v>
      </c>
      <c r="E135" s="352">
        <v>0</v>
      </c>
      <c r="F135" s="352">
        <v>0</v>
      </c>
      <c r="G135" s="352">
        <v>0</v>
      </c>
      <c r="H135" s="352">
        <v>0</v>
      </c>
      <c r="I135" s="352">
        <v>0</v>
      </c>
      <c r="J135" s="352">
        <v>0</v>
      </c>
      <c r="K135" s="352">
        <v>0</v>
      </c>
      <c r="L135" s="352">
        <v>0</v>
      </c>
      <c r="M135" s="352">
        <v>0</v>
      </c>
      <c r="N135" s="352">
        <v>0</v>
      </c>
      <c r="O135" s="352">
        <v>0</v>
      </c>
      <c r="P135" s="318"/>
    </row>
    <row r="136" spans="1:16" hidden="1">
      <c r="A136" s="480"/>
      <c r="B136" s="345">
        <v>0</v>
      </c>
      <c r="C136" s="352">
        <v>0</v>
      </c>
      <c r="D136" s="352">
        <v>0</v>
      </c>
      <c r="E136" s="352">
        <v>0</v>
      </c>
      <c r="F136" s="352">
        <v>0</v>
      </c>
      <c r="G136" s="352">
        <v>0</v>
      </c>
      <c r="H136" s="352">
        <v>0</v>
      </c>
      <c r="I136" s="352">
        <v>0</v>
      </c>
      <c r="J136" s="352">
        <v>0</v>
      </c>
      <c r="K136" s="352">
        <v>0</v>
      </c>
      <c r="L136" s="352">
        <v>0</v>
      </c>
      <c r="M136" s="352">
        <v>0</v>
      </c>
      <c r="N136" s="352">
        <v>0</v>
      </c>
      <c r="O136" s="352">
        <v>0</v>
      </c>
      <c r="P136" s="318"/>
    </row>
    <row r="137" spans="1:16" hidden="1">
      <c r="A137" s="480"/>
      <c r="B137" s="345">
        <v>0</v>
      </c>
      <c r="C137" s="352">
        <v>0</v>
      </c>
      <c r="D137" s="352">
        <v>0</v>
      </c>
      <c r="E137" s="352">
        <v>0</v>
      </c>
      <c r="F137" s="352">
        <v>0</v>
      </c>
      <c r="G137" s="352">
        <v>0</v>
      </c>
      <c r="H137" s="352">
        <v>0</v>
      </c>
      <c r="I137" s="352">
        <v>0</v>
      </c>
      <c r="J137" s="352">
        <v>0</v>
      </c>
      <c r="K137" s="352">
        <v>0</v>
      </c>
      <c r="L137" s="352">
        <v>0</v>
      </c>
      <c r="M137" s="352">
        <v>0</v>
      </c>
      <c r="N137" s="352">
        <v>0</v>
      </c>
      <c r="O137" s="352">
        <v>0</v>
      </c>
      <c r="P137" s="318"/>
    </row>
    <row r="138" spans="1:16" hidden="1">
      <c r="A138" s="480"/>
      <c r="B138" s="345">
        <v>0</v>
      </c>
      <c r="C138" s="352">
        <v>0</v>
      </c>
      <c r="D138" s="352">
        <v>0</v>
      </c>
      <c r="E138" s="352">
        <v>0</v>
      </c>
      <c r="F138" s="352">
        <v>0</v>
      </c>
      <c r="G138" s="352">
        <v>0</v>
      </c>
      <c r="H138" s="352">
        <v>0</v>
      </c>
      <c r="I138" s="352">
        <v>0</v>
      </c>
      <c r="J138" s="352">
        <v>0</v>
      </c>
      <c r="K138" s="352">
        <v>0</v>
      </c>
      <c r="L138" s="352">
        <v>0</v>
      </c>
      <c r="M138" s="352">
        <v>0</v>
      </c>
      <c r="N138" s="352">
        <v>0</v>
      </c>
      <c r="O138" s="352">
        <v>0</v>
      </c>
      <c r="P138" s="318"/>
    </row>
    <row r="139" spans="1:16" hidden="1">
      <c r="A139" s="480"/>
      <c r="B139" s="345">
        <v>0</v>
      </c>
      <c r="C139" s="352">
        <v>0</v>
      </c>
      <c r="D139" s="352">
        <v>0</v>
      </c>
      <c r="E139" s="352">
        <v>0</v>
      </c>
      <c r="F139" s="352">
        <v>0</v>
      </c>
      <c r="G139" s="352">
        <v>0</v>
      </c>
      <c r="H139" s="352">
        <v>0</v>
      </c>
      <c r="I139" s="352">
        <v>0</v>
      </c>
      <c r="J139" s="352">
        <v>0</v>
      </c>
      <c r="K139" s="352">
        <v>0</v>
      </c>
      <c r="L139" s="352">
        <v>0</v>
      </c>
      <c r="M139" s="352">
        <v>0</v>
      </c>
      <c r="N139" s="352">
        <v>0</v>
      </c>
      <c r="O139" s="352">
        <v>0</v>
      </c>
      <c r="P139" s="318"/>
    </row>
    <row r="140" spans="1:16" hidden="1">
      <c r="A140" s="480"/>
      <c r="B140" s="345">
        <v>0</v>
      </c>
      <c r="C140" s="352">
        <v>0</v>
      </c>
      <c r="D140" s="352">
        <v>0</v>
      </c>
      <c r="E140" s="352">
        <v>0</v>
      </c>
      <c r="F140" s="352">
        <v>0</v>
      </c>
      <c r="G140" s="352">
        <v>0</v>
      </c>
      <c r="H140" s="352">
        <v>0</v>
      </c>
      <c r="I140" s="352">
        <v>0</v>
      </c>
      <c r="J140" s="352">
        <v>0</v>
      </c>
      <c r="K140" s="352">
        <v>0</v>
      </c>
      <c r="L140" s="352">
        <v>0</v>
      </c>
      <c r="M140" s="352">
        <v>0</v>
      </c>
      <c r="N140" s="352">
        <v>0</v>
      </c>
      <c r="O140" s="352">
        <v>0</v>
      </c>
      <c r="P140" s="318"/>
    </row>
    <row r="141" spans="1:16" hidden="1">
      <c r="A141" s="480"/>
      <c r="B141" s="345">
        <v>0</v>
      </c>
      <c r="C141" s="352">
        <v>0</v>
      </c>
      <c r="D141" s="352">
        <v>0</v>
      </c>
      <c r="E141" s="352">
        <v>0</v>
      </c>
      <c r="F141" s="352">
        <v>0</v>
      </c>
      <c r="G141" s="352">
        <v>0</v>
      </c>
      <c r="H141" s="352">
        <v>0</v>
      </c>
      <c r="I141" s="352">
        <v>0</v>
      </c>
      <c r="J141" s="352">
        <v>0</v>
      </c>
      <c r="K141" s="352">
        <v>0</v>
      </c>
      <c r="L141" s="352">
        <v>0</v>
      </c>
      <c r="M141" s="352">
        <v>0</v>
      </c>
      <c r="N141" s="352">
        <v>0</v>
      </c>
      <c r="O141" s="352">
        <v>0</v>
      </c>
      <c r="P141" s="318"/>
    </row>
    <row r="142" spans="1:16" hidden="1">
      <c r="A142" s="480"/>
      <c r="B142" s="345">
        <v>0</v>
      </c>
      <c r="C142" s="352">
        <v>0</v>
      </c>
      <c r="D142" s="352">
        <v>0</v>
      </c>
      <c r="E142" s="352">
        <v>0</v>
      </c>
      <c r="F142" s="352">
        <v>0</v>
      </c>
      <c r="G142" s="352">
        <v>0</v>
      </c>
      <c r="H142" s="352">
        <v>0</v>
      </c>
      <c r="I142" s="352">
        <v>0</v>
      </c>
      <c r="J142" s="352">
        <v>0</v>
      </c>
      <c r="K142" s="352">
        <v>0</v>
      </c>
      <c r="L142" s="352">
        <v>0</v>
      </c>
      <c r="M142" s="352">
        <v>0</v>
      </c>
      <c r="N142" s="352">
        <v>0</v>
      </c>
      <c r="O142" s="352">
        <v>0</v>
      </c>
      <c r="P142" s="318"/>
    </row>
    <row r="143" spans="1:16" hidden="1">
      <c r="A143" s="480"/>
      <c r="B143" s="345">
        <v>0</v>
      </c>
      <c r="C143" s="352">
        <v>0</v>
      </c>
      <c r="D143" s="352">
        <v>0</v>
      </c>
      <c r="E143" s="352">
        <v>0</v>
      </c>
      <c r="F143" s="352">
        <v>0</v>
      </c>
      <c r="G143" s="352">
        <v>0</v>
      </c>
      <c r="H143" s="352">
        <v>0</v>
      </c>
      <c r="I143" s="352">
        <v>0</v>
      </c>
      <c r="J143" s="352">
        <v>0</v>
      </c>
      <c r="K143" s="352">
        <v>0</v>
      </c>
      <c r="L143" s="352">
        <v>0</v>
      </c>
      <c r="M143" s="352">
        <v>0</v>
      </c>
      <c r="N143" s="352">
        <v>0</v>
      </c>
      <c r="O143" s="352">
        <v>0</v>
      </c>
      <c r="P143" s="318"/>
    </row>
    <row r="144" spans="1:16" hidden="1">
      <c r="A144" s="480"/>
      <c r="B144" s="345">
        <v>0</v>
      </c>
      <c r="C144" s="352">
        <v>0</v>
      </c>
      <c r="D144" s="352">
        <v>0</v>
      </c>
      <c r="E144" s="352">
        <v>0</v>
      </c>
      <c r="F144" s="352">
        <v>0</v>
      </c>
      <c r="G144" s="352">
        <v>0</v>
      </c>
      <c r="H144" s="352">
        <v>0</v>
      </c>
      <c r="I144" s="352">
        <v>0</v>
      </c>
      <c r="J144" s="352">
        <v>0</v>
      </c>
      <c r="K144" s="352">
        <v>0</v>
      </c>
      <c r="L144" s="352">
        <v>0</v>
      </c>
      <c r="M144" s="352">
        <v>0</v>
      </c>
      <c r="N144" s="352">
        <v>0</v>
      </c>
      <c r="O144" s="352">
        <v>0</v>
      </c>
      <c r="P144" s="318"/>
    </row>
    <row r="145" spans="1:16" hidden="1">
      <c r="A145" s="480"/>
      <c r="B145" s="345">
        <v>0</v>
      </c>
      <c r="C145" s="352">
        <v>0</v>
      </c>
      <c r="D145" s="352">
        <v>0</v>
      </c>
      <c r="E145" s="352">
        <v>0</v>
      </c>
      <c r="F145" s="352">
        <v>0</v>
      </c>
      <c r="G145" s="352">
        <v>0</v>
      </c>
      <c r="H145" s="352">
        <v>0</v>
      </c>
      <c r="I145" s="352">
        <v>0</v>
      </c>
      <c r="J145" s="352">
        <v>0</v>
      </c>
      <c r="K145" s="352">
        <v>0</v>
      </c>
      <c r="L145" s="352">
        <v>0</v>
      </c>
      <c r="M145" s="352">
        <v>0</v>
      </c>
      <c r="N145" s="352">
        <v>0</v>
      </c>
      <c r="O145" s="352">
        <v>0</v>
      </c>
      <c r="P145" s="318"/>
    </row>
    <row r="146" spans="1:16" hidden="1">
      <c r="A146" s="480"/>
      <c r="B146" s="345">
        <v>0</v>
      </c>
      <c r="C146" s="352">
        <v>0</v>
      </c>
      <c r="D146" s="352">
        <v>0</v>
      </c>
      <c r="E146" s="352">
        <v>0</v>
      </c>
      <c r="F146" s="352">
        <v>0</v>
      </c>
      <c r="G146" s="352">
        <v>0</v>
      </c>
      <c r="H146" s="352">
        <v>0</v>
      </c>
      <c r="I146" s="352">
        <v>0</v>
      </c>
      <c r="J146" s="352">
        <v>0</v>
      </c>
      <c r="K146" s="352">
        <v>0</v>
      </c>
      <c r="L146" s="352">
        <v>0</v>
      </c>
      <c r="M146" s="352">
        <v>0</v>
      </c>
      <c r="N146" s="352">
        <v>0</v>
      </c>
      <c r="O146" s="352">
        <v>0</v>
      </c>
      <c r="P146" s="318"/>
    </row>
    <row r="147" spans="1:16" hidden="1">
      <c r="A147" s="480"/>
      <c r="B147" s="345">
        <v>0</v>
      </c>
      <c r="C147" s="352">
        <v>0</v>
      </c>
      <c r="D147" s="352">
        <v>0</v>
      </c>
      <c r="E147" s="352">
        <v>0</v>
      </c>
      <c r="F147" s="352">
        <v>0</v>
      </c>
      <c r="G147" s="352">
        <v>0</v>
      </c>
      <c r="H147" s="352">
        <v>0</v>
      </c>
      <c r="I147" s="352">
        <v>0</v>
      </c>
      <c r="J147" s="352">
        <v>0</v>
      </c>
      <c r="K147" s="352">
        <v>0</v>
      </c>
      <c r="L147" s="352">
        <v>0</v>
      </c>
      <c r="M147" s="352">
        <v>0</v>
      </c>
      <c r="N147" s="352">
        <v>0</v>
      </c>
      <c r="O147" s="352">
        <v>0</v>
      </c>
      <c r="P147" s="318"/>
    </row>
    <row r="148" spans="1:16" hidden="1">
      <c r="A148" s="480"/>
      <c r="B148" s="345">
        <v>0</v>
      </c>
      <c r="C148" s="352">
        <v>0</v>
      </c>
      <c r="D148" s="352">
        <v>0</v>
      </c>
      <c r="E148" s="352">
        <v>0</v>
      </c>
      <c r="F148" s="352">
        <v>0</v>
      </c>
      <c r="G148" s="352">
        <v>0</v>
      </c>
      <c r="H148" s="352">
        <v>0</v>
      </c>
      <c r="I148" s="352">
        <v>0</v>
      </c>
      <c r="J148" s="352">
        <v>0</v>
      </c>
      <c r="K148" s="352">
        <v>0</v>
      </c>
      <c r="L148" s="352">
        <v>0</v>
      </c>
      <c r="M148" s="352">
        <v>0</v>
      </c>
      <c r="N148" s="352">
        <v>0</v>
      </c>
      <c r="O148" s="352">
        <v>0</v>
      </c>
      <c r="P148" s="318"/>
    </row>
    <row r="149" spans="1:16" hidden="1">
      <c r="A149" s="480"/>
      <c r="B149" s="345">
        <v>0</v>
      </c>
      <c r="C149" s="352">
        <v>0</v>
      </c>
      <c r="D149" s="352">
        <v>0</v>
      </c>
      <c r="E149" s="352">
        <v>0</v>
      </c>
      <c r="F149" s="352">
        <v>0</v>
      </c>
      <c r="G149" s="352">
        <v>0</v>
      </c>
      <c r="H149" s="352">
        <v>0</v>
      </c>
      <c r="I149" s="352">
        <v>0</v>
      </c>
      <c r="J149" s="352">
        <v>0</v>
      </c>
      <c r="K149" s="352">
        <v>0</v>
      </c>
      <c r="L149" s="352">
        <v>0</v>
      </c>
      <c r="M149" s="352">
        <v>0</v>
      </c>
      <c r="N149" s="352">
        <v>0</v>
      </c>
      <c r="O149" s="352">
        <v>0</v>
      </c>
      <c r="P149" s="318"/>
    </row>
    <row r="150" spans="1:16" hidden="1">
      <c r="A150" s="480"/>
      <c r="B150" s="345">
        <v>0</v>
      </c>
      <c r="C150" s="352">
        <v>0</v>
      </c>
      <c r="D150" s="352">
        <v>0</v>
      </c>
      <c r="E150" s="352">
        <v>0</v>
      </c>
      <c r="F150" s="352">
        <v>0</v>
      </c>
      <c r="G150" s="352">
        <v>0</v>
      </c>
      <c r="H150" s="352">
        <v>0</v>
      </c>
      <c r="I150" s="352">
        <v>0</v>
      </c>
      <c r="J150" s="352">
        <v>0</v>
      </c>
      <c r="K150" s="352">
        <v>0</v>
      </c>
      <c r="L150" s="352">
        <v>0</v>
      </c>
      <c r="M150" s="352">
        <v>0</v>
      </c>
      <c r="N150" s="352">
        <v>0</v>
      </c>
      <c r="O150" s="352">
        <v>0</v>
      </c>
      <c r="P150" s="318"/>
    </row>
    <row r="151" spans="1:16" hidden="1">
      <c r="A151" s="480"/>
      <c r="B151" s="345">
        <v>0</v>
      </c>
      <c r="C151" s="352">
        <v>0</v>
      </c>
      <c r="D151" s="352">
        <v>0</v>
      </c>
      <c r="E151" s="352">
        <v>0</v>
      </c>
      <c r="F151" s="352">
        <v>0</v>
      </c>
      <c r="G151" s="352">
        <v>0</v>
      </c>
      <c r="H151" s="352">
        <v>0</v>
      </c>
      <c r="I151" s="352">
        <v>0</v>
      </c>
      <c r="J151" s="352">
        <v>0</v>
      </c>
      <c r="K151" s="352">
        <v>0</v>
      </c>
      <c r="L151" s="352">
        <v>0</v>
      </c>
      <c r="M151" s="352">
        <v>0</v>
      </c>
      <c r="N151" s="352">
        <v>0</v>
      </c>
      <c r="O151" s="352">
        <v>0</v>
      </c>
      <c r="P151" s="318"/>
    </row>
    <row r="152" spans="1:16" hidden="1">
      <c r="A152" s="480"/>
      <c r="B152" s="345">
        <v>0</v>
      </c>
      <c r="C152" s="352">
        <v>0</v>
      </c>
      <c r="D152" s="352">
        <v>0</v>
      </c>
      <c r="E152" s="352">
        <v>0</v>
      </c>
      <c r="F152" s="352">
        <v>0</v>
      </c>
      <c r="G152" s="352">
        <v>0</v>
      </c>
      <c r="H152" s="352">
        <v>0</v>
      </c>
      <c r="I152" s="352">
        <v>0</v>
      </c>
      <c r="J152" s="352">
        <v>0</v>
      </c>
      <c r="K152" s="352">
        <v>0</v>
      </c>
      <c r="L152" s="352">
        <v>0</v>
      </c>
      <c r="M152" s="352">
        <v>0</v>
      </c>
      <c r="N152" s="352">
        <v>0</v>
      </c>
      <c r="O152" s="352">
        <v>0</v>
      </c>
      <c r="P152" s="318"/>
    </row>
    <row r="153" spans="1:16" hidden="1">
      <c r="A153" s="480"/>
      <c r="B153" s="351"/>
      <c r="C153" s="352"/>
      <c r="D153" s="352"/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2"/>
      <c r="P153" s="318"/>
    </row>
    <row r="154" spans="1:16" hidden="1">
      <c r="A154" s="482"/>
      <c r="B154" s="354" t="s">
        <v>354</v>
      </c>
      <c r="C154" s="355">
        <v>31</v>
      </c>
      <c r="D154" s="355">
        <v>28</v>
      </c>
      <c r="E154" s="355">
        <v>31</v>
      </c>
      <c r="F154" s="355">
        <v>30</v>
      </c>
      <c r="G154" s="355">
        <v>31</v>
      </c>
      <c r="H154" s="355">
        <v>30</v>
      </c>
      <c r="I154" s="355">
        <v>31</v>
      </c>
      <c r="J154" s="355">
        <v>31</v>
      </c>
      <c r="K154" s="355">
        <v>30</v>
      </c>
      <c r="L154" s="355">
        <v>31</v>
      </c>
      <c r="M154" s="355">
        <v>30</v>
      </c>
      <c r="N154" s="355">
        <v>31</v>
      </c>
      <c r="O154" s="356">
        <v>0</v>
      </c>
      <c r="P154" s="318"/>
    </row>
    <row r="155" spans="1:16" hidden="1">
      <c r="A155" s="480"/>
      <c r="B155" s="351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18"/>
    </row>
    <row r="156" spans="1:16" hidden="1">
      <c r="A156" s="480"/>
      <c r="B156" s="345" t="s">
        <v>352</v>
      </c>
      <c r="C156" s="352">
        <v>0</v>
      </c>
      <c r="D156" s="352">
        <v>0</v>
      </c>
      <c r="E156" s="352">
        <v>0</v>
      </c>
      <c r="F156" s="352">
        <v>0</v>
      </c>
      <c r="G156" s="352">
        <v>0</v>
      </c>
      <c r="H156" s="352">
        <v>0</v>
      </c>
      <c r="I156" s="352">
        <v>0</v>
      </c>
      <c r="J156" s="352">
        <v>0</v>
      </c>
      <c r="K156" s="352">
        <v>0</v>
      </c>
      <c r="L156" s="352">
        <v>0</v>
      </c>
      <c r="M156" s="352">
        <v>0</v>
      </c>
      <c r="N156" s="352">
        <v>0</v>
      </c>
      <c r="O156" s="352">
        <v>0</v>
      </c>
      <c r="P156" s="318"/>
    </row>
    <row r="157" spans="1:16" hidden="1">
      <c r="A157" s="480"/>
      <c r="B157" s="345">
        <v>0</v>
      </c>
      <c r="C157" s="352">
        <v>0</v>
      </c>
      <c r="D157" s="352">
        <v>0</v>
      </c>
      <c r="E157" s="352">
        <v>0</v>
      </c>
      <c r="F157" s="352">
        <v>0</v>
      </c>
      <c r="G157" s="352">
        <v>0</v>
      </c>
      <c r="H157" s="352">
        <v>0</v>
      </c>
      <c r="I157" s="352">
        <v>0</v>
      </c>
      <c r="J157" s="352">
        <v>0</v>
      </c>
      <c r="K157" s="352">
        <v>0</v>
      </c>
      <c r="L157" s="352">
        <v>0</v>
      </c>
      <c r="M157" s="352">
        <v>0</v>
      </c>
      <c r="N157" s="352">
        <v>0</v>
      </c>
      <c r="O157" s="352">
        <v>0</v>
      </c>
      <c r="P157" s="318"/>
    </row>
    <row r="158" spans="1:16" hidden="1">
      <c r="A158" s="480"/>
      <c r="B158" s="345">
        <v>0</v>
      </c>
      <c r="C158" s="352">
        <v>0</v>
      </c>
      <c r="D158" s="352">
        <v>0</v>
      </c>
      <c r="E158" s="352">
        <v>0</v>
      </c>
      <c r="F158" s="352">
        <v>0</v>
      </c>
      <c r="G158" s="352">
        <v>0</v>
      </c>
      <c r="H158" s="352">
        <v>0</v>
      </c>
      <c r="I158" s="352">
        <v>0</v>
      </c>
      <c r="J158" s="352">
        <v>0</v>
      </c>
      <c r="K158" s="352">
        <v>0</v>
      </c>
      <c r="L158" s="352">
        <v>0</v>
      </c>
      <c r="M158" s="352">
        <v>0</v>
      </c>
      <c r="N158" s="352">
        <v>0</v>
      </c>
      <c r="O158" s="352">
        <v>0</v>
      </c>
      <c r="P158" s="318"/>
    </row>
    <row r="159" spans="1:16" hidden="1">
      <c r="A159" s="480"/>
      <c r="B159" s="345">
        <v>0</v>
      </c>
      <c r="C159" s="352">
        <v>0</v>
      </c>
      <c r="D159" s="352">
        <v>0</v>
      </c>
      <c r="E159" s="352">
        <v>0</v>
      </c>
      <c r="F159" s="352">
        <v>0</v>
      </c>
      <c r="G159" s="352">
        <v>0</v>
      </c>
      <c r="H159" s="352">
        <v>0</v>
      </c>
      <c r="I159" s="352">
        <v>0</v>
      </c>
      <c r="J159" s="352">
        <v>0</v>
      </c>
      <c r="K159" s="352">
        <v>0</v>
      </c>
      <c r="L159" s="352">
        <v>0</v>
      </c>
      <c r="M159" s="352">
        <v>0</v>
      </c>
      <c r="N159" s="352">
        <v>0</v>
      </c>
      <c r="O159" s="352">
        <v>0</v>
      </c>
      <c r="P159" s="318"/>
    </row>
    <row r="160" spans="1:16" hidden="1">
      <c r="A160" s="480"/>
      <c r="B160" s="345"/>
      <c r="C160" s="352"/>
      <c r="D160" s="352"/>
      <c r="E160" s="352"/>
      <c r="F160" s="352"/>
      <c r="G160" s="352"/>
      <c r="H160" s="352"/>
      <c r="I160" s="352"/>
      <c r="J160" s="352"/>
      <c r="K160" s="352"/>
      <c r="L160" s="352"/>
      <c r="M160" s="352"/>
      <c r="N160" s="352"/>
      <c r="O160" s="352"/>
      <c r="P160" s="318"/>
    </row>
    <row r="161" spans="1:16" hidden="1">
      <c r="A161" s="480"/>
      <c r="B161" s="345"/>
      <c r="C161" s="352"/>
      <c r="D161" s="352"/>
      <c r="E161" s="352"/>
      <c r="F161" s="352"/>
      <c r="G161" s="352"/>
      <c r="H161" s="352"/>
      <c r="I161" s="352"/>
      <c r="J161" s="352"/>
      <c r="K161" s="352"/>
      <c r="L161" s="352"/>
      <c r="M161" s="352"/>
      <c r="N161" s="352"/>
      <c r="O161" s="352"/>
      <c r="P161" s="318"/>
    </row>
    <row r="162" spans="1:16" hidden="1">
      <c r="A162" s="480"/>
      <c r="B162" s="357" t="s">
        <v>355</v>
      </c>
      <c r="C162" s="352">
        <v>0</v>
      </c>
      <c r="D162" s="352">
        <v>0</v>
      </c>
      <c r="E162" s="352">
        <v>0</v>
      </c>
      <c r="F162" s="352">
        <v>0</v>
      </c>
      <c r="G162" s="352">
        <v>0</v>
      </c>
      <c r="H162" s="352">
        <v>0</v>
      </c>
      <c r="I162" s="352">
        <v>0</v>
      </c>
      <c r="J162" s="352">
        <v>0</v>
      </c>
      <c r="K162" s="352">
        <v>0</v>
      </c>
      <c r="L162" s="352">
        <v>0</v>
      </c>
      <c r="M162" s="352">
        <v>0</v>
      </c>
      <c r="N162" s="352">
        <v>0</v>
      </c>
      <c r="O162" s="352"/>
      <c r="P162" s="318"/>
    </row>
    <row r="163" spans="1:16" hidden="1">
      <c r="A163" s="480"/>
      <c r="B163" s="345">
        <v>0</v>
      </c>
      <c r="C163" s="352">
        <v>0</v>
      </c>
      <c r="D163" s="352">
        <v>0</v>
      </c>
      <c r="E163" s="352">
        <v>0</v>
      </c>
      <c r="F163" s="352">
        <v>0</v>
      </c>
      <c r="G163" s="352">
        <v>0</v>
      </c>
      <c r="H163" s="352">
        <v>0</v>
      </c>
      <c r="I163" s="352">
        <v>0</v>
      </c>
      <c r="J163" s="352">
        <v>0</v>
      </c>
      <c r="K163" s="352">
        <v>0</v>
      </c>
      <c r="L163" s="352">
        <v>0</v>
      </c>
      <c r="M163" s="352">
        <v>0</v>
      </c>
      <c r="N163" s="352">
        <v>0</v>
      </c>
      <c r="O163" s="352">
        <v>0</v>
      </c>
      <c r="P163" s="318"/>
    </row>
    <row r="164" spans="1:16" hidden="1">
      <c r="A164" s="480"/>
      <c r="B164" s="345">
        <v>0</v>
      </c>
      <c r="C164" s="352">
        <v>0</v>
      </c>
      <c r="D164" s="352">
        <v>0</v>
      </c>
      <c r="E164" s="352">
        <v>0</v>
      </c>
      <c r="F164" s="352">
        <v>0</v>
      </c>
      <c r="G164" s="352">
        <v>0</v>
      </c>
      <c r="H164" s="352">
        <v>0</v>
      </c>
      <c r="I164" s="352">
        <v>0</v>
      </c>
      <c r="J164" s="352">
        <v>0</v>
      </c>
      <c r="K164" s="352">
        <v>0</v>
      </c>
      <c r="L164" s="352">
        <v>0</v>
      </c>
      <c r="M164" s="352">
        <v>0</v>
      </c>
      <c r="N164" s="352">
        <v>0</v>
      </c>
      <c r="O164" s="352">
        <v>0</v>
      </c>
      <c r="P164" s="318"/>
    </row>
    <row r="165" spans="1:16" hidden="1">
      <c r="A165" s="480"/>
      <c r="B165" s="345">
        <v>0</v>
      </c>
      <c r="C165" s="352">
        <v>0</v>
      </c>
      <c r="D165" s="352">
        <v>0</v>
      </c>
      <c r="E165" s="352">
        <v>0</v>
      </c>
      <c r="F165" s="352">
        <v>0</v>
      </c>
      <c r="G165" s="352">
        <v>0</v>
      </c>
      <c r="H165" s="352">
        <v>0</v>
      </c>
      <c r="I165" s="352">
        <v>0</v>
      </c>
      <c r="J165" s="352">
        <v>0</v>
      </c>
      <c r="K165" s="352">
        <v>0</v>
      </c>
      <c r="L165" s="352">
        <v>0</v>
      </c>
      <c r="M165" s="352">
        <v>0</v>
      </c>
      <c r="N165" s="352">
        <v>0</v>
      </c>
      <c r="O165" s="352">
        <v>0</v>
      </c>
      <c r="P165" s="318"/>
    </row>
    <row r="166" spans="1:16" hidden="1">
      <c r="A166" s="480"/>
      <c r="B166" s="345">
        <v>0</v>
      </c>
      <c r="C166" s="352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>
        <v>0</v>
      </c>
      <c r="P166" s="318"/>
    </row>
    <row r="167" spans="1:16" hidden="1">
      <c r="A167" s="480"/>
      <c r="B167" s="345">
        <v>0</v>
      </c>
      <c r="C167" s="352">
        <v>0</v>
      </c>
      <c r="D167" s="352">
        <v>0</v>
      </c>
      <c r="E167" s="352">
        <v>0</v>
      </c>
      <c r="F167" s="352">
        <v>0</v>
      </c>
      <c r="G167" s="352">
        <v>0</v>
      </c>
      <c r="H167" s="352">
        <v>0</v>
      </c>
      <c r="I167" s="352">
        <v>0</v>
      </c>
      <c r="J167" s="352">
        <v>0</v>
      </c>
      <c r="K167" s="352">
        <v>0</v>
      </c>
      <c r="L167" s="352">
        <v>0</v>
      </c>
      <c r="M167" s="352">
        <v>0</v>
      </c>
      <c r="N167" s="352">
        <v>0</v>
      </c>
      <c r="O167" s="352">
        <v>0</v>
      </c>
      <c r="P167" s="318"/>
    </row>
    <row r="168" spans="1:16" hidden="1">
      <c r="A168" s="480"/>
      <c r="B168" s="345">
        <v>0</v>
      </c>
      <c r="C168" s="352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>
        <v>0</v>
      </c>
      <c r="J168" s="352">
        <v>0</v>
      </c>
      <c r="K168" s="352">
        <v>0</v>
      </c>
      <c r="L168" s="352">
        <v>0</v>
      </c>
      <c r="M168" s="352">
        <v>0</v>
      </c>
      <c r="N168" s="352">
        <v>0</v>
      </c>
      <c r="O168" s="352">
        <v>0</v>
      </c>
      <c r="P168" s="318"/>
    </row>
    <row r="169" spans="1:16" hidden="1">
      <c r="A169" s="480"/>
      <c r="B169" s="345">
        <v>0</v>
      </c>
      <c r="C169" s="352">
        <v>0</v>
      </c>
      <c r="D169" s="352">
        <v>0</v>
      </c>
      <c r="E169" s="352">
        <v>0</v>
      </c>
      <c r="F169" s="352">
        <v>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>
        <v>0</v>
      </c>
      <c r="O169" s="352">
        <v>0</v>
      </c>
      <c r="P169" s="318"/>
    </row>
    <row r="170" spans="1:16" hidden="1">
      <c r="A170" s="480"/>
      <c r="B170" s="345">
        <v>0</v>
      </c>
      <c r="C170" s="352">
        <v>0</v>
      </c>
      <c r="D170" s="352">
        <v>0</v>
      </c>
      <c r="E170" s="352">
        <v>0</v>
      </c>
      <c r="F170" s="352">
        <v>0</v>
      </c>
      <c r="G170" s="352">
        <v>0</v>
      </c>
      <c r="H170" s="352">
        <v>0</v>
      </c>
      <c r="I170" s="352">
        <v>0</v>
      </c>
      <c r="J170" s="352">
        <v>0</v>
      </c>
      <c r="K170" s="352">
        <v>0</v>
      </c>
      <c r="L170" s="352">
        <v>0</v>
      </c>
      <c r="M170" s="352">
        <v>0</v>
      </c>
      <c r="N170" s="352">
        <v>0</v>
      </c>
      <c r="O170" s="352">
        <v>0</v>
      </c>
      <c r="P170" s="318"/>
    </row>
    <row r="171" spans="1:16" hidden="1">
      <c r="A171" s="480"/>
      <c r="B171" s="345">
        <v>0</v>
      </c>
      <c r="C171" s="352">
        <v>0</v>
      </c>
      <c r="D171" s="352">
        <v>0</v>
      </c>
      <c r="E171" s="352">
        <v>0</v>
      </c>
      <c r="F171" s="352">
        <v>0</v>
      </c>
      <c r="G171" s="352">
        <v>0</v>
      </c>
      <c r="H171" s="352">
        <v>0</v>
      </c>
      <c r="I171" s="352">
        <v>0</v>
      </c>
      <c r="J171" s="352">
        <v>0</v>
      </c>
      <c r="K171" s="352">
        <v>0</v>
      </c>
      <c r="L171" s="352">
        <v>0</v>
      </c>
      <c r="M171" s="352">
        <v>0</v>
      </c>
      <c r="N171" s="352">
        <v>0</v>
      </c>
      <c r="O171" s="352">
        <v>0</v>
      </c>
      <c r="P171" s="318"/>
    </row>
    <row r="172" spans="1:16" hidden="1">
      <c r="A172" s="480"/>
      <c r="B172" s="345">
        <v>0</v>
      </c>
      <c r="C172" s="352">
        <v>0</v>
      </c>
      <c r="D172" s="352">
        <v>0</v>
      </c>
      <c r="E172" s="352">
        <v>0</v>
      </c>
      <c r="F172" s="352">
        <v>0</v>
      </c>
      <c r="G172" s="352">
        <v>0</v>
      </c>
      <c r="H172" s="352">
        <v>0</v>
      </c>
      <c r="I172" s="352">
        <v>0</v>
      </c>
      <c r="J172" s="352">
        <v>0</v>
      </c>
      <c r="K172" s="352">
        <v>0</v>
      </c>
      <c r="L172" s="352">
        <v>0</v>
      </c>
      <c r="M172" s="352">
        <v>0</v>
      </c>
      <c r="N172" s="352">
        <v>0</v>
      </c>
      <c r="O172" s="352">
        <v>0</v>
      </c>
      <c r="P172" s="318"/>
    </row>
    <row r="173" spans="1:16" hidden="1">
      <c r="A173" s="480"/>
      <c r="B173" s="345">
        <v>0</v>
      </c>
      <c r="C173" s="352">
        <v>0</v>
      </c>
      <c r="D173" s="352">
        <v>0</v>
      </c>
      <c r="E173" s="352">
        <v>0</v>
      </c>
      <c r="F173" s="352">
        <v>0</v>
      </c>
      <c r="G173" s="352">
        <v>0</v>
      </c>
      <c r="H173" s="352">
        <v>0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>
        <v>0</v>
      </c>
      <c r="O173" s="352">
        <v>0</v>
      </c>
      <c r="P173" s="318"/>
    </row>
    <row r="174" spans="1:16" hidden="1">
      <c r="A174" s="480"/>
      <c r="B174" s="345">
        <v>0</v>
      </c>
      <c r="C174" s="352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>
        <v>0</v>
      </c>
      <c r="P174" s="318"/>
    </row>
    <row r="175" spans="1:16" hidden="1">
      <c r="A175" s="480"/>
      <c r="B175" s="345">
        <v>0</v>
      </c>
      <c r="C175" s="352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>
        <v>0</v>
      </c>
      <c r="O175" s="352">
        <v>0</v>
      </c>
      <c r="P175" s="318"/>
    </row>
    <row r="176" spans="1:16" hidden="1">
      <c r="A176" s="480"/>
      <c r="B176" s="345">
        <v>0</v>
      </c>
      <c r="C176" s="352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>
        <v>0</v>
      </c>
      <c r="O176" s="352">
        <v>0</v>
      </c>
      <c r="P176" s="318"/>
    </row>
    <row r="177" spans="1:16" hidden="1">
      <c r="A177" s="480"/>
      <c r="B177" s="345">
        <v>0</v>
      </c>
      <c r="C177" s="352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>
        <v>0</v>
      </c>
      <c r="N177" s="352">
        <v>0</v>
      </c>
      <c r="O177" s="352">
        <v>0</v>
      </c>
      <c r="P177" s="318"/>
    </row>
    <row r="178" spans="1:16" hidden="1">
      <c r="A178" s="480"/>
      <c r="B178" s="345">
        <v>0</v>
      </c>
      <c r="C178" s="352">
        <v>0</v>
      </c>
      <c r="D178" s="352">
        <v>0</v>
      </c>
      <c r="E178" s="352">
        <v>0</v>
      </c>
      <c r="F178" s="352">
        <v>0</v>
      </c>
      <c r="G178" s="352">
        <v>0</v>
      </c>
      <c r="H178" s="352">
        <v>0</v>
      </c>
      <c r="I178" s="352">
        <v>0</v>
      </c>
      <c r="J178" s="352">
        <v>0</v>
      </c>
      <c r="K178" s="352">
        <v>0</v>
      </c>
      <c r="L178" s="352">
        <v>0</v>
      </c>
      <c r="M178" s="352">
        <v>0</v>
      </c>
      <c r="N178" s="352">
        <v>0</v>
      </c>
      <c r="O178" s="352">
        <v>0</v>
      </c>
      <c r="P178" s="318"/>
    </row>
    <row r="179" spans="1:16" hidden="1">
      <c r="A179" s="480"/>
      <c r="B179" s="345">
        <v>0</v>
      </c>
      <c r="C179" s="352">
        <v>0</v>
      </c>
      <c r="D179" s="352">
        <v>0</v>
      </c>
      <c r="E179" s="352">
        <v>0</v>
      </c>
      <c r="F179" s="352">
        <v>0</v>
      </c>
      <c r="G179" s="352">
        <v>0</v>
      </c>
      <c r="H179" s="352">
        <v>0</v>
      </c>
      <c r="I179" s="352">
        <v>0</v>
      </c>
      <c r="J179" s="352">
        <v>0</v>
      </c>
      <c r="K179" s="352">
        <v>0</v>
      </c>
      <c r="L179" s="352">
        <v>0</v>
      </c>
      <c r="M179" s="352">
        <v>0</v>
      </c>
      <c r="N179" s="352">
        <v>0</v>
      </c>
      <c r="O179" s="352">
        <v>0</v>
      </c>
      <c r="P179" s="318"/>
    </row>
    <row r="180" spans="1:16" hidden="1">
      <c r="A180" s="480"/>
      <c r="B180" s="345">
        <v>0</v>
      </c>
      <c r="C180" s="352">
        <v>0</v>
      </c>
      <c r="D180" s="352">
        <v>0</v>
      </c>
      <c r="E180" s="352">
        <v>0</v>
      </c>
      <c r="F180" s="352">
        <v>0</v>
      </c>
      <c r="G180" s="352">
        <v>0</v>
      </c>
      <c r="H180" s="352">
        <v>0</v>
      </c>
      <c r="I180" s="352">
        <v>0</v>
      </c>
      <c r="J180" s="352">
        <v>0</v>
      </c>
      <c r="K180" s="352">
        <v>0</v>
      </c>
      <c r="L180" s="352">
        <v>0</v>
      </c>
      <c r="M180" s="352">
        <v>0</v>
      </c>
      <c r="N180" s="352">
        <v>0</v>
      </c>
      <c r="O180" s="352">
        <v>0</v>
      </c>
      <c r="P180" s="318"/>
    </row>
    <row r="181" spans="1:16" hidden="1">
      <c r="A181" s="480"/>
      <c r="B181" s="345">
        <v>0</v>
      </c>
      <c r="C181" s="352">
        <v>0</v>
      </c>
      <c r="D181" s="352">
        <v>0</v>
      </c>
      <c r="E181" s="352">
        <v>0</v>
      </c>
      <c r="F181" s="352">
        <v>0</v>
      </c>
      <c r="G181" s="352">
        <v>0</v>
      </c>
      <c r="H181" s="352">
        <v>0</v>
      </c>
      <c r="I181" s="352">
        <v>0</v>
      </c>
      <c r="J181" s="352">
        <v>0</v>
      </c>
      <c r="K181" s="352">
        <v>0</v>
      </c>
      <c r="L181" s="352">
        <v>0</v>
      </c>
      <c r="M181" s="352">
        <v>0</v>
      </c>
      <c r="N181" s="352">
        <v>0</v>
      </c>
      <c r="O181" s="352">
        <v>0</v>
      </c>
      <c r="P181" s="318"/>
    </row>
    <row r="182" spans="1:16" hidden="1">
      <c r="A182" s="480"/>
      <c r="B182" s="351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18"/>
    </row>
    <row r="183" spans="1:16" hidden="1">
      <c r="A183" s="482"/>
      <c r="B183" s="354" t="s">
        <v>356</v>
      </c>
      <c r="C183" s="355">
        <v>31</v>
      </c>
      <c r="D183" s="355">
        <v>28</v>
      </c>
      <c r="E183" s="355">
        <v>31</v>
      </c>
      <c r="F183" s="355">
        <v>30</v>
      </c>
      <c r="G183" s="355">
        <v>31</v>
      </c>
      <c r="H183" s="355">
        <v>30</v>
      </c>
      <c r="I183" s="355">
        <v>31</v>
      </c>
      <c r="J183" s="355">
        <v>31</v>
      </c>
      <c r="K183" s="355">
        <v>30</v>
      </c>
      <c r="L183" s="355">
        <v>31</v>
      </c>
      <c r="M183" s="355">
        <v>30</v>
      </c>
      <c r="N183" s="355">
        <v>31</v>
      </c>
      <c r="O183" s="356">
        <v>0</v>
      </c>
      <c r="P183" s="318"/>
    </row>
    <row r="184" spans="1:16" hidden="1">
      <c r="A184" s="480"/>
      <c r="B184" s="351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18"/>
    </row>
    <row r="185" spans="1:16" hidden="1">
      <c r="A185" s="480"/>
      <c r="B185" s="345" t="s">
        <v>355</v>
      </c>
      <c r="C185" s="352">
        <v>0</v>
      </c>
      <c r="D185" s="352">
        <v>0</v>
      </c>
      <c r="E185" s="352">
        <v>0</v>
      </c>
      <c r="F185" s="352">
        <v>0</v>
      </c>
      <c r="G185" s="352">
        <v>0</v>
      </c>
      <c r="H185" s="352">
        <v>0</v>
      </c>
      <c r="I185" s="352">
        <v>0</v>
      </c>
      <c r="J185" s="352">
        <v>0</v>
      </c>
      <c r="K185" s="352">
        <v>0</v>
      </c>
      <c r="L185" s="352">
        <v>0</v>
      </c>
      <c r="M185" s="352">
        <v>0</v>
      </c>
      <c r="N185" s="352">
        <v>0</v>
      </c>
      <c r="O185" s="352">
        <v>0</v>
      </c>
      <c r="P185" s="318"/>
    </row>
    <row r="186" spans="1:16" hidden="1">
      <c r="A186" s="480"/>
      <c r="B186" s="345">
        <v>0</v>
      </c>
      <c r="C186" s="352">
        <v>0</v>
      </c>
      <c r="D186" s="352">
        <v>0</v>
      </c>
      <c r="E186" s="352">
        <v>0</v>
      </c>
      <c r="F186" s="352">
        <v>0</v>
      </c>
      <c r="G186" s="352">
        <v>0</v>
      </c>
      <c r="H186" s="352">
        <v>0</v>
      </c>
      <c r="I186" s="352">
        <v>0</v>
      </c>
      <c r="J186" s="352">
        <v>0</v>
      </c>
      <c r="K186" s="352">
        <v>0</v>
      </c>
      <c r="L186" s="352">
        <v>0</v>
      </c>
      <c r="M186" s="352">
        <v>0</v>
      </c>
      <c r="N186" s="352">
        <v>0</v>
      </c>
      <c r="O186" s="352">
        <v>0</v>
      </c>
      <c r="P186" s="318"/>
    </row>
    <row r="187" spans="1:16" hidden="1">
      <c r="A187" s="480"/>
      <c r="B187" s="345">
        <v>0</v>
      </c>
      <c r="C187" s="352">
        <v>0</v>
      </c>
      <c r="D187" s="352">
        <v>0</v>
      </c>
      <c r="E187" s="352">
        <v>0</v>
      </c>
      <c r="F187" s="352">
        <v>0</v>
      </c>
      <c r="G187" s="352">
        <v>0</v>
      </c>
      <c r="H187" s="352">
        <v>0</v>
      </c>
      <c r="I187" s="352">
        <v>0</v>
      </c>
      <c r="J187" s="352">
        <v>0</v>
      </c>
      <c r="K187" s="352">
        <v>0</v>
      </c>
      <c r="L187" s="352">
        <v>0</v>
      </c>
      <c r="M187" s="352">
        <v>0</v>
      </c>
      <c r="N187" s="352">
        <v>0</v>
      </c>
      <c r="O187" s="352">
        <v>0</v>
      </c>
      <c r="P187" s="318"/>
    </row>
    <row r="188" spans="1:16" hidden="1">
      <c r="A188" s="480"/>
      <c r="B188" s="345">
        <v>0</v>
      </c>
      <c r="C188" s="352">
        <v>0</v>
      </c>
      <c r="D188" s="352">
        <v>0</v>
      </c>
      <c r="E188" s="352">
        <v>0</v>
      </c>
      <c r="F188" s="352">
        <v>0</v>
      </c>
      <c r="G188" s="352">
        <v>0</v>
      </c>
      <c r="H188" s="352">
        <v>0</v>
      </c>
      <c r="I188" s="352">
        <v>0</v>
      </c>
      <c r="J188" s="352">
        <v>0</v>
      </c>
      <c r="K188" s="352">
        <v>0</v>
      </c>
      <c r="L188" s="352">
        <v>0</v>
      </c>
      <c r="M188" s="352">
        <v>0</v>
      </c>
      <c r="N188" s="352">
        <v>0</v>
      </c>
      <c r="O188" s="352">
        <v>0</v>
      </c>
      <c r="P188" s="318"/>
    </row>
    <row r="189" spans="1:16" hidden="1">
      <c r="A189" s="480"/>
      <c r="B189" s="345"/>
      <c r="C189" s="352"/>
      <c r="D189" s="352"/>
      <c r="E189" s="352"/>
      <c r="F189" s="352"/>
      <c r="G189" s="352"/>
      <c r="H189" s="352"/>
      <c r="I189" s="352"/>
      <c r="J189" s="352"/>
      <c r="K189" s="352"/>
      <c r="L189" s="352"/>
      <c r="M189" s="352"/>
      <c r="N189" s="352"/>
      <c r="O189" s="352"/>
      <c r="P189" s="318"/>
    </row>
    <row r="190" spans="1:16" hidden="1">
      <c r="A190" s="480"/>
      <c r="B190" s="345"/>
      <c r="C190" s="352"/>
      <c r="D190" s="352"/>
      <c r="E190" s="352"/>
      <c r="F190" s="352"/>
      <c r="G190" s="352"/>
      <c r="H190" s="352"/>
      <c r="I190" s="352"/>
      <c r="J190" s="352"/>
      <c r="K190" s="352"/>
      <c r="L190" s="352"/>
      <c r="M190" s="352"/>
      <c r="N190" s="352"/>
      <c r="O190" s="352"/>
      <c r="P190" s="318"/>
    </row>
    <row r="191" spans="1:16" hidden="1">
      <c r="A191" s="480"/>
      <c r="B191" s="349" t="s">
        <v>355</v>
      </c>
      <c r="C191" s="352">
        <v>0</v>
      </c>
      <c r="D191" s="352">
        <v>0</v>
      </c>
      <c r="E191" s="352">
        <v>0</v>
      </c>
      <c r="F191" s="352">
        <v>0</v>
      </c>
      <c r="G191" s="352">
        <v>0</v>
      </c>
      <c r="H191" s="352">
        <v>0</v>
      </c>
      <c r="I191" s="352">
        <v>0</v>
      </c>
      <c r="J191" s="352">
        <v>0</v>
      </c>
      <c r="K191" s="352">
        <v>0</v>
      </c>
      <c r="L191" s="352">
        <v>0</v>
      </c>
      <c r="M191" s="352">
        <v>0</v>
      </c>
      <c r="N191" s="352">
        <v>0</v>
      </c>
      <c r="O191" s="352">
        <v>0</v>
      </c>
      <c r="P191" s="318"/>
    </row>
    <row r="192" spans="1:16" hidden="1">
      <c r="A192" s="480"/>
      <c r="B192" s="345">
        <v>0</v>
      </c>
      <c r="C192" s="352">
        <v>0</v>
      </c>
      <c r="D192" s="352">
        <v>0</v>
      </c>
      <c r="E192" s="352">
        <v>0</v>
      </c>
      <c r="F192" s="352">
        <v>0</v>
      </c>
      <c r="G192" s="352">
        <v>0</v>
      </c>
      <c r="H192" s="352">
        <v>0</v>
      </c>
      <c r="I192" s="352">
        <v>0</v>
      </c>
      <c r="J192" s="352">
        <v>0</v>
      </c>
      <c r="K192" s="352">
        <v>0</v>
      </c>
      <c r="L192" s="352">
        <v>0</v>
      </c>
      <c r="M192" s="352">
        <v>0</v>
      </c>
      <c r="N192" s="352">
        <v>0</v>
      </c>
      <c r="O192" s="352">
        <v>0</v>
      </c>
      <c r="P192" s="318"/>
    </row>
    <row r="193" spans="1:16" hidden="1">
      <c r="A193" s="480"/>
      <c r="B193" s="345">
        <v>0</v>
      </c>
      <c r="C193" s="352">
        <v>0</v>
      </c>
      <c r="D193" s="352">
        <v>0</v>
      </c>
      <c r="E193" s="352">
        <v>0</v>
      </c>
      <c r="F193" s="352">
        <v>0</v>
      </c>
      <c r="G193" s="352">
        <v>0</v>
      </c>
      <c r="H193" s="352">
        <v>0</v>
      </c>
      <c r="I193" s="352">
        <v>0</v>
      </c>
      <c r="J193" s="352">
        <v>0</v>
      </c>
      <c r="K193" s="352">
        <v>0</v>
      </c>
      <c r="L193" s="352">
        <v>0</v>
      </c>
      <c r="M193" s="352">
        <v>0</v>
      </c>
      <c r="N193" s="352">
        <v>0</v>
      </c>
      <c r="O193" s="352">
        <v>0</v>
      </c>
      <c r="P193" s="318"/>
    </row>
    <row r="194" spans="1:16" hidden="1">
      <c r="A194" s="480"/>
      <c r="B194" s="345">
        <v>0</v>
      </c>
      <c r="C194" s="352">
        <v>0</v>
      </c>
      <c r="D194" s="352">
        <v>0</v>
      </c>
      <c r="E194" s="352">
        <v>0</v>
      </c>
      <c r="F194" s="352">
        <v>0</v>
      </c>
      <c r="G194" s="352">
        <v>0</v>
      </c>
      <c r="H194" s="352">
        <v>0</v>
      </c>
      <c r="I194" s="352">
        <v>0</v>
      </c>
      <c r="J194" s="352">
        <v>0</v>
      </c>
      <c r="K194" s="352">
        <v>0</v>
      </c>
      <c r="L194" s="352">
        <v>0</v>
      </c>
      <c r="M194" s="352">
        <v>0</v>
      </c>
      <c r="N194" s="352">
        <v>0</v>
      </c>
      <c r="O194" s="352">
        <v>0</v>
      </c>
      <c r="P194" s="318"/>
    </row>
    <row r="195" spans="1:16" hidden="1">
      <c r="A195" s="480"/>
      <c r="B195" s="345">
        <v>0</v>
      </c>
      <c r="C195" s="352">
        <v>0</v>
      </c>
      <c r="D195" s="352">
        <v>0</v>
      </c>
      <c r="E195" s="352">
        <v>0</v>
      </c>
      <c r="F195" s="352">
        <v>0</v>
      </c>
      <c r="G195" s="352">
        <v>0</v>
      </c>
      <c r="H195" s="352">
        <v>0</v>
      </c>
      <c r="I195" s="352">
        <v>0</v>
      </c>
      <c r="J195" s="352">
        <v>0</v>
      </c>
      <c r="K195" s="352">
        <v>0</v>
      </c>
      <c r="L195" s="352">
        <v>0</v>
      </c>
      <c r="M195" s="352">
        <v>0</v>
      </c>
      <c r="N195" s="352">
        <v>0</v>
      </c>
      <c r="O195" s="352">
        <v>0</v>
      </c>
      <c r="P195" s="318"/>
    </row>
    <row r="196" spans="1:16" hidden="1">
      <c r="A196" s="480"/>
      <c r="B196" s="345">
        <v>0</v>
      </c>
      <c r="C196" s="352">
        <v>0</v>
      </c>
      <c r="D196" s="352">
        <v>0</v>
      </c>
      <c r="E196" s="352">
        <v>0</v>
      </c>
      <c r="F196" s="352">
        <v>0</v>
      </c>
      <c r="G196" s="352">
        <v>0</v>
      </c>
      <c r="H196" s="352">
        <v>0</v>
      </c>
      <c r="I196" s="352">
        <v>0</v>
      </c>
      <c r="J196" s="352">
        <v>0</v>
      </c>
      <c r="K196" s="352">
        <v>0</v>
      </c>
      <c r="L196" s="352">
        <v>0</v>
      </c>
      <c r="M196" s="352">
        <v>0</v>
      </c>
      <c r="N196" s="352">
        <v>0</v>
      </c>
      <c r="O196" s="352">
        <v>0</v>
      </c>
      <c r="P196" s="318"/>
    </row>
    <row r="197" spans="1:16" hidden="1">
      <c r="A197" s="480"/>
      <c r="B197" s="345">
        <v>0</v>
      </c>
      <c r="C197" s="352">
        <v>0</v>
      </c>
      <c r="D197" s="352">
        <v>0</v>
      </c>
      <c r="E197" s="352">
        <v>0</v>
      </c>
      <c r="F197" s="352">
        <v>0</v>
      </c>
      <c r="G197" s="352">
        <v>0</v>
      </c>
      <c r="H197" s="352">
        <v>0</v>
      </c>
      <c r="I197" s="352">
        <v>0</v>
      </c>
      <c r="J197" s="352">
        <v>0</v>
      </c>
      <c r="K197" s="352">
        <v>0</v>
      </c>
      <c r="L197" s="352">
        <v>0</v>
      </c>
      <c r="M197" s="352">
        <v>0</v>
      </c>
      <c r="N197" s="352">
        <v>0</v>
      </c>
      <c r="O197" s="352">
        <v>0</v>
      </c>
      <c r="P197" s="318"/>
    </row>
    <row r="198" spans="1:16" hidden="1">
      <c r="A198" s="480"/>
      <c r="B198" s="345">
        <v>0</v>
      </c>
      <c r="C198" s="352">
        <v>0</v>
      </c>
      <c r="D198" s="352">
        <v>0</v>
      </c>
      <c r="E198" s="352">
        <v>0</v>
      </c>
      <c r="F198" s="352">
        <v>0</v>
      </c>
      <c r="G198" s="352">
        <v>0</v>
      </c>
      <c r="H198" s="352">
        <v>0</v>
      </c>
      <c r="I198" s="352">
        <v>0</v>
      </c>
      <c r="J198" s="352">
        <v>0</v>
      </c>
      <c r="K198" s="352">
        <v>0</v>
      </c>
      <c r="L198" s="352">
        <v>0</v>
      </c>
      <c r="M198" s="352">
        <v>0</v>
      </c>
      <c r="N198" s="352">
        <v>0</v>
      </c>
      <c r="O198" s="352">
        <v>0</v>
      </c>
      <c r="P198" s="318"/>
    </row>
    <row r="199" spans="1:16" hidden="1">
      <c r="A199" s="480"/>
      <c r="B199" s="345">
        <v>0</v>
      </c>
      <c r="C199" s="352">
        <v>0</v>
      </c>
      <c r="D199" s="352">
        <v>0</v>
      </c>
      <c r="E199" s="352">
        <v>0</v>
      </c>
      <c r="F199" s="352">
        <v>0</v>
      </c>
      <c r="G199" s="352">
        <v>0</v>
      </c>
      <c r="H199" s="352">
        <v>0</v>
      </c>
      <c r="I199" s="352">
        <v>0</v>
      </c>
      <c r="J199" s="352">
        <v>0</v>
      </c>
      <c r="K199" s="352">
        <v>0</v>
      </c>
      <c r="L199" s="352">
        <v>0</v>
      </c>
      <c r="M199" s="352">
        <v>0</v>
      </c>
      <c r="N199" s="352">
        <v>0</v>
      </c>
      <c r="O199" s="352">
        <v>0</v>
      </c>
      <c r="P199" s="318"/>
    </row>
    <row r="200" spans="1:16" hidden="1">
      <c r="A200" s="480"/>
      <c r="B200" s="345">
        <v>0</v>
      </c>
      <c r="C200" s="352">
        <v>0</v>
      </c>
      <c r="D200" s="352">
        <v>0</v>
      </c>
      <c r="E200" s="352">
        <v>0</v>
      </c>
      <c r="F200" s="352">
        <v>0</v>
      </c>
      <c r="G200" s="352">
        <v>0</v>
      </c>
      <c r="H200" s="352">
        <v>0</v>
      </c>
      <c r="I200" s="352">
        <v>0</v>
      </c>
      <c r="J200" s="352">
        <v>0</v>
      </c>
      <c r="K200" s="352">
        <v>0</v>
      </c>
      <c r="L200" s="352">
        <v>0</v>
      </c>
      <c r="M200" s="352">
        <v>0</v>
      </c>
      <c r="N200" s="352">
        <v>0</v>
      </c>
      <c r="O200" s="352">
        <v>0</v>
      </c>
      <c r="P200" s="318"/>
    </row>
    <row r="201" spans="1:16" hidden="1">
      <c r="A201" s="480"/>
      <c r="B201" s="345">
        <v>0</v>
      </c>
      <c r="C201" s="352">
        <v>0</v>
      </c>
      <c r="D201" s="352">
        <v>0</v>
      </c>
      <c r="E201" s="352">
        <v>0</v>
      </c>
      <c r="F201" s="352">
        <v>0</v>
      </c>
      <c r="G201" s="352">
        <v>0</v>
      </c>
      <c r="H201" s="352">
        <v>0</v>
      </c>
      <c r="I201" s="352">
        <v>0</v>
      </c>
      <c r="J201" s="352">
        <v>0</v>
      </c>
      <c r="K201" s="352">
        <v>0</v>
      </c>
      <c r="L201" s="352">
        <v>0</v>
      </c>
      <c r="M201" s="352">
        <v>0</v>
      </c>
      <c r="N201" s="352">
        <v>0</v>
      </c>
      <c r="O201" s="352">
        <v>0</v>
      </c>
      <c r="P201" s="318"/>
    </row>
    <row r="202" spans="1:16" hidden="1">
      <c r="A202" s="480"/>
      <c r="B202" s="345">
        <v>0</v>
      </c>
      <c r="C202" s="352">
        <v>0</v>
      </c>
      <c r="D202" s="352">
        <v>0</v>
      </c>
      <c r="E202" s="352">
        <v>0</v>
      </c>
      <c r="F202" s="352">
        <v>0</v>
      </c>
      <c r="G202" s="352">
        <v>0</v>
      </c>
      <c r="H202" s="352">
        <v>0</v>
      </c>
      <c r="I202" s="352">
        <v>0</v>
      </c>
      <c r="J202" s="352">
        <v>0</v>
      </c>
      <c r="K202" s="352">
        <v>0</v>
      </c>
      <c r="L202" s="352">
        <v>0</v>
      </c>
      <c r="M202" s="352">
        <v>0</v>
      </c>
      <c r="N202" s="352">
        <v>0</v>
      </c>
      <c r="O202" s="352">
        <v>0</v>
      </c>
      <c r="P202" s="318"/>
    </row>
    <row r="203" spans="1:16" hidden="1">
      <c r="A203" s="480"/>
      <c r="B203" s="345">
        <v>0</v>
      </c>
      <c r="C203" s="352">
        <v>0</v>
      </c>
      <c r="D203" s="352">
        <v>0</v>
      </c>
      <c r="E203" s="352">
        <v>0</v>
      </c>
      <c r="F203" s="352">
        <v>0</v>
      </c>
      <c r="G203" s="352">
        <v>0</v>
      </c>
      <c r="H203" s="352">
        <v>0</v>
      </c>
      <c r="I203" s="352">
        <v>0</v>
      </c>
      <c r="J203" s="352">
        <v>0</v>
      </c>
      <c r="K203" s="352">
        <v>0</v>
      </c>
      <c r="L203" s="352">
        <v>0</v>
      </c>
      <c r="M203" s="352">
        <v>0</v>
      </c>
      <c r="N203" s="352">
        <v>0</v>
      </c>
      <c r="O203" s="352">
        <v>0</v>
      </c>
      <c r="P203" s="318"/>
    </row>
    <row r="204" spans="1:16" hidden="1">
      <c r="A204" s="480"/>
      <c r="B204" s="345">
        <v>0</v>
      </c>
      <c r="C204" s="352">
        <v>0</v>
      </c>
      <c r="D204" s="352">
        <v>0</v>
      </c>
      <c r="E204" s="352">
        <v>0</v>
      </c>
      <c r="F204" s="352">
        <v>0</v>
      </c>
      <c r="G204" s="352">
        <v>0</v>
      </c>
      <c r="H204" s="352">
        <v>0</v>
      </c>
      <c r="I204" s="352">
        <v>0</v>
      </c>
      <c r="J204" s="352">
        <v>0</v>
      </c>
      <c r="K204" s="352">
        <v>0</v>
      </c>
      <c r="L204" s="352">
        <v>0</v>
      </c>
      <c r="M204" s="352">
        <v>0</v>
      </c>
      <c r="N204" s="352">
        <v>0</v>
      </c>
      <c r="O204" s="352">
        <v>0</v>
      </c>
      <c r="P204" s="318"/>
    </row>
    <row r="205" spans="1:16" hidden="1">
      <c r="A205" s="480"/>
      <c r="B205" s="345">
        <v>0</v>
      </c>
      <c r="C205" s="352">
        <v>0</v>
      </c>
      <c r="D205" s="352">
        <v>0</v>
      </c>
      <c r="E205" s="352">
        <v>0</v>
      </c>
      <c r="F205" s="352">
        <v>0</v>
      </c>
      <c r="G205" s="352">
        <v>0</v>
      </c>
      <c r="H205" s="352">
        <v>0</v>
      </c>
      <c r="I205" s="352">
        <v>0</v>
      </c>
      <c r="J205" s="352">
        <v>0</v>
      </c>
      <c r="K205" s="352">
        <v>0</v>
      </c>
      <c r="L205" s="352">
        <v>0</v>
      </c>
      <c r="M205" s="352">
        <v>0</v>
      </c>
      <c r="N205" s="352">
        <v>0</v>
      </c>
      <c r="O205" s="352">
        <v>0</v>
      </c>
      <c r="P205" s="318"/>
    </row>
    <row r="206" spans="1:16" hidden="1">
      <c r="A206" s="480"/>
      <c r="B206" s="345">
        <v>0</v>
      </c>
      <c r="C206" s="352">
        <v>0</v>
      </c>
      <c r="D206" s="352">
        <v>0</v>
      </c>
      <c r="E206" s="352">
        <v>0</v>
      </c>
      <c r="F206" s="352">
        <v>0</v>
      </c>
      <c r="G206" s="352">
        <v>0</v>
      </c>
      <c r="H206" s="352">
        <v>0</v>
      </c>
      <c r="I206" s="352">
        <v>0</v>
      </c>
      <c r="J206" s="352">
        <v>0</v>
      </c>
      <c r="K206" s="352">
        <v>0</v>
      </c>
      <c r="L206" s="352">
        <v>0</v>
      </c>
      <c r="M206" s="352">
        <v>0</v>
      </c>
      <c r="N206" s="352">
        <v>0</v>
      </c>
      <c r="O206" s="352">
        <v>0</v>
      </c>
      <c r="P206" s="318"/>
    </row>
    <row r="207" spans="1:16" hidden="1">
      <c r="A207" s="480"/>
      <c r="B207" s="345">
        <v>0</v>
      </c>
      <c r="C207" s="352">
        <v>0</v>
      </c>
      <c r="D207" s="352">
        <v>0</v>
      </c>
      <c r="E207" s="352">
        <v>0</v>
      </c>
      <c r="F207" s="352">
        <v>0</v>
      </c>
      <c r="G207" s="352">
        <v>0</v>
      </c>
      <c r="H207" s="352">
        <v>0</v>
      </c>
      <c r="I207" s="352">
        <v>0</v>
      </c>
      <c r="J207" s="352">
        <v>0</v>
      </c>
      <c r="K207" s="352">
        <v>0</v>
      </c>
      <c r="L207" s="352">
        <v>0</v>
      </c>
      <c r="M207" s="352">
        <v>0</v>
      </c>
      <c r="N207" s="352">
        <v>0</v>
      </c>
      <c r="O207" s="352">
        <v>0</v>
      </c>
      <c r="P207" s="318"/>
    </row>
    <row r="208" spans="1:16" hidden="1">
      <c r="A208" s="480"/>
      <c r="B208" s="345">
        <v>0</v>
      </c>
      <c r="C208" s="352">
        <v>0</v>
      </c>
      <c r="D208" s="352">
        <v>0</v>
      </c>
      <c r="E208" s="352">
        <v>0</v>
      </c>
      <c r="F208" s="352">
        <v>0</v>
      </c>
      <c r="G208" s="352">
        <v>0</v>
      </c>
      <c r="H208" s="352">
        <v>0</v>
      </c>
      <c r="I208" s="352">
        <v>0</v>
      </c>
      <c r="J208" s="352">
        <v>0</v>
      </c>
      <c r="K208" s="352">
        <v>0</v>
      </c>
      <c r="L208" s="352">
        <v>0</v>
      </c>
      <c r="M208" s="352">
        <v>0</v>
      </c>
      <c r="N208" s="352">
        <v>0</v>
      </c>
      <c r="O208" s="352">
        <v>0</v>
      </c>
      <c r="P208" s="318"/>
    </row>
    <row r="209" spans="1:16" hidden="1">
      <c r="A209" s="480"/>
      <c r="B209" s="345">
        <v>0</v>
      </c>
      <c r="C209" s="352">
        <v>0</v>
      </c>
      <c r="D209" s="352">
        <v>0</v>
      </c>
      <c r="E209" s="352">
        <v>0</v>
      </c>
      <c r="F209" s="352">
        <v>0</v>
      </c>
      <c r="G209" s="352">
        <v>0</v>
      </c>
      <c r="H209" s="352">
        <v>0</v>
      </c>
      <c r="I209" s="352">
        <v>0</v>
      </c>
      <c r="J209" s="352">
        <v>0</v>
      </c>
      <c r="K209" s="352">
        <v>0</v>
      </c>
      <c r="L209" s="352">
        <v>0</v>
      </c>
      <c r="M209" s="352">
        <v>0</v>
      </c>
      <c r="N209" s="352">
        <v>0</v>
      </c>
      <c r="O209" s="352">
        <v>0</v>
      </c>
      <c r="P209" s="318"/>
    </row>
    <row r="210" spans="1:16" hidden="1">
      <c r="A210" s="480"/>
      <c r="B210" s="345">
        <v>0</v>
      </c>
      <c r="C210" s="352">
        <v>0</v>
      </c>
      <c r="D210" s="352">
        <v>0</v>
      </c>
      <c r="E210" s="352">
        <v>0</v>
      </c>
      <c r="F210" s="352">
        <v>0</v>
      </c>
      <c r="G210" s="352">
        <v>0</v>
      </c>
      <c r="H210" s="352">
        <v>0</v>
      </c>
      <c r="I210" s="352">
        <v>0</v>
      </c>
      <c r="J210" s="352">
        <v>0</v>
      </c>
      <c r="K210" s="352">
        <v>0</v>
      </c>
      <c r="L210" s="352">
        <v>0</v>
      </c>
      <c r="M210" s="352">
        <v>0</v>
      </c>
      <c r="N210" s="352">
        <v>0</v>
      </c>
      <c r="O210" s="352">
        <v>0</v>
      </c>
      <c r="P210" s="318"/>
    </row>
    <row r="211" spans="1:16" hidden="1">
      <c r="A211" s="480"/>
      <c r="B211" s="351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18"/>
    </row>
    <row r="212" spans="1:16" hidden="1">
      <c r="A212" s="480"/>
      <c r="B212" s="351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18"/>
    </row>
    <row r="213" spans="1:16" hidden="1">
      <c r="A213" s="480"/>
      <c r="B213" s="351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18"/>
    </row>
    <row r="214" spans="1:16" hidden="1">
      <c r="A214" s="480"/>
      <c r="B214" s="351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18"/>
    </row>
    <row r="215" spans="1:16" hidden="1">
      <c r="A215" s="480"/>
      <c r="B215" s="351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18"/>
    </row>
    <row r="216" spans="1:16" hidden="1">
      <c r="A216" s="480"/>
      <c r="B216" s="351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18"/>
    </row>
    <row r="217" spans="1:16" hidden="1">
      <c r="A217" s="480"/>
      <c r="B217" s="351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18"/>
    </row>
    <row r="218" spans="1:16" hidden="1">
      <c r="A218" s="480"/>
      <c r="B218" s="351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18"/>
    </row>
    <row r="219" spans="1:16" hidden="1">
      <c r="A219" s="480"/>
      <c r="B219" s="351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18"/>
    </row>
    <row r="220" spans="1:16" hidden="1">
      <c r="A220" s="480"/>
      <c r="B220" s="351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18"/>
    </row>
    <row r="221" spans="1:16" hidden="1">
      <c r="A221" s="480"/>
      <c r="B221" s="351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18"/>
    </row>
    <row r="222" spans="1:16" hidden="1">
      <c r="A222" s="480"/>
      <c r="B222" s="351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18"/>
    </row>
    <row r="223" spans="1:16" hidden="1">
      <c r="A223" s="480"/>
      <c r="B223" s="351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18"/>
    </row>
    <row r="224" spans="1:16" hidden="1">
      <c r="A224" s="480"/>
      <c r="B224" s="351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18"/>
    </row>
    <row r="225" spans="1:16" hidden="1">
      <c r="A225" s="480"/>
      <c r="B225" s="351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18"/>
    </row>
    <row r="226" spans="1:16" hidden="1">
      <c r="A226" s="480"/>
      <c r="B226" s="351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18"/>
    </row>
    <row r="227" spans="1:16" hidden="1">
      <c r="A227" s="480"/>
      <c r="B227" s="351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18"/>
    </row>
    <row r="228" spans="1:16">
      <c r="A228" s="480"/>
      <c r="B228" s="351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18"/>
    </row>
    <row r="229" spans="1:16">
      <c r="C229" s="318"/>
      <c r="D229" s="318"/>
      <c r="E229" s="318"/>
      <c r="F229" s="318"/>
      <c r="G229" s="318"/>
      <c r="H229" s="318"/>
      <c r="I229" s="318"/>
      <c r="J229" s="318"/>
      <c r="K229" s="318"/>
      <c r="L229" s="318"/>
      <c r="M229" s="318"/>
      <c r="N229" s="318"/>
      <c r="O229" s="318"/>
      <c r="P229" s="358"/>
    </row>
    <row r="230" spans="1:16">
      <c r="C230" s="318"/>
      <c r="D230" s="318"/>
      <c r="E230" s="318"/>
      <c r="F230" s="318"/>
      <c r="G230" s="318"/>
      <c r="H230" s="318"/>
      <c r="I230" s="318"/>
      <c r="J230" s="318"/>
      <c r="K230" s="318"/>
      <c r="L230" s="318"/>
      <c r="M230" s="318"/>
      <c r="N230" s="318"/>
      <c r="O230" s="318"/>
      <c r="P230" s="358"/>
    </row>
    <row r="231" spans="1:16">
      <c r="C231" s="318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8"/>
      <c r="P231" s="358"/>
    </row>
    <row r="232" spans="1:16">
      <c r="C232" s="319"/>
      <c r="D232" s="319"/>
      <c r="E232" s="319"/>
      <c r="F232" s="319"/>
      <c r="G232" s="319"/>
      <c r="H232" s="319"/>
      <c r="I232" s="319"/>
      <c r="J232" s="319"/>
      <c r="K232" s="319"/>
      <c r="L232" s="319"/>
      <c r="M232" s="319"/>
      <c r="N232" s="319"/>
      <c r="O232" s="319"/>
      <c r="P232" s="358"/>
    </row>
    <row r="233" spans="1:16">
      <c r="C233" s="319"/>
      <c r="D233" s="319"/>
      <c r="E233" s="319"/>
      <c r="F233" s="319"/>
      <c r="G233" s="319"/>
      <c r="H233" s="319"/>
      <c r="I233" s="319"/>
      <c r="J233" s="319"/>
      <c r="K233" s="319"/>
      <c r="L233" s="319"/>
      <c r="M233" s="319"/>
      <c r="N233" s="319"/>
      <c r="O233" s="319"/>
      <c r="P233" s="358"/>
    </row>
    <row r="234" spans="1:16">
      <c r="C234" s="319"/>
      <c r="D234" s="319"/>
      <c r="E234" s="319"/>
      <c r="F234" s="319"/>
      <c r="G234" s="319"/>
      <c r="H234" s="319"/>
      <c r="I234" s="319"/>
      <c r="J234" s="319"/>
      <c r="K234" s="319"/>
      <c r="L234" s="319"/>
      <c r="M234" s="319"/>
      <c r="N234" s="319"/>
      <c r="O234" s="319"/>
      <c r="P234" s="358"/>
    </row>
    <row r="235" spans="1:16">
      <c r="C235" s="319"/>
      <c r="D235" s="319"/>
      <c r="E235" s="319"/>
      <c r="F235" s="319"/>
      <c r="G235" s="319"/>
      <c r="H235" s="319"/>
      <c r="I235" s="319"/>
      <c r="J235" s="319"/>
      <c r="K235" s="319"/>
      <c r="L235" s="319"/>
      <c r="M235" s="319"/>
      <c r="N235" s="319"/>
      <c r="O235" s="319"/>
      <c r="P235" s="358"/>
    </row>
  </sheetData>
  <pageMargins left="0.23622047244094491" right="0.23622047244094491" top="0.74803149606299213" bottom="0.74803149606299213" header="0.31496062992125984" footer="0.31496062992125984"/>
  <pageSetup paperSize="9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</vt:i4>
      </vt:variant>
    </vt:vector>
  </HeadingPairs>
  <TitlesOfParts>
    <vt:vector size="30" baseType="lpstr">
      <vt:lpstr>Daily</vt:lpstr>
      <vt:lpstr>Cash in bank report</vt:lpstr>
      <vt:lpstr>Table</vt:lpstr>
      <vt:lpstr>Daily exchange</vt:lpstr>
      <vt:lpstr>SUM Loan (Subsidy)</vt:lpstr>
      <vt:lpstr>Bank loan table</vt:lpstr>
      <vt:lpstr>Repayment 25</vt:lpstr>
      <vt:lpstr>Daily Hard currency</vt:lpstr>
      <vt:lpstr>Exchange plan</vt:lpstr>
      <vt:lpstr>Est payment</vt:lpstr>
      <vt:lpstr>Cash balance 2023</vt:lpstr>
      <vt:lpstr>Intercompany Loan table</vt:lpstr>
      <vt:lpstr>RUS CF</vt:lpstr>
      <vt:lpstr>CPFO CF</vt:lpstr>
      <vt:lpstr>RBPI CF</vt:lpstr>
      <vt:lpstr>APK CF</vt:lpstr>
      <vt:lpstr>SW CF</vt:lpstr>
      <vt:lpstr>S CF</vt:lpstr>
      <vt:lpstr>W CF</vt:lpstr>
      <vt:lpstr>Stesha CF</vt:lpstr>
      <vt:lpstr>PV</vt:lpstr>
      <vt:lpstr>Loan CPFI CF</vt:lpstr>
      <vt:lpstr>Group IC Loan</vt:lpstr>
      <vt:lpstr>Sheet1</vt:lpstr>
      <vt:lpstr>Simulation RUSSIA22 </vt:lpstr>
      <vt:lpstr>CPFO</vt:lpstr>
      <vt:lpstr>RBPI</vt:lpstr>
      <vt:lpstr>APK DON</vt:lpstr>
      <vt:lpstr>Daily!Print_Area</vt:lpstr>
      <vt:lpstr>'W CF'!Print_Area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Panita Siwalai</dc:creator>
  <cp:lastModifiedBy>Artur Scherbin</cp:lastModifiedBy>
  <cp:lastPrinted>2024-11-25T05:32:19Z</cp:lastPrinted>
  <dcterms:created xsi:type="dcterms:W3CDTF">2022-03-01T16:34:50Z</dcterms:created>
  <dcterms:modified xsi:type="dcterms:W3CDTF">2025-08-13T10:19:14Z</dcterms:modified>
</cp:coreProperties>
</file>